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120" yWindow="-120" windowWidth="27540" windowHeight="14640" tabRatio="807" activeTab="1"/>
  </bookViews>
  <sheets>
    <sheet name="RWS_CWSA" sheetId="69" r:id="rId1"/>
    <sheet name="INPUT" sheetId="41" r:id="rId2"/>
    <sheet name="T1" sheetId="58" r:id="rId3"/>
    <sheet name="T2" sheetId="42" r:id="rId4"/>
    <sheet name="T3 A,B,C" sheetId="54" r:id="rId5"/>
    <sheet name="T4 A,B" sheetId="50" r:id="rId6"/>
    <sheet name="T5A,F" sheetId="48" r:id="rId7"/>
    <sheet name="T5 B,E" sheetId="47" r:id="rId8"/>
    <sheet name="T5 C,D" sheetId="46" r:id="rId9"/>
    <sheet name="Attachment1" sheetId="65" r:id="rId10"/>
    <sheet name="Attachment6" sheetId="55" r:id="rId11"/>
    <sheet name="Attachment7" sheetId="61" r:id="rId12"/>
    <sheet name="FLOOD" sheetId="64" r:id="rId13"/>
    <sheet name="NORTH FORK" sheetId="27" r:id="rId14"/>
    <sheet name="ARIKAREE" sheetId="40" r:id="rId15"/>
    <sheet name="BUFFALO" sheetId="28" r:id="rId16"/>
    <sheet name="ROCK" sheetId="29" r:id="rId17"/>
    <sheet name="SOUTH FORK" sheetId="31" r:id="rId18"/>
    <sheet name="FRENCHMAN" sheetId="32" r:id="rId19"/>
    <sheet name="DRIFTWOOD" sheetId="33" r:id="rId20"/>
    <sheet name="RED WILLOW" sheetId="34" r:id="rId21"/>
    <sheet name="MEDICINE CREEK" sheetId="35" r:id="rId22"/>
    <sheet name="BEAVER" sheetId="36" r:id="rId23"/>
    <sheet name="SAPPA" sheetId="37" r:id="rId24"/>
    <sheet name="PRAIRIE DOG" sheetId="38" r:id="rId25"/>
    <sheet name="MAINSTEM" sheetId="39" r:id="rId26"/>
    <sheet name="CourtlandAvLove" sheetId="59" r:id="rId27"/>
    <sheet name="GM_output" sheetId="57" r:id="rId28"/>
    <sheet name="Fed_Reservoir" sheetId="63" r:id="rId29"/>
  </sheets>
  <definedNames>
    <definedName name="_xlnm._FilterDatabase" localSheetId="26" hidden="1">CourtlandAvLove!$L$20:$L$230</definedName>
    <definedName name="_xlnm._FilterDatabase" localSheetId="1" hidden="1">INPUT!$A$1:$A$277</definedName>
    <definedName name="_ftn1" localSheetId="0">RWS_CWSA!$A$22</definedName>
    <definedName name="_ftnref1" localSheetId="0">RWS_CWSA!$C$5</definedName>
    <definedName name="CanalCUPercent1">INPUT!$C$149</definedName>
    <definedName name="CanalCUPercent2">INPUT!$D$149</definedName>
    <definedName name="CanalCUPercent3">INPUT!$E$149</definedName>
    <definedName name="CanalCUPercent4">INPUT!$F$149</definedName>
    <definedName name="CanalCUPercent5">INPUT!$G$149</definedName>
    <definedName name="MI_CUPercent1">INPUT!$C$151</definedName>
    <definedName name="MI_CUPercent2">INPUT!$D$151</definedName>
    <definedName name="MI_CUPercent3">INPUT!$E$151</definedName>
    <definedName name="MI_CUPercent4">INPUT!$F$151</definedName>
    <definedName name="MI_CUPercent5">INPUT!$G$151</definedName>
    <definedName name="_xlnm.Print_Area" localSheetId="14">ARIKAREE!$A:$A</definedName>
    <definedName name="_xlnm.Print_Area" localSheetId="9">Attachment1!$A$1:$G$20</definedName>
    <definedName name="_xlnm.Print_Area" localSheetId="11">Attachment7!$A$1:$L$118</definedName>
    <definedName name="_xlnm.Print_Area" localSheetId="22">BEAVER!$A:$A</definedName>
    <definedName name="_xlnm.Print_Area" localSheetId="15">BUFFALO!$A:$A</definedName>
    <definedName name="_xlnm.Print_Area" localSheetId="19">DRIFTWOOD!$A:$A</definedName>
    <definedName name="_xlnm.Print_Area" localSheetId="18">FRENCHMAN!$A:$A</definedName>
    <definedName name="_xlnm.Print_Area" localSheetId="27">GM_output!$A$1:$Q$31</definedName>
    <definedName name="_xlnm.Print_Area" localSheetId="1">INPUT!$A$1:$E$277</definedName>
    <definedName name="_xlnm.Print_Area" localSheetId="25">MAINSTEM!$A$1:$A$202</definedName>
    <definedName name="_xlnm.Print_Area" localSheetId="21">'MEDICINE CREEK'!$A:$A</definedName>
    <definedName name="_xlnm.Print_Area" localSheetId="13">'NORTH FORK'!$A$1:$A$67</definedName>
    <definedName name="_xlnm.Print_Area" localSheetId="24">'PRAIRIE DOG'!$A:$A</definedName>
    <definedName name="_xlnm.Print_Area" localSheetId="20">'RED WILLOW'!$A:$A</definedName>
    <definedName name="_xlnm.Print_Area" localSheetId="16">ROCK!$A:$A</definedName>
    <definedName name="_xlnm.Print_Area" localSheetId="23">SAPPA!$A:$A</definedName>
    <definedName name="_xlnm.Print_Area" localSheetId="17">'SOUTH FORK'!$A:$A</definedName>
    <definedName name="_xlnm.Print_Area" localSheetId="2">'T1'!$A$1:$J$62</definedName>
    <definedName name="_xlnm.Print_Area" localSheetId="3">'T2'!$A$1:$J$18</definedName>
    <definedName name="_xlnm.Print_Area" localSheetId="4">'T3 A,B,C'!$A$1:$E$29</definedName>
    <definedName name="_xlnm.Print_Area" localSheetId="5">'T4 A,B'!$A$1:$H$22</definedName>
    <definedName name="_xlnm.Print_Area" localSheetId="7">'T5 B,E'!$A$1:$H$16</definedName>
    <definedName name="_xlnm.Print_Area" localSheetId="8">'T5 C,D'!$A$1:$J$16</definedName>
    <definedName name="_xlnm.Print_Area" localSheetId="6">'T5A,F'!$A$1:$H$60</definedName>
    <definedName name="_xlnm.Print_Titles" localSheetId="14">ARIKAREE!$1:$2</definedName>
    <definedName name="_xlnm.Print_Titles" localSheetId="22">BEAVER!$1:$2</definedName>
    <definedName name="_xlnm.Print_Titles" localSheetId="15">BUFFALO!$1:$2</definedName>
    <definedName name="_xlnm.Print_Titles" localSheetId="19">DRIFTWOOD!$1:$2</definedName>
    <definedName name="_xlnm.Print_Titles" localSheetId="18">FRENCHMAN!$1:$2</definedName>
    <definedName name="_xlnm.Print_Titles" localSheetId="1">INPUT!$1:$1</definedName>
    <definedName name="_xlnm.Print_Titles" localSheetId="25">MAINSTEM!$1:$2</definedName>
    <definedName name="_xlnm.Print_Titles" localSheetId="21">'MEDICINE CREEK'!$1:$2</definedName>
    <definedName name="_xlnm.Print_Titles" localSheetId="13">'NORTH FORK'!$1:$2</definedName>
    <definedName name="_xlnm.Print_Titles" localSheetId="24">'PRAIRIE DOG'!$1:$2</definedName>
    <definedName name="_xlnm.Print_Titles" localSheetId="20">'RED WILLOW'!$1:$2</definedName>
    <definedName name="_xlnm.Print_Titles" localSheetId="16">ROCK!$1:$2</definedName>
    <definedName name="_xlnm.Print_Titles" localSheetId="23">SAPPA!$1:$2</definedName>
    <definedName name="_xlnm.Print_Titles" localSheetId="17">'SOUTH FORK'!$1:$2</definedName>
    <definedName name="PumperCUPercent1">INPUT!$C$150</definedName>
    <definedName name="PumperCUPercent2">INPUT!$D$150</definedName>
    <definedName name="PumperCUPercent3">INPUT!$E$150</definedName>
    <definedName name="PumperCUPercent4">INPUT!$F$150</definedName>
    <definedName name="PumperCUPercent5">INPUT!$G$150</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30" i="41" l="1"/>
  <c r="F67" i="39" l="1"/>
  <c r="G66" i="41" l="1"/>
  <c r="G212" i="41" l="1"/>
  <c r="G217" i="41" l="1"/>
  <c r="G219" i="41"/>
  <c r="Z29" i="57" l="1"/>
  <c r="Z30" i="57" s="1"/>
  <c r="AA29" i="57"/>
  <c r="AA30" i="57" s="1"/>
  <c r="AB29" i="57"/>
  <c r="AB30" i="57" s="1"/>
  <c r="AC29" i="57"/>
  <c r="AC30" i="57" s="1"/>
  <c r="Z31" i="57"/>
  <c r="AA31" i="57"/>
  <c r="AB31" i="57"/>
  <c r="AC31" i="57"/>
  <c r="Z32" i="57" l="1"/>
  <c r="AA32" i="57"/>
  <c r="AB32" i="57"/>
  <c r="AC32" i="57"/>
  <c r="W32" i="57" l="1"/>
  <c r="V32" i="57"/>
  <c r="U32" i="57"/>
  <c r="T32" i="57"/>
  <c r="W31" i="57"/>
  <c r="V31" i="57"/>
  <c r="U31" i="57"/>
  <c r="T31" i="57"/>
  <c r="W29" i="57"/>
  <c r="W30" i="57" s="1"/>
  <c r="V29" i="57"/>
  <c r="V30" i="57" s="1"/>
  <c r="U29" i="57"/>
  <c r="U30" i="57" s="1"/>
  <c r="T29" i="57"/>
  <c r="T30" i="57" s="1"/>
  <c r="F212" i="41"/>
  <c r="B9" i="29" l="1"/>
  <c r="E259" i="41"/>
  <c r="E257" i="41"/>
  <c r="E255" i="41"/>
  <c r="E253" i="41"/>
  <c r="E251" i="41"/>
  <c r="E249" i="41"/>
  <c r="E245" i="41"/>
  <c r="E243" i="41"/>
  <c r="E240" i="41"/>
  <c r="E239" i="41"/>
  <c r="C239" i="41"/>
  <c r="D239" i="41"/>
  <c r="F239" i="41"/>
  <c r="C240" i="41"/>
  <c r="D240" i="41"/>
  <c r="F240" i="41"/>
  <c r="C241" i="41"/>
  <c r="C242" i="41"/>
  <c r="D242" i="41"/>
  <c r="E242" i="41"/>
  <c r="F242" i="41"/>
  <c r="C243" i="41"/>
  <c r="D243" i="41"/>
  <c r="F243" i="41"/>
  <c r="C245" i="41"/>
  <c r="D245" i="41"/>
  <c r="F245" i="41"/>
  <c r="C246" i="41"/>
  <c r="D246" i="41"/>
  <c r="C247" i="41"/>
  <c r="D247" i="41"/>
  <c r="E247" i="41"/>
  <c r="F247" i="41"/>
  <c r="C249" i="41"/>
  <c r="D249" i="41"/>
  <c r="F249" i="41"/>
  <c r="C251" i="41"/>
  <c r="D251" i="41"/>
  <c r="F251" i="41"/>
  <c r="C253" i="41"/>
  <c r="D253" i="41"/>
  <c r="F253" i="41"/>
  <c r="C255" i="41"/>
  <c r="D255" i="41"/>
  <c r="F255" i="41"/>
  <c r="C257" i="41"/>
  <c r="D257" i="41"/>
  <c r="F257" i="41"/>
  <c r="C259" i="41"/>
  <c r="D259" i="41"/>
  <c r="F259" i="41"/>
  <c r="D41" i="63"/>
  <c r="D40" i="63"/>
  <c r="D42" i="63"/>
  <c r="E42" i="63" s="1"/>
  <c r="E41" i="63"/>
  <c r="E40" i="63"/>
  <c r="M13" i="63"/>
  <c r="J13" i="63"/>
  <c r="G13" i="63"/>
  <c r="D13" i="63"/>
  <c r="M12" i="63"/>
  <c r="J12" i="63"/>
  <c r="G12" i="63"/>
  <c r="D12" i="63"/>
  <c r="M11" i="63"/>
  <c r="J11" i="63"/>
  <c r="G11" i="63"/>
  <c r="D11" i="63"/>
  <c r="M10" i="63"/>
  <c r="J10" i="63"/>
  <c r="G10" i="63"/>
  <c r="D10" i="63"/>
  <c r="M9" i="63"/>
  <c r="J9" i="63"/>
  <c r="G9" i="63"/>
  <c r="D9" i="63"/>
  <c r="M8" i="63"/>
  <c r="J8" i="63"/>
  <c r="G8" i="63"/>
  <c r="D8" i="63"/>
  <c r="M7" i="63"/>
  <c r="J7" i="63"/>
  <c r="G7" i="63"/>
  <c r="D7" i="63"/>
  <c r="M6" i="63"/>
  <c r="J6" i="63"/>
  <c r="G6" i="63"/>
  <c r="D6" i="63"/>
  <c r="Q32" i="57" l="1"/>
  <c r="P32" i="57"/>
  <c r="O32" i="57"/>
  <c r="N32" i="57"/>
  <c r="K32" i="57"/>
  <c r="J32" i="57"/>
  <c r="I32" i="57"/>
  <c r="H32" i="57"/>
  <c r="E32" i="57"/>
  <c r="D32" i="57"/>
  <c r="C32" i="57"/>
  <c r="B32" i="57"/>
  <c r="Q31" i="57"/>
  <c r="P31" i="57"/>
  <c r="O31" i="57"/>
  <c r="N31" i="57"/>
  <c r="K31" i="57"/>
  <c r="J31" i="57"/>
  <c r="I31" i="57"/>
  <c r="H31" i="57"/>
  <c r="E31" i="57"/>
  <c r="D24" i="54" s="1"/>
  <c r="D31" i="57"/>
  <c r="C31" i="57"/>
  <c r="B31" i="57"/>
  <c r="Q29" i="57"/>
  <c r="Q30" i="57" s="1"/>
  <c r="P29" i="57"/>
  <c r="P30" i="57" s="1"/>
  <c r="O29" i="57"/>
  <c r="O30" i="57" s="1"/>
  <c r="N29" i="57"/>
  <c r="N30" i="57" s="1"/>
  <c r="K29" i="57"/>
  <c r="K30" i="57" s="1"/>
  <c r="J29" i="57"/>
  <c r="J30" i="57" s="1"/>
  <c r="I29" i="57"/>
  <c r="I30" i="57" s="1"/>
  <c r="H29" i="57"/>
  <c r="H30" i="57" s="1"/>
  <c r="E29" i="57"/>
  <c r="E30" i="57" s="1"/>
  <c r="D29" i="57"/>
  <c r="D30" i="57" s="1"/>
  <c r="C29" i="57"/>
  <c r="C30" i="57" s="1"/>
  <c r="B29" i="57"/>
  <c r="B30" i="57" s="1"/>
  <c r="C9" i="35"/>
  <c r="D9" i="35"/>
  <c r="E9" i="35"/>
  <c r="F9" i="35"/>
  <c r="C9" i="29"/>
  <c r="D9" i="29"/>
  <c r="E9" i="29"/>
  <c r="F9" i="29"/>
  <c r="B9" i="27"/>
  <c r="C9" i="27"/>
  <c r="D9" i="27"/>
  <c r="E9" i="27"/>
  <c r="F9" i="27"/>
  <c r="H158" i="61"/>
  <c r="D158" i="61"/>
  <c r="F158" i="61" s="1"/>
  <c r="I158" i="61" s="1"/>
  <c r="K158" i="61" s="1"/>
  <c r="L158" i="61" s="1"/>
  <c r="H157" i="61"/>
  <c r="D157" i="61"/>
  <c r="F157" i="61" s="1"/>
  <c r="I157" i="61" s="1"/>
  <c r="K157" i="61" s="1"/>
  <c r="L157" i="61" s="1"/>
  <c r="H156" i="61"/>
  <c r="D156" i="61"/>
  <c r="F156" i="61" s="1"/>
  <c r="I156" i="61" s="1"/>
  <c r="K156" i="61" s="1"/>
  <c r="L156" i="61" s="1"/>
  <c r="L155" i="61"/>
  <c r="H155" i="61"/>
  <c r="D155" i="61"/>
  <c r="F155" i="61" s="1"/>
  <c r="I155" i="61" s="1"/>
  <c r="K155" i="61" s="1"/>
  <c r="H154" i="61"/>
  <c r="D154" i="61"/>
  <c r="F154" i="61" s="1"/>
  <c r="I154" i="61" s="1"/>
  <c r="K154" i="61" s="1"/>
  <c r="H153" i="61"/>
  <c r="D153" i="61"/>
  <c r="F153" i="61" s="1"/>
  <c r="L152" i="61"/>
  <c r="H152" i="61"/>
  <c r="D152" i="61"/>
  <c r="F152" i="61" s="1"/>
  <c r="I152" i="61" s="1"/>
  <c r="K152" i="61" s="1"/>
  <c r="H151" i="61"/>
  <c r="D151" i="61"/>
  <c r="F151" i="61" s="1"/>
  <c r="I151" i="61" s="1"/>
  <c r="K151" i="61" s="1"/>
  <c r="L150" i="61"/>
  <c r="H150" i="61"/>
  <c r="D150" i="61"/>
  <c r="F150" i="61" s="1"/>
  <c r="I150" i="61" s="1"/>
  <c r="K150" i="61" s="1"/>
  <c r="H149" i="61"/>
  <c r="D149" i="61"/>
  <c r="F149" i="61" s="1"/>
  <c r="I149" i="61" s="1"/>
  <c r="K149" i="61" s="1"/>
  <c r="L148" i="61"/>
  <c r="H148" i="61"/>
  <c r="D148" i="61"/>
  <c r="F148" i="61" s="1"/>
  <c r="I148" i="61" s="1"/>
  <c r="K148" i="61" s="1"/>
  <c r="H147" i="61"/>
  <c r="D147" i="61"/>
  <c r="F147" i="61" s="1"/>
  <c r="I147" i="61" s="1"/>
  <c r="K147" i="61" s="1"/>
  <c r="H146" i="61"/>
  <c r="D146" i="61"/>
  <c r="F146" i="61" s="1"/>
  <c r="I146" i="61" s="1"/>
  <c r="K146" i="61" s="1"/>
  <c r="L146" i="61" s="1"/>
  <c r="H145" i="61"/>
  <c r="D145" i="61"/>
  <c r="F145" i="61" s="1"/>
  <c r="L144" i="61"/>
  <c r="H144" i="61"/>
  <c r="D144" i="61"/>
  <c r="F144" i="61" s="1"/>
  <c r="I144" i="61" s="1"/>
  <c r="K144" i="61" s="1"/>
  <c r="H143" i="61"/>
  <c r="D143" i="61"/>
  <c r="F143" i="61" s="1"/>
  <c r="L142" i="61"/>
  <c r="H142" i="61"/>
  <c r="D142" i="61"/>
  <c r="F142" i="61" s="1"/>
  <c r="I142" i="61" s="1"/>
  <c r="K142" i="61" s="1"/>
  <c r="H141" i="61"/>
  <c r="D141" i="61"/>
  <c r="F141" i="61" s="1"/>
  <c r="I141" i="61" s="1"/>
  <c r="K141" i="61" s="1"/>
  <c r="L140" i="61"/>
  <c r="H140" i="61"/>
  <c r="D140" i="61"/>
  <c r="F140" i="61" s="1"/>
  <c r="I140" i="61" s="1"/>
  <c r="K140" i="61" s="1"/>
  <c r="H139" i="61"/>
  <c r="D139" i="61"/>
  <c r="F139" i="61" s="1"/>
  <c r="I139" i="61" s="1"/>
  <c r="K139" i="61" s="1"/>
  <c r="L138" i="61"/>
  <c r="H138" i="61"/>
  <c r="D138" i="61"/>
  <c r="F138" i="61" s="1"/>
  <c r="I138" i="61" s="1"/>
  <c r="K138" i="61" s="1"/>
  <c r="L137" i="61"/>
  <c r="H137" i="61"/>
  <c r="D137" i="61"/>
  <c r="F137" i="61" s="1"/>
  <c r="I137" i="61" s="1"/>
  <c r="K137" i="61" s="1"/>
  <c r="H136" i="61"/>
  <c r="D136" i="61"/>
  <c r="F136" i="61" s="1"/>
  <c r="H135" i="61"/>
  <c r="D135" i="61"/>
  <c r="F135" i="61" s="1"/>
  <c r="I135" i="61" s="1"/>
  <c r="K135" i="61" s="1"/>
  <c r="H118" i="61"/>
  <c r="D118" i="61"/>
  <c r="F118" i="61" s="1"/>
  <c r="I118" i="61" s="1"/>
  <c r="K118" i="61" s="1"/>
  <c r="L118" i="61" s="1"/>
  <c r="H117" i="61"/>
  <c r="D117" i="61"/>
  <c r="F117" i="61" s="1"/>
  <c r="H116" i="61"/>
  <c r="D116" i="61"/>
  <c r="F116" i="61" s="1"/>
  <c r="H115" i="61"/>
  <c r="D115" i="61"/>
  <c r="F115" i="61" s="1"/>
  <c r="I115" i="61" s="1"/>
  <c r="K115" i="61" s="1"/>
  <c r="L115" i="61" s="1"/>
  <c r="H114" i="61"/>
  <c r="D114" i="61"/>
  <c r="F114" i="61" s="1"/>
  <c r="H113" i="61"/>
  <c r="D113" i="61"/>
  <c r="F113" i="61" s="1"/>
  <c r="I113" i="61" s="1"/>
  <c r="K113" i="61" s="1"/>
  <c r="L113" i="61" s="1"/>
  <c r="E248" i="41" s="1"/>
  <c r="L112" i="61"/>
  <c r="H112" i="61"/>
  <c r="D112" i="61"/>
  <c r="F112" i="61" s="1"/>
  <c r="I112" i="61" s="1"/>
  <c r="K112" i="61" s="1"/>
  <c r="H111" i="61"/>
  <c r="D111" i="61"/>
  <c r="F111" i="61" s="1"/>
  <c r="I111" i="61" s="1"/>
  <c r="K111" i="61" s="1"/>
  <c r="L110" i="61"/>
  <c r="H110" i="61"/>
  <c r="D110" i="61"/>
  <c r="F110" i="61" s="1"/>
  <c r="I110" i="61" s="1"/>
  <c r="K110" i="61" s="1"/>
  <c r="H109" i="61"/>
  <c r="D109" i="61"/>
  <c r="F109" i="61" s="1"/>
  <c r="I109" i="61" s="1"/>
  <c r="K109" i="61" s="1"/>
  <c r="H108" i="61"/>
  <c r="D108" i="61"/>
  <c r="F108" i="61" s="1"/>
  <c r="I108" i="61" s="1"/>
  <c r="K108" i="61" s="1"/>
  <c r="L108" i="61" s="1"/>
  <c r="H107" i="61"/>
  <c r="D107" i="61"/>
  <c r="F107" i="61" s="1"/>
  <c r="I107" i="61" s="1"/>
  <c r="K107" i="61" s="1"/>
  <c r="L106" i="61"/>
  <c r="H106" i="61"/>
  <c r="D106" i="61"/>
  <c r="F106" i="61" s="1"/>
  <c r="I106" i="61" s="1"/>
  <c r="K106" i="61" s="1"/>
  <c r="H105" i="61"/>
  <c r="D105" i="61"/>
  <c r="F105" i="61" s="1"/>
  <c r="I105" i="61" s="1"/>
  <c r="K105" i="61" s="1"/>
  <c r="H104" i="61"/>
  <c r="D104" i="61"/>
  <c r="F104" i="61" s="1"/>
  <c r="I104" i="61" s="1"/>
  <c r="K104" i="61" s="1"/>
  <c r="L104" i="61" s="1"/>
  <c r="H103" i="61"/>
  <c r="D103" i="61"/>
  <c r="F103" i="61" s="1"/>
  <c r="H102" i="61"/>
  <c r="D102" i="61"/>
  <c r="F102" i="61" s="1"/>
  <c r="H101" i="61"/>
  <c r="D101" i="61"/>
  <c r="F101" i="61" s="1"/>
  <c r="I101" i="61" s="1"/>
  <c r="K101" i="61" s="1"/>
  <c r="L100" i="61"/>
  <c r="H100" i="61"/>
  <c r="D100" i="61"/>
  <c r="F100" i="61" s="1"/>
  <c r="H99" i="61"/>
  <c r="D99" i="61"/>
  <c r="F99" i="61" s="1"/>
  <c r="I99" i="61" s="1"/>
  <c r="K99" i="61" s="1"/>
  <c r="L98" i="61"/>
  <c r="H98" i="61"/>
  <c r="D98" i="61"/>
  <c r="F98" i="61" s="1"/>
  <c r="L97" i="61"/>
  <c r="H97" i="61"/>
  <c r="D97" i="61"/>
  <c r="F97" i="61" s="1"/>
  <c r="I97" i="61" s="1"/>
  <c r="K97" i="61" s="1"/>
  <c r="H96" i="61"/>
  <c r="D96" i="61"/>
  <c r="F96" i="61" s="1"/>
  <c r="H95" i="61"/>
  <c r="D95" i="61"/>
  <c r="F95" i="61" s="1"/>
  <c r="H78" i="61"/>
  <c r="D78" i="61"/>
  <c r="F78" i="61" s="1"/>
  <c r="I78" i="61" s="1"/>
  <c r="K78" i="61" s="1"/>
  <c r="L78" i="61" s="1"/>
  <c r="H77" i="61"/>
  <c r="D77" i="61"/>
  <c r="F77" i="61" s="1"/>
  <c r="I77" i="61" s="1"/>
  <c r="K77" i="61" s="1"/>
  <c r="L77" i="61" s="1"/>
  <c r="H76" i="61"/>
  <c r="D76" i="61"/>
  <c r="F76" i="61" s="1"/>
  <c r="I76" i="61" s="1"/>
  <c r="K76" i="61" s="1"/>
  <c r="L76" i="61" s="1"/>
  <c r="L75" i="61"/>
  <c r="H75" i="61"/>
  <c r="D75" i="61"/>
  <c r="F75" i="61" s="1"/>
  <c r="I75" i="61" s="1"/>
  <c r="K75" i="61" s="1"/>
  <c r="H74" i="61"/>
  <c r="D74" i="61"/>
  <c r="F74" i="61" s="1"/>
  <c r="I74" i="61" s="1"/>
  <c r="K74" i="61" s="1"/>
  <c r="L73" i="61"/>
  <c r="D248" i="41" s="1"/>
  <c r="H73" i="61"/>
  <c r="D73" i="61"/>
  <c r="F73" i="61" s="1"/>
  <c r="I73" i="61" s="1"/>
  <c r="K73" i="61" s="1"/>
  <c r="L72" i="61"/>
  <c r="H72" i="61"/>
  <c r="D72" i="61"/>
  <c r="F72" i="61" s="1"/>
  <c r="H71" i="61"/>
  <c r="D71" i="61"/>
  <c r="F71" i="61" s="1"/>
  <c r="L70" i="61"/>
  <c r="H70" i="61"/>
  <c r="D70" i="61"/>
  <c r="F70" i="61" s="1"/>
  <c r="H69" i="61"/>
  <c r="D69" i="61"/>
  <c r="F69" i="61" s="1"/>
  <c r="I69" i="61" s="1"/>
  <c r="K69" i="61" s="1"/>
  <c r="L68" i="61"/>
  <c r="H68" i="61"/>
  <c r="D68" i="61"/>
  <c r="F68" i="61" s="1"/>
  <c r="I68" i="61" s="1"/>
  <c r="K68" i="61" s="1"/>
  <c r="H67" i="61"/>
  <c r="D67" i="61"/>
  <c r="F67" i="61" s="1"/>
  <c r="L66" i="61"/>
  <c r="H66" i="61"/>
  <c r="D66" i="61"/>
  <c r="F66" i="61" s="1"/>
  <c r="I66" i="61" s="1"/>
  <c r="K66" i="61" s="1"/>
  <c r="H65" i="61"/>
  <c r="D65" i="61"/>
  <c r="F65" i="61" s="1"/>
  <c r="L64" i="61"/>
  <c r="H64" i="61"/>
  <c r="D64" i="61"/>
  <c r="F64" i="61" s="1"/>
  <c r="I64" i="61" s="1"/>
  <c r="K64" i="61" s="1"/>
  <c r="H63" i="61"/>
  <c r="D63" i="61"/>
  <c r="F63" i="61" s="1"/>
  <c r="I63" i="61" s="1"/>
  <c r="K63" i="61" s="1"/>
  <c r="L62" i="61"/>
  <c r="H62" i="61"/>
  <c r="D62" i="61"/>
  <c r="F62" i="61" s="1"/>
  <c r="I62" i="61" s="1"/>
  <c r="K62" i="61" s="1"/>
  <c r="L61" i="61"/>
  <c r="H61" i="61"/>
  <c r="D61" i="61"/>
  <c r="F61" i="61" s="1"/>
  <c r="I61" i="61" s="1"/>
  <c r="K61" i="61" s="1"/>
  <c r="L60" i="61"/>
  <c r="H60" i="61"/>
  <c r="D60" i="61"/>
  <c r="F60" i="61" s="1"/>
  <c r="I60" i="61" s="1"/>
  <c r="K60" i="61" s="1"/>
  <c r="H59" i="61"/>
  <c r="D59" i="61"/>
  <c r="F59" i="61" s="1"/>
  <c r="I59" i="61" s="1"/>
  <c r="K59" i="61" s="1"/>
  <c r="L58" i="61"/>
  <c r="H58" i="61"/>
  <c r="D58" i="61"/>
  <c r="F58" i="61" s="1"/>
  <c r="L57" i="61"/>
  <c r="H57" i="61"/>
  <c r="D57" i="61"/>
  <c r="F57" i="61" s="1"/>
  <c r="I57" i="61" s="1"/>
  <c r="K57" i="61" s="1"/>
  <c r="L56" i="61"/>
  <c r="H56" i="61"/>
  <c r="D56" i="61"/>
  <c r="F56" i="61" s="1"/>
  <c r="I56" i="61" s="1"/>
  <c r="K56" i="61" s="1"/>
  <c r="H55" i="61"/>
  <c r="D55" i="61"/>
  <c r="F55" i="61" s="1"/>
  <c r="I55" i="61" s="1"/>
  <c r="K55" i="61" s="1"/>
  <c r="H38" i="61"/>
  <c r="D38" i="61"/>
  <c r="F38" i="61" s="1"/>
  <c r="I38" i="61" s="1"/>
  <c r="K38" i="61" s="1"/>
  <c r="L38" i="61" s="1"/>
  <c r="H37" i="61"/>
  <c r="D37" i="61"/>
  <c r="F37" i="61" s="1"/>
  <c r="H36" i="61"/>
  <c r="D36" i="61"/>
  <c r="F36" i="61" s="1"/>
  <c r="L35" i="61"/>
  <c r="H35" i="61"/>
  <c r="D35" i="61"/>
  <c r="F35" i="61" s="1"/>
  <c r="H34" i="61"/>
  <c r="D34" i="61"/>
  <c r="F34" i="61" s="1"/>
  <c r="I34" i="61" s="1"/>
  <c r="K34" i="61" s="1"/>
  <c r="H33" i="61"/>
  <c r="D33" i="61"/>
  <c r="F33" i="61" s="1"/>
  <c r="I33" i="61" s="1"/>
  <c r="K33" i="61" s="1"/>
  <c r="L33" i="61" s="1"/>
  <c r="C248" i="41" s="1"/>
  <c r="L32" i="61"/>
  <c r="H32" i="61"/>
  <c r="D32" i="61"/>
  <c r="F32" i="61" s="1"/>
  <c r="H31" i="61"/>
  <c r="D31" i="61"/>
  <c r="F31" i="61" s="1"/>
  <c r="L30" i="61"/>
  <c r="H30" i="61"/>
  <c r="D30" i="61"/>
  <c r="F30" i="61" s="1"/>
  <c r="H29" i="61"/>
  <c r="D29" i="61"/>
  <c r="F29" i="61" s="1"/>
  <c r="I29" i="61" s="1"/>
  <c r="K29" i="61" s="1"/>
  <c r="L28" i="61"/>
  <c r="H28" i="61"/>
  <c r="D28" i="61"/>
  <c r="F28" i="61" s="1"/>
  <c r="I28" i="61" s="1"/>
  <c r="K28" i="61" s="1"/>
  <c r="H27" i="61"/>
  <c r="D27" i="61"/>
  <c r="F27" i="61" s="1"/>
  <c r="L26" i="61"/>
  <c r="H26" i="61"/>
  <c r="D26" i="61"/>
  <c r="F26" i="61" s="1"/>
  <c r="I26" i="61" s="1"/>
  <c r="K26" i="61" s="1"/>
  <c r="H25" i="61"/>
  <c r="D25" i="61"/>
  <c r="F25" i="61" s="1"/>
  <c r="L24" i="61"/>
  <c r="H24" i="61"/>
  <c r="D24" i="61"/>
  <c r="F24" i="61" s="1"/>
  <c r="I24" i="61" s="1"/>
  <c r="K24" i="61" s="1"/>
  <c r="H23" i="61"/>
  <c r="D23" i="61"/>
  <c r="F23" i="61" s="1"/>
  <c r="I23" i="61" s="1"/>
  <c r="K23" i="61" s="1"/>
  <c r="L22" i="61"/>
  <c r="H22" i="61"/>
  <c r="D22" i="61"/>
  <c r="F22" i="61" s="1"/>
  <c r="I22" i="61" s="1"/>
  <c r="K22" i="61" s="1"/>
  <c r="L21" i="61"/>
  <c r="H21" i="61"/>
  <c r="D21" i="61"/>
  <c r="F21" i="61" s="1"/>
  <c r="I21" i="61" s="1"/>
  <c r="K21" i="61" s="1"/>
  <c r="L20" i="61"/>
  <c r="H20" i="61"/>
  <c r="D20" i="61"/>
  <c r="F20" i="61" s="1"/>
  <c r="I20" i="61" s="1"/>
  <c r="K20" i="61" s="1"/>
  <c r="H19" i="61"/>
  <c r="D19" i="61"/>
  <c r="F19" i="61" s="1"/>
  <c r="I19" i="61" s="1"/>
  <c r="K19" i="61" s="1"/>
  <c r="L18" i="61"/>
  <c r="H18" i="61"/>
  <c r="D18" i="61"/>
  <c r="F18" i="61" s="1"/>
  <c r="L17" i="61"/>
  <c r="H17" i="61"/>
  <c r="D17" i="61"/>
  <c r="F17" i="61" s="1"/>
  <c r="I17" i="61" s="1"/>
  <c r="K17" i="61" s="1"/>
  <c r="L16" i="61"/>
  <c r="H16" i="61"/>
  <c r="D16" i="61"/>
  <c r="F16" i="61" s="1"/>
  <c r="I16" i="61" s="1"/>
  <c r="K16" i="61" s="1"/>
  <c r="L15" i="61"/>
  <c r="H15" i="61"/>
  <c r="D15" i="61"/>
  <c r="F15" i="61" s="1"/>
  <c r="I15" i="61" s="1"/>
  <c r="K15" i="61" s="1"/>
  <c r="AB19" i="69"/>
  <c r="G20" i="69"/>
  <c r="R20" i="69"/>
  <c r="Y20" i="69"/>
  <c r="AB20" i="69"/>
  <c r="E212" i="41"/>
  <c r="D154" i="41"/>
  <c r="D84" i="41"/>
  <c r="E84" i="41" s="1"/>
  <c r="F84" i="41" s="1"/>
  <c r="L99" i="61" l="1"/>
  <c r="L55" i="61"/>
  <c r="D241" i="41"/>
  <c r="L105" i="61"/>
  <c r="E252" i="41"/>
  <c r="L34" i="61"/>
  <c r="C260" i="41"/>
  <c r="L69" i="61"/>
  <c r="D256" i="41"/>
  <c r="I95" i="61"/>
  <c r="K95" i="61" s="1"/>
  <c r="I100" i="61"/>
  <c r="K100" i="61" s="1"/>
  <c r="E244" i="41" s="1"/>
  <c r="I116" i="61"/>
  <c r="K116" i="61" s="1"/>
  <c r="L116" i="61" s="1"/>
  <c r="F14" i="47"/>
  <c r="D27" i="54"/>
  <c r="I14" i="46"/>
  <c r="I5" i="46"/>
  <c r="L19" i="61"/>
  <c r="C244" i="41"/>
  <c r="L74" i="61"/>
  <c r="D260" i="41"/>
  <c r="L111" i="61"/>
  <c r="E258" i="41"/>
  <c r="L29" i="61"/>
  <c r="I25" i="61"/>
  <c r="K25" i="61" s="1"/>
  <c r="I30" i="61"/>
  <c r="K30" i="61" s="1"/>
  <c r="C256" i="41" s="1"/>
  <c r="I35" i="61"/>
  <c r="K35" i="61" s="1"/>
  <c r="I65" i="61"/>
  <c r="K65" i="61" s="1"/>
  <c r="I70" i="61"/>
  <c r="K70" i="61" s="1"/>
  <c r="I96" i="61"/>
  <c r="K96" i="61" s="1"/>
  <c r="L96" i="61" s="1"/>
  <c r="I117" i="61"/>
  <c r="K117" i="61" s="1"/>
  <c r="L117" i="61" s="1"/>
  <c r="I143" i="61"/>
  <c r="K143" i="61" s="1"/>
  <c r="F250" i="41" s="1"/>
  <c r="I153" i="61"/>
  <c r="K153" i="61" s="1"/>
  <c r="L153" i="61" s="1"/>
  <c r="F248" i="41" s="1"/>
  <c r="L107" i="61"/>
  <c r="E254" i="41"/>
  <c r="L63" i="61"/>
  <c r="D250" i="41"/>
  <c r="D28" i="54"/>
  <c r="F15" i="47"/>
  <c r="I15" i="46"/>
  <c r="I6" i="46"/>
  <c r="I31" i="61"/>
  <c r="K31" i="61" s="1"/>
  <c r="I36" i="61"/>
  <c r="K36" i="61" s="1"/>
  <c r="L36" i="61" s="1"/>
  <c r="I71" i="61"/>
  <c r="K71" i="61" s="1"/>
  <c r="I102" i="61"/>
  <c r="K102" i="61" s="1"/>
  <c r="L102" i="61" s="1"/>
  <c r="L23" i="61"/>
  <c r="C250" i="41"/>
  <c r="L59" i="61"/>
  <c r="D244" i="41"/>
  <c r="L101" i="61"/>
  <c r="I18" i="61"/>
  <c r="K18" i="61" s="1"/>
  <c r="I27" i="61"/>
  <c r="K27" i="61" s="1"/>
  <c r="I32" i="61"/>
  <c r="K32" i="61" s="1"/>
  <c r="I37" i="61"/>
  <c r="K37" i="61" s="1"/>
  <c r="L37" i="61" s="1"/>
  <c r="I58" i="61"/>
  <c r="K58" i="61" s="1"/>
  <c r="I67" i="61"/>
  <c r="K67" i="61" s="1"/>
  <c r="I72" i="61"/>
  <c r="K72" i="61" s="1"/>
  <c r="I98" i="61"/>
  <c r="K98" i="61" s="1"/>
  <c r="I103" i="61"/>
  <c r="K103" i="61" s="1"/>
  <c r="I145" i="61"/>
  <c r="K145" i="61" s="1"/>
  <c r="L145" i="61" s="1"/>
  <c r="L109" i="61"/>
  <c r="E256" i="41"/>
  <c r="I114" i="61"/>
  <c r="K114" i="61" s="1"/>
  <c r="I136" i="61"/>
  <c r="K136" i="61" s="1"/>
  <c r="L136" i="61" s="1"/>
  <c r="L151" i="61"/>
  <c r="F258" i="41"/>
  <c r="L143" i="61"/>
  <c r="L141" i="61"/>
  <c r="F246" i="41"/>
  <c r="L147" i="61"/>
  <c r="F254" i="41"/>
  <c r="L139" i="61"/>
  <c r="F244" i="41"/>
  <c r="L149" i="61"/>
  <c r="F256" i="41"/>
  <c r="L154" i="61"/>
  <c r="F260" i="41"/>
  <c r="L135" i="61"/>
  <c r="F252" i="41"/>
  <c r="D8" i="54"/>
  <c r="G8" i="48"/>
  <c r="L95" i="61" l="1"/>
  <c r="E241" i="41"/>
  <c r="L31" i="61"/>
  <c r="C258" i="41"/>
  <c r="L71" i="61"/>
  <c r="D258" i="41"/>
  <c r="L114" i="61"/>
  <c r="E260" i="41"/>
  <c r="E246" i="41"/>
  <c r="L65" i="61"/>
  <c r="D252" i="41"/>
  <c r="L67" i="61"/>
  <c r="D254" i="41"/>
  <c r="L27" i="61"/>
  <c r="C254" i="41"/>
  <c r="L103" i="61"/>
  <c r="E250" i="41"/>
  <c r="L25" i="61"/>
  <c r="C252" i="41"/>
  <c r="F241" i="41"/>
  <c r="G229" i="41"/>
  <c r="G227" i="41"/>
  <c r="G226" i="41"/>
  <c r="G225" i="41"/>
  <c r="G224" i="41"/>
  <c r="G223" i="41"/>
  <c r="G222" i="41"/>
  <c r="G221" i="41"/>
  <c r="G220" i="41"/>
  <c r="G218" i="41"/>
  <c r="G216" i="41"/>
  <c r="G215" i="41"/>
  <c r="F216" i="41" l="1"/>
  <c r="G239" i="41" l="1"/>
  <c r="G240" i="41"/>
  <c r="G243" i="41"/>
  <c r="G245" i="41"/>
  <c r="G247" i="41"/>
  <c r="G249" i="41"/>
  <c r="G251" i="41"/>
  <c r="G253" i="41"/>
  <c r="G255" i="41"/>
  <c r="G257" i="41"/>
  <c r="G259" i="41"/>
  <c r="G60" i="41" l="1"/>
  <c r="G58" i="41"/>
  <c r="G57" i="41"/>
  <c r="G56" i="41"/>
  <c r="G55" i="41"/>
  <c r="G54" i="41"/>
  <c r="G53" i="41"/>
  <c r="G52" i="41"/>
  <c r="G51" i="41"/>
  <c r="G50" i="41"/>
  <c r="G49" i="41"/>
  <c r="G48" i="41"/>
  <c r="G47" i="41"/>
  <c r="G44" i="41"/>
  <c r="G42" i="41"/>
  <c r="G39" i="41"/>
  <c r="G38" i="41"/>
  <c r="G37" i="41"/>
  <c r="G36" i="41"/>
  <c r="G35" i="41"/>
  <c r="G34" i="41"/>
  <c r="G33" i="41"/>
  <c r="G32" i="41"/>
  <c r="G31" i="41"/>
  <c r="G30" i="41"/>
  <c r="G29" i="41"/>
  <c r="G28" i="41"/>
  <c r="G27" i="41"/>
  <c r="G26" i="41"/>
  <c r="G25" i="41"/>
  <c r="G24" i="41"/>
  <c r="G23" i="41"/>
  <c r="G22" i="41"/>
  <c r="G21" i="41"/>
  <c r="G20" i="41"/>
  <c r="G19" i="41"/>
  <c r="G18" i="41"/>
  <c r="G17" i="41"/>
  <c r="G16" i="41"/>
  <c r="G15" i="41"/>
  <c r="G14" i="41"/>
  <c r="G13" i="41"/>
  <c r="G12" i="41"/>
  <c r="G11" i="41"/>
  <c r="G10" i="41"/>
  <c r="G9" i="41"/>
  <c r="G8" i="41"/>
  <c r="G7" i="41"/>
  <c r="G6" i="41"/>
  <c r="G5" i="41"/>
  <c r="G4" i="41"/>
  <c r="G267" i="41"/>
  <c r="K49" i="50" l="1"/>
  <c r="K56" i="50" s="1"/>
  <c r="K63" i="50" s="1"/>
  <c r="K70" i="50" s="1"/>
  <c r="K77" i="50" s="1"/>
  <c r="K43" i="50"/>
  <c r="K44" i="50" s="1"/>
  <c r="K50" i="50" l="1"/>
  <c r="K57" i="50" s="1"/>
  <c r="K64" i="50" s="1"/>
  <c r="K71" i="50" s="1"/>
  <c r="K78" i="50" s="1"/>
  <c r="K45" i="50"/>
  <c r="K51" i="50"/>
  <c r="K58" i="50" s="1"/>
  <c r="K65" i="50" s="1"/>
  <c r="K72" i="50" s="1"/>
  <c r="K79" i="50" s="1"/>
  <c r="P13" i="63"/>
  <c r="P12" i="63"/>
  <c r="P11" i="63"/>
  <c r="P10" i="63"/>
  <c r="P9" i="63"/>
  <c r="P8" i="63"/>
  <c r="P7" i="63"/>
  <c r="P6" i="63"/>
  <c r="G59" i="41"/>
  <c r="G61" i="41" s="1"/>
  <c r="G43" i="41"/>
  <c r="G41" i="41"/>
  <c r="G40" i="41"/>
  <c r="K46" i="50" l="1"/>
  <c r="K53" i="50" s="1"/>
  <c r="K60" i="50" s="1"/>
  <c r="K67" i="50" s="1"/>
  <c r="K74" i="50" s="1"/>
  <c r="K81" i="50" s="1"/>
  <c r="K52" i="50"/>
  <c r="K59" i="50" s="1"/>
  <c r="K66" i="50" s="1"/>
  <c r="K73" i="50" s="1"/>
  <c r="K80" i="50" s="1"/>
  <c r="D43" i="63"/>
  <c r="E43" i="63" s="1"/>
  <c r="G262" i="41" l="1"/>
  <c r="Y19" i="69"/>
  <c r="G19" i="69"/>
  <c r="G7" i="48" l="1"/>
  <c r="D7" i="54"/>
  <c r="F235" i="41"/>
  <c r="G235" i="41"/>
  <c r="C26" i="48" l="1"/>
  <c r="C27" i="48"/>
  <c r="M15" i="64" l="1"/>
  <c r="L15" i="64"/>
  <c r="K15" i="64"/>
  <c r="M10" i="64"/>
  <c r="L10" i="64"/>
  <c r="K10" i="64"/>
  <c r="J10" i="64"/>
  <c r="I10" i="64"/>
  <c r="M7" i="64"/>
  <c r="L7" i="64"/>
  <c r="K7" i="64"/>
  <c r="J7" i="64"/>
  <c r="I7" i="64"/>
  <c r="AB18" i="69" l="1"/>
  <c r="Y18" i="69"/>
  <c r="R18" i="69"/>
  <c r="G18" i="69"/>
  <c r="F13" i="47" l="1"/>
  <c r="I13" i="46"/>
  <c r="D26" i="54"/>
  <c r="G6" i="48"/>
  <c r="D6" i="54"/>
  <c r="H198" i="61"/>
  <c r="D198" i="61"/>
  <c r="F198" i="61" s="1"/>
  <c r="I198" i="61" s="1"/>
  <c r="K198" i="61" s="1"/>
  <c r="L198" i="61" s="1"/>
  <c r="H197" i="61"/>
  <c r="D197" i="61"/>
  <c r="F197" i="61" s="1"/>
  <c r="I197" i="61" s="1"/>
  <c r="K197" i="61" s="1"/>
  <c r="L197" i="61" s="1"/>
  <c r="G269" i="41" s="1"/>
  <c r="H196" i="61"/>
  <c r="D196" i="61"/>
  <c r="F196" i="61" s="1"/>
  <c r="H195" i="61"/>
  <c r="D195" i="61"/>
  <c r="F195" i="61" s="1"/>
  <c r="H194" i="61"/>
  <c r="D194" i="61"/>
  <c r="F194" i="61" s="1"/>
  <c r="H193" i="61"/>
  <c r="D193" i="61"/>
  <c r="F193" i="61" s="1"/>
  <c r="L192" i="61"/>
  <c r="H192" i="61"/>
  <c r="D192" i="61"/>
  <c r="F192" i="61" s="1"/>
  <c r="H191" i="61"/>
  <c r="D191" i="61"/>
  <c r="F191" i="61" s="1"/>
  <c r="L190" i="61"/>
  <c r="H190" i="61"/>
  <c r="D190" i="61"/>
  <c r="F190" i="61" s="1"/>
  <c r="H189" i="61"/>
  <c r="D189" i="61"/>
  <c r="F189" i="61" s="1"/>
  <c r="H188" i="61"/>
  <c r="D188" i="61"/>
  <c r="F188" i="61" s="1"/>
  <c r="I188" i="61" s="1"/>
  <c r="K188" i="61" s="1"/>
  <c r="L188" i="61" s="1"/>
  <c r="H187" i="61"/>
  <c r="D187" i="61"/>
  <c r="F187" i="61" s="1"/>
  <c r="I187" i="61" s="1"/>
  <c r="K187" i="61" s="1"/>
  <c r="H186" i="61"/>
  <c r="D186" i="61"/>
  <c r="F186" i="61" s="1"/>
  <c r="H185" i="61"/>
  <c r="D185" i="61"/>
  <c r="F185" i="61" s="1"/>
  <c r="H184" i="61"/>
  <c r="D184" i="61"/>
  <c r="F184" i="61" s="1"/>
  <c r="H183" i="61"/>
  <c r="D183" i="61"/>
  <c r="F183" i="61" s="1"/>
  <c r="H182" i="61"/>
  <c r="D182" i="61"/>
  <c r="F182" i="61" s="1"/>
  <c r="H181" i="61"/>
  <c r="D181" i="61"/>
  <c r="F181" i="61" s="1"/>
  <c r="H180" i="61"/>
  <c r="D180" i="61"/>
  <c r="F180" i="61" s="1"/>
  <c r="I180" i="61" s="1"/>
  <c r="K180" i="61" s="1"/>
  <c r="L180" i="61" s="1"/>
  <c r="H179" i="61"/>
  <c r="D179" i="61"/>
  <c r="F179" i="61" s="1"/>
  <c r="H178" i="61"/>
  <c r="D178" i="61"/>
  <c r="F178" i="61" s="1"/>
  <c r="H177" i="61"/>
  <c r="D177" i="61"/>
  <c r="F177" i="61" s="1"/>
  <c r="H176" i="61"/>
  <c r="D176" i="61"/>
  <c r="F176" i="61" s="1"/>
  <c r="H175" i="61"/>
  <c r="D175" i="61"/>
  <c r="F175" i="61" s="1"/>
  <c r="I177" i="61" l="1"/>
  <c r="K177" i="61" s="1"/>
  <c r="I186" i="61"/>
  <c r="K186" i="61" s="1"/>
  <c r="L186" i="61" s="1"/>
  <c r="I178" i="61"/>
  <c r="K178" i="61" s="1"/>
  <c r="L178" i="61" s="1"/>
  <c r="I184" i="61"/>
  <c r="K184" i="61" s="1"/>
  <c r="L184" i="61" s="1"/>
  <c r="I190" i="61"/>
  <c r="K190" i="61" s="1"/>
  <c r="I195" i="61"/>
  <c r="K195" i="61" s="1"/>
  <c r="L195" i="61" s="1"/>
  <c r="I179" i="61"/>
  <c r="K179" i="61" s="1"/>
  <c r="G244" i="41" s="1"/>
  <c r="I196" i="61"/>
  <c r="K196" i="61" s="1"/>
  <c r="L196" i="61" s="1"/>
  <c r="G264" i="41" s="1"/>
  <c r="L177" i="61"/>
  <c r="G242" i="41"/>
  <c r="I194" i="61"/>
  <c r="K194" i="61" s="1"/>
  <c r="G260" i="41" s="1"/>
  <c r="G254" i="41"/>
  <c r="I183" i="61"/>
  <c r="K183" i="61" s="1"/>
  <c r="L194" i="61"/>
  <c r="L187" i="61"/>
  <c r="I175" i="61"/>
  <c r="K175" i="61" s="1"/>
  <c r="I192" i="61"/>
  <c r="K192" i="61" s="1"/>
  <c r="I176" i="61"/>
  <c r="K176" i="61" s="1"/>
  <c r="L176" i="61" s="1"/>
  <c r="I182" i="61"/>
  <c r="K182" i="61" s="1"/>
  <c r="L182" i="61" s="1"/>
  <c r="I193" i="61"/>
  <c r="K193" i="61" s="1"/>
  <c r="L193" i="61" s="1"/>
  <c r="G248" i="41" s="1"/>
  <c r="I191" i="61"/>
  <c r="K191" i="61" s="1"/>
  <c r="I189" i="61"/>
  <c r="K189" i="61" s="1"/>
  <c r="G256" i="41" s="1"/>
  <c r="I185" i="61"/>
  <c r="K185" i="61" s="1"/>
  <c r="I181" i="61"/>
  <c r="K181" i="61" s="1"/>
  <c r="G252" i="41" l="1"/>
  <c r="L179" i="61"/>
  <c r="G258" i="41"/>
  <c r="G241" i="41"/>
  <c r="L183" i="61"/>
  <c r="G250" i="41"/>
  <c r="G246" i="41"/>
  <c r="L185" i="61"/>
  <c r="L175" i="61"/>
  <c r="L181" i="61"/>
  <c r="L189" i="61"/>
  <c r="L191" i="61"/>
  <c r="AA16" i="69" l="1"/>
  <c r="J15" i="64" l="1"/>
  <c r="B9" i="35"/>
  <c r="I15" i="64" s="1"/>
  <c r="C227" i="41"/>
  <c r="D227" i="41"/>
  <c r="AB17" i="69"/>
  <c r="D25" i="54" s="1"/>
  <c r="G17" i="69"/>
  <c r="R17" i="69"/>
  <c r="Y17" i="69"/>
  <c r="G5" i="48" l="1"/>
  <c r="D5" i="54"/>
  <c r="AB15" i="69"/>
  <c r="F227" i="41" l="1"/>
  <c r="E227" i="41" l="1"/>
  <c r="F215" i="41"/>
  <c r="F217" i="41"/>
  <c r="F218" i="41"/>
  <c r="F219" i="41"/>
  <c r="F220" i="41"/>
  <c r="F221" i="41"/>
  <c r="F222" i="41"/>
  <c r="F223" i="41"/>
  <c r="F224" i="41"/>
  <c r="F225" i="41"/>
  <c r="F226" i="41"/>
  <c r="F229" i="41"/>
  <c r="C22" i="48" l="1"/>
  <c r="C23" i="48"/>
  <c r="AB14" i="69"/>
  <c r="G102" i="58" l="1"/>
  <c r="G82" i="58"/>
  <c r="D8" i="55" l="1"/>
  <c r="D7" i="55"/>
  <c r="C8" i="55"/>
  <c r="C7" i="55"/>
  <c r="L8" i="64"/>
  <c r="M8" i="64"/>
  <c r="L9" i="64"/>
  <c r="M9" i="64"/>
  <c r="L11" i="64"/>
  <c r="M11" i="64"/>
  <c r="L12" i="64"/>
  <c r="M12" i="64"/>
  <c r="L13" i="64"/>
  <c r="M13" i="64"/>
  <c r="L14" i="64"/>
  <c r="M14" i="64"/>
  <c r="L16" i="64"/>
  <c r="M16" i="64"/>
  <c r="L17" i="64"/>
  <c r="M17" i="64"/>
  <c r="L18" i="64"/>
  <c r="M18" i="64"/>
  <c r="E7" i="64"/>
  <c r="E36" i="64" s="1"/>
  <c r="L36" i="64" s="1"/>
  <c r="F7" i="64"/>
  <c r="E8" i="64"/>
  <c r="F8" i="64"/>
  <c r="E9" i="64"/>
  <c r="F9" i="64"/>
  <c r="E10" i="64"/>
  <c r="F10" i="64"/>
  <c r="E11" i="64"/>
  <c r="F11" i="64"/>
  <c r="E12" i="64"/>
  <c r="F12" i="64"/>
  <c r="E13" i="64"/>
  <c r="F13" i="64"/>
  <c r="E14" i="64"/>
  <c r="F14" i="64"/>
  <c r="E15" i="64"/>
  <c r="F15" i="64"/>
  <c r="E16" i="64"/>
  <c r="F16" i="64"/>
  <c r="E17" i="64"/>
  <c r="F17" i="64"/>
  <c r="E18" i="64"/>
  <c r="F18" i="64"/>
  <c r="E30" i="39"/>
  <c r="E149" i="39" s="1"/>
  <c r="F30" i="39"/>
  <c r="F149" i="39" s="1"/>
  <c r="E31" i="39"/>
  <c r="E32" i="39"/>
  <c r="E151" i="39" s="1"/>
  <c r="F32" i="39"/>
  <c r="F151" i="39" s="1"/>
  <c r="E33" i="39"/>
  <c r="E152" i="39" s="1"/>
  <c r="F33" i="39"/>
  <c r="F152" i="39" s="1"/>
  <c r="E34" i="39"/>
  <c r="E153" i="39" s="1"/>
  <c r="F34" i="39"/>
  <c r="F153" i="39" s="1"/>
  <c r="E35" i="39"/>
  <c r="E154" i="39" s="1"/>
  <c r="F35" i="39"/>
  <c r="F154" i="39" s="1"/>
  <c r="E36" i="39"/>
  <c r="E155" i="39" s="1"/>
  <c r="F36" i="39"/>
  <c r="F155" i="39" s="1"/>
  <c r="E37" i="39"/>
  <c r="E156" i="39" s="1"/>
  <c r="F37" i="39"/>
  <c r="F156" i="39" s="1"/>
  <c r="E38" i="39"/>
  <c r="E157" i="39" s="1"/>
  <c r="F38" i="39"/>
  <c r="F157" i="39" s="1"/>
  <c r="E39" i="39"/>
  <c r="E158" i="39" s="1"/>
  <c r="F39" i="39"/>
  <c r="F158" i="39" s="1"/>
  <c r="E40" i="39"/>
  <c r="E159" i="39" s="1"/>
  <c r="F40" i="39"/>
  <c r="F159" i="39" s="1"/>
  <c r="E41" i="39"/>
  <c r="E160" i="39" s="1"/>
  <c r="F41" i="39"/>
  <c r="F160" i="39" s="1"/>
  <c r="E48" i="39"/>
  <c r="F48" i="39"/>
  <c r="E50" i="39"/>
  <c r="E110" i="39" s="1"/>
  <c r="F50" i="39"/>
  <c r="F110" i="39" s="1"/>
  <c r="E67" i="39"/>
  <c r="E71" i="39"/>
  <c r="E130" i="39" s="1"/>
  <c r="E183" i="39" s="1"/>
  <c r="F71" i="39"/>
  <c r="F130" i="39" s="1"/>
  <c r="F183" i="39" s="1"/>
  <c r="E76" i="39"/>
  <c r="E178" i="39" s="1"/>
  <c r="F76" i="39"/>
  <c r="F178" i="39" s="1"/>
  <c r="E78" i="39"/>
  <c r="E112" i="39" s="1"/>
  <c r="F78" i="39"/>
  <c r="F112" i="39" s="1"/>
  <c r="E79" i="39"/>
  <c r="E113" i="39" s="1"/>
  <c r="M36" i="55" s="1"/>
  <c r="F79" i="39"/>
  <c r="F113" i="39" s="1"/>
  <c r="N36" i="55" s="1"/>
  <c r="E80" i="39"/>
  <c r="E114" i="39" s="1"/>
  <c r="M37" i="55" s="1"/>
  <c r="F80" i="39"/>
  <c r="F114" i="39" s="1"/>
  <c r="N37" i="55" s="1"/>
  <c r="E81" i="39"/>
  <c r="E115" i="39" s="1"/>
  <c r="F81" i="39"/>
  <c r="F115" i="39" s="1"/>
  <c r="E83" i="39"/>
  <c r="E131" i="39" s="1"/>
  <c r="F83" i="39"/>
  <c r="F131" i="39" s="1"/>
  <c r="E84" i="39"/>
  <c r="E132" i="39" s="1"/>
  <c r="F84" i="39"/>
  <c r="F132" i="39" s="1"/>
  <c r="E85" i="39"/>
  <c r="E133" i="39" s="1"/>
  <c r="F85" i="39"/>
  <c r="F133" i="39" s="1"/>
  <c r="E86" i="39"/>
  <c r="F86" i="39"/>
  <c r="E87" i="39"/>
  <c r="F87" i="39"/>
  <c r="E150" i="39"/>
  <c r="E194" i="39"/>
  <c r="F194" i="39"/>
  <c r="E196" i="39"/>
  <c r="F196" i="39"/>
  <c r="E198" i="39"/>
  <c r="F198" i="39"/>
  <c r="E201" i="39"/>
  <c r="F201" i="39"/>
  <c r="E14" i="38"/>
  <c r="E63" i="38" s="1"/>
  <c r="F14" i="38"/>
  <c r="F63" i="38" s="1"/>
  <c r="E18" i="38"/>
  <c r="E35" i="38" s="1"/>
  <c r="F18" i="38"/>
  <c r="F35" i="38" s="1"/>
  <c r="E19" i="38"/>
  <c r="E36" i="38" s="1"/>
  <c r="F19" i="38"/>
  <c r="F36" i="38" s="1"/>
  <c r="E20" i="38"/>
  <c r="E37" i="38" s="1"/>
  <c r="F20" i="38"/>
  <c r="F37" i="38" s="1"/>
  <c r="E21" i="38"/>
  <c r="E45" i="38" s="1"/>
  <c r="F21" i="38"/>
  <c r="F45" i="38" s="1"/>
  <c r="E22" i="38"/>
  <c r="E46" i="38" s="1"/>
  <c r="F22" i="38"/>
  <c r="F46" i="38" s="1"/>
  <c r="E23" i="38"/>
  <c r="E47" i="38" s="1"/>
  <c r="F23" i="38"/>
  <c r="F47" i="38" s="1"/>
  <c r="E24" i="38"/>
  <c r="E39" i="38" s="1"/>
  <c r="F24" i="38"/>
  <c r="F39" i="38" s="1"/>
  <c r="E25" i="38"/>
  <c r="E48" i="38" s="1"/>
  <c r="F25" i="38"/>
  <c r="F48" i="38" s="1"/>
  <c r="E75" i="38"/>
  <c r="F75" i="38"/>
  <c r="E77" i="38"/>
  <c r="F77" i="38"/>
  <c r="E79" i="38"/>
  <c r="F79" i="38"/>
  <c r="E82" i="38"/>
  <c r="F82" i="38"/>
  <c r="E11" i="37"/>
  <c r="E65" i="37" s="1"/>
  <c r="F11" i="37"/>
  <c r="F65" i="37" s="1"/>
  <c r="E12" i="37"/>
  <c r="E66" i="37" s="1"/>
  <c r="F12" i="37"/>
  <c r="F66" i="37" s="1"/>
  <c r="E13" i="37"/>
  <c r="F13" i="37"/>
  <c r="E14" i="37"/>
  <c r="E34" i="37" s="1"/>
  <c r="F14" i="37"/>
  <c r="F34" i="37" s="1"/>
  <c r="E15" i="37"/>
  <c r="E35" i="37" s="1"/>
  <c r="F15" i="37"/>
  <c r="F35" i="37" s="1"/>
  <c r="E16" i="37"/>
  <c r="E43" i="37" s="1"/>
  <c r="F16" i="37"/>
  <c r="F43" i="37" s="1"/>
  <c r="E17" i="37"/>
  <c r="E44" i="37" s="1"/>
  <c r="F17" i="37"/>
  <c r="F44" i="37" s="1"/>
  <c r="E18" i="37"/>
  <c r="E45" i="37" s="1"/>
  <c r="F18" i="37"/>
  <c r="F45" i="37" s="1"/>
  <c r="E19" i="37"/>
  <c r="E46" i="37" s="1"/>
  <c r="F19" i="37"/>
  <c r="F46" i="37" s="1"/>
  <c r="E20" i="37"/>
  <c r="E47" i="37" s="1"/>
  <c r="F20" i="37"/>
  <c r="F47" i="37" s="1"/>
  <c r="E21" i="37"/>
  <c r="E48" i="37" s="1"/>
  <c r="F21" i="37"/>
  <c r="F48" i="37" s="1"/>
  <c r="E22" i="37"/>
  <c r="E36" i="37" s="1"/>
  <c r="F22" i="37"/>
  <c r="F36" i="37" s="1"/>
  <c r="E23" i="37"/>
  <c r="E49" i="37" s="1"/>
  <c r="F23" i="37"/>
  <c r="F49" i="37" s="1"/>
  <c r="E24" i="37"/>
  <c r="E50" i="37" s="1"/>
  <c r="F24" i="37"/>
  <c r="F50" i="37" s="1"/>
  <c r="E33" i="37"/>
  <c r="F33" i="37"/>
  <c r="E77" i="37"/>
  <c r="F77" i="37"/>
  <c r="E79" i="37"/>
  <c r="F79" i="37"/>
  <c r="E81" i="37"/>
  <c r="F81" i="37"/>
  <c r="E84" i="37"/>
  <c r="F84" i="37"/>
  <c r="E11" i="36"/>
  <c r="E72" i="36" s="1"/>
  <c r="F11" i="36"/>
  <c r="F72" i="36" s="1"/>
  <c r="E12" i="36"/>
  <c r="E32" i="36" s="1"/>
  <c r="F12" i="36"/>
  <c r="F32" i="36" s="1"/>
  <c r="E13" i="36"/>
  <c r="E33" i="36" s="1"/>
  <c r="F13" i="36"/>
  <c r="F33" i="36" s="1"/>
  <c r="E14" i="36"/>
  <c r="E34" i="36" s="1"/>
  <c r="F14" i="36"/>
  <c r="F34" i="36" s="1"/>
  <c r="E15" i="36"/>
  <c r="E41" i="36" s="1"/>
  <c r="F15" i="36"/>
  <c r="F41" i="36" s="1"/>
  <c r="E16" i="36"/>
  <c r="E42" i="36" s="1"/>
  <c r="F16" i="36"/>
  <c r="F42" i="36" s="1"/>
  <c r="E17" i="36"/>
  <c r="E43" i="36" s="1"/>
  <c r="F17" i="36"/>
  <c r="F43" i="36" s="1"/>
  <c r="E18" i="36"/>
  <c r="E50" i="36" s="1"/>
  <c r="F18" i="36"/>
  <c r="F50" i="36" s="1"/>
  <c r="E19" i="36"/>
  <c r="E51" i="36" s="1"/>
  <c r="F19" i="36"/>
  <c r="F51" i="36" s="1"/>
  <c r="E20" i="36"/>
  <c r="E52" i="36" s="1"/>
  <c r="F20" i="36"/>
  <c r="F52" i="36" s="1"/>
  <c r="E21" i="36"/>
  <c r="E53" i="36" s="1"/>
  <c r="F21" i="36"/>
  <c r="F53" i="36" s="1"/>
  <c r="E22" i="36"/>
  <c r="E54" i="36" s="1"/>
  <c r="F22" i="36"/>
  <c r="F54" i="36" s="1"/>
  <c r="E23" i="36"/>
  <c r="E55" i="36" s="1"/>
  <c r="F23" i="36"/>
  <c r="F55" i="36" s="1"/>
  <c r="E24" i="36"/>
  <c r="E35" i="36" s="1"/>
  <c r="F24" i="36"/>
  <c r="F35" i="36" s="1"/>
  <c r="E25" i="36"/>
  <c r="E44" i="36" s="1"/>
  <c r="F25" i="36"/>
  <c r="F44" i="36" s="1"/>
  <c r="E26" i="36"/>
  <c r="E56" i="36" s="1"/>
  <c r="F26" i="36"/>
  <c r="F56" i="36" s="1"/>
  <c r="E27" i="36"/>
  <c r="E57" i="36" s="1"/>
  <c r="F27" i="36"/>
  <c r="F57" i="36" s="1"/>
  <c r="E83" i="36"/>
  <c r="F83" i="36"/>
  <c r="E85" i="36"/>
  <c r="F85" i="36"/>
  <c r="E87" i="36"/>
  <c r="F87" i="36"/>
  <c r="E90" i="36"/>
  <c r="F90" i="36"/>
  <c r="E11" i="35"/>
  <c r="E56" i="35" s="1"/>
  <c r="F11" i="35"/>
  <c r="F56" i="35" s="1"/>
  <c r="E14" i="35"/>
  <c r="E34" i="35" s="1"/>
  <c r="F14" i="35"/>
  <c r="F34" i="35" s="1"/>
  <c r="E15" i="35"/>
  <c r="E35" i="35" s="1"/>
  <c r="F15" i="35"/>
  <c r="F35" i="35" s="1"/>
  <c r="E16" i="35"/>
  <c r="E36" i="35" s="1"/>
  <c r="F16" i="35"/>
  <c r="F36" i="35" s="1"/>
  <c r="E17" i="35"/>
  <c r="E37" i="35" s="1"/>
  <c r="F17" i="35"/>
  <c r="F37" i="35" s="1"/>
  <c r="E18" i="35"/>
  <c r="E38" i="35" s="1"/>
  <c r="F18" i="35"/>
  <c r="F38" i="35" s="1"/>
  <c r="E19" i="35"/>
  <c r="E39" i="35" s="1"/>
  <c r="F19" i="35"/>
  <c r="F39" i="35" s="1"/>
  <c r="E20" i="35"/>
  <c r="E40" i="35" s="1"/>
  <c r="F20" i="35"/>
  <c r="F40" i="35" s="1"/>
  <c r="E21" i="35"/>
  <c r="E41" i="35" s="1"/>
  <c r="F21" i="35"/>
  <c r="F41" i="35" s="1"/>
  <c r="E64" i="35"/>
  <c r="F64" i="35"/>
  <c r="E70" i="35"/>
  <c r="F70" i="35"/>
  <c r="E72" i="35"/>
  <c r="F72" i="35"/>
  <c r="E74" i="35"/>
  <c r="F74" i="35"/>
  <c r="E77" i="35"/>
  <c r="F77" i="35"/>
  <c r="E14" i="34"/>
  <c r="E50" i="34" s="1"/>
  <c r="F14" i="34"/>
  <c r="F50" i="34" s="1"/>
  <c r="E18" i="34"/>
  <c r="F18" i="34"/>
  <c r="F35" i="34" s="1"/>
  <c r="E19" i="34"/>
  <c r="E36" i="34" s="1"/>
  <c r="F19" i="34"/>
  <c r="F36" i="34" s="1"/>
  <c r="E20" i="34"/>
  <c r="E37" i="34" s="1"/>
  <c r="F20" i="34"/>
  <c r="F37" i="34" s="1"/>
  <c r="E21" i="34"/>
  <c r="E39" i="34" s="1"/>
  <c r="F21" i="34"/>
  <c r="F39" i="34" s="1"/>
  <c r="E35" i="34"/>
  <c r="E64" i="34"/>
  <c r="F64" i="34"/>
  <c r="E66" i="34"/>
  <c r="F66" i="34"/>
  <c r="E68" i="34"/>
  <c r="F68" i="34"/>
  <c r="E71" i="34"/>
  <c r="F71" i="34"/>
  <c r="E14" i="33"/>
  <c r="E55" i="33" s="1"/>
  <c r="F14" i="33"/>
  <c r="F55" i="33" s="1"/>
  <c r="E15" i="33"/>
  <c r="E32" i="33" s="1"/>
  <c r="F15" i="33"/>
  <c r="F32" i="33" s="1"/>
  <c r="E16" i="33"/>
  <c r="E33" i="33" s="1"/>
  <c r="F16" i="33"/>
  <c r="F33" i="33" s="1"/>
  <c r="E17" i="33"/>
  <c r="E34" i="33" s="1"/>
  <c r="F17" i="33"/>
  <c r="F34" i="33" s="1"/>
  <c r="E19" i="33"/>
  <c r="E41" i="33" s="1"/>
  <c r="F19" i="33"/>
  <c r="F41" i="33" s="1"/>
  <c r="E20" i="33"/>
  <c r="E42" i="33" s="1"/>
  <c r="F20" i="33"/>
  <c r="F42" i="33" s="1"/>
  <c r="E21" i="33"/>
  <c r="E43" i="33" s="1"/>
  <c r="F21" i="33"/>
  <c r="F43" i="33" s="1"/>
  <c r="E22" i="33"/>
  <c r="E35" i="33" s="1"/>
  <c r="F22" i="33"/>
  <c r="F35" i="33" s="1"/>
  <c r="E23" i="33"/>
  <c r="E44" i="33" s="1"/>
  <c r="F23" i="33"/>
  <c r="F44" i="33" s="1"/>
  <c r="E66" i="33"/>
  <c r="F66" i="33"/>
  <c r="E68" i="33"/>
  <c r="F68" i="33"/>
  <c r="E70" i="33"/>
  <c r="F70" i="33"/>
  <c r="E73" i="33"/>
  <c r="F73" i="33"/>
  <c r="E15" i="32"/>
  <c r="F15" i="32"/>
  <c r="F57" i="32" s="1"/>
  <c r="E18" i="32"/>
  <c r="F18" i="32"/>
  <c r="F38" i="32" s="1"/>
  <c r="E19" i="32"/>
  <c r="F19" i="32"/>
  <c r="F39" i="32" s="1"/>
  <c r="F64" i="32" s="1"/>
  <c r="E22" i="32"/>
  <c r="F22" i="32"/>
  <c r="F42" i="32" s="1"/>
  <c r="E23" i="32"/>
  <c r="F23" i="32"/>
  <c r="F43" i="32" s="1"/>
  <c r="E24" i="32"/>
  <c r="F24" i="32"/>
  <c r="F44" i="32" s="1"/>
  <c r="E25" i="32"/>
  <c r="F25" i="32"/>
  <c r="F46" i="32" s="1"/>
  <c r="E71" i="32"/>
  <c r="F71" i="32"/>
  <c r="E73" i="32"/>
  <c r="F73" i="32"/>
  <c r="E75" i="32"/>
  <c r="F75" i="32"/>
  <c r="E78" i="32"/>
  <c r="F78" i="32"/>
  <c r="E11" i="31"/>
  <c r="E65" i="31" s="1"/>
  <c r="F11" i="31"/>
  <c r="F65" i="31" s="1"/>
  <c r="E14" i="31"/>
  <c r="E31" i="31" s="1"/>
  <c r="F14" i="31"/>
  <c r="F31" i="31" s="1"/>
  <c r="E15" i="31"/>
  <c r="E32" i="31" s="1"/>
  <c r="F15" i="31"/>
  <c r="E16" i="31"/>
  <c r="E33" i="31" s="1"/>
  <c r="F16" i="31"/>
  <c r="F33" i="31" s="1"/>
  <c r="E17" i="31"/>
  <c r="E34" i="31" s="1"/>
  <c r="F17" i="31"/>
  <c r="F34" i="31" s="1"/>
  <c r="E18" i="31"/>
  <c r="E42" i="31" s="1"/>
  <c r="F18" i="31"/>
  <c r="F42" i="31" s="1"/>
  <c r="E19" i="31"/>
  <c r="E43" i="31" s="1"/>
  <c r="F19" i="31"/>
  <c r="F43" i="31" s="1"/>
  <c r="E20" i="31"/>
  <c r="E44" i="31" s="1"/>
  <c r="F20" i="31"/>
  <c r="F44" i="31" s="1"/>
  <c r="E21" i="31"/>
  <c r="E51" i="31" s="1"/>
  <c r="F21" i="31"/>
  <c r="F51" i="31" s="1"/>
  <c r="E22" i="31"/>
  <c r="E52" i="31" s="1"/>
  <c r="F22" i="31"/>
  <c r="F52" i="31" s="1"/>
  <c r="E23" i="31"/>
  <c r="E53" i="31" s="1"/>
  <c r="F23" i="31"/>
  <c r="F53" i="31" s="1"/>
  <c r="E24" i="31"/>
  <c r="E35" i="31" s="1"/>
  <c r="F24" i="31"/>
  <c r="F35" i="31" s="1"/>
  <c r="E25" i="31"/>
  <c r="E45" i="31" s="1"/>
  <c r="F25" i="31"/>
  <c r="F45" i="31" s="1"/>
  <c r="E26" i="31"/>
  <c r="E54" i="31" s="1"/>
  <c r="F26" i="31"/>
  <c r="F54" i="31" s="1"/>
  <c r="F32" i="31"/>
  <c r="E76" i="31"/>
  <c r="F76" i="31"/>
  <c r="E78" i="31"/>
  <c r="F78" i="31"/>
  <c r="E80" i="31"/>
  <c r="F80" i="31"/>
  <c r="E83" i="31"/>
  <c r="F83" i="31"/>
  <c r="E11" i="29"/>
  <c r="E42" i="29" s="1"/>
  <c r="F11" i="29"/>
  <c r="F42" i="29" s="1"/>
  <c r="E12" i="29"/>
  <c r="E28" i="29" s="1"/>
  <c r="F12" i="29"/>
  <c r="F28" i="29" s="1"/>
  <c r="E13" i="29"/>
  <c r="E29" i="29" s="1"/>
  <c r="F13" i="29"/>
  <c r="F29" i="29" s="1"/>
  <c r="E14" i="29"/>
  <c r="E30" i="29" s="1"/>
  <c r="F14" i="29"/>
  <c r="F30" i="29" s="1"/>
  <c r="E15" i="29"/>
  <c r="E31" i="29" s="1"/>
  <c r="F15" i="29"/>
  <c r="F31" i="29" s="1"/>
  <c r="E47" i="29"/>
  <c r="F47" i="29"/>
  <c r="E53" i="29"/>
  <c r="F53" i="29"/>
  <c r="E55" i="29"/>
  <c r="F55" i="29"/>
  <c r="E57" i="29"/>
  <c r="F57" i="29"/>
  <c r="E60" i="29"/>
  <c r="F60" i="29"/>
  <c r="E11" i="28"/>
  <c r="E51" i="28" s="1"/>
  <c r="F11" i="28"/>
  <c r="F51" i="28" s="1"/>
  <c r="E12" i="28"/>
  <c r="E24" i="28" s="1"/>
  <c r="F12" i="28"/>
  <c r="F24" i="28" s="1"/>
  <c r="E13" i="28"/>
  <c r="E25" i="28" s="1"/>
  <c r="F13" i="28"/>
  <c r="F25" i="28" s="1"/>
  <c r="E14" i="28"/>
  <c r="E26" i="28" s="1"/>
  <c r="F14" i="28"/>
  <c r="F26" i="28" s="1"/>
  <c r="E15" i="28"/>
  <c r="E37" i="28" s="1"/>
  <c r="F15" i="28"/>
  <c r="F37" i="28" s="1"/>
  <c r="E16" i="28"/>
  <c r="E38" i="28" s="1"/>
  <c r="F16" i="28"/>
  <c r="F38" i="28" s="1"/>
  <c r="E17" i="28"/>
  <c r="E39" i="28" s="1"/>
  <c r="F17" i="28"/>
  <c r="F39" i="28" s="1"/>
  <c r="E18" i="28"/>
  <c r="E27" i="28" s="1"/>
  <c r="F18" i="28"/>
  <c r="F27" i="28" s="1"/>
  <c r="E19" i="28"/>
  <c r="E40" i="28" s="1"/>
  <c r="F19" i="28"/>
  <c r="F40" i="28" s="1"/>
  <c r="E61" i="28"/>
  <c r="F61" i="28"/>
  <c r="E63" i="28"/>
  <c r="F63" i="28"/>
  <c r="E65" i="28"/>
  <c r="F65" i="28"/>
  <c r="E68" i="28"/>
  <c r="F68" i="28"/>
  <c r="E11" i="40"/>
  <c r="E60" i="40" s="1"/>
  <c r="F11" i="40"/>
  <c r="F60" i="40" s="1"/>
  <c r="E12" i="40"/>
  <c r="E28" i="40" s="1"/>
  <c r="F12" i="40"/>
  <c r="F28" i="40" s="1"/>
  <c r="E13" i="40"/>
  <c r="E29" i="40" s="1"/>
  <c r="F13" i="40"/>
  <c r="F29" i="40" s="1"/>
  <c r="E14" i="40"/>
  <c r="E30" i="40" s="1"/>
  <c r="F14" i="40"/>
  <c r="F30" i="40" s="1"/>
  <c r="E15" i="40"/>
  <c r="E37" i="40" s="1"/>
  <c r="F15" i="40"/>
  <c r="F37" i="40" s="1"/>
  <c r="E16" i="40"/>
  <c r="E38" i="40" s="1"/>
  <c r="F16" i="40"/>
  <c r="F38" i="40" s="1"/>
  <c r="E17" i="40"/>
  <c r="E39" i="40" s="1"/>
  <c r="F17" i="40"/>
  <c r="F39" i="40" s="1"/>
  <c r="E18" i="40"/>
  <c r="E46" i="40" s="1"/>
  <c r="F18" i="40"/>
  <c r="F46" i="40" s="1"/>
  <c r="E19" i="40"/>
  <c r="E47" i="40" s="1"/>
  <c r="F19" i="40"/>
  <c r="F47" i="40" s="1"/>
  <c r="E20" i="40"/>
  <c r="E48" i="40" s="1"/>
  <c r="F20" i="40"/>
  <c r="F48" i="40" s="1"/>
  <c r="E21" i="40"/>
  <c r="E31" i="40" s="1"/>
  <c r="F21" i="40"/>
  <c r="F31" i="40" s="1"/>
  <c r="E22" i="40"/>
  <c r="E40" i="40" s="1"/>
  <c r="F22" i="40"/>
  <c r="F40" i="40" s="1"/>
  <c r="E23" i="40"/>
  <c r="E49" i="40" s="1"/>
  <c r="F23" i="40"/>
  <c r="F49" i="40" s="1"/>
  <c r="E70" i="40"/>
  <c r="F70" i="40"/>
  <c r="E72" i="40"/>
  <c r="F72" i="40"/>
  <c r="E74" i="40"/>
  <c r="F74" i="40"/>
  <c r="E77" i="40"/>
  <c r="F77" i="40"/>
  <c r="E11" i="27"/>
  <c r="E47" i="27" s="1"/>
  <c r="E12" i="27"/>
  <c r="E22" i="27" s="1"/>
  <c r="F12" i="27"/>
  <c r="F22" i="27" s="1"/>
  <c r="E13" i="27"/>
  <c r="E23" i="27" s="1"/>
  <c r="F13" i="27"/>
  <c r="F23" i="27" s="1"/>
  <c r="E14" i="27"/>
  <c r="E24" i="27" s="1"/>
  <c r="F14" i="27"/>
  <c r="F24" i="27" s="1"/>
  <c r="E15" i="27"/>
  <c r="E25" i="27" s="1"/>
  <c r="F15" i="27"/>
  <c r="F25" i="27" s="1"/>
  <c r="E16" i="27"/>
  <c r="E36" i="27" s="1"/>
  <c r="E37" i="27" s="1"/>
  <c r="F16" i="27"/>
  <c r="F36" i="27" s="1"/>
  <c r="F37" i="27" s="1"/>
  <c r="E17" i="27"/>
  <c r="E26" i="27" s="1"/>
  <c r="F17" i="27"/>
  <c r="F26" i="27" s="1"/>
  <c r="E53" i="27"/>
  <c r="F53" i="27"/>
  <c r="E59" i="27"/>
  <c r="F59" i="27"/>
  <c r="E61" i="27"/>
  <c r="F61" i="27"/>
  <c r="E63" i="27"/>
  <c r="F63" i="27"/>
  <c r="E66" i="27"/>
  <c r="F66" i="27"/>
  <c r="M26" i="55"/>
  <c r="M29" i="55" s="1"/>
  <c r="N26" i="55"/>
  <c r="M27" i="55"/>
  <c r="M30" i="55" s="1"/>
  <c r="N27" i="55"/>
  <c r="N30" i="55" s="1"/>
  <c r="M28" i="55"/>
  <c r="N28" i="55"/>
  <c r="F138" i="39" l="1"/>
  <c r="E40" i="64"/>
  <c r="L40" i="64" s="1"/>
  <c r="E44" i="64"/>
  <c r="L44" i="64" s="1"/>
  <c r="E39" i="32"/>
  <c r="E64" i="32" s="1"/>
  <c r="E38" i="32"/>
  <c r="E57" i="32"/>
  <c r="F42" i="35"/>
  <c r="F51" i="37"/>
  <c r="F58" i="36"/>
  <c r="E43" i="32"/>
  <c r="E42" i="32"/>
  <c r="E46" i="32"/>
  <c r="E44" i="32"/>
  <c r="E138" i="39"/>
  <c r="E46" i="64"/>
  <c r="L46" i="64" s="1"/>
  <c r="F43" i="64"/>
  <c r="M43" i="64" s="1"/>
  <c r="F39" i="64"/>
  <c r="M39" i="64" s="1"/>
  <c r="E24" i="64"/>
  <c r="L24" i="64" s="1"/>
  <c r="F46" i="64"/>
  <c r="M46" i="64" s="1"/>
  <c r="F42" i="64"/>
  <c r="M42" i="64" s="1"/>
  <c r="F38" i="64"/>
  <c r="M38" i="64" s="1"/>
  <c r="E42" i="64"/>
  <c r="L42" i="64" s="1"/>
  <c r="E38" i="64"/>
  <c r="L38" i="64" s="1"/>
  <c r="E41" i="64"/>
  <c r="L41" i="64" s="1"/>
  <c r="F56" i="37"/>
  <c r="F172" i="39" s="1"/>
  <c r="E63" i="36"/>
  <c r="E64" i="36" s="1"/>
  <c r="E45" i="64"/>
  <c r="L45" i="64" s="1"/>
  <c r="F45" i="64"/>
  <c r="M45" i="64" s="1"/>
  <c r="F48" i="27"/>
  <c r="F32" i="29"/>
  <c r="F37" i="29" s="1"/>
  <c r="E29" i="64"/>
  <c r="L29" i="64" s="1"/>
  <c r="E25" i="64"/>
  <c r="L25" i="64" s="1"/>
  <c r="E37" i="64"/>
  <c r="L37" i="64" s="1"/>
  <c r="E56" i="37"/>
  <c r="E57" i="37" s="1"/>
  <c r="E70" i="37" s="1"/>
  <c r="F41" i="28"/>
  <c r="E49" i="38"/>
  <c r="F55" i="31"/>
  <c r="F46" i="31"/>
  <c r="E55" i="31"/>
  <c r="E46" i="31"/>
  <c r="E36" i="33"/>
  <c r="E45" i="36"/>
  <c r="E43" i="64"/>
  <c r="L43" i="64" s="1"/>
  <c r="E39" i="64"/>
  <c r="L39" i="64" s="1"/>
  <c r="E28" i="64"/>
  <c r="L28" i="64" s="1"/>
  <c r="F37" i="37"/>
  <c r="N29" i="55"/>
  <c r="E58" i="36"/>
  <c r="F49" i="38"/>
  <c r="F41" i="64"/>
  <c r="M41" i="64" s="1"/>
  <c r="F29" i="64"/>
  <c r="M29" i="64" s="1"/>
  <c r="F37" i="64"/>
  <c r="M37" i="64" s="1"/>
  <c r="F25" i="64"/>
  <c r="M25" i="64" s="1"/>
  <c r="F32" i="40"/>
  <c r="F50" i="40"/>
  <c r="F52" i="35"/>
  <c r="E50" i="40"/>
  <c r="F44" i="64"/>
  <c r="M44" i="64" s="1"/>
  <c r="F28" i="64"/>
  <c r="M28" i="64" s="1"/>
  <c r="F24" i="64"/>
  <c r="M24" i="64" s="1"/>
  <c r="E52" i="35"/>
  <c r="E51" i="37"/>
  <c r="E37" i="37"/>
  <c r="F31" i="64"/>
  <c r="M31" i="64" s="1"/>
  <c r="F27" i="64"/>
  <c r="M27" i="64" s="1"/>
  <c r="F40" i="64"/>
  <c r="M40" i="64" s="1"/>
  <c r="F36" i="64"/>
  <c r="M36" i="64" s="1"/>
  <c r="F45" i="36"/>
  <c r="F36" i="36"/>
  <c r="F63" i="36"/>
  <c r="F171" i="39" s="1"/>
  <c r="E31" i="64"/>
  <c r="L31" i="64" s="1"/>
  <c r="E27" i="64"/>
  <c r="L27" i="64" s="1"/>
  <c r="F28" i="28"/>
  <c r="E36" i="36"/>
  <c r="F30" i="64"/>
  <c r="M30" i="64" s="1"/>
  <c r="F26" i="64"/>
  <c r="M26" i="64" s="1"/>
  <c r="E30" i="64"/>
  <c r="L30" i="64" s="1"/>
  <c r="E26" i="64"/>
  <c r="L26" i="64" s="1"/>
  <c r="E41" i="28"/>
  <c r="F36" i="33"/>
  <c r="F45" i="33"/>
  <c r="F54" i="38"/>
  <c r="F173" i="39" s="1"/>
  <c r="F19" i="64"/>
  <c r="F20" i="64" s="1"/>
  <c r="E45" i="33"/>
  <c r="E54" i="38"/>
  <c r="E173" i="39" s="1"/>
  <c r="E19" i="64"/>
  <c r="E20" i="64" s="1"/>
  <c r="L19" i="64"/>
  <c r="E42" i="35"/>
  <c r="E32" i="29"/>
  <c r="E28" i="28"/>
  <c r="F41" i="40"/>
  <c r="E32" i="40"/>
  <c r="E41" i="40"/>
  <c r="F27" i="27"/>
  <c r="E27" i="27"/>
  <c r="E48" i="27"/>
  <c r="E49" i="39"/>
  <c r="E175" i="39" s="1"/>
  <c r="F53" i="39"/>
  <c r="G277" i="41"/>
  <c r="F70" i="39" s="1"/>
  <c r="F277" i="41"/>
  <c r="E70" i="39" s="1"/>
  <c r="G276" i="41"/>
  <c r="F69" i="39" s="1"/>
  <c r="F276" i="41"/>
  <c r="E69" i="39" s="1"/>
  <c r="F271" i="41"/>
  <c r="E66" i="39" s="1"/>
  <c r="F270" i="41"/>
  <c r="E65" i="39" s="1"/>
  <c r="F268" i="41"/>
  <c r="E64" i="39" s="1"/>
  <c r="F267" i="41"/>
  <c r="E63" i="39" s="1"/>
  <c r="F266" i="41"/>
  <c r="E62" i="39" s="1"/>
  <c r="F265" i="41"/>
  <c r="E61" i="39" s="1"/>
  <c r="F263" i="41"/>
  <c r="E60" i="39" s="1"/>
  <c r="F262" i="41"/>
  <c r="F59" i="39"/>
  <c r="N17" i="55" s="1"/>
  <c r="F56" i="39"/>
  <c r="E56" i="39"/>
  <c r="F55" i="39"/>
  <c r="E55" i="39"/>
  <c r="F54" i="39"/>
  <c r="E54" i="39"/>
  <c r="E53" i="39"/>
  <c r="F52" i="39"/>
  <c r="E52" i="39"/>
  <c r="F17" i="38"/>
  <c r="E17" i="38"/>
  <c r="F47" i="39"/>
  <c r="F43" i="39"/>
  <c r="F135" i="39" s="1"/>
  <c r="F15" i="38"/>
  <c r="F38" i="38" s="1"/>
  <c r="F16" i="32"/>
  <c r="F45" i="32" s="1"/>
  <c r="F12" i="31"/>
  <c r="F36" i="31" s="1"/>
  <c r="F37" i="31" s="1"/>
  <c r="E43" i="39"/>
  <c r="E135" i="39" s="1"/>
  <c r="E15" i="38"/>
  <c r="E38" i="38" s="1"/>
  <c r="E16" i="32"/>
  <c r="E12" i="31"/>
  <c r="E36" i="31" s="1"/>
  <c r="E37" i="31" s="1"/>
  <c r="E13" i="31"/>
  <c r="E69" i="31" s="1"/>
  <c r="E17" i="32"/>
  <c r="E16" i="34"/>
  <c r="E55" i="34" s="1"/>
  <c r="E13" i="35"/>
  <c r="E61" i="35" s="1"/>
  <c r="E16" i="38"/>
  <c r="E68" i="38" s="1"/>
  <c r="E44" i="39"/>
  <c r="E176" i="39" s="1"/>
  <c r="F5" i="38"/>
  <c r="F69" i="38" s="1"/>
  <c r="F5" i="37"/>
  <c r="F71" i="37" s="1"/>
  <c r="F5" i="36"/>
  <c r="F77" i="36" s="1"/>
  <c r="F5" i="35"/>
  <c r="F63" i="35" s="1"/>
  <c r="F5" i="34"/>
  <c r="F58" i="34" s="1"/>
  <c r="F5" i="33"/>
  <c r="F60" i="33" s="1"/>
  <c r="F5" i="32"/>
  <c r="F65" i="32" s="1"/>
  <c r="F5" i="31"/>
  <c r="F70" i="31" s="1"/>
  <c r="F5" i="29"/>
  <c r="F46" i="29" s="1"/>
  <c r="F5" i="28"/>
  <c r="F55" i="28" s="1"/>
  <c r="F5" i="40"/>
  <c r="F64" i="40" s="1"/>
  <c r="F5" i="27"/>
  <c r="F52" i="27" s="1"/>
  <c r="F60" i="41"/>
  <c r="F59" i="41"/>
  <c r="E5" i="39" s="1"/>
  <c r="E187" i="39" s="1"/>
  <c r="F58" i="41"/>
  <c r="E5" i="38" s="1"/>
  <c r="E69" i="38" s="1"/>
  <c r="F57" i="41"/>
  <c r="E5" i="37" s="1"/>
  <c r="E71" i="37" s="1"/>
  <c r="F56" i="41"/>
  <c r="E5" i="36" s="1"/>
  <c r="E77" i="36" s="1"/>
  <c r="F55" i="41"/>
  <c r="E5" i="35" s="1"/>
  <c r="E63" i="35" s="1"/>
  <c r="F54" i="41"/>
  <c r="E5" i="34" s="1"/>
  <c r="E58" i="34" s="1"/>
  <c r="F53" i="41"/>
  <c r="E5" i="33" s="1"/>
  <c r="E60" i="33" s="1"/>
  <c r="F52" i="41"/>
  <c r="E5" i="32" s="1"/>
  <c r="F51" i="41"/>
  <c r="E5" i="31" s="1"/>
  <c r="E70" i="31" s="1"/>
  <c r="F50" i="41"/>
  <c r="E5" i="29" s="1"/>
  <c r="E46" i="29" s="1"/>
  <c r="F49" i="41"/>
  <c r="E5" i="28" s="1"/>
  <c r="E55" i="28" s="1"/>
  <c r="F48" i="41"/>
  <c r="F47" i="41"/>
  <c r="E5" i="27" s="1"/>
  <c r="E52" i="27" s="1"/>
  <c r="E47" i="41"/>
  <c r="F6" i="35"/>
  <c r="F26" i="35" s="1"/>
  <c r="F27" i="35" s="1"/>
  <c r="F6" i="34"/>
  <c r="F26" i="34" s="1"/>
  <c r="F27" i="34" s="1"/>
  <c r="F8" i="40"/>
  <c r="F51" i="40" s="1"/>
  <c r="F8" i="41"/>
  <c r="E7" i="40" s="1"/>
  <c r="E42" i="40" s="1"/>
  <c r="F10" i="39"/>
  <c r="N31" i="55" s="1"/>
  <c r="F44" i="41"/>
  <c r="E10" i="39" s="1"/>
  <c r="M31" i="55" s="1"/>
  <c r="J7" i="55" s="1"/>
  <c r="F43" i="41"/>
  <c r="E9" i="39" s="1"/>
  <c r="F8" i="39"/>
  <c r="N38" i="55" s="1"/>
  <c r="K8" i="55" s="1"/>
  <c r="F42" i="41"/>
  <c r="E8" i="39" s="1"/>
  <c r="M38" i="55" s="1"/>
  <c r="K7" i="55" s="1"/>
  <c r="F41" i="41"/>
  <c r="E7" i="39" s="1"/>
  <c r="F40" i="41"/>
  <c r="E6" i="39" s="1"/>
  <c r="E102" i="39" s="1"/>
  <c r="E103" i="39" s="1"/>
  <c r="F8" i="38"/>
  <c r="F50" i="38" s="1"/>
  <c r="F39" i="41"/>
  <c r="E8" i="38" s="1"/>
  <c r="E50" i="38" s="1"/>
  <c r="F7" i="38"/>
  <c r="F41" i="38" s="1"/>
  <c r="F38" i="41"/>
  <c r="E7" i="38" s="1"/>
  <c r="E41" i="38" s="1"/>
  <c r="F6" i="38"/>
  <c r="F30" i="38" s="1"/>
  <c r="F31" i="38" s="1"/>
  <c r="F37" i="41"/>
  <c r="E6" i="38" s="1"/>
  <c r="E30" i="38" s="1"/>
  <c r="F8" i="37"/>
  <c r="F52" i="37" s="1"/>
  <c r="F36" i="41"/>
  <c r="E8" i="37" s="1"/>
  <c r="E52" i="37" s="1"/>
  <c r="F7" i="37"/>
  <c r="F38" i="37" s="1"/>
  <c r="F35" i="41"/>
  <c r="E7" i="37" s="1"/>
  <c r="E38" i="37" s="1"/>
  <c r="F6" i="37"/>
  <c r="F29" i="37" s="1"/>
  <c r="F34" i="41"/>
  <c r="E6" i="37" s="1"/>
  <c r="E29" i="37" s="1"/>
  <c r="E30" i="37" s="1"/>
  <c r="F8" i="36"/>
  <c r="F59" i="36" s="1"/>
  <c r="F33" i="41"/>
  <c r="E8" i="36" s="1"/>
  <c r="E59" i="36" s="1"/>
  <c r="F7" i="36"/>
  <c r="F46" i="36" s="1"/>
  <c r="F32" i="41"/>
  <c r="E7" i="36" s="1"/>
  <c r="E46" i="36" s="1"/>
  <c r="F6" i="36"/>
  <c r="F37" i="36" s="1"/>
  <c r="F31" i="41"/>
  <c r="E6" i="36" s="1"/>
  <c r="E37" i="36" s="1"/>
  <c r="F8" i="35"/>
  <c r="F43" i="35" s="1"/>
  <c r="F30" i="41"/>
  <c r="E8" i="35" s="1"/>
  <c r="E43" i="35" s="1"/>
  <c r="F7" i="35"/>
  <c r="F30" i="35" s="1"/>
  <c r="F31" i="35" s="1"/>
  <c r="F29" i="41"/>
  <c r="E7" i="35" s="1"/>
  <c r="E30" i="35" s="1"/>
  <c r="E31" i="35" s="1"/>
  <c r="F28" i="41"/>
  <c r="E6" i="35" s="1"/>
  <c r="E26" i="35" s="1"/>
  <c r="E27" i="35" s="1"/>
  <c r="F8" i="34"/>
  <c r="F41" i="34" s="1"/>
  <c r="F27" i="41"/>
  <c r="E8" i="34" s="1"/>
  <c r="E41" i="34" s="1"/>
  <c r="F7" i="34"/>
  <c r="F30" i="34" s="1"/>
  <c r="F31" i="34" s="1"/>
  <c r="F26" i="41"/>
  <c r="E7" i="34" s="1"/>
  <c r="E30" i="34" s="1"/>
  <c r="E31" i="34" s="1"/>
  <c r="F25" i="41"/>
  <c r="E6" i="34" s="1"/>
  <c r="E26" i="34" s="1"/>
  <c r="E27" i="34" s="1"/>
  <c r="F8" i="33"/>
  <c r="F46" i="33" s="1"/>
  <c r="F24" i="41"/>
  <c r="E8" i="33" s="1"/>
  <c r="E46" i="33" s="1"/>
  <c r="F7" i="33"/>
  <c r="F37" i="33" s="1"/>
  <c r="F23" i="41"/>
  <c r="E7" i="33" s="1"/>
  <c r="E37" i="33" s="1"/>
  <c r="F6" i="33"/>
  <c r="F28" i="33" s="1"/>
  <c r="F29" i="33" s="1"/>
  <c r="F22" i="41"/>
  <c r="E6" i="33" s="1"/>
  <c r="E28" i="33" s="1"/>
  <c r="E29" i="33" s="1"/>
  <c r="F8" i="32"/>
  <c r="F48" i="32" s="1"/>
  <c r="F21" i="41"/>
  <c r="E8" i="32" s="1"/>
  <c r="F7" i="32"/>
  <c r="F34" i="32" s="1"/>
  <c r="F35" i="32" s="1"/>
  <c r="F20" i="41"/>
  <c r="E7" i="32" s="1"/>
  <c r="F6" i="32"/>
  <c r="F30" i="32" s="1"/>
  <c r="F19" i="41"/>
  <c r="E6" i="32" s="1"/>
  <c r="F8" i="31"/>
  <c r="F56" i="31" s="1"/>
  <c r="F18" i="41"/>
  <c r="E8" i="31" s="1"/>
  <c r="E56" i="31" s="1"/>
  <c r="F7" i="31"/>
  <c r="F47" i="31" s="1"/>
  <c r="F17" i="41"/>
  <c r="E7" i="31" s="1"/>
  <c r="E47" i="31" s="1"/>
  <c r="F6" i="31"/>
  <c r="F38" i="31" s="1"/>
  <c r="F16" i="41"/>
  <c r="E6" i="31" s="1"/>
  <c r="E38" i="31" s="1"/>
  <c r="F8" i="29"/>
  <c r="F33" i="29" s="1"/>
  <c r="F15" i="41"/>
  <c r="E8" i="29" s="1"/>
  <c r="E33" i="29" s="1"/>
  <c r="F7" i="29"/>
  <c r="F24" i="29" s="1"/>
  <c r="F25" i="29" s="1"/>
  <c r="F14" i="41"/>
  <c r="E7" i="29" s="1"/>
  <c r="E24" i="29" s="1"/>
  <c r="E25" i="29" s="1"/>
  <c r="F6" i="29"/>
  <c r="F20" i="29" s="1"/>
  <c r="F21" i="29" s="1"/>
  <c r="F13" i="41"/>
  <c r="E6" i="29" s="1"/>
  <c r="E20" i="29" s="1"/>
  <c r="E21" i="29" s="1"/>
  <c r="F8" i="28"/>
  <c r="F42" i="28" s="1"/>
  <c r="F12" i="41"/>
  <c r="E8" i="28" s="1"/>
  <c r="E42" i="28" s="1"/>
  <c r="F7" i="28"/>
  <c r="F33" i="28" s="1"/>
  <c r="F34" i="28" s="1"/>
  <c r="F11" i="41"/>
  <c r="E7" i="28" s="1"/>
  <c r="E33" i="28" s="1"/>
  <c r="E34" i="28" s="1"/>
  <c r="F6" i="28"/>
  <c r="F29" i="28" s="1"/>
  <c r="F10" i="41"/>
  <c r="E6" i="28" s="1"/>
  <c r="E29" i="28" s="1"/>
  <c r="F9" i="41"/>
  <c r="E8" i="40" s="1"/>
  <c r="E51" i="40" s="1"/>
  <c r="F7" i="40"/>
  <c r="F42" i="40" s="1"/>
  <c r="F6" i="40"/>
  <c r="F33" i="40" s="1"/>
  <c r="F7" i="41"/>
  <c r="E6" i="40" s="1"/>
  <c r="E33" i="40" s="1"/>
  <c r="F8" i="27"/>
  <c r="F38" i="27" s="1"/>
  <c r="F39" i="27" s="1"/>
  <c r="F6" i="41"/>
  <c r="E8" i="27" s="1"/>
  <c r="E38" i="27" s="1"/>
  <c r="E39" i="27" s="1"/>
  <c r="F7" i="27"/>
  <c r="F32" i="27" s="1"/>
  <c r="F33" i="27" s="1"/>
  <c r="F5" i="41"/>
  <c r="E7" i="27" s="1"/>
  <c r="E32" i="27" s="1"/>
  <c r="E33" i="27" s="1"/>
  <c r="F6" i="27"/>
  <c r="F28" i="27" s="1"/>
  <c r="F4" i="41"/>
  <c r="E6" i="27" s="1"/>
  <c r="E28" i="27" s="1"/>
  <c r="C4" i="41"/>
  <c r="F5" i="39"/>
  <c r="F187" i="39" s="1"/>
  <c r="F9" i="39"/>
  <c r="F7" i="39"/>
  <c r="F6" i="39"/>
  <c r="F102" i="39" s="1"/>
  <c r="F103" i="39" s="1"/>
  <c r="E92" i="39" l="1"/>
  <c r="E93" i="39"/>
  <c r="E94" i="39"/>
  <c r="G271" i="41"/>
  <c r="F66" i="39" s="1"/>
  <c r="E57" i="31"/>
  <c r="E68" i="31" s="1"/>
  <c r="E45" i="32"/>
  <c r="E48" i="32"/>
  <c r="E30" i="32"/>
  <c r="E65" i="32"/>
  <c r="E34" i="32"/>
  <c r="F47" i="36"/>
  <c r="I96" i="58" s="1"/>
  <c r="E63" i="32"/>
  <c r="F13" i="31"/>
  <c r="F69" i="31" s="1"/>
  <c r="F16" i="38"/>
  <c r="F68" i="38" s="1"/>
  <c r="F44" i="39"/>
  <c r="F176" i="39" s="1"/>
  <c r="F16" i="34"/>
  <c r="F55" i="34" s="1"/>
  <c r="F13" i="35"/>
  <c r="F61" i="35" s="1"/>
  <c r="F49" i="39"/>
  <c r="F175" i="39" s="1"/>
  <c r="F17" i="32"/>
  <c r="F63" i="32" s="1"/>
  <c r="F63" i="39"/>
  <c r="N18" i="55" s="1"/>
  <c r="F67" i="38"/>
  <c r="F57" i="37"/>
  <c r="F70" i="37" s="1"/>
  <c r="E38" i="33"/>
  <c r="E58" i="33" s="1"/>
  <c r="E48" i="31"/>
  <c r="E67" i="31" s="1"/>
  <c r="F43" i="28"/>
  <c r="F54" i="28" s="1"/>
  <c r="E47" i="36"/>
  <c r="E74" i="36" s="1"/>
  <c r="F46" i="28"/>
  <c r="F38" i="33"/>
  <c r="F58" i="33" s="1"/>
  <c r="F53" i="37"/>
  <c r="J97" i="58" s="1"/>
  <c r="E67" i="36"/>
  <c r="E38" i="29"/>
  <c r="E76" i="36"/>
  <c r="E171" i="39"/>
  <c r="F60" i="37"/>
  <c r="F50" i="33"/>
  <c r="E51" i="38"/>
  <c r="E66" i="38" s="1"/>
  <c r="J78" i="58" s="1"/>
  <c r="L47" i="64"/>
  <c r="E50" i="33"/>
  <c r="E172" i="39"/>
  <c r="F46" i="34"/>
  <c r="F56" i="40"/>
  <c r="E47" i="39"/>
  <c r="E56" i="40"/>
  <c r="E61" i="31"/>
  <c r="F117" i="39"/>
  <c r="F43" i="27"/>
  <c r="F61" i="31"/>
  <c r="F64" i="36"/>
  <c r="E95" i="39"/>
  <c r="E96" i="39" s="1"/>
  <c r="E60" i="37"/>
  <c r="E43" i="28"/>
  <c r="E54" i="28" s="1"/>
  <c r="F57" i="31"/>
  <c r="F68" i="31" s="1"/>
  <c r="F68" i="36"/>
  <c r="F11" i="39"/>
  <c r="F140" i="39" s="1"/>
  <c r="F34" i="29"/>
  <c r="F45" i="29" s="1"/>
  <c r="E117" i="39"/>
  <c r="F95" i="39"/>
  <c r="F96" i="39" s="1"/>
  <c r="F76" i="36"/>
  <c r="E43" i="27"/>
  <c r="F55" i="38"/>
  <c r="E11" i="39"/>
  <c r="E140" i="39" s="1"/>
  <c r="J8" i="55"/>
  <c r="L8" i="55" s="1"/>
  <c r="E60" i="31"/>
  <c r="E39" i="31"/>
  <c r="F39" i="31"/>
  <c r="F60" i="31"/>
  <c r="F58" i="35"/>
  <c r="I95" i="58"/>
  <c r="F51" i="27"/>
  <c r="J87" i="58"/>
  <c r="G5" i="46"/>
  <c r="G14" i="46"/>
  <c r="L7" i="55"/>
  <c r="F44" i="29"/>
  <c r="I90" i="58"/>
  <c r="F46" i="39"/>
  <c r="F134" i="39" s="1"/>
  <c r="F168" i="39" s="1"/>
  <c r="F12" i="35"/>
  <c r="F62" i="35" s="1"/>
  <c r="E50" i="27"/>
  <c r="I67" i="58"/>
  <c r="I70" i="58"/>
  <c r="E44" i="29"/>
  <c r="H73" i="58"/>
  <c r="E57" i="33"/>
  <c r="I94" i="58"/>
  <c r="F53" i="34"/>
  <c r="E68" i="36"/>
  <c r="E12" i="32"/>
  <c r="E16" i="39"/>
  <c r="E46" i="28"/>
  <c r="E48" i="35"/>
  <c r="E39" i="37"/>
  <c r="E47" i="33"/>
  <c r="L32" i="64"/>
  <c r="E53" i="37"/>
  <c r="F48" i="31"/>
  <c r="F50" i="27"/>
  <c r="I87" i="58"/>
  <c r="F47" i="28"/>
  <c r="H93" i="58"/>
  <c r="F57" i="33"/>
  <c r="E46" i="34"/>
  <c r="F59" i="38"/>
  <c r="E74" i="39"/>
  <c r="E20" i="32"/>
  <c r="F12" i="32"/>
  <c r="F16" i="39"/>
  <c r="F17" i="39"/>
  <c r="F11" i="34"/>
  <c r="E57" i="39"/>
  <c r="F7" i="55"/>
  <c r="F60" i="36"/>
  <c r="E67" i="38"/>
  <c r="F38" i="36"/>
  <c r="E53" i="35"/>
  <c r="E60" i="35" s="1"/>
  <c r="E170" i="39"/>
  <c r="F53" i="35"/>
  <c r="F60" i="35" s="1"/>
  <c r="F170" i="39"/>
  <c r="I74" i="58"/>
  <c r="E53" i="34"/>
  <c r="I69" i="58"/>
  <c r="E53" i="28"/>
  <c r="H79" i="58"/>
  <c r="E162" i="39"/>
  <c r="F61" i="41"/>
  <c r="E5" i="40"/>
  <c r="E64" i="40" s="1"/>
  <c r="F74" i="39"/>
  <c r="F20" i="32"/>
  <c r="E18" i="33"/>
  <c r="E72" i="39"/>
  <c r="F8" i="55"/>
  <c r="F57" i="39"/>
  <c r="E8" i="55"/>
  <c r="E59" i="39"/>
  <c r="E7" i="55"/>
  <c r="E91" i="39"/>
  <c r="E184" i="39"/>
  <c r="M18" i="55"/>
  <c r="E43" i="40"/>
  <c r="E30" i="28"/>
  <c r="F38" i="29"/>
  <c r="F39" i="29" s="1"/>
  <c r="E51" i="33"/>
  <c r="E55" i="38"/>
  <c r="F52" i="40"/>
  <c r="F51" i="38"/>
  <c r="F66" i="38" s="1"/>
  <c r="J98" i="58" s="1"/>
  <c r="F39" i="37"/>
  <c r="H99" i="58"/>
  <c r="F162" i="39"/>
  <c r="E51" i="27"/>
  <c r="J67" i="58"/>
  <c r="E52" i="40"/>
  <c r="I89" i="58"/>
  <c r="F53" i="28"/>
  <c r="F53" i="32"/>
  <c r="F31" i="32"/>
  <c r="H75" i="58"/>
  <c r="E57" i="35"/>
  <c r="E75" i="39"/>
  <c r="E21" i="32"/>
  <c r="F18" i="33"/>
  <c r="F72" i="39"/>
  <c r="F51" i="33"/>
  <c r="F48" i="35"/>
  <c r="M47" i="64"/>
  <c r="F43" i="29"/>
  <c r="H90" i="58"/>
  <c r="F73" i="39"/>
  <c r="F17" i="34"/>
  <c r="E47" i="28"/>
  <c r="E58" i="35"/>
  <c r="I75" i="58"/>
  <c r="E59" i="38"/>
  <c r="E31" i="38"/>
  <c r="F75" i="39"/>
  <c r="F21" i="32"/>
  <c r="F43" i="40"/>
  <c r="F47" i="33"/>
  <c r="E38" i="36"/>
  <c r="E60" i="36"/>
  <c r="E46" i="39"/>
  <c r="E134" i="39" s="1"/>
  <c r="E168" i="39" s="1"/>
  <c r="E12" i="35"/>
  <c r="E62" i="35" s="1"/>
  <c r="I92" i="58"/>
  <c r="F61" i="32"/>
  <c r="F64" i="38"/>
  <c r="H98" i="58"/>
  <c r="F52" i="34"/>
  <c r="H94" i="58"/>
  <c r="F34" i="40"/>
  <c r="E61" i="37"/>
  <c r="F30" i="28"/>
  <c r="F61" i="37"/>
  <c r="F30" i="37"/>
  <c r="E43" i="29"/>
  <c r="H70" i="58"/>
  <c r="E52" i="34"/>
  <c r="H74" i="58"/>
  <c r="E67" i="37"/>
  <c r="H77" i="58"/>
  <c r="H95" i="58"/>
  <c r="F57" i="35"/>
  <c r="E15" i="34"/>
  <c r="E45" i="39"/>
  <c r="E136" i="39" s="1"/>
  <c r="E167" i="39" s="1"/>
  <c r="F45" i="39"/>
  <c r="F136" i="39" s="1"/>
  <c r="F167" i="39" s="1"/>
  <c r="F15" i="34"/>
  <c r="E73" i="39"/>
  <c r="E17" i="34"/>
  <c r="M32" i="64"/>
  <c r="F67" i="36"/>
  <c r="E47" i="35"/>
  <c r="E44" i="35"/>
  <c r="F47" i="35"/>
  <c r="F44" i="35"/>
  <c r="E34" i="29"/>
  <c r="E37" i="29"/>
  <c r="E34" i="40"/>
  <c r="E55" i="40"/>
  <c r="F55" i="40"/>
  <c r="E29" i="27"/>
  <c r="E42" i="27"/>
  <c r="F29" i="27"/>
  <c r="F42" i="27"/>
  <c r="F24" i="39"/>
  <c r="F264" i="41"/>
  <c r="E24" i="39" s="1"/>
  <c r="E121" i="39" s="1"/>
  <c r="F269" i="41"/>
  <c r="E25" i="39" s="1"/>
  <c r="E108" i="39" s="1"/>
  <c r="F15" i="39"/>
  <c r="F21" i="39"/>
  <c r="F124" i="39" s="1"/>
  <c r="G273" i="41"/>
  <c r="F26" i="39" s="1"/>
  <c r="F111" i="39" s="1"/>
  <c r="F18" i="39"/>
  <c r="F127" i="39" s="1"/>
  <c r="F25" i="39"/>
  <c r="F20" i="39"/>
  <c r="F125" i="39" s="1"/>
  <c r="F273" i="41"/>
  <c r="E26" i="39" s="1"/>
  <c r="E111" i="39" s="1"/>
  <c r="F22" i="39"/>
  <c r="F123" i="39" s="1"/>
  <c r="F14" i="39"/>
  <c r="F23" i="39"/>
  <c r="F19" i="39"/>
  <c r="F126" i="39" s="1"/>
  <c r="F11" i="38"/>
  <c r="F34" i="38" s="1"/>
  <c r="F40" i="38" s="1"/>
  <c r="G1" i="41"/>
  <c r="Y16" i="69"/>
  <c r="R16" i="69"/>
  <c r="G16" i="69"/>
  <c r="Y15" i="69"/>
  <c r="R15" i="69"/>
  <c r="G15" i="69"/>
  <c r="Y14" i="69"/>
  <c r="R14" i="69"/>
  <c r="G14" i="69"/>
  <c r="H14" i="69" s="1"/>
  <c r="K14" i="69" s="1"/>
  <c r="L14" i="69" s="1"/>
  <c r="B14" i="69"/>
  <c r="AB13" i="69"/>
  <c r="Y13" i="69"/>
  <c r="AB12" i="69"/>
  <c r="Y12" i="69"/>
  <c r="R12" i="69"/>
  <c r="G12" i="69"/>
  <c r="Y11" i="69"/>
  <c r="R11" i="69"/>
  <c r="G11" i="69"/>
  <c r="H11" i="69" s="1"/>
  <c r="K11" i="69" s="1"/>
  <c r="L11" i="69" s="1"/>
  <c r="B11" i="69"/>
  <c r="S11" i="69" s="1"/>
  <c r="Y9" i="69"/>
  <c r="R9" i="69"/>
  <c r="G9" i="69"/>
  <c r="Y8" i="69"/>
  <c r="R8" i="69"/>
  <c r="G8" i="69"/>
  <c r="Y7" i="69"/>
  <c r="R7" i="69"/>
  <c r="G7" i="69"/>
  <c r="Y6" i="69"/>
  <c r="R6" i="69"/>
  <c r="K6" i="69"/>
  <c r="G6" i="69"/>
  <c r="Q67" i="50" l="1"/>
  <c r="D4" i="54"/>
  <c r="G4" i="48"/>
  <c r="J71" i="58"/>
  <c r="M20" i="55"/>
  <c r="M17" i="55"/>
  <c r="E107" i="39"/>
  <c r="E109" i="39"/>
  <c r="A15" i="46"/>
  <c r="A8" i="55"/>
  <c r="A6" i="46"/>
  <c r="E57" i="40"/>
  <c r="E15" i="39"/>
  <c r="E11" i="38"/>
  <c r="E34" i="38" s="1"/>
  <c r="E40" i="38" s="1"/>
  <c r="E11" i="33"/>
  <c r="E56" i="33" s="1"/>
  <c r="E53" i="32"/>
  <c r="F74" i="36"/>
  <c r="E44" i="27"/>
  <c r="A85" i="58"/>
  <c r="F1" i="39"/>
  <c r="F1" i="31"/>
  <c r="F1" i="36"/>
  <c r="F1" i="40"/>
  <c r="F1" i="34"/>
  <c r="F1" i="33"/>
  <c r="F1" i="37"/>
  <c r="F1" i="28"/>
  <c r="F1" i="32"/>
  <c r="F1" i="35"/>
  <c r="F1" i="38"/>
  <c r="F1" i="29"/>
  <c r="F1" i="27"/>
  <c r="E35" i="32"/>
  <c r="E31" i="32"/>
  <c r="F52" i="33"/>
  <c r="F48" i="28"/>
  <c r="I71" i="58"/>
  <c r="Q52" i="50" s="1"/>
  <c r="F62" i="37"/>
  <c r="F91" i="39"/>
  <c r="F185" i="39" s="1"/>
  <c r="F184" i="39"/>
  <c r="J89" i="58"/>
  <c r="F11" i="32"/>
  <c r="F40" i="32" s="1"/>
  <c r="F69" i="37"/>
  <c r="E52" i="33"/>
  <c r="I93" i="58"/>
  <c r="I73" i="58"/>
  <c r="F62" i="31"/>
  <c r="F145" i="39"/>
  <c r="F1" i="41"/>
  <c r="A7" i="47"/>
  <c r="A15" i="47"/>
  <c r="F180" i="39"/>
  <c r="H7" i="69"/>
  <c r="K7" i="69" s="1"/>
  <c r="L7" i="69" s="1"/>
  <c r="E39" i="29"/>
  <c r="I76" i="58"/>
  <c r="E180" i="39"/>
  <c r="E69" i="36"/>
  <c r="F44" i="27"/>
  <c r="L51" i="64"/>
  <c r="F42" i="38"/>
  <c r="F65" i="38" s="1"/>
  <c r="F70" i="38" s="1"/>
  <c r="F58" i="38"/>
  <c r="F60" i="38" s="1"/>
  <c r="F11" i="33"/>
  <c r="F56" i="33" s="1"/>
  <c r="E62" i="31"/>
  <c r="F181" i="39"/>
  <c r="E97" i="39"/>
  <c r="E98" i="39" s="1"/>
  <c r="E137" i="39" s="1"/>
  <c r="F69" i="36"/>
  <c r="F57" i="40"/>
  <c r="F122" i="39"/>
  <c r="N21" i="55" s="1"/>
  <c r="H8" i="55" s="1"/>
  <c r="E62" i="37"/>
  <c r="J91" i="58"/>
  <c r="H15" i="69"/>
  <c r="K15" i="69" s="1"/>
  <c r="L15" i="69" s="1"/>
  <c r="G6" i="46"/>
  <c r="G15" i="46"/>
  <c r="J90" i="58"/>
  <c r="J69" i="58"/>
  <c r="M51" i="64"/>
  <c r="E145" i="39"/>
  <c r="F49" i="35"/>
  <c r="E49" i="35"/>
  <c r="F48" i="29"/>
  <c r="B90" i="58" s="1"/>
  <c r="F97" i="39"/>
  <c r="F59" i="35"/>
  <c r="F65" i="35" s="1"/>
  <c r="B95" i="58" s="1"/>
  <c r="J95" i="58"/>
  <c r="E56" i="34"/>
  <c r="E38" i="34"/>
  <c r="F59" i="33"/>
  <c r="J93" i="58"/>
  <c r="H78" i="58"/>
  <c r="E64" i="38"/>
  <c r="F34" i="34"/>
  <c r="F57" i="34"/>
  <c r="F51" i="34"/>
  <c r="H92" i="58"/>
  <c r="F60" i="32"/>
  <c r="E62" i="40"/>
  <c r="I68" i="58"/>
  <c r="E69" i="37"/>
  <c r="J77" i="58"/>
  <c r="F67" i="31"/>
  <c r="I91" i="58"/>
  <c r="F49" i="27"/>
  <c r="H87" i="58"/>
  <c r="E61" i="40"/>
  <c r="H68" i="58"/>
  <c r="F62" i="40"/>
  <c r="I88" i="58"/>
  <c r="F129" i="39"/>
  <c r="F166" i="39" s="1"/>
  <c r="F182" i="39"/>
  <c r="F68" i="37"/>
  <c r="I97" i="58"/>
  <c r="E66" i="31"/>
  <c r="E71" i="31" s="1"/>
  <c r="H71" i="58"/>
  <c r="E59" i="35"/>
  <c r="E65" i="35" s="1"/>
  <c r="J75" i="58"/>
  <c r="H97" i="58"/>
  <c r="F67" i="37"/>
  <c r="F128" i="39"/>
  <c r="E59" i="33"/>
  <c r="J73" i="58"/>
  <c r="E49" i="27"/>
  <c r="E54" i="27" s="1"/>
  <c r="H67" i="58"/>
  <c r="F63" i="40"/>
  <c r="J88" i="58"/>
  <c r="E185" i="39"/>
  <c r="M14" i="55"/>
  <c r="E68" i="37"/>
  <c r="I77" i="58"/>
  <c r="E73" i="36"/>
  <c r="H76" i="58"/>
  <c r="F52" i="28"/>
  <c r="F56" i="28" s="1"/>
  <c r="H89" i="58"/>
  <c r="E41" i="32"/>
  <c r="E59" i="32"/>
  <c r="E63" i="40"/>
  <c r="J68" i="58"/>
  <c r="F179" i="39"/>
  <c r="F73" i="36"/>
  <c r="H96" i="58"/>
  <c r="E52" i="28"/>
  <c r="E56" i="28" s="1"/>
  <c r="H69" i="58"/>
  <c r="F38" i="34"/>
  <c r="F56" i="34"/>
  <c r="E48" i="28"/>
  <c r="A8" i="48"/>
  <c r="D8" i="48" s="1"/>
  <c r="A28" i="54"/>
  <c r="A18" i="54"/>
  <c r="A8" i="54"/>
  <c r="M6" i="64"/>
  <c r="M35" i="64"/>
  <c r="F6" i="64"/>
  <c r="F35" i="64"/>
  <c r="M23" i="64"/>
  <c r="F56" i="64"/>
  <c r="F23" i="64"/>
  <c r="M50" i="64"/>
  <c r="E45" i="29"/>
  <c r="E48" i="29" s="1"/>
  <c r="B70" i="58" s="1"/>
  <c r="J70" i="58"/>
  <c r="F61" i="40"/>
  <c r="H88" i="58"/>
  <c r="E75" i="36"/>
  <c r="J76" i="58"/>
  <c r="F41" i="32"/>
  <c r="F59" i="32"/>
  <c r="F75" i="36"/>
  <c r="J96" i="58"/>
  <c r="F66" i="31"/>
  <c r="H91" i="58"/>
  <c r="H8" i="69"/>
  <c r="K8" i="69" s="1"/>
  <c r="T11" i="69"/>
  <c r="H12" i="69"/>
  <c r="K12" i="69" s="1"/>
  <c r="L12" i="69" s="1"/>
  <c r="U11" i="69"/>
  <c r="V11" i="69"/>
  <c r="C6" i="69"/>
  <c r="S14" i="69"/>
  <c r="T14" i="69"/>
  <c r="U14" i="69"/>
  <c r="V14" i="69"/>
  <c r="Q46" i="50" l="1"/>
  <c r="Q53" i="50"/>
  <c r="Q60" i="50"/>
  <c r="Q74" i="50"/>
  <c r="F65" i="40"/>
  <c r="M15" i="55"/>
  <c r="E179" i="39"/>
  <c r="G263" i="41"/>
  <c r="F60" i="39" s="1"/>
  <c r="A27" i="54"/>
  <c r="A14" i="46"/>
  <c r="A5" i="46"/>
  <c r="A7" i="55"/>
  <c r="N35" i="55"/>
  <c r="N25" i="55"/>
  <c r="N13" i="55"/>
  <c r="E14" i="39"/>
  <c r="E58" i="38"/>
  <c r="E60" i="38" s="1"/>
  <c r="E42" i="38"/>
  <c r="E65" i="38" s="1"/>
  <c r="E70" i="38" s="1"/>
  <c r="E23" i="39"/>
  <c r="E22" i="39"/>
  <c r="E19" i="39"/>
  <c r="E21" i="39"/>
  <c r="E17" i="39"/>
  <c r="E11" i="34"/>
  <c r="E20" i="39"/>
  <c r="E18" i="39"/>
  <c r="E11" i="32"/>
  <c r="L6" i="64"/>
  <c r="L50" i="64"/>
  <c r="A7" i="54"/>
  <c r="E66" i="64"/>
  <c r="E28" i="36" s="1"/>
  <c r="E79" i="36" s="1"/>
  <c r="L35" i="64"/>
  <c r="E64" i="64"/>
  <c r="E22" i="34" s="1"/>
  <c r="E60" i="34" s="1"/>
  <c r="E68" i="64"/>
  <c r="E26" i="38" s="1"/>
  <c r="E71" i="38" s="1"/>
  <c r="E67" i="64"/>
  <c r="E25" i="37" s="1"/>
  <c r="E73" i="37" s="1"/>
  <c r="A65" i="58"/>
  <c r="E1" i="36"/>
  <c r="E1" i="40"/>
  <c r="E1" i="27"/>
  <c r="E1" i="39"/>
  <c r="E1" i="31"/>
  <c r="E1" i="34"/>
  <c r="E1" i="29"/>
  <c r="E1" i="37"/>
  <c r="E1" i="28"/>
  <c r="E1" i="32"/>
  <c r="E1" i="35"/>
  <c r="E1" i="33"/>
  <c r="E1" i="38"/>
  <c r="E62" i="64"/>
  <c r="E26" i="32" s="1"/>
  <c r="E58" i="64"/>
  <c r="E24" i="40" s="1"/>
  <c r="E66" i="40" s="1"/>
  <c r="E57" i="64"/>
  <c r="E18" i="27" s="1"/>
  <c r="E55" i="27" s="1"/>
  <c r="E56" i="27" s="1"/>
  <c r="E60" i="32"/>
  <c r="H72" i="58"/>
  <c r="H80" i="58" s="1"/>
  <c r="I72" i="58"/>
  <c r="E61" i="32"/>
  <c r="Q59" i="50"/>
  <c r="Q66" i="50"/>
  <c r="N14" i="55"/>
  <c r="E60" i="64"/>
  <c r="E16" i="29" s="1"/>
  <c r="E49" i="29" s="1"/>
  <c r="E50" i="29" s="1"/>
  <c r="C70" i="58" s="1"/>
  <c r="E63" i="64"/>
  <c r="E24" i="33" s="1"/>
  <c r="E62" i="33" s="1"/>
  <c r="E65" i="64"/>
  <c r="E22" i="35" s="1"/>
  <c r="E66" i="35" s="1"/>
  <c r="E67" i="35" s="1"/>
  <c r="C75" i="58" s="1"/>
  <c r="E59" i="64"/>
  <c r="E20" i="28" s="1"/>
  <c r="E57" i="28" s="1"/>
  <c r="E58" i="28" s="1"/>
  <c r="E61" i="64"/>
  <c r="E27" i="31" s="1"/>
  <c r="E72" i="31" s="1"/>
  <c r="E73" i="31" s="1"/>
  <c r="E23" i="64"/>
  <c r="A17" i="54"/>
  <c r="E56" i="64"/>
  <c r="A7" i="48"/>
  <c r="D7" i="48" s="1"/>
  <c r="L23" i="64"/>
  <c r="E1" i="41"/>
  <c r="E35" i="64"/>
  <c r="E6" i="64"/>
  <c r="F58" i="32"/>
  <c r="A14" i="47"/>
  <c r="A6" i="47"/>
  <c r="E106" i="39"/>
  <c r="E116" i="39" s="1"/>
  <c r="I98" i="58"/>
  <c r="Q45" i="50"/>
  <c r="Q73" i="50"/>
  <c r="F61" i="33"/>
  <c r="B93" i="58" s="1"/>
  <c r="F71" i="31"/>
  <c r="B91" i="58" s="1"/>
  <c r="H16" i="69"/>
  <c r="K16" i="69" s="1"/>
  <c r="H17" i="69" s="1"/>
  <c r="K17" i="69" s="1"/>
  <c r="E72" i="37"/>
  <c r="E61" i="33"/>
  <c r="B73" i="58" s="1"/>
  <c r="B75" i="58"/>
  <c r="F72" i="37"/>
  <c r="B97" i="58" s="1"/>
  <c r="F98" i="39"/>
  <c r="F137" i="39" s="1"/>
  <c r="F106" i="39"/>
  <c r="F78" i="36"/>
  <c r="F47" i="32"/>
  <c r="G7" i="55"/>
  <c r="E78" i="36"/>
  <c r="B71" i="58"/>
  <c r="B67" i="58"/>
  <c r="B98" i="58"/>
  <c r="E65" i="40"/>
  <c r="F40" i="34"/>
  <c r="H100" i="58"/>
  <c r="B69" i="58"/>
  <c r="H102" i="58"/>
  <c r="B89" i="58"/>
  <c r="H9" i="69"/>
  <c r="K9" i="69" s="1"/>
  <c r="L9" i="69" s="1"/>
  <c r="L8" i="69"/>
  <c r="M6" i="69"/>
  <c r="AC6" i="69"/>
  <c r="C14" i="69"/>
  <c r="M14" i="69" s="1"/>
  <c r="C11" i="69"/>
  <c r="Q81" i="50" l="1"/>
  <c r="F121" i="39"/>
  <c r="N20" i="55" s="1"/>
  <c r="N15" i="55" s="1"/>
  <c r="G8" i="55" s="1"/>
  <c r="I8" i="55" s="1"/>
  <c r="M8" i="55" s="1"/>
  <c r="N8" i="55" s="1"/>
  <c r="S8" i="55" s="1"/>
  <c r="E118" i="39"/>
  <c r="E127" i="39"/>
  <c r="E123" i="39"/>
  <c r="E181" i="39"/>
  <c r="E122" i="39"/>
  <c r="E124" i="39"/>
  <c r="E125" i="39"/>
  <c r="E126" i="39"/>
  <c r="G265" i="41"/>
  <c r="F61" i="39" s="1"/>
  <c r="F92" i="39" s="1"/>
  <c r="G268" i="41"/>
  <c r="F64" i="39" s="1"/>
  <c r="F108" i="39" s="1"/>
  <c r="D1" i="41"/>
  <c r="A5" i="55" s="1"/>
  <c r="A13" i="46"/>
  <c r="A6" i="55"/>
  <c r="E128" i="39"/>
  <c r="M13" i="55"/>
  <c r="M25" i="55"/>
  <c r="M35" i="55"/>
  <c r="H18" i="69"/>
  <c r="K18" i="69" s="1"/>
  <c r="L17" i="69"/>
  <c r="C190" i="39" s="1"/>
  <c r="I78" i="58"/>
  <c r="E57" i="34"/>
  <c r="E51" i="34"/>
  <c r="E34" i="34"/>
  <c r="E40" i="34" s="1"/>
  <c r="E42" i="34" s="1"/>
  <c r="J74" i="58" s="1"/>
  <c r="E129" i="39"/>
  <c r="E182" i="39"/>
  <c r="E58" i="32"/>
  <c r="E40" i="32"/>
  <c r="E69" i="64"/>
  <c r="E72" i="38"/>
  <c r="C78" i="58" s="1"/>
  <c r="E74" i="37"/>
  <c r="C77" i="58" s="1"/>
  <c r="A6" i="48"/>
  <c r="H82" i="58"/>
  <c r="C7" i="54" s="1"/>
  <c r="E67" i="32"/>
  <c r="D1" i="33"/>
  <c r="D1" i="36"/>
  <c r="D1" i="40"/>
  <c r="D1" i="38"/>
  <c r="D1" i="29"/>
  <c r="D1" i="39"/>
  <c r="D1" i="31"/>
  <c r="D1" i="34"/>
  <c r="D1" i="28"/>
  <c r="D1" i="37"/>
  <c r="D1" i="32"/>
  <c r="D1" i="27"/>
  <c r="D1" i="35"/>
  <c r="F139" i="39"/>
  <c r="E163" i="39"/>
  <c r="E71" i="35"/>
  <c r="D75" i="58" s="1"/>
  <c r="E73" i="35"/>
  <c r="E75" i="58" s="1"/>
  <c r="E75" i="35"/>
  <c r="F75" i="58" s="1"/>
  <c r="A13" i="47"/>
  <c r="A45" i="58"/>
  <c r="A6" i="54"/>
  <c r="A26" i="54"/>
  <c r="A16" i="54"/>
  <c r="F7" i="47"/>
  <c r="L16" i="69"/>
  <c r="B190" i="39" s="1"/>
  <c r="E63" i="33"/>
  <c r="E69" i="33" s="1"/>
  <c r="E73" i="58" s="1"/>
  <c r="B77" i="58"/>
  <c r="B78" i="58"/>
  <c r="E56" i="29"/>
  <c r="E70" i="58" s="1"/>
  <c r="E58" i="29"/>
  <c r="F70" i="58" s="1"/>
  <c r="E54" i="29"/>
  <c r="D70" i="58" s="1"/>
  <c r="C67" i="58"/>
  <c r="E60" i="27"/>
  <c r="E64" i="27"/>
  <c r="F67" i="58" s="1"/>
  <c r="E62" i="27"/>
  <c r="E67" i="58" s="1"/>
  <c r="F42" i="34"/>
  <c r="F45" i="34"/>
  <c r="F47" i="34" s="1"/>
  <c r="B88" i="58"/>
  <c r="E67" i="40"/>
  <c r="B68" i="58"/>
  <c r="F49" i="32"/>
  <c r="F52" i="32"/>
  <c r="F54" i="32" s="1"/>
  <c r="B96" i="58"/>
  <c r="C69" i="58"/>
  <c r="E64" i="28"/>
  <c r="E69" i="58" s="1"/>
  <c r="E62" i="28"/>
  <c r="E66" i="28"/>
  <c r="F69" i="58" s="1"/>
  <c r="E80" i="36"/>
  <c r="B76" i="58"/>
  <c r="F8" i="48"/>
  <c r="C8" i="54"/>
  <c r="C71" i="58"/>
  <c r="E79" i="31"/>
  <c r="E71" i="58" s="1"/>
  <c r="E81" i="31"/>
  <c r="F71" i="58" s="1"/>
  <c r="E77" i="31"/>
  <c r="M11" i="69"/>
  <c r="AC11" i="69"/>
  <c r="B15" i="69"/>
  <c r="P14" i="69"/>
  <c r="P6" i="69"/>
  <c r="Q7" i="69" s="1"/>
  <c r="B7" i="69"/>
  <c r="C1" i="32" l="1"/>
  <c r="C1" i="27"/>
  <c r="C1" i="37"/>
  <c r="C1" i="36"/>
  <c r="A5" i="54"/>
  <c r="C1" i="33"/>
  <c r="C1" i="29"/>
  <c r="C1" i="28"/>
  <c r="A5" i="48"/>
  <c r="D5" i="48" s="1"/>
  <c r="C1" i="41"/>
  <c r="A4" i="55" s="1"/>
  <c r="C1" i="38"/>
  <c r="C1" i="35"/>
  <c r="A25" i="54"/>
  <c r="A15" i="54"/>
  <c r="A25" i="58"/>
  <c r="F141" i="39"/>
  <c r="F164" i="39" s="1"/>
  <c r="I79" i="58"/>
  <c r="E166" i="39"/>
  <c r="M21" i="55"/>
  <c r="H7" i="55" s="1"/>
  <c r="I7" i="55" s="1"/>
  <c r="M7" i="55" s="1"/>
  <c r="N7" i="55" s="1"/>
  <c r="S7" i="55" s="1"/>
  <c r="Q80" i="50"/>
  <c r="C1" i="34"/>
  <c r="C1" i="31"/>
  <c r="C1" i="39"/>
  <c r="C1" i="40"/>
  <c r="F6" i="47"/>
  <c r="G266" i="41"/>
  <c r="F62" i="39" s="1"/>
  <c r="F93" i="39" s="1"/>
  <c r="F163" i="39" s="1"/>
  <c r="G270" i="41"/>
  <c r="F65" i="39" s="1"/>
  <c r="F94" i="39" s="1"/>
  <c r="F109" i="39" s="1"/>
  <c r="E54" i="34"/>
  <c r="E59" i="34" s="1"/>
  <c r="B74" i="58" s="1"/>
  <c r="L18" i="69"/>
  <c r="D190" i="39" s="1"/>
  <c r="H19" i="69"/>
  <c r="K19" i="69" s="1"/>
  <c r="L19" i="69" s="1"/>
  <c r="L35" i="55"/>
  <c r="L25" i="55"/>
  <c r="L13" i="55"/>
  <c r="R8" i="55"/>
  <c r="C6" i="46" s="1"/>
  <c r="E80" i="37"/>
  <c r="E77" i="58" s="1"/>
  <c r="E78" i="37"/>
  <c r="D77" i="58" s="1"/>
  <c r="E82" i="37"/>
  <c r="F77" i="58" s="1"/>
  <c r="E45" i="34"/>
  <c r="E47" i="34" s="1"/>
  <c r="E47" i="32"/>
  <c r="E78" i="38"/>
  <c r="E78" i="58" s="1"/>
  <c r="E80" i="38"/>
  <c r="F78" i="58" s="1"/>
  <c r="E76" i="38"/>
  <c r="D78" i="58" s="1"/>
  <c r="E139" i="39"/>
  <c r="F7" i="48"/>
  <c r="E76" i="35"/>
  <c r="E78" i="35"/>
  <c r="G75" i="58" s="1"/>
  <c r="E71" i="33"/>
  <c r="F73" i="58" s="1"/>
  <c r="E67" i="33"/>
  <c r="D73" i="58" s="1"/>
  <c r="C73" i="58"/>
  <c r="L59" i="50"/>
  <c r="L52" i="50"/>
  <c r="E59" i="29"/>
  <c r="E61" i="29"/>
  <c r="G70" i="58" s="1"/>
  <c r="E67" i="27"/>
  <c r="G67" i="58" s="1"/>
  <c r="D69" i="58"/>
  <c r="E69" i="28"/>
  <c r="G69" i="58" s="1"/>
  <c r="E67" i="28"/>
  <c r="C68" i="58"/>
  <c r="E75" i="40"/>
  <c r="F68" i="58" s="1"/>
  <c r="E73" i="40"/>
  <c r="E68" i="58" s="1"/>
  <c r="E71" i="40"/>
  <c r="F54" i="34"/>
  <c r="F59" i="34" s="1"/>
  <c r="J94" i="58"/>
  <c r="E84" i="31"/>
  <c r="G71" i="58" s="1"/>
  <c r="C76" i="58"/>
  <c r="E86" i="36"/>
  <c r="E76" i="58" s="1"/>
  <c r="E84" i="36"/>
  <c r="E88" i="36"/>
  <c r="F76" i="58" s="1"/>
  <c r="F62" i="32"/>
  <c r="F66" i="32" s="1"/>
  <c r="J92" i="58"/>
  <c r="D67" i="58"/>
  <c r="E65" i="27"/>
  <c r="D71" i="58"/>
  <c r="E82" i="31"/>
  <c r="S7" i="69"/>
  <c r="S15" i="69"/>
  <c r="V15" i="69"/>
  <c r="T15" i="69"/>
  <c r="U15" i="69"/>
  <c r="B12" i="69"/>
  <c r="P11" i="69"/>
  <c r="A24" i="54" l="1"/>
  <c r="B1" i="37"/>
  <c r="B1" i="27"/>
  <c r="A14" i="54"/>
  <c r="B1" i="35"/>
  <c r="B1" i="31"/>
  <c r="B1" i="28"/>
  <c r="A5" i="58"/>
  <c r="B1" i="40"/>
  <c r="B1" i="36"/>
  <c r="A4" i="54"/>
  <c r="A4" i="48"/>
  <c r="D4" i="48" s="1"/>
  <c r="B1" i="33"/>
  <c r="B1" i="29"/>
  <c r="B1" i="34"/>
  <c r="B1" i="39"/>
  <c r="B1" i="32"/>
  <c r="B1" i="38"/>
  <c r="J99" i="58"/>
  <c r="E190" i="39"/>
  <c r="H20" i="69"/>
  <c r="L73" i="50"/>
  <c r="I82" i="58"/>
  <c r="C17" i="54" s="1"/>
  <c r="R7" i="55"/>
  <c r="C5" i="46" s="1"/>
  <c r="I80" i="58"/>
  <c r="L80" i="50"/>
  <c r="E61" i="34"/>
  <c r="E65" i="34" s="1"/>
  <c r="E85" i="37"/>
  <c r="G77" i="58" s="1"/>
  <c r="F107" i="39"/>
  <c r="F116" i="39" s="1"/>
  <c r="C15" i="46"/>
  <c r="E83" i="37"/>
  <c r="E83" i="38"/>
  <c r="G78" i="58" s="1"/>
  <c r="E141" i="39"/>
  <c r="E144" i="39"/>
  <c r="E81" i="38"/>
  <c r="E52" i="32"/>
  <c r="E49" i="32"/>
  <c r="E74" i="33"/>
  <c r="G73" i="58" s="1"/>
  <c r="E72" i="33"/>
  <c r="L66" i="50"/>
  <c r="L45" i="50"/>
  <c r="N52" i="50"/>
  <c r="N73" i="50"/>
  <c r="M52" i="50"/>
  <c r="N80" i="50"/>
  <c r="N59" i="50"/>
  <c r="E78" i="40"/>
  <c r="G68" i="58" s="1"/>
  <c r="D76" i="58"/>
  <c r="E89" i="36"/>
  <c r="E15" i="47"/>
  <c r="D68" i="58"/>
  <c r="E76" i="40"/>
  <c r="B92" i="58"/>
  <c r="E91" i="36"/>
  <c r="G76" i="58" s="1"/>
  <c r="B94" i="58"/>
  <c r="C15" i="69"/>
  <c r="M15" i="69" s="1"/>
  <c r="C7" i="69"/>
  <c r="T12" i="69"/>
  <c r="S12" i="69"/>
  <c r="U12" i="69"/>
  <c r="V12" i="69"/>
  <c r="C14" i="46" l="1"/>
  <c r="J100" i="58"/>
  <c r="K20" i="69"/>
  <c r="L20" i="69" s="1"/>
  <c r="F190" i="39" s="1"/>
  <c r="J102" i="58"/>
  <c r="F144" i="39"/>
  <c r="F146" i="39" s="1"/>
  <c r="B27" i="48"/>
  <c r="C74" i="58"/>
  <c r="M73" i="50"/>
  <c r="E146" i="39"/>
  <c r="M80" i="50"/>
  <c r="E67" i="34"/>
  <c r="E74" i="58" s="1"/>
  <c r="E69" i="34"/>
  <c r="F74" i="58" s="1"/>
  <c r="F118" i="39"/>
  <c r="I99" i="58" s="1"/>
  <c r="E62" i="32"/>
  <c r="J72" i="58"/>
  <c r="E54" i="32"/>
  <c r="J79" i="58"/>
  <c r="E164" i="39"/>
  <c r="M59" i="50"/>
  <c r="M66" i="50"/>
  <c r="M45" i="50"/>
  <c r="N66" i="50"/>
  <c r="D74" i="58"/>
  <c r="C6" i="47"/>
  <c r="N45" i="50"/>
  <c r="D6" i="47"/>
  <c r="E5" i="46"/>
  <c r="E14" i="46"/>
  <c r="AC7" i="69"/>
  <c r="M7" i="69"/>
  <c r="B16" i="69"/>
  <c r="P15" i="69"/>
  <c r="C12" i="69"/>
  <c r="F6" i="46" l="1"/>
  <c r="I102" i="58"/>
  <c r="F15" i="46"/>
  <c r="H15" i="46" s="1"/>
  <c r="C28" i="54"/>
  <c r="E72" i="34"/>
  <c r="G74" i="58" s="1"/>
  <c r="E188" i="39"/>
  <c r="E70" i="34"/>
  <c r="I100" i="58"/>
  <c r="J80" i="58"/>
  <c r="J82" i="58"/>
  <c r="E14" i="47"/>
  <c r="E66" i="32"/>
  <c r="M12" i="69"/>
  <c r="P12" i="69" s="1"/>
  <c r="AC12" i="69"/>
  <c r="AC13" i="69" s="1"/>
  <c r="Q16" i="69"/>
  <c r="S16" i="69"/>
  <c r="T16" i="69"/>
  <c r="V16" i="69"/>
  <c r="U16" i="69"/>
  <c r="P7" i="69"/>
  <c r="Q8" i="69" s="1"/>
  <c r="B8" i="69"/>
  <c r="C18" i="54" l="1"/>
  <c r="B79" i="58"/>
  <c r="B72" i="58"/>
  <c r="E68" i="32"/>
  <c r="F5" i="46"/>
  <c r="C27" i="54"/>
  <c r="F14" i="46"/>
  <c r="H14" i="46" s="1"/>
  <c r="C16" i="69"/>
  <c r="M16" i="69" s="1"/>
  <c r="S8" i="69"/>
  <c r="T8" i="69"/>
  <c r="Q15" i="69"/>
  <c r="P16" i="69" l="1"/>
  <c r="Q17" i="69" s="1"/>
  <c r="B17" i="69"/>
  <c r="C72" i="58"/>
  <c r="E72" i="32"/>
  <c r="E76" i="32"/>
  <c r="E74" i="32"/>
  <c r="B82" i="58"/>
  <c r="B80" i="58"/>
  <c r="C8" i="69"/>
  <c r="S17" i="69" l="1"/>
  <c r="V17" i="69"/>
  <c r="U17" i="69"/>
  <c r="T17" i="69"/>
  <c r="E72" i="58"/>
  <c r="F72" i="58"/>
  <c r="D72" i="58"/>
  <c r="E77" i="32"/>
  <c r="E79" i="32"/>
  <c r="M8" i="69"/>
  <c r="AC8" i="69"/>
  <c r="B14" i="47" l="1"/>
  <c r="B6" i="47"/>
  <c r="C17" i="69"/>
  <c r="M17" i="69" s="1"/>
  <c r="G72" i="58"/>
  <c r="P8" i="69"/>
  <c r="Q9" i="69" s="1"/>
  <c r="B9" i="69"/>
  <c r="C14" i="47" l="1"/>
  <c r="P17" i="69"/>
  <c r="Q18" i="69" s="1"/>
  <c r="B18" i="69"/>
  <c r="S9" i="69"/>
  <c r="U9" i="69"/>
  <c r="T9" i="69"/>
  <c r="S18" i="69" l="1"/>
  <c r="V18" i="69"/>
  <c r="T18" i="69"/>
  <c r="U18" i="69"/>
  <c r="C9" i="69"/>
  <c r="C18" i="69" l="1"/>
  <c r="M18" i="69" s="1"/>
  <c r="AC9" i="69"/>
  <c r="M9" i="69"/>
  <c r="P9" i="69" s="1"/>
  <c r="P18" i="69" l="1"/>
  <c r="B19" i="69"/>
  <c r="Q11" i="69"/>
  <c r="Q12" i="69"/>
  <c r="Q14" i="69"/>
  <c r="Q19" i="69" l="1"/>
  <c r="R19" i="69" s="1"/>
  <c r="C19" i="69" s="1"/>
  <c r="M19" i="69" s="1"/>
  <c r="S19" i="69"/>
  <c r="U19" i="69"/>
  <c r="V19" i="69"/>
  <c r="T19" i="69"/>
  <c r="D4" i="41"/>
  <c r="E4" i="41"/>
  <c r="C5" i="41"/>
  <c r="D5" i="41"/>
  <c r="E5" i="41"/>
  <c r="C6" i="41"/>
  <c r="D6" i="41"/>
  <c r="E6" i="41"/>
  <c r="C7" i="41"/>
  <c r="D7" i="41"/>
  <c r="E7" i="41"/>
  <c r="C8" i="41"/>
  <c r="D8" i="41"/>
  <c r="E8" i="41"/>
  <c r="C9" i="41"/>
  <c r="D9" i="41"/>
  <c r="E9" i="41"/>
  <c r="C10" i="41"/>
  <c r="D10" i="41"/>
  <c r="E10" i="41"/>
  <c r="C11" i="41"/>
  <c r="D11" i="41"/>
  <c r="E11" i="41"/>
  <c r="C12" i="41"/>
  <c r="D12" i="41"/>
  <c r="E12" i="41"/>
  <c r="C13" i="41"/>
  <c r="D13" i="41"/>
  <c r="E13" i="41"/>
  <c r="C14" i="41"/>
  <c r="D14" i="41"/>
  <c r="E14" i="41"/>
  <c r="C15" i="41"/>
  <c r="B8" i="29" s="1"/>
  <c r="D15" i="41"/>
  <c r="E15" i="41"/>
  <c r="C16" i="41"/>
  <c r="D16" i="41"/>
  <c r="E16" i="41"/>
  <c r="C17" i="41"/>
  <c r="D17" i="41"/>
  <c r="E17" i="41"/>
  <c r="C18" i="41"/>
  <c r="D18" i="41"/>
  <c r="E18" i="41"/>
  <c r="C19" i="41"/>
  <c r="D19" i="41"/>
  <c r="E19" i="41"/>
  <c r="C20" i="41"/>
  <c r="D20" i="41"/>
  <c r="E20" i="41"/>
  <c r="C21" i="41"/>
  <c r="D21" i="41"/>
  <c r="E21" i="41"/>
  <c r="C22" i="41"/>
  <c r="D22" i="41"/>
  <c r="E22" i="41"/>
  <c r="C23" i="41"/>
  <c r="D23" i="41"/>
  <c r="E23" i="41"/>
  <c r="C24" i="41"/>
  <c r="D24" i="41"/>
  <c r="E24" i="41"/>
  <c r="C25" i="41"/>
  <c r="D25" i="41"/>
  <c r="E25" i="41"/>
  <c r="C26" i="41"/>
  <c r="D26" i="41"/>
  <c r="E26" i="41"/>
  <c r="C27" i="41"/>
  <c r="D27" i="41"/>
  <c r="E27" i="41"/>
  <c r="C28" i="41"/>
  <c r="D28" i="41"/>
  <c r="E28" i="41"/>
  <c r="C29" i="41"/>
  <c r="D29" i="41"/>
  <c r="E29" i="41"/>
  <c r="C30" i="41"/>
  <c r="D30" i="41"/>
  <c r="E30" i="41"/>
  <c r="C31" i="41"/>
  <c r="D31" i="41"/>
  <c r="E31" i="41"/>
  <c r="C32" i="41"/>
  <c r="D32" i="41"/>
  <c r="E32" i="41"/>
  <c r="C33" i="41"/>
  <c r="D33" i="41"/>
  <c r="E33" i="41"/>
  <c r="C34" i="41"/>
  <c r="D34" i="41"/>
  <c r="E34" i="41"/>
  <c r="C35" i="41"/>
  <c r="D35" i="41"/>
  <c r="E35" i="41"/>
  <c r="C36" i="41"/>
  <c r="D36" i="41"/>
  <c r="E36" i="41"/>
  <c r="C37" i="41"/>
  <c r="D37" i="41"/>
  <c r="E37" i="41"/>
  <c r="C38" i="41"/>
  <c r="D38" i="41"/>
  <c r="E38" i="41"/>
  <c r="C39" i="41"/>
  <c r="D39" i="41"/>
  <c r="E39" i="41"/>
  <c r="C42" i="41"/>
  <c r="D42" i="41"/>
  <c r="E42" i="41"/>
  <c r="C44" i="41"/>
  <c r="D44" i="41"/>
  <c r="E44" i="41"/>
  <c r="C47" i="41"/>
  <c r="D47" i="41"/>
  <c r="C48" i="41"/>
  <c r="D48" i="41"/>
  <c r="E48" i="41"/>
  <c r="C49" i="41"/>
  <c r="D49" i="41"/>
  <c r="E49" i="41"/>
  <c r="C50" i="41"/>
  <c r="D50" i="41"/>
  <c r="E50" i="41"/>
  <c r="C51" i="41"/>
  <c r="D51" i="41"/>
  <c r="E51" i="41"/>
  <c r="C52" i="41"/>
  <c r="D52" i="41"/>
  <c r="E52" i="41"/>
  <c r="C53" i="41"/>
  <c r="D53" i="41"/>
  <c r="E53" i="41"/>
  <c r="C54" i="41"/>
  <c r="D54" i="41"/>
  <c r="E54" i="41"/>
  <c r="C55" i="41"/>
  <c r="D55" i="41"/>
  <c r="E55" i="41"/>
  <c r="C56" i="41"/>
  <c r="D56" i="41"/>
  <c r="E56" i="41"/>
  <c r="C57" i="41"/>
  <c r="D57" i="41"/>
  <c r="E57" i="41"/>
  <c r="C58" i="41"/>
  <c r="D58" i="41"/>
  <c r="E58" i="41"/>
  <c r="C60" i="41"/>
  <c r="D60" i="41"/>
  <c r="E60" i="41"/>
  <c r="C215" i="41"/>
  <c r="D215" i="41"/>
  <c r="E215" i="41"/>
  <c r="C216" i="41"/>
  <c r="D216" i="41"/>
  <c r="E216" i="41"/>
  <c r="C217" i="41"/>
  <c r="D217" i="41"/>
  <c r="E217" i="41"/>
  <c r="C218" i="41"/>
  <c r="D218" i="41"/>
  <c r="E218" i="41"/>
  <c r="C219" i="41"/>
  <c r="D219" i="41"/>
  <c r="E219" i="41"/>
  <c r="C220" i="41"/>
  <c r="D220" i="41"/>
  <c r="E220" i="41"/>
  <c r="C221" i="41"/>
  <c r="D221" i="41"/>
  <c r="E221" i="41"/>
  <c r="C222" i="41"/>
  <c r="D222" i="41"/>
  <c r="E222" i="41"/>
  <c r="C223" i="41"/>
  <c r="D223" i="41"/>
  <c r="E223" i="41"/>
  <c r="C224" i="41"/>
  <c r="D224" i="41"/>
  <c r="E224" i="41"/>
  <c r="C225" i="41"/>
  <c r="D225" i="41"/>
  <c r="E225" i="41"/>
  <c r="C226" i="41"/>
  <c r="D226" i="41"/>
  <c r="E226" i="41"/>
  <c r="C229" i="41"/>
  <c r="D229" i="41"/>
  <c r="E229" i="41"/>
  <c r="C235" i="41"/>
  <c r="D235" i="41"/>
  <c r="E235" i="41"/>
  <c r="C262" i="41"/>
  <c r="D262" i="41"/>
  <c r="E262" i="41"/>
  <c r="C263" i="41"/>
  <c r="D263" i="41"/>
  <c r="E263" i="41"/>
  <c r="C265" i="41"/>
  <c r="D265" i="41"/>
  <c r="E265" i="41"/>
  <c r="C266" i="41"/>
  <c r="D266" i="41"/>
  <c r="E266" i="41"/>
  <c r="C267" i="41"/>
  <c r="D267" i="41"/>
  <c r="E267" i="41"/>
  <c r="C268" i="41"/>
  <c r="D268" i="41"/>
  <c r="E268" i="41"/>
  <c r="C270" i="41"/>
  <c r="D270" i="41"/>
  <c r="E270" i="41"/>
  <c r="C271" i="41"/>
  <c r="D271" i="41"/>
  <c r="E271" i="41"/>
  <c r="C276" i="41"/>
  <c r="D276" i="41"/>
  <c r="E276" i="41"/>
  <c r="C277" i="41"/>
  <c r="D277" i="41"/>
  <c r="E277" i="41"/>
  <c r="P19" i="69" l="1"/>
  <c r="Q20" i="69" s="1"/>
  <c r="B20" i="69"/>
  <c r="B53" i="27"/>
  <c r="C53" i="27"/>
  <c r="V20" i="69" l="1"/>
  <c r="U20" i="69"/>
  <c r="T20" i="69"/>
  <c r="S20" i="69"/>
  <c r="B8" i="64"/>
  <c r="C8" i="64"/>
  <c r="D8" i="64"/>
  <c r="B9" i="64"/>
  <c r="C9" i="64"/>
  <c r="D9" i="64"/>
  <c r="B10" i="64"/>
  <c r="C10" i="64"/>
  <c r="D10" i="64"/>
  <c r="B11" i="64"/>
  <c r="C11" i="64"/>
  <c r="D11" i="64"/>
  <c r="B12" i="64"/>
  <c r="C12" i="64"/>
  <c r="D12" i="64"/>
  <c r="B13" i="64"/>
  <c r="C13" i="64"/>
  <c r="D13" i="64"/>
  <c r="B14" i="64"/>
  <c r="C14" i="64"/>
  <c r="D14" i="64"/>
  <c r="B15" i="64"/>
  <c r="C15" i="64"/>
  <c r="D15" i="64"/>
  <c r="B16" i="64"/>
  <c r="C16" i="64"/>
  <c r="D16" i="64"/>
  <c r="B17" i="64"/>
  <c r="C17" i="64"/>
  <c r="D17" i="64"/>
  <c r="B18" i="64"/>
  <c r="C18" i="64"/>
  <c r="D18" i="64"/>
  <c r="B7" i="64"/>
  <c r="C7" i="64"/>
  <c r="D7" i="64"/>
  <c r="C20" i="69" l="1"/>
  <c r="M20" i="69" s="1"/>
  <c r="P20" i="69" s="1"/>
  <c r="B36" i="64"/>
  <c r="I36" i="64" s="1"/>
  <c r="B24" i="64"/>
  <c r="C36" i="64"/>
  <c r="J36" i="64" s="1"/>
  <c r="B37" i="64"/>
  <c r="I37" i="64" s="1"/>
  <c r="C37" i="64"/>
  <c r="J37" i="64" s="1"/>
  <c r="B38" i="64"/>
  <c r="I38" i="64" s="1"/>
  <c r="C38" i="64"/>
  <c r="J38" i="64" s="1"/>
  <c r="B39" i="64"/>
  <c r="I39" i="64" s="1"/>
  <c r="C39" i="64"/>
  <c r="J39" i="64" s="1"/>
  <c r="B40" i="64"/>
  <c r="I40" i="64" s="1"/>
  <c r="C40" i="64"/>
  <c r="J40" i="64" s="1"/>
  <c r="B41" i="64"/>
  <c r="I41" i="64" s="1"/>
  <c r="C41" i="64"/>
  <c r="J41" i="64" s="1"/>
  <c r="B42" i="64"/>
  <c r="I42" i="64" s="1"/>
  <c r="C42" i="64"/>
  <c r="J42" i="64" s="1"/>
  <c r="B43" i="64"/>
  <c r="I43" i="64" s="1"/>
  <c r="C43" i="64"/>
  <c r="J43" i="64" s="1"/>
  <c r="B44" i="64"/>
  <c r="I44" i="64" s="1"/>
  <c r="C44" i="64"/>
  <c r="J44" i="64" s="1"/>
  <c r="B45" i="64"/>
  <c r="I45" i="64" s="1"/>
  <c r="C45" i="64"/>
  <c r="J45" i="64" s="1"/>
  <c r="B46" i="64"/>
  <c r="I46" i="64" s="1"/>
  <c r="C46" i="64"/>
  <c r="J46" i="64" s="1"/>
  <c r="D36" i="64"/>
  <c r="D24" i="64"/>
  <c r="K24" i="64" s="1"/>
  <c r="I8" i="64"/>
  <c r="J8" i="64"/>
  <c r="I9" i="64"/>
  <c r="J9" i="64"/>
  <c r="I11" i="64"/>
  <c r="J11" i="64"/>
  <c r="I12" i="64"/>
  <c r="J12" i="64"/>
  <c r="I13" i="64"/>
  <c r="J13" i="64"/>
  <c r="I14" i="64"/>
  <c r="J14" i="64"/>
  <c r="I16" i="64"/>
  <c r="J16" i="64"/>
  <c r="I17" i="64"/>
  <c r="J17" i="64"/>
  <c r="I18" i="64"/>
  <c r="J18" i="64"/>
  <c r="I24" i="64"/>
  <c r="C24" i="64"/>
  <c r="J24" i="64" s="1"/>
  <c r="B25" i="64"/>
  <c r="I25" i="64" s="1"/>
  <c r="C25" i="64"/>
  <c r="J25" i="64" s="1"/>
  <c r="B26" i="64"/>
  <c r="I26" i="64" s="1"/>
  <c r="C26" i="64"/>
  <c r="J26" i="64" s="1"/>
  <c r="B27" i="64"/>
  <c r="I27" i="64" s="1"/>
  <c r="C27" i="64"/>
  <c r="J27" i="64" s="1"/>
  <c r="B28" i="64"/>
  <c r="I28" i="64" s="1"/>
  <c r="C28" i="64"/>
  <c r="J28" i="64" s="1"/>
  <c r="B29" i="64"/>
  <c r="I29" i="64" s="1"/>
  <c r="C29" i="64"/>
  <c r="J29" i="64" s="1"/>
  <c r="B30" i="64"/>
  <c r="I30" i="64" s="1"/>
  <c r="C30" i="64"/>
  <c r="J30" i="64" s="1"/>
  <c r="B31" i="64"/>
  <c r="I31" i="64" s="1"/>
  <c r="C31" i="64"/>
  <c r="J31" i="64" s="1"/>
  <c r="B19" i="64"/>
  <c r="B20" i="64" s="1"/>
  <c r="C19" i="64"/>
  <c r="C20" i="64" s="1"/>
  <c r="B56" i="64"/>
  <c r="C56" i="64"/>
  <c r="D56" i="64"/>
  <c r="I50" i="64"/>
  <c r="J50" i="64"/>
  <c r="K50" i="64"/>
  <c r="I35" i="64"/>
  <c r="J35" i="64"/>
  <c r="K35" i="64"/>
  <c r="B35" i="64"/>
  <c r="C35" i="64"/>
  <c r="D35" i="64"/>
  <c r="I23" i="64"/>
  <c r="J23" i="64"/>
  <c r="K23" i="64"/>
  <c r="B23" i="64"/>
  <c r="C23" i="64"/>
  <c r="D23" i="64"/>
  <c r="I6" i="64"/>
  <c r="J6" i="64"/>
  <c r="K6" i="64"/>
  <c r="B6" i="64"/>
  <c r="C6" i="64"/>
  <c r="D6" i="64"/>
  <c r="J19" i="64" l="1"/>
  <c r="I19" i="64"/>
  <c r="I32" i="64"/>
  <c r="J47" i="64"/>
  <c r="I47" i="64"/>
  <c r="J32" i="64"/>
  <c r="J51" i="64" l="1"/>
  <c r="C69" i="64" s="1"/>
  <c r="I51" i="64"/>
  <c r="B69" i="64" s="1"/>
  <c r="B48" i="39"/>
  <c r="C48" i="39"/>
  <c r="D48" i="39"/>
  <c r="A48" i="39"/>
  <c r="C63" i="64" l="1"/>
  <c r="C60" i="64"/>
  <c r="C59" i="64"/>
  <c r="C58" i="64"/>
  <c r="C57" i="64"/>
  <c r="B62" i="64"/>
  <c r="C61" i="64"/>
  <c r="C68" i="64"/>
  <c r="C67" i="64"/>
  <c r="C66" i="64"/>
  <c r="C65" i="64"/>
  <c r="C64" i="64"/>
  <c r="B58" i="64"/>
  <c r="B59" i="64"/>
  <c r="B65" i="64"/>
  <c r="C62" i="64"/>
  <c r="B63" i="64"/>
  <c r="B68" i="64"/>
  <c r="B57" i="64"/>
  <c r="B67" i="64"/>
  <c r="B60" i="64"/>
  <c r="B64" i="64"/>
  <c r="B61" i="64"/>
  <c r="B66" i="64"/>
  <c r="D269" i="41" l="1"/>
  <c r="C273" i="41"/>
  <c r="C269" i="41"/>
  <c r="D273" i="41"/>
  <c r="D264" i="41"/>
  <c r="C264" i="41"/>
  <c r="C21" i="39" l="1"/>
  <c r="B19" i="39"/>
  <c r="B21" i="39"/>
  <c r="B22" i="39"/>
  <c r="B23" i="39"/>
  <c r="C13" i="31"/>
  <c r="C69" i="31" s="1"/>
  <c r="C16" i="34"/>
  <c r="C55" i="34" s="1"/>
  <c r="D49" i="39"/>
  <c r="D175" i="39" s="1"/>
  <c r="C49" i="39"/>
  <c r="C175" i="39" s="1"/>
  <c r="D41" i="41"/>
  <c r="C43" i="41"/>
  <c r="B9" i="39" s="1"/>
  <c r="C41" i="41"/>
  <c r="B7" i="39" s="1"/>
  <c r="A202" i="39"/>
  <c r="D201" i="39"/>
  <c r="C201" i="39"/>
  <c r="B201" i="39"/>
  <c r="A201" i="39"/>
  <c r="A200" i="39"/>
  <c r="A199" i="39"/>
  <c r="D198" i="39"/>
  <c r="C198" i="39"/>
  <c r="B198" i="39"/>
  <c r="A198" i="39"/>
  <c r="A197" i="39"/>
  <c r="D196" i="39"/>
  <c r="C196" i="39"/>
  <c r="B196" i="39"/>
  <c r="A196" i="39"/>
  <c r="A195" i="39"/>
  <c r="D194" i="39"/>
  <c r="C194" i="39"/>
  <c r="B194" i="39"/>
  <c r="A194" i="39"/>
  <c r="A191" i="39"/>
  <c r="A189" i="39"/>
  <c r="A188" i="39"/>
  <c r="A187" i="39"/>
  <c r="A164" i="39"/>
  <c r="A163" i="39"/>
  <c r="A162" i="39"/>
  <c r="A146" i="39"/>
  <c r="A145" i="39"/>
  <c r="A144" i="39"/>
  <c r="A141" i="39"/>
  <c r="A140" i="39"/>
  <c r="A139" i="39"/>
  <c r="A133" i="39"/>
  <c r="A132" i="39"/>
  <c r="A131" i="39"/>
  <c r="A118" i="39"/>
  <c r="A117" i="39"/>
  <c r="A116" i="39"/>
  <c r="A114" i="39"/>
  <c r="A113" i="39"/>
  <c r="B36" i="55" s="1"/>
  <c r="A112" i="39"/>
  <c r="A109" i="39"/>
  <c r="A107" i="39"/>
  <c r="A106" i="39"/>
  <c r="A88" i="39"/>
  <c r="D87" i="39"/>
  <c r="C87" i="39"/>
  <c r="B87" i="39"/>
  <c r="A87" i="39"/>
  <c r="D86" i="39"/>
  <c r="C86" i="39"/>
  <c r="B86" i="39"/>
  <c r="A86" i="39"/>
  <c r="D85" i="39"/>
  <c r="D133" i="39" s="1"/>
  <c r="C85" i="39"/>
  <c r="C133" i="39" s="1"/>
  <c r="B85" i="39"/>
  <c r="B133" i="39" s="1"/>
  <c r="A85" i="39"/>
  <c r="D84" i="39"/>
  <c r="D132" i="39" s="1"/>
  <c r="C84" i="39"/>
  <c r="C132" i="39" s="1"/>
  <c r="B84" i="39"/>
  <c r="B132" i="39" s="1"/>
  <c r="A84" i="39"/>
  <c r="D83" i="39"/>
  <c r="D131" i="39" s="1"/>
  <c r="C83" i="39"/>
  <c r="C131" i="39" s="1"/>
  <c r="B83" i="39"/>
  <c r="B131" i="39" s="1"/>
  <c r="A83" i="39"/>
  <c r="D81" i="39"/>
  <c r="D115" i="39" s="1"/>
  <c r="C81" i="39"/>
  <c r="C115" i="39" s="1"/>
  <c r="B81" i="39"/>
  <c r="B115" i="39" s="1"/>
  <c r="A81" i="39"/>
  <c r="A115" i="39" s="1"/>
  <c r="D80" i="39"/>
  <c r="C80" i="39"/>
  <c r="B80" i="39"/>
  <c r="B114" i="39" s="1"/>
  <c r="J37" i="55" s="1"/>
  <c r="A80" i="39"/>
  <c r="D79" i="39"/>
  <c r="C79" i="39"/>
  <c r="B79" i="39"/>
  <c r="A79" i="39"/>
  <c r="D78" i="39"/>
  <c r="D112" i="39" s="1"/>
  <c r="C78" i="39"/>
  <c r="C112" i="39" s="1"/>
  <c r="B78" i="39"/>
  <c r="B112" i="39" s="1"/>
  <c r="A78" i="39"/>
  <c r="D76" i="39"/>
  <c r="D178" i="39" s="1"/>
  <c r="C76" i="39"/>
  <c r="C178" i="39" s="1"/>
  <c r="B76" i="39"/>
  <c r="B178" i="39" s="1"/>
  <c r="A76" i="39"/>
  <c r="A75" i="39"/>
  <c r="A74" i="39"/>
  <c r="A73" i="39"/>
  <c r="A129" i="39" s="1"/>
  <c r="A72" i="39"/>
  <c r="D71" i="39"/>
  <c r="C71" i="39"/>
  <c r="B71" i="39"/>
  <c r="A69" i="39"/>
  <c r="D67" i="39"/>
  <c r="C67" i="39"/>
  <c r="B67" i="39"/>
  <c r="A67" i="39"/>
  <c r="A66" i="39"/>
  <c r="A65" i="39"/>
  <c r="A64" i="39"/>
  <c r="A63" i="39"/>
  <c r="A184" i="39" s="1"/>
  <c r="A62" i="39"/>
  <c r="A61" i="39"/>
  <c r="A60" i="39"/>
  <c r="A59" i="39"/>
  <c r="B17" i="55" s="1"/>
  <c r="A57" i="39"/>
  <c r="A56" i="39"/>
  <c r="A55" i="39"/>
  <c r="A54" i="39"/>
  <c r="A53" i="39"/>
  <c r="A52" i="39"/>
  <c r="A127" i="39" s="1"/>
  <c r="D50" i="39"/>
  <c r="C50" i="39"/>
  <c r="C110" i="39" s="1"/>
  <c r="B50" i="39"/>
  <c r="B110" i="39" s="1"/>
  <c r="A50" i="39"/>
  <c r="A49" i="39"/>
  <c r="A175" i="39" s="1"/>
  <c r="A47" i="39"/>
  <c r="A46" i="39"/>
  <c r="A134" i="39" s="1"/>
  <c r="A45" i="39"/>
  <c r="A136" i="39" s="1"/>
  <c r="A44" i="39"/>
  <c r="A176" i="39" s="1"/>
  <c r="A43" i="39"/>
  <c r="A135" i="39" s="1"/>
  <c r="D41" i="39"/>
  <c r="D160" i="39" s="1"/>
  <c r="C41" i="39"/>
  <c r="C160" i="39" s="1"/>
  <c r="B41" i="39"/>
  <c r="B160" i="39" s="1"/>
  <c r="A41" i="39"/>
  <c r="A160" i="39" s="1"/>
  <c r="D40" i="39"/>
  <c r="D159" i="39" s="1"/>
  <c r="C40" i="39"/>
  <c r="C159" i="39" s="1"/>
  <c r="B40" i="39"/>
  <c r="B159" i="39" s="1"/>
  <c r="A40" i="39"/>
  <c r="A159" i="39" s="1"/>
  <c r="D39" i="39"/>
  <c r="D158" i="39" s="1"/>
  <c r="C39" i="39"/>
  <c r="C158" i="39" s="1"/>
  <c r="B39" i="39"/>
  <c r="B158" i="39" s="1"/>
  <c r="A39" i="39"/>
  <c r="A158" i="39" s="1"/>
  <c r="D38" i="39"/>
  <c r="D157" i="39" s="1"/>
  <c r="C38" i="39"/>
  <c r="C157" i="39" s="1"/>
  <c r="B38" i="39"/>
  <c r="B157" i="39" s="1"/>
  <c r="A38" i="39"/>
  <c r="A157" i="39" s="1"/>
  <c r="D37" i="39"/>
  <c r="D156" i="39" s="1"/>
  <c r="C37" i="39"/>
  <c r="C156" i="39" s="1"/>
  <c r="B37" i="39"/>
  <c r="B156" i="39" s="1"/>
  <c r="A37" i="39"/>
  <c r="A156" i="39" s="1"/>
  <c r="D36" i="39"/>
  <c r="D155" i="39" s="1"/>
  <c r="C36" i="39"/>
  <c r="C155" i="39" s="1"/>
  <c r="B36" i="39"/>
  <c r="B155" i="39" s="1"/>
  <c r="A36" i="39"/>
  <c r="A155" i="39" s="1"/>
  <c r="D35" i="39"/>
  <c r="D154" i="39" s="1"/>
  <c r="C35" i="39"/>
  <c r="C154" i="39" s="1"/>
  <c r="B35" i="39"/>
  <c r="B154" i="39" s="1"/>
  <c r="A35" i="39"/>
  <c r="A154" i="39" s="1"/>
  <c r="D34" i="39"/>
  <c r="D153" i="39" s="1"/>
  <c r="C34" i="39"/>
  <c r="C153" i="39" s="1"/>
  <c r="B34" i="39"/>
  <c r="B153" i="39" s="1"/>
  <c r="A34" i="39"/>
  <c r="A153" i="39" s="1"/>
  <c r="D33" i="39"/>
  <c r="D152" i="39" s="1"/>
  <c r="C33" i="39"/>
  <c r="C152" i="39" s="1"/>
  <c r="B33" i="39"/>
  <c r="B152" i="39" s="1"/>
  <c r="A33" i="39"/>
  <c r="A152" i="39" s="1"/>
  <c r="D32" i="39"/>
  <c r="D151" i="39" s="1"/>
  <c r="C32" i="39"/>
  <c r="C151" i="39" s="1"/>
  <c r="B32" i="39"/>
  <c r="B151" i="39" s="1"/>
  <c r="A32" i="39"/>
  <c r="A151" i="39" s="1"/>
  <c r="D31" i="39"/>
  <c r="D150" i="39" s="1"/>
  <c r="C31" i="39"/>
  <c r="C150" i="39" s="1"/>
  <c r="B31" i="39"/>
  <c r="B150" i="39" s="1"/>
  <c r="A31" i="39"/>
  <c r="A150" i="39" s="1"/>
  <c r="D30" i="39"/>
  <c r="D149" i="39" s="1"/>
  <c r="C30" i="39"/>
  <c r="C149" i="39" s="1"/>
  <c r="B30" i="39"/>
  <c r="B149" i="39" s="1"/>
  <c r="A30" i="39"/>
  <c r="A149" i="39" s="1"/>
  <c r="A26" i="39"/>
  <c r="A25" i="39"/>
  <c r="A24" i="39"/>
  <c r="A23" i="39"/>
  <c r="A22" i="39"/>
  <c r="A21" i="39"/>
  <c r="A20" i="39"/>
  <c r="A19" i="39"/>
  <c r="A18" i="39"/>
  <c r="A17" i="39"/>
  <c r="A16" i="39"/>
  <c r="A15" i="39"/>
  <c r="A14" i="39"/>
  <c r="A10" i="39"/>
  <c r="B31" i="55" s="1"/>
  <c r="A9" i="39"/>
  <c r="A8" i="39"/>
  <c r="B38" i="55" s="1"/>
  <c r="A7" i="39"/>
  <c r="A6" i="39"/>
  <c r="A5" i="39"/>
  <c r="A83" i="38"/>
  <c r="D82" i="38"/>
  <c r="C82" i="38"/>
  <c r="B82" i="38"/>
  <c r="A82" i="38"/>
  <c r="A81" i="38"/>
  <c r="A80" i="38"/>
  <c r="D79" i="38"/>
  <c r="C79" i="38"/>
  <c r="B79" i="38"/>
  <c r="A79" i="38"/>
  <c r="A78" i="38"/>
  <c r="D77" i="38"/>
  <c r="C77" i="38"/>
  <c r="B77" i="38"/>
  <c r="A77" i="38"/>
  <c r="A76" i="38"/>
  <c r="D75" i="38"/>
  <c r="C75" i="38"/>
  <c r="B75" i="38"/>
  <c r="A75" i="38"/>
  <c r="A72" i="38"/>
  <c r="A71" i="38"/>
  <c r="A70" i="38"/>
  <c r="A69" i="38"/>
  <c r="A66" i="38"/>
  <c r="A65" i="38"/>
  <c r="A64" i="38"/>
  <c r="A60" i="38"/>
  <c r="A59" i="38"/>
  <c r="A58" i="38"/>
  <c r="A51" i="38"/>
  <c r="A50" i="38"/>
  <c r="A49" i="38"/>
  <c r="A48" i="38"/>
  <c r="A42" i="38"/>
  <c r="A41" i="38"/>
  <c r="A40" i="38"/>
  <c r="A39" i="38"/>
  <c r="A37" i="38"/>
  <c r="A36" i="38"/>
  <c r="A35" i="38"/>
  <c r="A26" i="38"/>
  <c r="D25" i="38"/>
  <c r="D48" i="38" s="1"/>
  <c r="C25" i="38"/>
  <c r="C48" i="38" s="1"/>
  <c r="B25" i="38"/>
  <c r="B48" i="38" s="1"/>
  <c r="A25" i="38"/>
  <c r="D24" i="38"/>
  <c r="D39" i="38" s="1"/>
  <c r="C24" i="38"/>
  <c r="C39" i="38" s="1"/>
  <c r="B24" i="38"/>
  <c r="B39" i="38" s="1"/>
  <c r="A24" i="38"/>
  <c r="D23" i="38"/>
  <c r="D47" i="38" s="1"/>
  <c r="C23" i="38"/>
  <c r="C47" i="38" s="1"/>
  <c r="B23" i="38"/>
  <c r="B47" i="38" s="1"/>
  <c r="A23" i="38"/>
  <c r="D22" i="38"/>
  <c r="D46" i="38" s="1"/>
  <c r="C22" i="38"/>
  <c r="C46" i="38" s="1"/>
  <c r="B22" i="38"/>
  <c r="B46" i="38" s="1"/>
  <c r="A22" i="38"/>
  <c r="D21" i="38"/>
  <c r="D45" i="38" s="1"/>
  <c r="C21" i="38"/>
  <c r="C45" i="38" s="1"/>
  <c r="B21" i="38"/>
  <c r="B45" i="38" s="1"/>
  <c r="A21" i="38"/>
  <c r="D20" i="38"/>
  <c r="D37" i="38" s="1"/>
  <c r="C20" i="38"/>
  <c r="C37" i="38" s="1"/>
  <c r="B20" i="38"/>
  <c r="B37" i="38" s="1"/>
  <c r="A20" i="38"/>
  <c r="D19" i="38"/>
  <c r="D36" i="38" s="1"/>
  <c r="C19" i="38"/>
  <c r="C36" i="38" s="1"/>
  <c r="B19" i="38"/>
  <c r="B36" i="38" s="1"/>
  <c r="A19" i="38"/>
  <c r="D18" i="38"/>
  <c r="D35" i="38" s="1"/>
  <c r="C18" i="38"/>
  <c r="C35" i="38" s="1"/>
  <c r="B18" i="38"/>
  <c r="B35" i="38" s="1"/>
  <c r="A18" i="38"/>
  <c r="A17" i="38"/>
  <c r="A34" i="38" s="1"/>
  <c r="A16" i="38"/>
  <c r="A68" i="38" s="1"/>
  <c r="A15" i="38"/>
  <c r="A38" i="38" s="1"/>
  <c r="D14" i="38"/>
  <c r="D63" i="38" s="1"/>
  <c r="C14" i="38"/>
  <c r="C63" i="38" s="1"/>
  <c r="B14" i="38"/>
  <c r="B63" i="38" s="1"/>
  <c r="A14" i="38"/>
  <c r="A63" i="38" s="1"/>
  <c r="A11" i="38"/>
  <c r="A8" i="38"/>
  <c r="A7" i="38"/>
  <c r="A6" i="38"/>
  <c r="A5" i="38"/>
  <c r="A85" i="37"/>
  <c r="D84" i="37"/>
  <c r="C84" i="37"/>
  <c r="B84" i="37"/>
  <c r="A84" i="37"/>
  <c r="A83" i="37"/>
  <c r="A82" i="37"/>
  <c r="D81" i="37"/>
  <c r="C81" i="37"/>
  <c r="B81" i="37"/>
  <c r="A81" i="37"/>
  <c r="A80" i="37"/>
  <c r="D79" i="37"/>
  <c r="C79" i="37"/>
  <c r="B79" i="37"/>
  <c r="A79" i="37"/>
  <c r="A78" i="37"/>
  <c r="D77" i="37"/>
  <c r="C77" i="37"/>
  <c r="B77" i="37"/>
  <c r="A77" i="37"/>
  <c r="A74" i="37"/>
  <c r="A73" i="37"/>
  <c r="A72" i="37"/>
  <c r="A71" i="37"/>
  <c r="A70" i="37"/>
  <c r="A69" i="37"/>
  <c r="A68" i="37"/>
  <c r="A67" i="37"/>
  <c r="A62" i="37"/>
  <c r="A61" i="37"/>
  <c r="A60" i="37"/>
  <c r="A57" i="37"/>
  <c r="A39" i="37"/>
  <c r="A38" i="37"/>
  <c r="A37" i="37"/>
  <c r="A36" i="37"/>
  <c r="A35" i="37"/>
  <c r="A34" i="37"/>
  <c r="A33" i="37"/>
  <c r="A30" i="37"/>
  <c r="A29" i="37"/>
  <c r="A25" i="37"/>
  <c r="D24" i="37"/>
  <c r="D50" i="37" s="1"/>
  <c r="C24" i="37"/>
  <c r="C50" i="37" s="1"/>
  <c r="B24" i="37"/>
  <c r="B50" i="37" s="1"/>
  <c r="A24" i="37"/>
  <c r="D23" i="37"/>
  <c r="D49" i="37" s="1"/>
  <c r="C23" i="37"/>
  <c r="C49" i="37" s="1"/>
  <c r="B23" i="37"/>
  <c r="B49" i="37" s="1"/>
  <c r="A23" i="37"/>
  <c r="D22" i="37"/>
  <c r="D36" i="37" s="1"/>
  <c r="C22" i="37"/>
  <c r="C36" i="37" s="1"/>
  <c r="B22" i="37"/>
  <c r="B36" i="37" s="1"/>
  <c r="A22" i="37"/>
  <c r="D21" i="37"/>
  <c r="D48" i="37" s="1"/>
  <c r="C21" i="37"/>
  <c r="C48" i="37" s="1"/>
  <c r="B21" i="37"/>
  <c r="B48" i="37" s="1"/>
  <c r="A21" i="37"/>
  <c r="D20" i="37"/>
  <c r="D47" i="37" s="1"/>
  <c r="C20" i="37"/>
  <c r="C47" i="37" s="1"/>
  <c r="B20" i="37"/>
  <c r="B47" i="37" s="1"/>
  <c r="A20" i="37"/>
  <c r="D19" i="37"/>
  <c r="D46" i="37" s="1"/>
  <c r="C19" i="37"/>
  <c r="C46" i="37" s="1"/>
  <c r="B19" i="37"/>
  <c r="B46" i="37" s="1"/>
  <c r="A19" i="37"/>
  <c r="D18" i="37"/>
  <c r="D45" i="37" s="1"/>
  <c r="C18" i="37"/>
  <c r="C45" i="37" s="1"/>
  <c r="B18" i="37"/>
  <c r="B45" i="37" s="1"/>
  <c r="A18" i="37"/>
  <c r="D17" i="37"/>
  <c r="D44" i="37" s="1"/>
  <c r="C17" i="37"/>
  <c r="C44" i="37" s="1"/>
  <c r="B17" i="37"/>
  <c r="B44" i="37" s="1"/>
  <c r="A17" i="37"/>
  <c r="D16" i="37"/>
  <c r="D43" i="37" s="1"/>
  <c r="C16" i="37"/>
  <c r="C43" i="37" s="1"/>
  <c r="B16" i="37"/>
  <c r="B43" i="37" s="1"/>
  <c r="A16" i="37"/>
  <c r="D15" i="37"/>
  <c r="D35" i="37" s="1"/>
  <c r="C15" i="37"/>
  <c r="C35" i="37" s="1"/>
  <c r="B15" i="37"/>
  <c r="B35" i="37" s="1"/>
  <c r="A15" i="37"/>
  <c r="D14" i="37"/>
  <c r="D34" i="37" s="1"/>
  <c r="C14" i="37"/>
  <c r="C34" i="37" s="1"/>
  <c r="B14" i="37"/>
  <c r="B34" i="37" s="1"/>
  <c r="A14" i="37"/>
  <c r="D13" i="37"/>
  <c r="D33" i="37" s="1"/>
  <c r="C13" i="37"/>
  <c r="C33" i="37" s="1"/>
  <c r="B13" i="37"/>
  <c r="B33" i="37" s="1"/>
  <c r="A13" i="37"/>
  <c r="D12" i="37"/>
  <c r="D66" i="37" s="1"/>
  <c r="C12" i="37"/>
  <c r="C66" i="37" s="1"/>
  <c r="B12" i="37"/>
  <c r="B66" i="37" s="1"/>
  <c r="A12" i="37"/>
  <c r="A66" i="37" s="1"/>
  <c r="D11" i="37"/>
  <c r="D65" i="37" s="1"/>
  <c r="C11" i="37"/>
  <c r="C65" i="37" s="1"/>
  <c r="B11" i="37"/>
  <c r="B65" i="37" s="1"/>
  <c r="A11" i="37"/>
  <c r="A65" i="37" s="1"/>
  <c r="A8" i="37"/>
  <c r="A7" i="37"/>
  <c r="A6" i="37"/>
  <c r="A5" i="37"/>
  <c r="A91" i="36"/>
  <c r="D90" i="36"/>
  <c r="C90" i="36"/>
  <c r="B90" i="36"/>
  <c r="A89" i="36"/>
  <c r="A88" i="36"/>
  <c r="D87" i="36"/>
  <c r="C87" i="36"/>
  <c r="B87" i="36"/>
  <c r="A87" i="36"/>
  <c r="A86" i="36"/>
  <c r="D85" i="36"/>
  <c r="C85" i="36"/>
  <c r="B85" i="36"/>
  <c r="A85" i="36"/>
  <c r="A84" i="36"/>
  <c r="D83" i="36"/>
  <c r="C83" i="36"/>
  <c r="B83" i="36"/>
  <c r="A83" i="36"/>
  <c r="A80" i="36"/>
  <c r="A79" i="36"/>
  <c r="A78" i="36"/>
  <c r="A77" i="36"/>
  <c r="A75" i="36"/>
  <c r="A74" i="36"/>
  <c r="A73" i="36"/>
  <c r="A69" i="36"/>
  <c r="A68" i="36"/>
  <c r="A67" i="36"/>
  <c r="A60" i="36"/>
  <c r="A59" i="36"/>
  <c r="A58" i="36"/>
  <c r="A56" i="36"/>
  <c r="A52" i="36"/>
  <c r="A51" i="36"/>
  <c r="A50" i="36"/>
  <c r="A47" i="36"/>
  <c r="A46" i="36"/>
  <c r="A45" i="36"/>
  <c r="A44" i="36"/>
  <c r="A43" i="36"/>
  <c r="A42" i="36"/>
  <c r="A41" i="36"/>
  <c r="A38" i="36"/>
  <c r="A37" i="36"/>
  <c r="A36" i="36"/>
  <c r="A35" i="36"/>
  <c r="A34" i="36"/>
  <c r="A33" i="36"/>
  <c r="A32" i="36"/>
  <c r="A28" i="36"/>
  <c r="D27" i="36"/>
  <c r="D57" i="36" s="1"/>
  <c r="C27" i="36"/>
  <c r="C57" i="36" s="1"/>
  <c r="B27" i="36"/>
  <c r="B57" i="36" s="1"/>
  <c r="A27" i="36"/>
  <c r="D26" i="36"/>
  <c r="D56" i="36" s="1"/>
  <c r="C26" i="36"/>
  <c r="C56" i="36" s="1"/>
  <c r="B26" i="36"/>
  <c r="B56" i="36" s="1"/>
  <c r="A26" i="36"/>
  <c r="D25" i="36"/>
  <c r="D44" i="36" s="1"/>
  <c r="C25" i="36"/>
  <c r="C44" i="36" s="1"/>
  <c r="B25" i="36"/>
  <c r="B44" i="36" s="1"/>
  <c r="A25" i="36"/>
  <c r="D24" i="36"/>
  <c r="D35" i="36" s="1"/>
  <c r="C24" i="36"/>
  <c r="C35" i="36" s="1"/>
  <c r="B24" i="36"/>
  <c r="B35" i="36" s="1"/>
  <c r="A24" i="36"/>
  <c r="D23" i="36"/>
  <c r="D55" i="36" s="1"/>
  <c r="C23" i="36"/>
  <c r="C55" i="36" s="1"/>
  <c r="B23" i="36"/>
  <c r="B55" i="36" s="1"/>
  <c r="A23" i="36"/>
  <c r="D22" i="36"/>
  <c r="D54" i="36" s="1"/>
  <c r="C22" i="36"/>
  <c r="C54" i="36" s="1"/>
  <c r="B22" i="36"/>
  <c r="B54" i="36" s="1"/>
  <c r="A22" i="36"/>
  <c r="D21" i="36"/>
  <c r="D53" i="36" s="1"/>
  <c r="C21" i="36"/>
  <c r="C53" i="36" s="1"/>
  <c r="B21" i="36"/>
  <c r="B53" i="36" s="1"/>
  <c r="A21" i="36"/>
  <c r="D20" i="36"/>
  <c r="D52" i="36" s="1"/>
  <c r="C20" i="36"/>
  <c r="C52" i="36" s="1"/>
  <c r="B20" i="36"/>
  <c r="B52" i="36" s="1"/>
  <c r="A20" i="36"/>
  <c r="D19" i="36"/>
  <c r="D51" i="36" s="1"/>
  <c r="C19" i="36"/>
  <c r="C51" i="36" s="1"/>
  <c r="B19" i="36"/>
  <c r="B51" i="36" s="1"/>
  <c r="A19" i="36"/>
  <c r="D18" i="36"/>
  <c r="D50" i="36" s="1"/>
  <c r="C18" i="36"/>
  <c r="C50" i="36" s="1"/>
  <c r="B18" i="36"/>
  <c r="B50" i="36" s="1"/>
  <c r="A18" i="36"/>
  <c r="D17" i="36"/>
  <c r="D43" i="36" s="1"/>
  <c r="C17" i="36"/>
  <c r="C43" i="36" s="1"/>
  <c r="B17" i="36"/>
  <c r="B43" i="36" s="1"/>
  <c r="A17" i="36"/>
  <c r="D16" i="36"/>
  <c r="D42" i="36" s="1"/>
  <c r="C16" i="36"/>
  <c r="C42" i="36" s="1"/>
  <c r="B16" i="36"/>
  <c r="B42" i="36" s="1"/>
  <c r="A16" i="36"/>
  <c r="D15" i="36"/>
  <c r="D41" i="36" s="1"/>
  <c r="C15" i="36"/>
  <c r="C41" i="36" s="1"/>
  <c r="B15" i="36"/>
  <c r="B41" i="36" s="1"/>
  <c r="A15" i="36"/>
  <c r="D14" i="36"/>
  <c r="D34" i="36" s="1"/>
  <c r="C14" i="36"/>
  <c r="C34" i="36" s="1"/>
  <c r="B14" i="36"/>
  <c r="B34" i="36" s="1"/>
  <c r="A14" i="36"/>
  <c r="D13" i="36"/>
  <c r="D33" i="36" s="1"/>
  <c r="C13" i="36"/>
  <c r="C33" i="36" s="1"/>
  <c r="B13" i="36"/>
  <c r="B33" i="36" s="1"/>
  <c r="A13" i="36"/>
  <c r="D12" i="36"/>
  <c r="D32" i="36" s="1"/>
  <c r="C12" i="36"/>
  <c r="C32" i="36" s="1"/>
  <c r="B12" i="36"/>
  <c r="B32" i="36" s="1"/>
  <c r="A12" i="36"/>
  <c r="D11" i="36"/>
  <c r="D72" i="36" s="1"/>
  <c r="C11" i="36"/>
  <c r="C72" i="36" s="1"/>
  <c r="B11" i="36"/>
  <c r="B72" i="36" s="1"/>
  <c r="A11" i="36"/>
  <c r="A72" i="36" s="1"/>
  <c r="A8" i="36"/>
  <c r="A7" i="36"/>
  <c r="A6" i="36"/>
  <c r="A5" i="36"/>
  <c r="A78" i="35"/>
  <c r="D77" i="35"/>
  <c r="C77" i="35"/>
  <c r="B77" i="35"/>
  <c r="A77" i="35"/>
  <c r="A76" i="35"/>
  <c r="A75" i="35"/>
  <c r="D74" i="35"/>
  <c r="C74" i="35"/>
  <c r="B74" i="35"/>
  <c r="A74" i="35"/>
  <c r="A73" i="35"/>
  <c r="D72" i="35"/>
  <c r="C72" i="35"/>
  <c r="B72" i="35"/>
  <c r="A72" i="35"/>
  <c r="A71" i="35"/>
  <c r="D70" i="35"/>
  <c r="C70" i="35"/>
  <c r="B70" i="35"/>
  <c r="A70" i="35"/>
  <c r="A67" i="35"/>
  <c r="A66" i="35"/>
  <c r="A65" i="35"/>
  <c r="A63" i="35"/>
  <c r="A59" i="35"/>
  <c r="A58" i="35"/>
  <c r="A57" i="35"/>
  <c r="A49" i="35"/>
  <c r="A48" i="35"/>
  <c r="A47" i="35"/>
  <c r="A44" i="35"/>
  <c r="A53" i="37" s="1"/>
  <c r="A43" i="35"/>
  <c r="A52" i="37" s="1"/>
  <c r="A42" i="35"/>
  <c r="A51" i="37" s="1"/>
  <c r="A41" i="35"/>
  <c r="A57" i="36" s="1"/>
  <c r="A40" i="35"/>
  <c r="A49" i="37" s="1"/>
  <c r="A39" i="35"/>
  <c r="A48" i="37" s="1"/>
  <c r="A38" i="35"/>
  <c r="A37" i="35"/>
  <c r="A46" i="37" s="1"/>
  <c r="A36" i="35"/>
  <c r="A45" i="37" s="1"/>
  <c r="A35" i="35"/>
  <c r="A44" i="37" s="1"/>
  <c r="A34" i="35"/>
  <c r="A43" i="37" s="1"/>
  <c r="A22" i="35"/>
  <c r="D21" i="35"/>
  <c r="D41" i="35" s="1"/>
  <c r="C21" i="35"/>
  <c r="C41" i="35" s="1"/>
  <c r="B21" i="35"/>
  <c r="B41" i="35" s="1"/>
  <c r="A21" i="35"/>
  <c r="D20" i="35"/>
  <c r="D40" i="35" s="1"/>
  <c r="C20" i="35"/>
  <c r="C40" i="35" s="1"/>
  <c r="B20" i="35"/>
  <c r="B40" i="35" s="1"/>
  <c r="A20" i="35"/>
  <c r="D19" i="35"/>
  <c r="D39" i="35" s="1"/>
  <c r="C19" i="35"/>
  <c r="C39" i="35" s="1"/>
  <c r="B19" i="35"/>
  <c r="B39" i="35" s="1"/>
  <c r="A19" i="35"/>
  <c r="D18" i="35"/>
  <c r="D38" i="35" s="1"/>
  <c r="C18" i="35"/>
  <c r="C38" i="35" s="1"/>
  <c r="B18" i="35"/>
  <c r="B38" i="35" s="1"/>
  <c r="A18" i="35"/>
  <c r="D17" i="35"/>
  <c r="D37" i="35" s="1"/>
  <c r="C17" i="35"/>
  <c r="C37" i="35" s="1"/>
  <c r="B17" i="35"/>
  <c r="B37" i="35" s="1"/>
  <c r="A17" i="35"/>
  <c r="D16" i="35"/>
  <c r="D36" i="35" s="1"/>
  <c r="C16" i="35"/>
  <c r="C36" i="35" s="1"/>
  <c r="B16" i="35"/>
  <c r="B36" i="35" s="1"/>
  <c r="A16" i="35"/>
  <c r="D15" i="35"/>
  <c r="D35" i="35" s="1"/>
  <c r="C15" i="35"/>
  <c r="C35" i="35" s="1"/>
  <c r="B15" i="35"/>
  <c r="B35" i="35" s="1"/>
  <c r="A15" i="35"/>
  <c r="D14" i="35"/>
  <c r="D34" i="35" s="1"/>
  <c r="C14" i="35"/>
  <c r="C34" i="35" s="1"/>
  <c r="B14" i="35"/>
  <c r="B34" i="35" s="1"/>
  <c r="A14" i="35"/>
  <c r="A13" i="35"/>
  <c r="A61" i="35" s="1"/>
  <c r="A12" i="35"/>
  <c r="A62" i="35" s="1"/>
  <c r="D11" i="35"/>
  <c r="D56" i="35" s="1"/>
  <c r="C11" i="35"/>
  <c r="C56" i="35" s="1"/>
  <c r="B11" i="35"/>
  <c r="B56" i="35" s="1"/>
  <c r="A11" i="35"/>
  <c r="A56" i="35" s="1"/>
  <c r="D64" i="35"/>
  <c r="C64" i="35"/>
  <c r="B64" i="35"/>
  <c r="A8" i="35"/>
  <c r="A7" i="35"/>
  <c r="A6" i="35"/>
  <c r="A5" i="35"/>
  <c r="A72" i="34"/>
  <c r="D71" i="34"/>
  <c r="C71" i="34"/>
  <c r="B71" i="34"/>
  <c r="A71" i="34"/>
  <c r="A70" i="34"/>
  <c r="A69" i="34"/>
  <c r="D68" i="34"/>
  <c r="C68" i="34"/>
  <c r="B68" i="34"/>
  <c r="A68" i="34"/>
  <c r="A67" i="34"/>
  <c r="D66" i="34"/>
  <c r="C66" i="34"/>
  <c r="B66" i="34"/>
  <c r="A66" i="34"/>
  <c r="A65" i="34"/>
  <c r="D64" i="34"/>
  <c r="C64" i="34"/>
  <c r="B64" i="34"/>
  <c r="A64" i="34"/>
  <c r="A61" i="34"/>
  <c r="A60" i="34"/>
  <c r="A59" i="34"/>
  <c r="A58" i="34"/>
  <c r="A54" i="34"/>
  <c r="A53" i="34"/>
  <c r="A52" i="34"/>
  <c r="A47" i="34"/>
  <c r="A46" i="34"/>
  <c r="A45" i="34"/>
  <c r="A42" i="34"/>
  <c r="A41" i="34"/>
  <c r="A40" i="34"/>
  <c r="A39" i="34"/>
  <c r="A37" i="34"/>
  <c r="A36" i="34"/>
  <c r="A35" i="34"/>
  <c r="A27" i="34"/>
  <c r="A26" i="34"/>
  <c r="A22" i="34"/>
  <c r="D21" i="34"/>
  <c r="D39" i="34" s="1"/>
  <c r="C21" i="34"/>
  <c r="C39" i="34" s="1"/>
  <c r="B21" i="34"/>
  <c r="B39" i="34" s="1"/>
  <c r="A21" i="34"/>
  <c r="D20" i="34"/>
  <c r="D37" i="34" s="1"/>
  <c r="C20" i="34"/>
  <c r="C37" i="34" s="1"/>
  <c r="B20" i="34"/>
  <c r="B37" i="34" s="1"/>
  <c r="A20" i="34"/>
  <c r="D19" i="34"/>
  <c r="D36" i="34" s="1"/>
  <c r="C19" i="34"/>
  <c r="C36" i="34" s="1"/>
  <c r="B19" i="34"/>
  <c r="B36" i="34" s="1"/>
  <c r="A19" i="34"/>
  <c r="D18" i="34"/>
  <c r="D35" i="34" s="1"/>
  <c r="C18" i="34"/>
  <c r="C35" i="34" s="1"/>
  <c r="B18" i="34"/>
  <c r="B35" i="34" s="1"/>
  <c r="A18" i="34"/>
  <c r="A17" i="34"/>
  <c r="A34" i="34" s="1"/>
  <c r="A51" i="34" s="1"/>
  <c r="A16" i="34"/>
  <c r="A55" i="34" s="1"/>
  <c r="A15" i="34"/>
  <c r="D14" i="34"/>
  <c r="D50" i="34" s="1"/>
  <c r="C14" i="34"/>
  <c r="C50" i="34" s="1"/>
  <c r="B14" i="34"/>
  <c r="B50" i="34" s="1"/>
  <c r="A14" i="34"/>
  <c r="A50" i="34" s="1"/>
  <c r="A11" i="34"/>
  <c r="A8" i="34"/>
  <c r="A7" i="34"/>
  <c r="A6" i="34"/>
  <c r="A5" i="34"/>
  <c r="A74" i="33"/>
  <c r="D73" i="33"/>
  <c r="C73" i="33"/>
  <c r="B73" i="33"/>
  <c r="A73" i="33"/>
  <c r="A72" i="33"/>
  <c r="A71" i="33"/>
  <c r="D70" i="33"/>
  <c r="C70" i="33"/>
  <c r="B70" i="33"/>
  <c r="A70" i="33"/>
  <c r="A69" i="33"/>
  <c r="D68" i="33"/>
  <c r="C68" i="33"/>
  <c r="B68" i="33"/>
  <c r="A68" i="33"/>
  <c r="A67" i="33"/>
  <c r="D66" i="33"/>
  <c r="C66" i="33"/>
  <c r="B66" i="33"/>
  <c r="A66" i="33"/>
  <c r="A63" i="33"/>
  <c r="A62" i="33"/>
  <c r="A61" i="33"/>
  <c r="A60" i="33"/>
  <c r="A59" i="33"/>
  <c r="A58" i="33"/>
  <c r="A57" i="33"/>
  <c r="A52" i="33"/>
  <c r="A51" i="33"/>
  <c r="A50" i="33"/>
  <c r="A47" i="33"/>
  <c r="A46" i="33"/>
  <c r="A45" i="33"/>
  <c r="A44" i="33"/>
  <c r="A43" i="33"/>
  <c r="A42" i="33"/>
  <c r="A41" i="33"/>
  <c r="A38" i="33"/>
  <c r="A37" i="33"/>
  <c r="A36" i="33"/>
  <c r="A35" i="33"/>
  <c r="A34" i="33"/>
  <c r="A33" i="33"/>
  <c r="A32" i="33"/>
  <c r="A29" i="33"/>
  <c r="A28" i="33"/>
  <c r="A24" i="33"/>
  <c r="D23" i="33"/>
  <c r="D44" i="33" s="1"/>
  <c r="C23" i="33"/>
  <c r="C44" i="33" s="1"/>
  <c r="B23" i="33"/>
  <c r="B44" i="33" s="1"/>
  <c r="A23" i="33"/>
  <c r="D22" i="33"/>
  <c r="D35" i="33" s="1"/>
  <c r="C22" i="33"/>
  <c r="C35" i="33" s="1"/>
  <c r="B22" i="33"/>
  <c r="B35" i="33" s="1"/>
  <c r="A22" i="33"/>
  <c r="D21" i="33"/>
  <c r="D43" i="33" s="1"/>
  <c r="C21" i="33"/>
  <c r="C43" i="33" s="1"/>
  <c r="B21" i="33"/>
  <c r="B43" i="33" s="1"/>
  <c r="A21" i="33"/>
  <c r="D20" i="33"/>
  <c r="D42" i="33" s="1"/>
  <c r="C20" i="33"/>
  <c r="C42" i="33" s="1"/>
  <c r="B20" i="33"/>
  <c r="B42" i="33" s="1"/>
  <c r="A20" i="33"/>
  <c r="D19" i="33"/>
  <c r="D41" i="33" s="1"/>
  <c r="C19" i="33"/>
  <c r="C41" i="33" s="1"/>
  <c r="B19" i="33"/>
  <c r="B41" i="33" s="1"/>
  <c r="A19" i="33"/>
  <c r="A18" i="33"/>
  <c r="D17" i="33"/>
  <c r="D34" i="33" s="1"/>
  <c r="C17" i="33"/>
  <c r="C34" i="33" s="1"/>
  <c r="B17" i="33"/>
  <c r="B34" i="33" s="1"/>
  <c r="A17" i="33"/>
  <c r="D16" i="33"/>
  <c r="D33" i="33" s="1"/>
  <c r="C16" i="33"/>
  <c r="C33" i="33" s="1"/>
  <c r="B16" i="33"/>
  <c r="B33" i="33" s="1"/>
  <c r="A16" i="33"/>
  <c r="D15" i="33"/>
  <c r="D32" i="33" s="1"/>
  <c r="C15" i="33"/>
  <c r="C32" i="33" s="1"/>
  <c r="B15" i="33"/>
  <c r="B32" i="33" s="1"/>
  <c r="A15" i="33"/>
  <c r="D14" i="33"/>
  <c r="D55" i="33" s="1"/>
  <c r="C14" i="33"/>
  <c r="C55" i="33" s="1"/>
  <c r="B14" i="33"/>
  <c r="B55" i="33" s="1"/>
  <c r="A14" i="33"/>
  <c r="A55" i="33" s="1"/>
  <c r="A11" i="33"/>
  <c r="A8" i="33"/>
  <c r="A7" i="33"/>
  <c r="A6" i="33"/>
  <c r="A5" i="33"/>
  <c r="A79" i="32"/>
  <c r="D78" i="32"/>
  <c r="C78" i="32"/>
  <c r="B78" i="32"/>
  <c r="A78" i="32"/>
  <c r="A77" i="32"/>
  <c r="A76" i="32"/>
  <c r="D75" i="32"/>
  <c r="C75" i="32"/>
  <c r="B75" i="32"/>
  <c r="A75" i="32"/>
  <c r="A74" i="32"/>
  <c r="D73" i="32"/>
  <c r="C73" i="32"/>
  <c r="B73" i="32"/>
  <c r="A73" i="32"/>
  <c r="A72" i="32"/>
  <c r="D71" i="32"/>
  <c r="C71" i="32"/>
  <c r="B71" i="32"/>
  <c r="A71" i="32"/>
  <c r="A68" i="32"/>
  <c r="A67" i="32"/>
  <c r="A66" i="32"/>
  <c r="A65" i="32"/>
  <c r="A62" i="32"/>
  <c r="A61" i="32"/>
  <c r="A60" i="32"/>
  <c r="A54" i="32"/>
  <c r="A53" i="32"/>
  <c r="A52" i="32"/>
  <c r="A49" i="32"/>
  <c r="A48" i="32"/>
  <c r="A47" i="32"/>
  <c r="A46" i="32"/>
  <c r="A44" i="32"/>
  <c r="A43" i="32"/>
  <c r="A42" i="32"/>
  <c r="A35" i="32"/>
  <c r="A34" i="32"/>
  <c r="A31" i="32"/>
  <c r="A30" i="32"/>
  <c r="A26" i="32"/>
  <c r="D25" i="32"/>
  <c r="D46" i="32" s="1"/>
  <c r="C25" i="32"/>
  <c r="C46" i="32" s="1"/>
  <c r="B25" i="32"/>
  <c r="B46" i="32" s="1"/>
  <c r="A25" i="32"/>
  <c r="D24" i="32"/>
  <c r="D44" i="32" s="1"/>
  <c r="C24" i="32"/>
  <c r="C44" i="32" s="1"/>
  <c r="B24" i="32"/>
  <c r="B44" i="32" s="1"/>
  <c r="A24" i="32"/>
  <c r="D23" i="32"/>
  <c r="D43" i="32" s="1"/>
  <c r="C23" i="32"/>
  <c r="C43" i="32" s="1"/>
  <c r="B23" i="32"/>
  <c r="B43" i="32" s="1"/>
  <c r="A23" i="32"/>
  <c r="D22" i="32"/>
  <c r="D42" i="32" s="1"/>
  <c r="C22" i="32"/>
  <c r="C42" i="32" s="1"/>
  <c r="B22" i="32"/>
  <c r="B42" i="32" s="1"/>
  <c r="A22" i="32"/>
  <c r="A21" i="32"/>
  <c r="A41" i="32" s="1"/>
  <c r="A20" i="32"/>
  <c r="A40" i="32" s="1"/>
  <c r="D19" i="32"/>
  <c r="D39" i="32" s="1"/>
  <c r="C19" i="32"/>
  <c r="C39" i="32" s="1"/>
  <c r="B19" i="32"/>
  <c r="B39" i="32" s="1"/>
  <c r="A19" i="32"/>
  <c r="A39" i="32" s="1"/>
  <c r="D18" i="32"/>
  <c r="D38" i="32" s="1"/>
  <c r="C18" i="32"/>
  <c r="C38" i="32" s="1"/>
  <c r="B18" i="32"/>
  <c r="B38" i="32" s="1"/>
  <c r="A18" i="32"/>
  <c r="A38" i="32" s="1"/>
  <c r="A17" i="32"/>
  <c r="A63" i="32" s="1"/>
  <c r="A16" i="32"/>
  <c r="A45" i="32" s="1"/>
  <c r="D15" i="32"/>
  <c r="D57" i="32" s="1"/>
  <c r="C15" i="32"/>
  <c r="C57" i="32" s="1"/>
  <c r="B15" i="32"/>
  <c r="B57" i="32" s="1"/>
  <c r="A15" i="32"/>
  <c r="A57" i="32" s="1"/>
  <c r="A12" i="32"/>
  <c r="A11" i="32"/>
  <c r="A8" i="32"/>
  <c r="A7" i="32"/>
  <c r="A6" i="32"/>
  <c r="A5" i="32"/>
  <c r="A84" i="31"/>
  <c r="D83" i="31"/>
  <c r="C83" i="31"/>
  <c r="B83" i="31"/>
  <c r="A83" i="31"/>
  <c r="A82" i="31"/>
  <c r="A81" i="31"/>
  <c r="D80" i="31"/>
  <c r="C80" i="31"/>
  <c r="B80" i="31"/>
  <c r="A80" i="31"/>
  <c r="A79" i="31"/>
  <c r="D78" i="31"/>
  <c r="C78" i="31"/>
  <c r="B78" i="31"/>
  <c r="A78" i="31"/>
  <c r="A77" i="31"/>
  <c r="D76" i="31"/>
  <c r="C76" i="31"/>
  <c r="B76" i="31"/>
  <c r="A76" i="31"/>
  <c r="A73" i="31"/>
  <c r="A72" i="31"/>
  <c r="A71" i="31"/>
  <c r="A70" i="31"/>
  <c r="A68" i="31"/>
  <c r="A67" i="31"/>
  <c r="A66" i="31"/>
  <c r="A62" i="31"/>
  <c r="A61" i="31"/>
  <c r="A60" i="31"/>
  <c r="A57" i="31"/>
  <c r="A56" i="31"/>
  <c r="A55" i="31"/>
  <c r="A54" i="31"/>
  <c r="A53" i="31"/>
  <c r="A52" i="31"/>
  <c r="A51" i="31"/>
  <c r="A48" i="31"/>
  <c r="A47" i="31"/>
  <c r="A46" i="31"/>
  <c r="A45" i="31"/>
  <c r="A44" i="31"/>
  <c r="A43" i="31"/>
  <c r="A42" i="31"/>
  <c r="A39" i="31"/>
  <c r="A38" i="31"/>
  <c r="A37" i="31"/>
  <c r="A35" i="31"/>
  <c r="A34" i="31"/>
  <c r="A33" i="31"/>
  <c r="A32" i="31"/>
  <c r="A27" i="31"/>
  <c r="D26" i="31"/>
  <c r="D54" i="31" s="1"/>
  <c r="C26" i="31"/>
  <c r="C54" i="31" s="1"/>
  <c r="B26" i="31"/>
  <c r="B54" i="31" s="1"/>
  <c r="A26" i="31"/>
  <c r="D25" i="31"/>
  <c r="D45" i="31" s="1"/>
  <c r="C25" i="31"/>
  <c r="C45" i="31" s="1"/>
  <c r="B25" i="31"/>
  <c r="B45" i="31" s="1"/>
  <c r="A25" i="31"/>
  <c r="D24" i="31"/>
  <c r="D35" i="31" s="1"/>
  <c r="C24" i="31"/>
  <c r="C35" i="31" s="1"/>
  <c r="B24" i="31"/>
  <c r="B35" i="31" s="1"/>
  <c r="A24" i="31"/>
  <c r="D23" i="31"/>
  <c r="D53" i="31" s="1"/>
  <c r="C23" i="31"/>
  <c r="C53" i="31" s="1"/>
  <c r="B23" i="31"/>
  <c r="B53" i="31" s="1"/>
  <c r="A23" i="31"/>
  <c r="D22" i="31"/>
  <c r="D52" i="31" s="1"/>
  <c r="C22" i="31"/>
  <c r="C52" i="31" s="1"/>
  <c r="B22" i="31"/>
  <c r="B52" i="31" s="1"/>
  <c r="A22" i="31"/>
  <c r="D21" i="31"/>
  <c r="D51" i="31" s="1"/>
  <c r="C21" i="31"/>
  <c r="C51" i="31" s="1"/>
  <c r="B21" i="31"/>
  <c r="B51" i="31" s="1"/>
  <c r="A21" i="31"/>
  <c r="D20" i="31"/>
  <c r="D44" i="31" s="1"/>
  <c r="C20" i="31"/>
  <c r="C44" i="31" s="1"/>
  <c r="B20" i="31"/>
  <c r="B44" i="31" s="1"/>
  <c r="A20" i="31"/>
  <c r="D19" i="31"/>
  <c r="D43" i="31" s="1"/>
  <c r="C19" i="31"/>
  <c r="C43" i="31" s="1"/>
  <c r="B19" i="31"/>
  <c r="B43" i="31" s="1"/>
  <c r="A19" i="31"/>
  <c r="D18" i="31"/>
  <c r="D42" i="31" s="1"/>
  <c r="C18" i="31"/>
  <c r="C42" i="31" s="1"/>
  <c r="B18" i="31"/>
  <c r="B42" i="31" s="1"/>
  <c r="A18" i="31"/>
  <c r="D17" i="31"/>
  <c r="D34" i="31" s="1"/>
  <c r="C17" i="31"/>
  <c r="C34" i="31" s="1"/>
  <c r="B17" i="31"/>
  <c r="B34" i="31" s="1"/>
  <c r="A17" i="31"/>
  <c r="D16" i="31"/>
  <c r="D33" i="31" s="1"/>
  <c r="C16" i="31"/>
  <c r="C33" i="31" s="1"/>
  <c r="B16" i="31"/>
  <c r="B33" i="31" s="1"/>
  <c r="A16" i="31"/>
  <c r="D15" i="31"/>
  <c r="D32" i="31" s="1"/>
  <c r="C15" i="31"/>
  <c r="C32" i="31" s="1"/>
  <c r="B15" i="31"/>
  <c r="B32" i="31" s="1"/>
  <c r="A15" i="31"/>
  <c r="D14" i="31"/>
  <c r="D31" i="31" s="1"/>
  <c r="C14" i="31"/>
  <c r="C31" i="31" s="1"/>
  <c r="B14" i="31"/>
  <c r="B31" i="31" s="1"/>
  <c r="A14" i="31"/>
  <c r="A13" i="31"/>
  <c r="A69" i="31" s="1"/>
  <c r="A12" i="31"/>
  <c r="A36" i="31" s="1"/>
  <c r="D11" i="31"/>
  <c r="D65" i="31" s="1"/>
  <c r="C11" i="31"/>
  <c r="C65" i="31" s="1"/>
  <c r="B11" i="31"/>
  <c r="B65" i="31" s="1"/>
  <c r="A11" i="31"/>
  <c r="A65" i="31" s="1"/>
  <c r="A8" i="31"/>
  <c r="A7" i="31"/>
  <c r="A6" i="31"/>
  <c r="A5" i="31"/>
  <c r="A61" i="29"/>
  <c r="D60" i="29"/>
  <c r="C60" i="29"/>
  <c r="B60" i="29"/>
  <c r="A60" i="29"/>
  <c r="A59" i="29"/>
  <c r="A58" i="29"/>
  <c r="D57" i="29"/>
  <c r="C57" i="29"/>
  <c r="B57" i="29"/>
  <c r="A57" i="29"/>
  <c r="A56" i="29"/>
  <c r="D55" i="29"/>
  <c r="C55" i="29"/>
  <c r="B55" i="29"/>
  <c r="A55" i="29"/>
  <c r="A54" i="29"/>
  <c r="D53" i="29"/>
  <c r="C53" i="29"/>
  <c r="B53" i="29"/>
  <c r="A53" i="29"/>
  <c r="A50" i="29"/>
  <c r="A49" i="29"/>
  <c r="A48" i="29"/>
  <c r="A46" i="29"/>
  <c r="A45" i="29"/>
  <c r="A44" i="29"/>
  <c r="A43" i="29"/>
  <c r="A39" i="29"/>
  <c r="A38" i="29"/>
  <c r="A37" i="29"/>
  <c r="A34" i="29"/>
  <c r="A33" i="29"/>
  <c r="A32" i="29"/>
  <c r="A31" i="29"/>
  <c r="A30" i="29"/>
  <c r="A29" i="29"/>
  <c r="A25" i="29"/>
  <c r="A24" i="29"/>
  <c r="A21" i="29"/>
  <c r="A20" i="29"/>
  <c r="A16" i="29"/>
  <c r="D15" i="29"/>
  <c r="D31" i="29" s="1"/>
  <c r="C15" i="29"/>
  <c r="C31" i="29" s="1"/>
  <c r="B15" i="29"/>
  <c r="B31" i="29" s="1"/>
  <c r="A15" i="29"/>
  <c r="D14" i="29"/>
  <c r="D30" i="29" s="1"/>
  <c r="C14" i="29"/>
  <c r="C30" i="29" s="1"/>
  <c r="B14" i="29"/>
  <c r="B30" i="29" s="1"/>
  <c r="A14" i="29"/>
  <c r="D13" i="29"/>
  <c r="D29" i="29" s="1"/>
  <c r="C13" i="29"/>
  <c r="C29" i="29" s="1"/>
  <c r="B13" i="29"/>
  <c r="B29" i="29" s="1"/>
  <c r="A13" i="29"/>
  <c r="D12" i="29"/>
  <c r="D28" i="29" s="1"/>
  <c r="C12" i="29"/>
  <c r="C28" i="29" s="1"/>
  <c r="B12" i="29"/>
  <c r="B28" i="29" s="1"/>
  <c r="A12" i="29"/>
  <c r="A28" i="29" s="1"/>
  <c r="D11" i="29"/>
  <c r="D42" i="29" s="1"/>
  <c r="C11" i="29"/>
  <c r="C42" i="29" s="1"/>
  <c r="B11" i="29"/>
  <c r="B42" i="29" s="1"/>
  <c r="A11" i="29"/>
  <c r="A42" i="29" s="1"/>
  <c r="D47" i="29"/>
  <c r="C47" i="29"/>
  <c r="B47" i="29"/>
  <c r="A8" i="29"/>
  <c r="A7" i="29"/>
  <c r="A6" i="29"/>
  <c r="A5" i="29"/>
  <c r="A69" i="28"/>
  <c r="D68" i="28"/>
  <c r="C68" i="28"/>
  <c r="B68" i="28"/>
  <c r="A68" i="28"/>
  <c r="A67" i="28"/>
  <c r="A66" i="28"/>
  <c r="D65" i="28"/>
  <c r="C65" i="28"/>
  <c r="B65" i="28"/>
  <c r="A65" i="28"/>
  <c r="A64" i="28"/>
  <c r="D63" i="28"/>
  <c r="C63" i="28"/>
  <c r="B63" i="28"/>
  <c r="A63" i="28"/>
  <c r="A62" i="28"/>
  <c r="D61" i="28"/>
  <c r="C61" i="28"/>
  <c r="B61" i="28"/>
  <c r="A61" i="28"/>
  <c r="A58" i="28"/>
  <c r="A57" i="28"/>
  <c r="A56" i="28"/>
  <c r="A55" i="28"/>
  <c r="A54" i="28"/>
  <c r="A53" i="28"/>
  <c r="A52" i="28"/>
  <c r="A48" i="28"/>
  <c r="A47" i="28"/>
  <c r="A46" i="28"/>
  <c r="A43" i="28"/>
  <c r="A42" i="28"/>
  <c r="A41" i="28"/>
  <c r="A40" i="28"/>
  <c r="A39" i="28"/>
  <c r="A38" i="28"/>
  <c r="A37" i="28"/>
  <c r="A34" i="28"/>
  <c r="A33" i="28"/>
  <c r="A30" i="28"/>
  <c r="A29" i="28"/>
  <c r="A20" i="28"/>
  <c r="D19" i="28"/>
  <c r="D40" i="28" s="1"/>
  <c r="C19" i="28"/>
  <c r="C40" i="28" s="1"/>
  <c r="B19" i="28"/>
  <c r="B40" i="28" s="1"/>
  <c r="A19" i="28"/>
  <c r="D18" i="28"/>
  <c r="D27" i="28" s="1"/>
  <c r="C18" i="28"/>
  <c r="C27" i="28" s="1"/>
  <c r="B18" i="28"/>
  <c r="B27" i="28" s="1"/>
  <c r="A18" i="28"/>
  <c r="A27" i="28" s="1"/>
  <c r="D17" i="28"/>
  <c r="D39" i="28" s="1"/>
  <c r="C17" i="28"/>
  <c r="C39" i="28" s="1"/>
  <c r="B17" i="28"/>
  <c r="B39" i="28" s="1"/>
  <c r="A17" i="28"/>
  <c r="D16" i="28"/>
  <c r="D38" i="28" s="1"/>
  <c r="C16" i="28"/>
  <c r="C38" i="28" s="1"/>
  <c r="B16" i="28"/>
  <c r="B38" i="28" s="1"/>
  <c r="A16" i="28"/>
  <c r="D15" i="28"/>
  <c r="D37" i="28" s="1"/>
  <c r="C15" i="28"/>
  <c r="C37" i="28" s="1"/>
  <c r="B15" i="28"/>
  <c r="B37" i="28" s="1"/>
  <c r="A15" i="28"/>
  <c r="D14" i="28"/>
  <c r="D26" i="28" s="1"/>
  <c r="C14" i="28"/>
  <c r="C26" i="28" s="1"/>
  <c r="B14" i="28"/>
  <c r="B26" i="28" s="1"/>
  <c r="A14" i="28"/>
  <c r="A26" i="28" s="1"/>
  <c r="D13" i="28"/>
  <c r="D25" i="28" s="1"/>
  <c r="C13" i="28"/>
  <c r="C25" i="28" s="1"/>
  <c r="B13" i="28"/>
  <c r="B25" i="28" s="1"/>
  <c r="A13" i="28"/>
  <c r="A25" i="28" s="1"/>
  <c r="D12" i="28"/>
  <c r="D24" i="28" s="1"/>
  <c r="C12" i="28"/>
  <c r="C24" i="28" s="1"/>
  <c r="B12" i="28"/>
  <c r="B24" i="28" s="1"/>
  <c r="A12" i="28"/>
  <c r="A24" i="28" s="1"/>
  <c r="D11" i="28"/>
  <c r="D51" i="28" s="1"/>
  <c r="C11" i="28"/>
  <c r="C51" i="28" s="1"/>
  <c r="B11" i="28"/>
  <c r="B51" i="28" s="1"/>
  <c r="A11" i="28"/>
  <c r="A51" i="28" s="1"/>
  <c r="A8" i="28"/>
  <c r="A7" i="28"/>
  <c r="A6" i="28"/>
  <c r="A5" i="28"/>
  <c r="A78" i="40"/>
  <c r="D77" i="40"/>
  <c r="C77" i="40"/>
  <c r="B77" i="40"/>
  <c r="A77" i="40"/>
  <c r="A76" i="40"/>
  <c r="A75" i="40"/>
  <c r="D74" i="40"/>
  <c r="C74" i="40"/>
  <c r="B74" i="40"/>
  <c r="A74" i="40"/>
  <c r="A73" i="40"/>
  <c r="D72" i="40"/>
  <c r="C72" i="40"/>
  <c r="B72" i="40"/>
  <c r="A72" i="40"/>
  <c r="A71" i="40"/>
  <c r="D70" i="40"/>
  <c r="C70" i="40"/>
  <c r="B70" i="40"/>
  <c r="A70" i="40"/>
  <c r="A67" i="40"/>
  <c r="A66" i="40"/>
  <c r="A65" i="40"/>
  <c r="A64" i="40"/>
  <c r="A63" i="40"/>
  <c r="A62" i="40"/>
  <c r="A61" i="40"/>
  <c r="A57" i="40"/>
  <c r="A56" i="40"/>
  <c r="A55" i="40"/>
  <c r="A34" i="40"/>
  <c r="A52" i="40" s="1"/>
  <c r="A33" i="40"/>
  <c r="A51" i="40" s="1"/>
  <c r="A32" i="40"/>
  <c r="A50" i="40" s="1"/>
  <c r="A31" i="40"/>
  <c r="A40" i="40" s="1"/>
  <c r="A30" i="40"/>
  <c r="A48" i="40" s="1"/>
  <c r="A29" i="40"/>
  <c r="A38" i="40" s="1"/>
  <c r="A28" i="40"/>
  <c r="A46" i="40" s="1"/>
  <c r="A24" i="40"/>
  <c r="D23" i="40"/>
  <c r="D49" i="40" s="1"/>
  <c r="C23" i="40"/>
  <c r="C49" i="40" s="1"/>
  <c r="B23" i="40"/>
  <c r="B49" i="40" s="1"/>
  <c r="A23" i="40"/>
  <c r="D22" i="40"/>
  <c r="D40" i="40" s="1"/>
  <c r="C22" i="40"/>
  <c r="C40" i="40" s="1"/>
  <c r="B22" i="40"/>
  <c r="B40" i="40" s="1"/>
  <c r="A22" i="40"/>
  <c r="D21" i="40"/>
  <c r="D31" i="40" s="1"/>
  <c r="C21" i="40"/>
  <c r="C31" i="40" s="1"/>
  <c r="B21" i="40"/>
  <c r="B31" i="40" s="1"/>
  <c r="A21" i="40"/>
  <c r="D20" i="40"/>
  <c r="D48" i="40" s="1"/>
  <c r="C20" i="40"/>
  <c r="C48" i="40" s="1"/>
  <c r="B20" i="40"/>
  <c r="B48" i="40" s="1"/>
  <c r="A20" i="40"/>
  <c r="D19" i="40"/>
  <c r="D47" i="40" s="1"/>
  <c r="C19" i="40"/>
  <c r="C47" i="40" s="1"/>
  <c r="B19" i="40"/>
  <c r="B47" i="40" s="1"/>
  <c r="A19" i="40"/>
  <c r="D18" i="40"/>
  <c r="D46" i="40" s="1"/>
  <c r="C18" i="40"/>
  <c r="C46" i="40" s="1"/>
  <c r="B18" i="40"/>
  <c r="B46" i="40" s="1"/>
  <c r="A18" i="40"/>
  <c r="D17" i="40"/>
  <c r="D39" i="40" s="1"/>
  <c r="C17" i="40"/>
  <c r="C39" i="40" s="1"/>
  <c r="B17" i="40"/>
  <c r="B39" i="40" s="1"/>
  <c r="A17" i="40"/>
  <c r="D16" i="40"/>
  <c r="D38" i="40" s="1"/>
  <c r="C16" i="40"/>
  <c r="C38" i="40" s="1"/>
  <c r="B16" i="40"/>
  <c r="B38" i="40" s="1"/>
  <c r="A16" i="40"/>
  <c r="D15" i="40"/>
  <c r="D37" i="40" s="1"/>
  <c r="C15" i="40"/>
  <c r="C37" i="40" s="1"/>
  <c r="B15" i="40"/>
  <c r="B37" i="40" s="1"/>
  <c r="A15" i="40"/>
  <c r="D14" i="40"/>
  <c r="D30" i="40" s="1"/>
  <c r="C14" i="40"/>
  <c r="C30" i="40" s="1"/>
  <c r="B14" i="40"/>
  <c r="B30" i="40" s="1"/>
  <c r="A14" i="40"/>
  <c r="D13" i="40"/>
  <c r="D29" i="40" s="1"/>
  <c r="C13" i="40"/>
  <c r="C29" i="40" s="1"/>
  <c r="B13" i="40"/>
  <c r="B29" i="40" s="1"/>
  <c r="A13" i="40"/>
  <c r="D12" i="40"/>
  <c r="D28" i="40" s="1"/>
  <c r="C12" i="40"/>
  <c r="C28" i="40" s="1"/>
  <c r="B12" i="40"/>
  <c r="B28" i="40" s="1"/>
  <c r="A12" i="40"/>
  <c r="D11" i="40"/>
  <c r="D60" i="40" s="1"/>
  <c r="C11" i="40"/>
  <c r="C60" i="40" s="1"/>
  <c r="B11" i="40"/>
  <c r="B60" i="40" s="1"/>
  <c r="A11" i="40"/>
  <c r="A60" i="40" s="1"/>
  <c r="A8" i="40"/>
  <c r="A7" i="40"/>
  <c r="A6" i="40"/>
  <c r="A5" i="40"/>
  <c r="D66" i="27"/>
  <c r="C66" i="27"/>
  <c r="B66" i="27"/>
  <c r="D63" i="27"/>
  <c r="C63" i="27"/>
  <c r="B63" i="27"/>
  <c r="D61" i="27"/>
  <c r="C61" i="27"/>
  <c r="B61" i="27"/>
  <c r="D59" i="27"/>
  <c r="C59" i="27"/>
  <c r="B59" i="27"/>
  <c r="A39" i="27"/>
  <c r="A31" i="35" s="1"/>
  <c r="A38" i="27"/>
  <c r="A30" i="38" s="1"/>
  <c r="A37" i="27"/>
  <c r="A33" i="27"/>
  <c r="A31" i="34" s="1"/>
  <c r="A32" i="27"/>
  <c r="A30" i="34" s="1"/>
  <c r="A22" i="27"/>
  <c r="A36" i="27" s="1"/>
  <c r="A18" i="27"/>
  <c r="D17" i="27"/>
  <c r="D26" i="27" s="1"/>
  <c r="C17" i="27"/>
  <c r="C26" i="27" s="1"/>
  <c r="B17" i="27"/>
  <c r="B26" i="27" s="1"/>
  <c r="A17" i="27"/>
  <c r="D16" i="27"/>
  <c r="D36" i="27" s="1"/>
  <c r="D37" i="27" s="1"/>
  <c r="C16" i="27"/>
  <c r="B16" i="27"/>
  <c r="A16" i="27"/>
  <c r="D15" i="27"/>
  <c r="D25" i="27" s="1"/>
  <c r="C15" i="27"/>
  <c r="C25" i="27" s="1"/>
  <c r="B15" i="27"/>
  <c r="B25" i="27" s="1"/>
  <c r="A15" i="27"/>
  <c r="D14" i="27"/>
  <c r="D24" i="27" s="1"/>
  <c r="C14" i="27"/>
  <c r="C24" i="27" s="1"/>
  <c r="B14" i="27"/>
  <c r="B24" i="27" s="1"/>
  <c r="A14" i="27"/>
  <c r="D13" i="27"/>
  <c r="D23" i="27" s="1"/>
  <c r="C13" i="27"/>
  <c r="C23" i="27" s="1"/>
  <c r="B13" i="27"/>
  <c r="B23" i="27" s="1"/>
  <c r="A13" i="27"/>
  <c r="D12" i="27"/>
  <c r="D22" i="27" s="1"/>
  <c r="C12" i="27"/>
  <c r="C22" i="27" s="1"/>
  <c r="B12" i="27"/>
  <c r="B22" i="27" s="1"/>
  <c r="A12" i="27"/>
  <c r="D11" i="27"/>
  <c r="D47" i="27" s="1"/>
  <c r="C11" i="27"/>
  <c r="C47" i="27" s="1"/>
  <c r="B11" i="27"/>
  <c r="B47" i="27" s="1"/>
  <c r="A11" i="27"/>
  <c r="A47" i="27" s="1"/>
  <c r="D53" i="27"/>
  <c r="A8" i="27"/>
  <c r="A7" i="27"/>
  <c r="A6" i="27"/>
  <c r="A5" i="27"/>
  <c r="K18" i="64"/>
  <c r="K17" i="64"/>
  <c r="K16" i="64"/>
  <c r="K14" i="64"/>
  <c r="K13" i="64"/>
  <c r="K12" i="64"/>
  <c r="K11" i="64"/>
  <c r="K9" i="64"/>
  <c r="K8" i="64"/>
  <c r="B37" i="55"/>
  <c r="L28" i="55"/>
  <c r="K28" i="55"/>
  <c r="J28" i="55"/>
  <c r="L27" i="55"/>
  <c r="L30" i="55" s="1"/>
  <c r="K27" i="55"/>
  <c r="K30" i="55" s="1"/>
  <c r="J27" i="55"/>
  <c r="J30" i="55" s="1"/>
  <c r="B27" i="55"/>
  <c r="L26" i="55"/>
  <c r="K26" i="55"/>
  <c r="J26" i="55"/>
  <c r="B26" i="55"/>
  <c r="B21" i="55"/>
  <c r="B20" i="55"/>
  <c r="B14" i="55"/>
  <c r="D6" i="55"/>
  <c r="C6" i="55"/>
  <c r="D5" i="55"/>
  <c r="C5" i="55"/>
  <c r="D4" i="55"/>
  <c r="C4" i="55"/>
  <c r="G62" i="58"/>
  <c r="G42" i="58"/>
  <c r="G22" i="58"/>
  <c r="D70" i="39"/>
  <c r="C70" i="39"/>
  <c r="B70" i="39"/>
  <c r="D69" i="39"/>
  <c r="C69" i="39"/>
  <c r="B69" i="39"/>
  <c r="C26" i="39"/>
  <c r="B26" i="39"/>
  <c r="D66" i="39"/>
  <c r="C66" i="39"/>
  <c r="B66" i="39"/>
  <c r="C25" i="39"/>
  <c r="B25" i="39"/>
  <c r="D63" i="39"/>
  <c r="C63" i="39"/>
  <c r="B63" i="39"/>
  <c r="C24" i="39"/>
  <c r="B24" i="39"/>
  <c r="C23" i="39"/>
  <c r="C22" i="39"/>
  <c r="D56" i="39"/>
  <c r="C56" i="39"/>
  <c r="B56" i="39"/>
  <c r="D55" i="39"/>
  <c r="C55" i="39"/>
  <c r="B55" i="39"/>
  <c r="C20" i="39"/>
  <c r="B20" i="39"/>
  <c r="D54" i="39"/>
  <c r="C54" i="39"/>
  <c r="B54" i="39"/>
  <c r="C19" i="39"/>
  <c r="D53" i="39"/>
  <c r="C53" i="39"/>
  <c r="B53" i="39"/>
  <c r="C18" i="39"/>
  <c r="B18" i="39"/>
  <c r="D52" i="39"/>
  <c r="C52" i="39"/>
  <c r="B52" i="39"/>
  <c r="C11" i="38"/>
  <c r="B11" i="38"/>
  <c r="D17" i="38"/>
  <c r="C17" i="38"/>
  <c r="B17" i="38"/>
  <c r="B49" i="39"/>
  <c r="B175" i="39" s="1"/>
  <c r="D47" i="39"/>
  <c r="C47" i="39"/>
  <c r="B47" i="39"/>
  <c r="D44" i="39"/>
  <c r="D176" i="39" s="1"/>
  <c r="C44" i="39"/>
  <c r="C176" i="39" s="1"/>
  <c r="B44" i="39"/>
  <c r="B176" i="39" s="1"/>
  <c r="D43" i="39"/>
  <c r="D135" i="39" s="1"/>
  <c r="C43" i="39"/>
  <c r="C135" i="39" s="1"/>
  <c r="B43" i="39"/>
  <c r="B135" i="39" s="1"/>
  <c r="D16" i="38"/>
  <c r="D68" i="38" s="1"/>
  <c r="C16" i="38"/>
  <c r="C68" i="38" s="1"/>
  <c r="B16" i="38"/>
  <c r="B68" i="38" s="1"/>
  <c r="D15" i="38"/>
  <c r="D38" i="38" s="1"/>
  <c r="C15" i="38"/>
  <c r="C38" i="38" s="1"/>
  <c r="B15" i="38"/>
  <c r="B38" i="38" s="1"/>
  <c r="D13" i="35"/>
  <c r="D61" i="35" s="1"/>
  <c r="C13" i="35"/>
  <c r="C61" i="35" s="1"/>
  <c r="B13" i="35"/>
  <c r="B61" i="35" s="1"/>
  <c r="D16" i="34"/>
  <c r="D55" i="34" s="1"/>
  <c r="B16" i="34"/>
  <c r="B55" i="34" s="1"/>
  <c r="D17" i="32"/>
  <c r="D63" i="32" s="1"/>
  <c r="C17" i="32"/>
  <c r="C63" i="32" s="1"/>
  <c r="B17" i="32"/>
  <c r="B63" i="32" s="1"/>
  <c r="D16" i="32"/>
  <c r="D45" i="32" s="1"/>
  <c r="C16" i="32"/>
  <c r="C45" i="32" s="1"/>
  <c r="B16" i="32"/>
  <c r="B45" i="32" s="1"/>
  <c r="D13" i="31"/>
  <c r="D69" i="31" s="1"/>
  <c r="B13" i="31"/>
  <c r="B69" i="31" s="1"/>
  <c r="D12" i="31"/>
  <c r="D36" i="31" s="1"/>
  <c r="C12" i="31"/>
  <c r="C36" i="31" s="1"/>
  <c r="B12" i="31"/>
  <c r="B36" i="31" s="1"/>
  <c r="D5" i="38"/>
  <c r="D69" i="38" s="1"/>
  <c r="C5" i="38"/>
  <c r="C69" i="38" s="1"/>
  <c r="B5" i="38"/>
  <c r="B69" i="38" s="1"/>
  <c r="D5" i="37"/>
  <c r="D71" i="37" s="1"/>
  <c r="C5" i="37"/>
  <c r="C71" i="37" s="1"/>
  <c r="B5" i="37"/>
  <c r="B71" i="37" s="1"/>
  <c r="D5" i="36"/>
  <c r="D77" i="36" s="1"/>
  <c r="C5" i="36"/>
  <c r="C77" i="36" s="1"/>
  <c r="B5" i="36"/>
  <c r="B77" i="36" s="1"/>
  <c r="D5" i="35"/>
  <c r="D63" i="35" s="1"/>
  <c r="C5" i="35"/>
  <c r="C63" i="35" s="1"/>
  <c r="B5" i="35"/>
  <c r="B63" i="35" s="1"/>
  <c r="D5" i="34"/>
  <c r="D58" i="34" s="1"/>
  <c r="C5" i="34"/>
  <c r="C58" i="34" s="1"/>
  <c r="B5" i="34"/>
  <c r="B58" i="34" s="1"/>
  <c r="D5" i="33"/>
  <c r="D60" i="33" s="1"/>
  <c r="C5" i="33"/>
  <c r="C60" i="33" s="1"/>
  <c r="B5" i="33"/>
  <c r="B60" i="33" s="1"/>
  <c r="D5" i="32"/>
  <c r="D65" i="32" s="1"/>
  <c r="C5" i="32"/>
  <c r="C65" i="32" s="1"/>
  <c r="B5" i="32"/>
  <c r="B65" i="32" s="1"/>
  <c r="D5" i="31"/>
  <c r="D70" i="31" s="1"/>
  <c r="C5" i="31"/>
  <c r="C70" i="31" s="1"/>
  <c r="B5" i="31"/>
  <c r="B70" i="31" s="1"/>
  <c r="D5" i="29"/>
  <c r="D46" i="29" s="1"/>
  <c r="C5" i="29"/>
  <c r="C46" i="29" s="1"/>
  <c r="B5" i="29"/>
  <c r="B46" i="29" s="1"/>
  <c r="D5" i="28"/>
  <c r="D55" i="28" s="1"/>
  <c r="C5" i="28"/>
  <c r="C55" i="28" s="1"/>
  <c r="B5" i="28"/>
  <c r="B55" i="28" s="1"/>
  <c r="D5" i="40"/>
  <c r="D64" i="40" s="1"/>
  <c r="C5" i="40"/>
  <c r="C64" i="40" s="1"/>
  <c r="B5" i="40"/>
  <c r="B64" i="40" s="1"/>
  <c r="D5" i="27"/>
  <c r="D52" i="27" s="1"/>
  <c r="C5" i="27"/>
  <c r="C52" i="27" s="1"/>
  <c r="B5" i="27"/>
  <c r="B52" i="27" s="1"/>
  <c r="D10" i="39"/>
  <c r="L31" i="55" s="1"/>
  <c r="C10" i="39"/>
  <c r="K31" i="55" s="1"/>
  <c r="B10" i="39"/>
  <c r="J31" i="55" s="1"/>
  <c r="D8" i="39"/>
  <c r="L38" i="55" s="1"/>
  <c r="C8" i="39"/>
  <c r="K38" i="55" s="1"/>
  <c r="B8" i="39"/>
  <c r="J38" i="55" s="1"/>
  <c r="D8" i="38"/>
  <c r="D50" i="38" s="1"/>
  <c r="C8" i="38"/>
  <c r="C50" i="38" s="1"/>
  <c r="B8" i="38"/>
  <c r="B50" i="38" s="1"/>
  <c r="D7" i="38"/>
  <c r="D41" i="38" s="1"/>
  <c r="C7" i="38"/>
  <c r="C41" i="38" s="1"/>
  <c r="B7" i="38"/>
  <c r="B41" i="38" s="1"/>
  <c r="D6" i="38"/>
  <c r="D30" i="38" s="1"/>
  <c r="C6" i="38"/>
  <c r="C30" i="38" s="1"/>
  <c r="B6" i="38"/>
  <c r="B30" i="38" s="1"/>
  <c r="D8" i="37"/>
  <c r="D52" i="37" s="1"/>
  <c r="C8" i="37"/>
  <c r="C52" i="37" s="1"/>
  <c r="B8" i="37"/>
  <c r="B52" i="37" s="1"/>
  <c r="D7" i="37"/>
  <c r="D38" i="37" s="1"/>
  <c r="C7" i="37"/>
  <c r="C38" i="37" s="1"/>
  <c r="B7" i="37"/>
  <c r="B38" i="37" s="1"/>
  <c r="D6" i="37"/>
  <c r="D29" i="37" s="1"/>
  <c r="C6" i="37"/>
  <c r="C29" i="37" s="1"/>
  <c r="B6" i="37"/>
  <c r="B29" i="37" s="1"/>
  <c r="D8" i="36"/>
  <c r="D59" i="36" s="1"/>
  <c r="C8" i="36"/>
  <c r="C59" i="36" s="1"/>
  <c r="B8" i="36"/>
  <c r="B59" i="36" s="1"/>
  <c r="D7" i="36"/>
  <c r="D46" i="36" s="1"/>
  <c r="C7" i="36"/>
  <c r="C46" i="36" s="1"/>
  <c r="B7" i="36"/>
  <c r="B46" i="36" s="1"/>
  <c r="D6" i="36"/>
  <c r="D37" i="36" s="1"/>
  <c r="C6" i="36"/>
  <c r="C37" i="36" s="1"/>
  <c r="B6" i="36"/>
  <c r="B37" i="36" s="1"/>
  <c r="D8" i="35"/>
  <c r="D43" i="35" s="1"/>
  <c r="C8" i="35"/>
  <c r="C43" i="35" s="1"/>
  <c r="B8" i="35"/>
  <c r="B43" i="35" s="1"/>
  <c r="D7" i="35"/>
  <c r="D30" i="35" s="1"/>
  <c r="D31" i="35" s="1"/>
  <c r="C7" i="35"/>
  <c r="C30" i="35" s="1"/>
  <c r="C31" i="35" s="1"/>
  <c r="B7" i="35"/>
  <c r="B30" i="35" s="1"/>
  <c r="B31" i="35" s="1"/>
  <c r="B58" i="35" s="1"/>
  <c r="D6" i="35"/>
  <c r="D26" i="35" s="1"/>
  <c r="C6" i="35"/>
  <c r="C26" i="35" s="1"/>
  <c r="B6" i="35"/>
  <c r="B26" i="35" s="1"/>
  <c r="D8" i="34"/>
  <c r="D41" i="34" s="1"/>
  <c r="C8" i="34"/>
  <c r="C41" i="34" s="1"/>
  <c r="B8" i="34"/>
  <c r="B41" i="34" s="1"/>
  <c r="D7" i="34"/>
  <c r="D30" i="34" s="1"/>
  <c r="D31" i="34" s="1"/>
  <c r="C7" i="34"/>
  <c r="C30" i="34" s="1"/>
  <c r="C31" i="34" s="1"/>
  <c r="C53" i="34" s="1"/>
  <c r="B7" i="34"/>
  <c r="B30" i="34" s="1"/>
  <c r="B31" i="34" s="1"/>
  <c r="B53" i="34" s="1"/>
  <c r="D6" i="34"/>
  <c r="D26" i="34" s="1"/>
  <c r="C6" i="34"/>
  <c r="C26" i="34" s="1"/>
  <c r="B6" i="34"/>
  <c r="B26" i="34" s="1"/>
  <c r="D8" i="33"/>
  <c r="D46" i="33" s="1"/>
  <c r="C8" i="33"/>
  <c r="C46" i="33" s="1"/>
  <c r="B8" i="33"/>
  <c r="B46" i="33" s="1"/>
  <c r="D7" i="33"/>
  <c r="D37" i="33" s="1"/>
  <c r="C7" i="33"/>
  <c r="C37" i="33" s="1"/>
  <c r="B7" i="33"/>
  <c r="B37" i="33" s="1"/>
  <c r="D6" i="33"/>
  <c r="D28" i="33" s="1"/>
  <c r="C6" i="33"/>
  <c r="C28" i="33" s="1"/>
  <c r="B6" i="33"/>
  <c r="B28" i="33" s="1"/>
  <c r="D8" i="32"/>
  <c r="D48" i="32" s="1"/>
  <c r="C8" i="32"/>
  <c r="C48" i="32" s="1"/>
  <c r="B8" i="32"/>
  <c r="B48" i="32" s="1"/>
  <c r="D7" i="32"/>
  <c r="D34" i="32" s="1"/>
  <c r="D35" i="32" s="1"/>
  <c r="D61" i="32" s="1"/>
  <c r="C7" i="32"/>
  <c r="C34" i="32" s="1"/>
  <c r="C35" i="32" s="1"/>
  <c r="B7" i="32"/>
  <c r="B34" i="32" s="1"/>
  <c r="B35" i="32" s="1"/>
  <c r="B61" i="32" s="1"/>
  <c r="D6" i="32"/>
  <c r="D30" i="32" s="1"/>
  <c r="C6" i="32"/>
  <c r="C30" i="32" s="1"/>
  <c r="B6" i="32"/>
  <c r="B30" i="32" s="1"/>
  <c r="D8" i="31"/>
  <c r="D56" i="31" s="1"/>
  <c r="C8" i="31"/>
  <c r="C56" i="31" s="1"/>
  <c r="B8" i="31"/>
  <c r="B56" i="31" s="1"/>
  <c r="D7" i="31"/>
  <c r="D47" i="31" s="1"/>
  <c r="C7" i="31"/>
  <c r="C47" i="31" s="1"/>
  <c r="B7" i="31"/>
  <c r="B47" i="31" s="1"/>
  <c r="D6" i="31"/>
  <c r="D38" i="31" s="1"/>
  <c r="C6" i="31"/>
  <c r="C38" i="31" s="1"/>
  <c r="B6" i="31"/>
  <c r="B38" i="31" s="1"/>
  <c r="D8" i="29"/>
  <c r="D33" i="29" s="1"/>
  <c r="C8" i="29"/>
  <c r="C33" i="29" s="1"/>
  <c r="B33" i="29"/>
  <c r="D7" i="29"/>
  <c r="D24" i="29" s="1"/>
  <c r="D25" i="29" s="1"/>
  <c r="C7" i="29"/>
  <c r="C24" i="29" s="1"/>
  <c r="C25" i="29" s="1"/>
  <c r="B7" i="29"/>
  <c r="B24" i="29" s="1"/>
  <c r="B25" i="29" s="1"/>
  <c r="B44" i="29" s="1"/>
  <c r="D6" i="29"/>
  <c r="D20" i="29" s="1"/>
  <c r="C6" i="29"/>
  <c r="C20" i="29" s="1"/>
  <c r="B6" i="29"/>
  <c r="B20" i="29" s="1"/>
  <c r="D8" i="28"/>
  <c r="D42" i="28" s="1"/>
  <c r="C8" i="28"/>
  <c r="C42" i="28" s="1"/>
  <c r="B8" i="28"/>
  <c r="B42" i="28" s="1"/>
  <c r="D7" i="28"/>
  <c r="D33" i="28" s="1"/>
  <c r="D34" i="28" s="1"/>
  <c r="C7" i="28"/>
  <c r="C33" i="28" s="1"/>
  <c r="C34" i="28" s="1"/>
  <c r="C53" i="28" s="1"/>
  <c r="B7" i="28"/>
  <c r="B33" i="28" s="1"/>
  <c r="B34" i="28" s="1"/>
  <c r="B53" i="28" s="1"/>
  <c r="D6" i="28"/>
  <c r="D29" i="28" s="1"/>
  <c r="C6" i="28"/>
  <c r="C29" i="28" s="1"/>
  <c r="B6" i="28"/>
  <c r="B29" i="28" s="1"/>
  <c r="D8" i="40"/>
  <c r="D51" i="40" s="1"/>
  <c r="C8" i="40"/>
  <c r="C51" i="40" s="1"/>
  <c r="B8" i="40"/>
  <c r="B51" i="40" s="1"/>
  <c r="D7" i="40"/>
  <c r="D42" i="40" s="1"/>
  <c r="C7" i="40"/>
  <c r="C42" i="40" s="1"/>
  <c r="B7" i="40"/>
  <c r="B42" i="40" s="1"/>
  <c r="D6" i="40"/>
  <c r="D33" i="40" s="1"/>
  <c r="C6" i="40"/>
  <c r="C33" i="40" s="1"/>
  <c r="B6" i="40"/>
  <c r="B33" i="40" s="1"/>
  <c r="D8" i="27"/>
  <c r="D38" i="27" s="1"/>
  <c r="C8" i="27"/>
  <c r="C38" i="27" s="1"/>
  <c r="B8" i="27"/>
  <c r="B38" i="27" s="1"/>
  <c r="D7" i="27"/>
  <c r="D32" i="27" s="1"/>
  <c r="D33" i="27" s="1"/>
  <c r="D50" i="27" s="1"/>
  <c r="C7" i="27"/>
  <c r="C32" i="27" s="1"/>
  <c r="C33" i="27" s="1"/>
  <c r="B7" i="27"/>
  <c r="B32" i="27" s="1"/>
  <c r="B33" i="27" s="1"/>
  <c r="B50" i="27" s="1"/>
  <c r="D6" i="27"/>
  <c r="D28" i="27" s="1"/>
  <c r="C6" i="27"/>
  <c r="C28" i="27" s="1"/>
  <c r="B6" i="27"/>
  <c r="B28" i="27" s="1"/>
  <c r="D110" i="39" l="1"/>
  <c r="J35" i="55"/>
  <c r="J25" i="55"/>
  <c r="K35" i="55"/>
  <c r="K25" i="55"/>
  <c r="D114" i="39"/>
  <c r="L37" i="55" s="1"/>
  <c r="D41" i="40"/>
  <c r="D43" i="40" s="1"/>
  <c r="B18" i="55"/>
  <c r="B113" i="39"/>
  <c r="J36" i="55" s="1"/>
  <c r="K4" i="55" s="1"/>
  <c r="D32" i="40"/>
  <c r="D34" i="40" s="1"/>
  <c r="D50" i="40"/>
  <c r="D52" i="40" s="1"/>
  <c r="C113" i="39"/>
  <c r="K36" i="55" s="1"/>
  <c r="D113" i="39"/>
  <c r="L36" i="55" s="1"/>
  <c r="C114" i="39"/>
  <c r="K37" i="55" s="1"/>
  <c r="J29" i="55"/>
  <c r="J4" i="55" s="1"/>
  <c r="L29" i="55"/>
  <c r="J6" i="55" s="1"/>
  <c r="D43" i="41"/>
  <c r="C9" i="39" s="1"/>
  <c r="C11" i="39" s="1"/>
  <c r="C140" i="39" s="1"/>
  <c r="D59" i="41"/>
  <c r="D61" i="41" s="1"/>
  <c r="C40" i="41"/>
  <c r="B6" i="39" s="1"/>
  <c r="B102" i="39" s="1"/>
  <c r="B103" i="39" s="1"/>
  <c r="E40" i="41"/>
  <c r="D6" i="39" s="1"/>
  <c r="D102" i="39" s="1"/>
  <c r="D103" i="39" s="1"/>
  <c r="E41" i="41"/>
  <c r="D7" i="39" s="1"/>
  <c r="D117" i="39" s="1"/>
  <c r="E43" i="41"/>
  <c r="D9" i="39" s="1"/>
  <c r="D11" i="39" s="1"/>
  <c r="D140" i="39" s="1"/>
  <c r="C59" i="41"/>
  <c r="C61" i="41" s="1"/>
  <c r="E59" i="41"/>
  <c r="E61" i="41" s="1"/>
  <c r="D40" i="41"/>
  <c r="C6" i="39" s="1"/>
  <c r="C102" i="39" s="1"/>
  <c r="C103" i="39" s="1"/>
  <c r="A47" i="40"/>
  <c r="B127" i="39"/>
  <c r="A50" i="37"/>
  <c r="A49" i="40"/>
  <c r="C95" i="39"/>
  <c r="D138" i="39"/>
  <c r="C43" i="27"/>
  <c r="A43" i="40"/>
  <c r="B95" i="39"/>
  <c r="B96" i="39" s="1"/>
  <c r="A37" i="40"/>
  <c r="A47" i="37"/>
  <c r="A54" i="36"/>
  <c r="J13" i="55"/>
  <c r="A39" i="40"/>
  <c r="A30" i="35"/>
  <c r="A26" i="35"/>
  <c r="K13" i="55"/>
  <c r="A27" i="35"/>
  <c r="A31" i="38"/>
  <c r="A41" i="40"/>
  <c r="A42" i="40"/>
  <c r="A53" i="36"/>
  <c r="C138" i="39"/>
  <c r="A55" i="36"/>
  <c r="C7" i="39"/>
  <c r="C117" i="39" s="1"/>
  <c r="B123" i="39"/>
  <c r="C124" i="39"/>
  <c r="B125" i="39"/>
  <c r="C34" i="38"/>
  <c r="C40" i="38" s="1"/>
  <c r="B28" i="28"/>
  <c r="B30" i="28" s="1"/>
  <c r="D41" i="28"/>
  <c r="D43" i="28" s="1"/>
  <c r="D46" i="64"/>
  <c r="K46" i="64" s="1"/>
  <c r="D26" i="64"/>
  <c r="K26" i="64" s="1"/>
  <c r="D30" i="64"/>
  <c r="K30" i="64" s="1"/>
  <c r="B27" i="27"/>
  <c r="B29" i="27" s="1"/>
  <c r="C55" i="31"/>
  <c r="C57" i="31" s="1"/>
  <c r="D28" i="64"/>
  <c r="K28" i="64" s="1"/>
  <c r="D44" i="64"/>
  <c r="K44" i="64" s="1"/>
  <c r="D55" i="31"/>
  <c r="D57" i="31" s="1"/>
  <c r="D48" i="27"/>
  <c r="D46" i="31"/>
  <c r="D48" i="31" s="1"/>
  <c r="D32" i="29"/>
  <c r="D37" i="29" s="1"/>
  <c r="C56" i="40"/>
  <c r="B61" i="31"/>
  <c r="C68" i="36"/>
  <c r="B126" i="39"/>
  <c r="C32" i="40"/>
  <c r="C34" i="40" s="1"/>
  <c r="B52" i="35"/>
  <c r="B170" i="39" s="1"/>
  <c r="B138" i="39"/>
  <c r="I14" i="58"/>
  <c r="D38" i="64"/>
  <c r="K38" i="64" s="1"/>
  <c r="B46" i="31"/>
  <c r="B48" i="31" s="1"/>
  <c r="C58" i="36"/>
  <c r="C60" i="36" s="1"/>
  <c r="B37" i="37"/>
  <c r="B39" i="37" s="1"/>
  <c r="C56" i="37"/>
  <c r="C57" i="37" s="1"/>
  <c r="C70" i="37" s="1"/>
  <c r="B47" i="28"/>
  <c r="D61" i="31"/>
  <c r="K19" i="64"/>
  <c r="D42" i="64"/>
  <c r="K42" i="64" s="1"/>
  <c r="B36" i="36"/>
  <c r="B38" i="36" s="1"/>
  <c r="D45" i="36"/>
  <c r="D47" i="36" s="1"/>
  <c r="B58" i="36"/>
  <c r="B60" i="36" s="1"/>
  <c r="D56" i="37"/>
  <c r="D57" i="37" s="1"/>
  <c r="D70" i="37" s="1"/>
  <c r="C125" i="39"/>
  <c r="D27" i="64"/>
  <c r="K27" i="64" s="1"/>
  <c r="D31" i="64"/>
  <c r="K31" i="64" s="1"/>
  <c r="B50" i="40"/>
  <c r="B52" i="40" s="1"/>
  <c r="B63" i="40" s="1"/>
  <c r="C46" i="31"/>
  <c r="C48" i="31" s="1"/>
  <c r="C36" i="33"/>
  <c r="C38" i="33" s="1"/>
  <c r="D45" i="33"/>
  <c r="D47" i="33" s="1"/>
  <c r="D36" i="33"/>
  <c r="D36" i="36"/>
  <c r="D38" i="36" s="1"/>
  <c r="C41" i="40"/>
  <c r="C43" i="40" s="1"/>
  <c r="D44" i="29"/>
  <c r="I50" i="58"/>
  <c r="C16" i="39"/>
  <c r="C12" i="32"/>
  <c r="C184" i="39"/>
  <c r="C91" i="39"/>
  <c r="K18" i="55"/>
  <c r="B57" i="39"/>
  <c r="F4" i="55"/>
  <c r="D51" i="33"/>
  <c r="D29" i="33"/>
  <c r="B72" i="39"/>
  <c r="B18" i="33"/>
  <c r="D56" i="40"/>
  <c r="C61" i="31"/>
  <c r="B46" i="34"/>
  <c r="B27" i="34"/>
  <c r="D68" i="36"/>
  <c r="B117" i="39"/>
  <c r="B45" i="39"/>
  <c r="B136" i="39" s="1"/>
  <c r="B167" i="39" s="1"/>
  <c r="B15" i="34"/>
  <c r="D16" i="39"/>
  <c r="D12" i="32"/>
  <c r="C72" i="39"/>
  <c r="C18" i="33"/>
  <c r="B14" i="39"/>
  <c r="B11" i="33"/>
  <c r="C126" i="39"/>
  <c r="C57" i="39"/>
  <c r="F5" i="55"/>
  <c r="D184" i="39"/>
  <c r="D91" i="39"/>
  <c r="L18" i="55"/>
  <c r="I10" i="58"/>
  <c r="C46" i="34"/>
  <c r="C27" i="34"/>
  <c r="B61" i="37"/>
  <c r="B30" i="37"/>
  <c r="C45" i="39"/>
  <c r="C136" i="39" s="1"/>
  <c r="C167" i="39" s="1"/>
  <c r="C15" i="34"/>
  <c r="D72" i="39"/>
  <c r="D18" i="33"/>
  <c r="C14" i="39"/>
  <c r="C11" i="33"/>
  <c r="B73" i="39"/>
  <c r="B17" i="34"/>
  <c r="D57" i="39"/>
  <c r="F6" i="55"/>
  <c r="B59" i="39"/>
  <c r="J17" i="55" s="1"/>
  <c r="E4" i="55"/>
  <c r="I15" i="58"/>
  <c r="B41" i="40"/>
  <c r="B43" i="40" s="1"/>
  <c r="C47" i="28"/>
  <c r="B53" i="32"/>
  <c r="B31" i="32"/>
  <c r="D46" i="34"/>
  <c r="D27" i="34"/>
  <c r="C61" i="37"/>
  <c r="C30" i="37"/>
  <c r="B11" i="39"/>
  <c r="B140" i="39" s="1"/>
  <c r="D45" i="39"/>
  <c r="D136" i="39" s="1"/>
  <c r="D167" i="39" s="1"/>
  <c r="D15" i="34"/>
  <c r="B46" i="39"/>
  <c r="B134" i="39" s="1"/>
  <c r="B168" i="39" s="1"/>
  <c r="B12" i="35"/>
  <c r="B62" i="35" s="1"/>
  <c r="C73" i="39"/>
  <c r="C17" i="34"/>
  <c r="B17" i="39"/>
  <c r="B11" i="34"/>
  <c r="C59" i="39"/>
  <c r="K17" i="55" s="1"/>
  <c r="E5" i="55"/>
  <c r="I12" i="58"/>
  <c r="B43" i="27"/>
  <c r="D47" i="28"/>
  <c r="C31" i="32"/>
  <c r="C53" i="32"/>
  <c r="D53" i="34"/>
  <c r="I54" i="58"/>
  <c r="B48" i="35"/>
  <c r="B27" i="35"/>
  <c r="D61" i="37"/>
  <c r="D30" i="37"/>
  <c r="C46" i="39"/>
  <c r="C134" i="39" s="1"/>
  <c r="C168" i="39" s="1"/>
  <c r="C12" i="35"/>
  <c r="C62" i="35" s="1"/>
  <c r="B74" i="39"/>
  <c r="B20" i="32"/>
  <c r="D73" i="39"/>
  <c r="D17" i="34"/>
  <c r="C17" i="39"/>
  <c r="C11" i="34"/>
  <c r="B34" i="38"/>
  <c r="B40" i="38" s="1"/>
  <c r="B124" i="39"/>
  <c r="D59" i="39"/>
  <c r="E6" i="55"/>
  <c r="I7" i="58"/>
  <c r="I52" i="58"/>
  <c r="D53" i="28"/>
  <c r="I49" i="58"/>
  <c r="B38" i="29"/>
  <c r="B21" i="29"/>
  <c r="D53" i="32"/>
  <c r="D31" i="32"/>
  <c r="C61" i="32"/>
  <c r="I32" i="58"/>
  <c r="C27" i="35"/>
  <c r="C48" i="35"/>
  <c r="B31" i="38"/>
  <c r="B59" i="38"/>
  <c r="D46" i="39"/>
  <c r="D134" i="39" s="1"/>
  <c r="D168" i="39" s="1"/>
  <c r="D12" i="35"/>
  <c r="C74" i="39"/>
  <c r="C20" i="32"/>
  <c r="B75" i="39"/>
  <c r="B21" i="32"/>
  <c r="D17" i="39"/>
  <c r="D11" i="34"/>
  <c r="I29" i="58"/>
  <c r="I34" i="58"/>
  <c r="I47" i="58"/>
  <c r="B36" i="27"/>
  <c r="B37" i="27" s="1"/>
  <c r="B39" i="27" s="1"/>
  <c r="D43" i="27"/>
  <c r="C38" i="29"/>
  <c r="C21" i="29"/>
  <c r="B29" i="33"/>
  <c r="B51" i="33"/>
  <c r="D48" i="35"/>
  <c r="D27" i="35"/>
  <c r="C58" i="35"/>
  <c r="I35" i="58"/>
  <c r="C31" i="38"/>
  <c r="C59" i="38"/>
  <c r="D74" i="39"/>
  <c r="D20" i="32"/>
  <c r="C21" i="32"/>
  <c r="C75" i="39"/>
  <c r="B15" i="39"/>
  <c r="B11" i="32"/>
  <c r="I9" i="58"/>
  <c r="I27" i="58"/>
  <c r="C50" i="27"/>
  <c r="B56" i="40"/>
  <c r="D21" i="29"/>
  <c r="D38" i="29"/>
  <c r="C44" i="29"/>
  <c r="I30" i="58"/>
  <c r="C51" i="33"/>
  <c r="C29" i="33"/>
  <c r="D58" i="35"/>
  <c r="I55" i="58"/>
  <c r="B68" i="36"/>
  <c r="D31" i="38"/>
  <c r="D59" i="38"/>
  <c r="D75" i="39"/>
  <c r="D21" i="32"/>
  <c r="C15" i="39"/>
  <c r="C11" i="32"/>
  <c r="B16" i="39"/>
  <c r="B12" i="32"/>
  <c r="C127" i="39"/>
  <c r="C123" i="39"/>
  <c r="B184" i="39"/>
  <c r="B91" i="39"/>
  <c r="J14" i="55" s="1"/>
  <c r="J18" i="55"/>
  <c r="D95" i="39"/>
  <c r="D96" i="39" s="1"/>
  <c r="C50" i="40"/>
  <c r="C52" i="40" s="1"/>
  <c r="B32" i="40"/>
  <c r="C27" i="27"/>
  <c r="D39" i="27"/>
  <c r="D25" i="64"/>
  <c r="K25" i="64" s="1"/>
  <c r="D29" i="64"/>
  <c r="K29" i="64" s="1"/>
  <c r="D45" i="64"/>
  <c r="K45" i="64" s="1"/>
  <c r="K29" i="55"/>
  <c r="J5" i="55" s="1"/>
  <c r="B41" i="28"/>
  <c r="D39" i="64"/>
  <c r="K39" i="64" s="1"/>
  <c r="D43" i="64"/>
  <c r="K43" i="64" s="1"/>
  <c r="C41" i="28"/>
  <c r="D19" i="64"/>
  <c r="D20" i="64" s="1"/>
  <c r="K36" i="64"/>
  <c r="D40" i="64"/>
  <c r="K40" i="64" s="1"/>
  <c r="D27" i="27"/>
  <c r="D42" i="27" s="1"/>
  <c r="C28" i="28"/>
  <c r="C30" i="28" s="1"/>
  <c r="C32" i="29"/>
  <c r="C36" i="27"/>
  <c r="C37" i="27" s="1"/>
  <c r="C39" i="27" s="1"/>
  <c r="D28" i="28"/>
  <c r="D30" i="28" s="1"/>
  <c r="B37" i="31"/>
  <c r="B39" i="31" s="1"/>
  <c r="D37" i="64"/>
  <c r="K37" i="64" s="1"/>
  <c r="D41" i="64"/>
  <c r="K41" i="64" s="1"/>
  <c r="B32" i="29"/>
  <c r="B55" i="31"/>
  <c r="B57" i="31" s="1"/>
  <c r="B36" i="33"/>
  <c r="D64" i="32"/>
  <c r="C37" i="31"/>
  <c r="C39" i="31" s="1"/>
  <c r="C64" i="32"/>
  <c r="C45" i="33"/>
  <c r="C47" i="33" s="1"/>
  <c r="D37" i="31"/>
  <c r="D39" i="31" s="1"/>
  <c r="B45" i="33"/>
  <c r="B47" i="33" s="1"/>
  <c r="B42" i="35"/>
  <c r="A56" i="34"/>
  <c r="A38" i="34"/>
  <c r="C52" i="35"/>
  <c r="C42" i="35"/>
  <c r="D52" i="35"/>
  <c r="D54" i="38"/>
  <c r="D49" i="38"/>
  <c r="D51" i="38" s="1"/>
  <c r="D66" i="38" s="1"/>
  <c r="J58" i="58" s="1"/>
  <c r="D42" i="35"/>
  <c r="C45" i="36"/>
  <c r="C63" i="36"/>
  <c r="B45" i="36"/>
  <c r="D58" i="36"/>
  <c r="D60" i="36" s="1"/>
  <c r="B63" i="36"/>
  <c r="D63" i="36"/>
  <c r="C36" i="36"/>
  <c r="C38" i="36" s="1"/>
  <c r="B51" i="37"/>
  <c r="B53" i="37" s="1"/>
  <c r="B56" i="37"/>
  <c r="C51" i="37"/>
  <c r="C53" i="37" s="1"/>
  <c r="C37" i="37"/>
  <c r="D51" i="37"/>
  <c r="D53" i="37" s="1"/>
  <c r="D37" i="37"/>
  <c r="B49" i="38"/>
  <c r="B51" i="38" s="1"/>
  <c r="B66" i="38" s="1"/>
  <c r="J18" i="58" s="1"/>
  <c r="B54" i="38"/>
  <c r="C54" i="38"/>
  <c r="C49" i="38"/>
  <c r="C51" i="38" s="1"/>
  <c r="C66" i="38" s="1"/>
  <c r="J38" i="58" s="1"/>
  <c r="C130" i="39"/>
  <c r="C183" i="39" s="1"/>
  <c r="C111" i="39"/>
  <c r="D130" i="39"/>
  <c r="D183" i="39" s="1"/>
  <c r="B111" i="39"/>
  <c r="B130" i="39"/>
  <c r="B183" i="39" s="1"/>
  <c r="F16" i="47"/>
  <c r="I7" i="46"/>
  <c r="I16" i="46"/>
  <c r="C122" i="39" l="1"/>
  <c r="B122" i="39"/>
  <c r="D11" i="38"/>
  <c r="D34" i="38" s="1"/>
  <c r="D40" i="38" s="1"/>
  <c r="D18" i="39"/>
  <c r="D14" i="39"/>
  <c r="D21" i="39"/>
  <c r="D23" i="39"/>
  <c r="D20" i="39"/>
  <c r="C96" i="39"/>
  <c r="L17" i="55"/>
  <c r="D62" i="35"/>
  <c r="K6" i="55"/>
  <c r="L6" i="55" s="1"/>
  <c r="K5" i="55"/>
  <c r="L5" i="55" s="1"/>
  <c r="L4" i="55"/>
  <c r="G13" i="46"/>
  <c r="E273" i="41"/>
  <c r="D26" i="39" s="1"/>
  <c r="D111" i="39" s="1"/>
  <c r="E269" i="41"/>
  <c r="D25" i="39" s="1"/>
  <c r="D11" i="32"/>
  <c r="D19" i="39"/>
  <c r="E264" i="41"/>
  <c r="D24" i="39" s="1"/>
  <c r="D22" i="39"/>
  <c r="D5" i="39"/>
  <c r="D187" i="39" s="1"/>
  <c r="B5" i="39"/>
  <c r="B187" i="39" s="1"/>
  <c r="C5" i="39"/>
  <c r="C187" i="39" s="1"/>
  <c r="D172" i="39"/>
  <c r="D145" i="39"/>
  <c r="D50" i="33"/>
  <c r="D52" i="33" s="1"/>
  <c r="J8" i="58"/>
  <c r="D29" i="27"/>
  <c r="H47" i="58" s="1"/>
  <c r="C181" i="39"/>
  <c r="C97" i="39"/>
  <c r="K32" i="64"/>
  <c r="D44" i="27"/>
  <c r="B97" i="39"/>
  <c r="B106" i="39" s="1"/>
  <c r="B53" i="35"/>
  <c r="B60" i="35" s="1"/>
  <c r="D34" i="29"/>
  <c r="D45" i="29" s="1"/>
  <c r="C55" i="40"/>
  <c r="C57" i="40" s="1"/>
  <c r="C60" i="39"/>
  <c r="C121" i="39" s="1"/>
  <c r="K20" i="55" s="1"/>
  <c r="K15" i="55" s="1"/>
  <c r="C145" i="39"/>
  <c r="C61" i="39"/>
  <c r="C92" i="39" s="1"/>
  <c r="B181" i="39"/>
  <c r="D60" i="31"/>
  <c r="D62" i="31" s="1"/>
  <c r="C180" i="39"/>
  <c r="D39" i="29"/>
  <c r="C60" i="31"/>
  <c r="C62" i="31" s="1"/>
  <c r="D180" i="39"/>
  <c r="C172" i="39"/>
  <c r="B60" i="31"/>
  <c r="B62" i="31" s="1"/>
  <c r="D38" i="33"/>
  <c r="D58" i="33" s="1"/>
  <c r="D67" i="36"/>
  <c r="D69" i="36" s="1"/>
  <c r="B42" i="27"/>
  <c r="B44" i="27" s="1"/>
  <c r="C56" i="33"/>
  <c r="B145" i="39"/>
  <c r="G7" i="46"/>
  <c r="C73" i="36"/>
  <c r="H36" i="58"/>
  <c r="D74" i="36"/>
  <c r="I56" i="58"/>
  <c r="D39" i="37"/>
  <c r="D60" i="37"/>
  <c r="D62" i="37" s="1"/>
  <c r="C69" i="37"/>
  <c r="J37" i="58"/>
  <c r="D170" i="39"/>
  <c r="D53" i="35"/>
  <c r="D60" i="35" s="1"/>
  <c r="B37" i="29"/>
  <c r="B39" i="29" s="1"/>
  <c r="B34" i="29"/>
  <c r="D54" i="28"/>
  <c r="J49" i="58"/>
  <c r="C64" i="38"/>
  <c r="H38" i="58"/>
  <c r="B51" i="27"/>
  <c r="J7" i="58"/>
  <c r="C179" i="39"/>
  <c r="B52" i="28"/>
  <c r="H9" i="58"/>
  <c r="D182" i="39"/>
  <c r="D129" i="39"/>
  <c r="D52" i="34"/>
  <c r="H54" i="58"/>
  <c r="B129" i="39"/>
  <c r="B182" i="39"/>
  <c r="C52" i="34"/>
  <c r="H34" i="58"/>
  <c r="D185" i="39"/>
  <c r="L14" i="55"/>
  <c r="C128" i="39"/>
  <c r="B56" i="34"/>
  <c r="B38" i="34"/>
  <c r="B52" i="34"/>
  <c r="H14" i="58"/>
  <c r="C185" i="39"/>
  <c r="K14" i="55"/>
  <c r="B57" i="34"/>
  <c r="B34" i="34"/>
  <c r="B51" i="34"/>
  <c r="C173" i="39"/>
  <c r="C67" i="38"/>
  <c r="C55" i="38"/>
  <c r="D171" i="39"/>
  <c r="D76" i="36"/>
  <c r="D64" i="36"/>
  <c r="C171" i="39"/>
  <c r="C64" i="36"/>
  <c r="C76" i="36"/>
  <c r="B59" i="33"/>
  <c r="J13" i="58"/>
  <c r="B64" i="32"/>
  <c r="C58" i="33"/>
  <c r="I33" i="58"/>
  <c r="D52" i="28"/>
  <c r="H49" i="58"/>
  <c r="D46" i="28"/>
  <c r="D48" i="28" s="1"/>
  <c r="B185" i="39"/>
  <c r="C57" i="33"/>
  <c r="H33" i="58"/>
  <c r="D43" i="29"/>
  <c r="H50" i="58"/>
  <c r="C43" i="29"/>
  <c r="H30" i="58"/>
  <c r="B48" i="27"/>
  <c r="B64" i="38"/>
  <c r="H18" i="58"/>
  <c r="D56" i="34"/>
  <c r="D38" i="34"/>
  <c r="C170" i="39"/>
  <c r="C53" i="35"/>
  <c r="C60" i="35" s="1"/>
  <c r="B171" i="39"/>
  <c r="B64" i="36"/>
  <c r="B76" i="36"/>
  <c r="C75" i="36"/>
  <c r="J36" i="58"/>
  <c r="D47" i="35"/>
  <c r="D49" i="35" s="1"/>
  <c r="D44" i="35"/>
  <c r="D173" i="39"/>
  <c r="D55" i="38"/>
  <c r="D67" i="38"/>
  <c r="B73" i="36"/>
  <c r="H16" i="58"/>
  <c r="B50" i="33"/>
  <c r="B52" i="33" s="1"/>
  <c r="B38" i="33"/>
  <c r="C50" i="33"/>
  <c r="C52" i="33" s="1"/>
  <c r="D67" i="31"/>
  <c r="I51" i="58"/>
  <c r="D68" i="31"/>
  <c r="J51" i="58"/>
  <c r="C62" i="40"/>
  <c r="I28" i="58"/>
  <c r="D62" i="40"/>
  <c r="I48" i="58"/>
  <c r="C59" i="32"/>
  <c r="C41" i="32"/>
  <c r="B43" i="29"/>
  <c r="H10" i="58"/>
  <c r="C57" i="34"/>
  <c r="C34" i="34"/>
  <c r="C51" i="34"/>
  <c r="D97" i="39"/>
  <c r="D106" i="39" s="1"/>
  <c r="D75" i="36"/>
  <c r="J56" i="58"/>
  <c r="D59" i="33"/>
  <c r="J53" i="58"/>
  <c r="C52" i="28"/>
  <c r="H29" i="58"/>
  <c r="C61" i="40"/>
  <c r="H28" i="58"/>
  <c r="C68" i="31"/>
  <c r="J31" i="58"/>
  <c r="B55" i="40"/>
  <c r="B57" i="40" s="1"/>
  <c r="B34" i="40"/>
  <c r="B49" i="27"/>
  <c r="H7" i="58"/>
  <c r="B57" i="35"/>
  <c r="H15" i="58"/>
  <c r="C182" i="39"/>
  <c r="C129" i="39"/>
  <c r="C67" i="37"/>
  <c r="H37" i="58"/>
  <c r="B62" i="40"/>
  <c r="I8" i="58"/>
  <c r="B44" i="35"/>
  <c r="B47" i="35"/>
  <c r="B49" i="35" s="1"/>
  <c r="C58" i="32"/>
  <c r="C40" i="32"/>
  <c r="B173" i="39"/>
  <c r="B67" i="38"/>
  <c r="B55" i="38"/>
  <c r="D69" i="37"/>
  <c r="J57" i="58"/>
  <c r="B75" i="36"/>
  <c r="J16" i="58"/>
  <c r="B68" i="31"/>
  <c r="J11" i="58"/>
  <c r="K47" i="64"/>
  <c r="C67" i="31"/>
  <c r="I31" i="58"/>
  <c r="D51" i="27"/>
  <c r="J47" i="58"/>
  <c r="D63" i="40"/>
  <c r="J48" i="58"/>
  <c r="C63" i="40"/>
  <c r="J28" i="58"/>
  <c r="D59" i="32"/>
  <c r="D41" i="32"/>
  <c r="B58" i="38"/>
  <c r="B60" i="38" s="1"/>
  <c r="B42" i="38"/>
  <c r="C60" i="32"/>
  <c r="H32" i="58"/>
  <c r="C56" i="34"/>
  <c r="C38" i="34"/>
  <c r="B67" i="37"/>
  <c r="H17" i="58"/>
  <c r="C162" i="39"/>
  <c r="H39" i="58"/>
  <c r="B162" i="39"/>
  <c r="H19" i="58"/>
  <c r="D73" i="36"/>
  <c r="H56" i="58"/>
  <c r="C37" i="29"/>
  <c r="C39" i="29" s="1"/>
  <c r="C34" i="29"/>
  <c r="B43" i="28"/>
  <c r="B46" i="28"/>
  <c r="B48" i="28" s="1"/>
  <c r="D51" i="34"/>
  <c r="D34" i="34"/>
  <c r="D57" i="34"/>
  <c r="B172" i="39"/>
  <c r="B57" i="37"/>
  <c r="B70" i="37" s="1"/>
  <c r="B47" i="36"/>
  <c r="B67" i="36"/>
  <c r="B69" i="36" s="1"/>
  <c r="B68" i="37"/>
  <c r="I17" i="58"/>
  <c r="C51" i="27"/>
  <c r="J27" i="58"/>
  <c r="C46" i="28"/>
  <c r="C48" i="28" s="1"/>
  <c r="C43" i="28"/>
  <c r="B67" i="31"/>
  <c r="I11" i="58"/>
  <c r="C42" i="27"/>
  <c r="C44" i="27" s="1"/>
  <c r="C29" i="27"/>
  <c r="D64" i="38"/>
  <c r="H58" i="58"/>
  <c r="B57" i="33"/>
  <c r="H13" i="58"/>
  <c r="B59" i="32"/>
  <c r="B41" i="32"/>
  <c r="D60" i="32"/>
  <c r="H52" i="58"/>
  <c r="B58" i="32"/>
  <c r="B40" i="32"/>
  <c r="D162" i="39"/>
  <c r="H59" i="58"/>
  <c r="B56" i="33"/>
  <c r="D57" i="33"/>
  <c r="H53" i="58"/>
  <c r="C59" i="33"/>
  <c r="J33" i="58"/>
  <c r="C39" i="37"/>
  <c r="C60" i="37"/>
  <c r="C62" i="37" s="1"/>
  <c r="B69" i="37"/>
  <c r="J17" i="58"/>
  <c r="C47" i="36"/>
  <c r="C67" i="36"/>
  <c r="C69" i="36" s="1"/>
  <c r="B60" i="37"/>
  <c r="B62" i="37" s="1"/>
  <c r="C44" i="35"/>
  <c r="C47" i="35"/>
  <c r="C49" i="35" s="1"/>
  <c r="D55" i="40"/>
  <c r="D57" i="40" s="1"/>
  <c r="C48" i="27"/>
  <c r="D57" i="35"/>
  <c r="H55" i="58"/>
  <c r="C58" i="38"/>
  <c r="C60" i="38" s="1"/>
  <c r="C42" i="38"/>
  <c r="B180" i="39"/>
  <c r="C57" i="35"/>
  <c r="H35" i="58"/>
  <c r="B179" i="39"/>
  <c r="D67" i="37"/>
  <c r="H57" i="58"/>
  <c r="B60" i="32"/>
  <c r="H12" i="58"/>
  <c r="B128" i="39"/>
  <c r="D29" i="54"/>
  <c r="D9" i="54"/>
  <c r="G9" i="48"/>
  <c r="D66" i="31"/>
  <c r="H51" i="58"/>
  <c r="C66" i="31"/>
  <c r="H31" i="58"/>
  <c r="B66" i="31"/>
  <c r="H11" i="58"/>
  <c r="C166" i="39" l="1"/>
  <c r="D126" i="39"/>
  <c r="D122" i="39"/>
  <c r="D124" i="39"/>
  <c r="D127" i="39"/>
  <c r="D166" i="39"/>
  <c r="B166" i="39"/>
  <c r="J21" i="55"/>
  <c r="H4" i="55" s="1"/>
  <c r="D125" i="39"/>
  <c r="D123" i="39"/>
  <c r="K21" i="55"/>
  <c r="H5" i="55" s="1"/>
  <c r="D58" i="38"/>
  <c r="D60" i="38" s="1"/>
  <c r="D42" i="38"/>
  <c r="D65" i="38" s="1"/>
  <c r="D70" i="38" s="1"/>
  <c r="C106" i="39"/>
  <c r="Q65" i="50"/>
  <c r="Q70" i="50"/>
  <c r="Q43" i="50"/>
  <c r="Q51" i="50"/>
  <c r="Q49" i="50"/>
  <c r="Q50" i="50"/>
  <c r="Q42" i="50"/>
  <c r="Q44" i="50"/>
  <c r="Q57" i="50"/>
  <c r="D49" i="27"/>
  <c r="D54" i="27" s="1"/>
  <c r="B47" i="58" s="1"/>
  <c r="D11" i="33"/>
  <c r="D56" i="33" s="1"/>
  <c r="D61" i="33" s="1"/>
  <c r="D15" i="39"/>
  <c r="D58" i="32"/>
  <c r="D40" i="32"/>
  <c r="D47" i="32" s="1"/>
  <c r="D52" i="32" s="1"/>
  <c r="D54" i="32" s="1"/>
  <c r="D181" i="39"/>
  <c r="D128" i="39"/>
  <c r="K51" i="64"/>
  <c r="C98" i="39"/>
  <c r="J50" i="58"/>
  <c r="C47" i="32"/>
  <c r="C52" i="32" s="1"/>
  <c r="C54" i="32" s="1"/>
  <c r="C71" i="31"/>
  <c r="B31" i="58" s="1"/>
  <c r="D40" i="34"/>
  <c r="D42" i="34" s="1"/>
  <c r="B98" i="39"/>
  <c r="B137" i="39" s="1"/>
  <c r="D71" i="31"/>
  <c r="B51" i="58" s="1"/>
  <c r="D62" i="39"/>
  <c r="I53" i="58"/>
  <c r="C65" i="39"/>
  <c r="C94" i="39" s="1"/>
  <c r="C109" i="39" s="1"/>
  <c r="D64" i="39"/>
  <c r="C62" i="39"/>
  <c r="C93" i="39" s="1"/>
  <c r="B64" i="39"/>
  <c r="B108" i="39" s="1"/>
  <c r="B40" i="34"/>
  <c r="B45" i="34" s="1"/>
  <c r="B47" i="34" s="1"/>
  <c r="D61" i="39"/>
  <c r="B62" i="39"/>
  <c r="B93" i="39" s="1"/>
  <c r="B107" i="39" s="1"/>
  <c r="D56" i="28"/>
  <c r="B49" i="58" s="1"/>
  <c r="D60" i="39"/>
  <c r="B61" i="39"/>
  <c r="B92" i="39" s="1"/>
  <c r="B60" i="39"/>
  <c r="B121" i="39" s="1"/>
  <c r="J20" i="55" s="1"/>
  <c r="G16" i="46"/>
  <c r="B47" i="32"/>
  <c r="B52" i="32" s="1"/>
  <c r="B54" i="32" s="1"/>
  <c r="C40" i="34"/>
  <c r="C42" i="34" s="1"/>
  <c r="C61" i="33"/>
  <c r="B33" i="58" s="1"/>
  <c r="B27" i="31"/>
  <c r="B72" i="31" s="1"/>
  <c r="B22" i="34"/>
  <c r="B60" i="34" s="1"/>
  <c r="B25" i="37"/>
  <c r="B73" i="37" s="1"/>
  <c r="B20" i="28"/>
  <c r="B57" i="28" s="1"/>
  <c r="B26" i="32"/>
  <c r="B67" i="32" s="1"/>
  <c r="B22" i="35"/>
  <c r="B66" i="35" s="1"/>
  <c r="B26" i="38"/>
  <c r="B71" i="38" s="1"/>
  <c r="B16" i="29"/>
  <c r="B49" i="29" s="1"/>
  <c r="B24" i="33"/>
  <c r="B62" i="33" s="1"/>
  <c r="B28" i="36"/>
  <c r="B79" i="36" s="1"/>
  <c r="B24" i="40"/>
  <c r="B66" i="40" s="1"/>
  <c r="D68" i="64"/>
  <c r="D26" i="38" s="1"/>
  <c r="D71" i="38" s="1"/>
  <c r="D60" i="64"/>
  <c r="D16" i="29" s="1"/>
  <c r="D49" i="29" s="1"/>
  <c r="C59" i="35"/>
  <c r="C65" i="35" s="1"/>
  <c r="J35" i="58"/>
  <c r="C68" i="37"/>
  <c r="C72" i="37" s="1"/>
  <c r="I37" i="58"/>
  <c r="B59" i="35"/>
  <c r="B65" i="35" s="1"/>
  <c r="J15" i="58"/>
  <c r="D68" i="37"/>
  <c r="D72" i="37" s="1"/>
  <c r="I57" i="58"/>
  <c r="D59" i="35"/>
  <c r="D65" i="35" s="1"/>
  <c r="J55" i="58"/>
  <c r="C65" i="38"/>
  <c r="C70" i="38" s="1"/>
  <c r="I38" i="58"/>
  <c r="C22" i="34"/>
  <c r="C60" i="34" s="1"/>
  <c r="C25" i="37"/>
  <c r="C73" i="37" s="1"/>
  <c r="C20" i="28"/>
  <c r="C57" i="28" s="1"/>
  <c r="C26" i="32"/>
  <c r="C67" i="32" s="1"/>
  <c r="C22" i="35"/>
  <c r="C66" i="35" s="1"/>
  <c r="C26" i="38"/>
  <c r="C71" i="38" s="1"/>
  <c r="C16" i="29"/>
  <c r="C49" i="29" s="1"/>
  <c r="C24" i="33"/>
  <c r="C62" i="33" s="1"/>
  <c r="C28" i="36"/>
  <c r="C79" i="36" s="1"/>
  <c r="C24" i="40"/>
  <c r="C66" i="40" s="1"/>
  <c r="C27" i="31"/>
  <c r="C72" i="31" s="1"/>
  <c r="B54" i="28"/>
  <c r="B56" i="28" s="1"/>
  <c r="J9" i="58"/>
  <c r="B72" i="37"/>
  <c r="B71" i="31"/>
  <c r="B11" i="58" s="1"/>
  <c r="B74" i="36"/>
  <c r="B78" i="36" s="1"/>
  <c r="I16" i="58"/>
  <c r="C45" i="29"/>
  <c r="C48" i="29" s="1"/>
  <c r="J30" i="58"/>
  <c r="C65" i="40"/>
  <c r="B58" i="33"/>
  <c r="B61" i="33" s="1"/>
  <c r="I13" i="58"/>
  <c r="D78" i="36"/>
  <c r="G5" i="55"/>
  <c r="B61" i="40"/>
  <c r="B65" i="40" s="1"/>
  <c r="H8" i="58"/>
  <c r="B45" i="29"/>
  <c r="J10" i="58"/>
  <c r="C74" i="36"/>
  <c r="C78" i="36" s="1"/>
  <c r="I36" i="58"/>
  <c r="C54" i="28"/>
  <c r="C56" i="28" s="1"/>
  <c r="J29" i="58"/>
  <c r="B65" i="38"/>
  <c r="B70" i="38" s="1"/>
  <c r="I18" i="58"/>
  <c r="D98" i="39"/>
  <c r="D137" i="39" s="1"/>
  <c r="B54" i="27"/>
  <c r="D61" i="40"/>
  <c r="D65" i="40" s="1"/>
  <c r="H48" i="58"/>
  <c r="C49" i="27"/>
  <c r="C54" i="27" s="1"/>
  <c r="H27" i="58"/>
  <c r="D48" i="29"/>
  <c r="B48" i="29" l="1"/>
  <c r="B10" i="58" s="1"/>
  <c r="I5" i="55"/>
  <c r="M5" i="55" s="1"/>
  <c r="N5" i="55" s="1"/>
  <c r="S5" i="55" s="1"/>
  <c r="I58" i="58"/>
  <c r="L21" i="55"/>
  <c r="H6" i="55" s="1"/>
  <c r="D179" i="39"/>
  <c r="D57" i="64"/>
  <c r="D18" i="27" s="1"/>
  <c r="D55" i="27" s="1"/>
  <c r="D56" i="27" s="1"/>
  <c r="D62" i="27" s="1"/>
  <c r="E47" i="58" s="1"/>
  <c r="E88" i="39"/>
  <c r="E189" i="39" s="1"/>
  <c r="E191" i="39" s="1"/>
  <c r="D59" i="64"/>
  <c r="D20" i="28" s="1"/>
  <c r="D57" i="28" s="1"/>
  <c r="D58" i="28" s="1"/>
  <c r="D64" i="28" s="1"/>
  <c r="E49" i="58" s="1"/>
  <c r="D63" i="64"/>
  <c r="D24" i="33" s="1"/>
  <c r="D62" i="33" s="1"/>
  <c r="D63" i="33" s="1"/>
  <c r="G17" i="50"/>
  <c r="C137" i="39"/>
  <c r="D121" i="39"/>
  <c r="D139" i="39" s="1"/>
  <c r="D108" i="39"/>
  <c r="D93" i="39"/>
  <c r="D92" i="39"/>
  <c r="G18" i="50"/>
  <c r="Q77" i="50"/>
  <c r="Q72" i="50"/>
  <c r="Q58" i="50"/>
  <c r="Q64" i="50"/>
  <c r="Q63" i="50"/>
  <c r="Q56" i="50"/>
  <c r="Q79" i="50"/>
  <c r="Q78" i="50"/>
  <c r="Q71" i="50"/>
  <c r="J15" i="55"/>
  <c r="G4" i="55" s="1"/>
  <c r="I4" i="55" s="1"/>
  <c r="M4" i="55" s="1"/>
  <c r="N4" i="55" s="1"/>
  <c r="C73" i="31"/>
  <c r="C79" i="31" s="1"/>
  <c r="E31" i="58" s="1"/>
  <c r="H22" i="58"/>
  <c r="D58" i="64"/>
  <c r="D24" i="40" s="1"/>
  <c r="D66" i="40" s="1"/>
  <c r="D67" i="40" s="1"/>
  <c r="C49" i="32"/>
  <c r="C62" i="32" s="1"/>
  <c r="C66" i="32" s="1"/>
  <c r="D45" i="34"/>
  <c r="D47" i="34" s="1"/>
  <c r="B139" i="39"/>
  <c r="B42" i="34"/>
  <c r="B54" i="34" s="1"/>
  <c r="B59" i="34" s="1"/>
  <c r="C63" i="33"/>
  <c r="C69" i="33" s="1"/>
  <c r="E33" i="58" s="1"/>
  <c r="B73" i="31"/>
  <c r="C11" i="58" s="1"/>
  <c r="D65" i="39"/>
  <c r="C107" i="39"/>
  <c r="C163" i="39"/>
  <c r="B65" i="39"/>
  <c r="B94" i="39" s="1"/>
  <c r="B109" i="39" s="1"/>
  <c r="B116" i="39" s="1"/>
  <c r="C45" i="34"/>
  <c r="C47" i="34" s="1"/>
  <c r="D64" i="64"/>
  <c r="D22" i="34" s="1"/>
  <c r="D60" i="34" s="1"/>
  <c r="D65" i="64"/>
  <c r="D22" i="35" s="1"/>
  <c r="D66" i="35" s="1"/>
  <c r="D67" i="35" s="1"/>
  <c r="D61" i="64"/>
  <c r="D27" i="31" s="1"/>
  <c r="D72" i="31" s="1"/>
  <c r="D73" i="31" s="1"/>
  <c r="D81" i="31" s="1"/>
  <c r="F51" i="58" s="1"/>
  <c r="D62" i="64"/>
  <c r="D26" i="32" s="1"/>
  <c r="D67" i="32" s="1"/>
  <c r="C64" i="39"/>
  <c r="C108" i="39" s="1"/>
  <c r="B163" i="39"/>
  <c r="D66" i="64"/>
  <c r="D28" i="36" s="1"/>
  <c r="D79" i="36" s="1"/>
  <c r="D80" i="36" s="1"/>
  <c r="D67" i="64"/>
  <c r="D25" i="37" s="1"/>
  <c r="D73" i="37" s="1"/>
  <c r="D74" i="37" s="1"/>
  <c r="B49" i="32"/>
  <c r="B62" i="32" s="1"/>
  <c r="B66" i="32" s="1"/>
  <c r="H62" i="58"/>
  <c r="H20" i="58"/>
  <c r="D49" i="32"/>
  <c r="D62" i="32" s="1"/>
  <c r="D66" i="32" s="1"/>
  <c r="H60" i="58"/>
  <c r="B72" i="38"/>
  <c r="B18" i="58"/>
  <c r="C58" i="28"/>
  <c r="B29" i="58"/>
  <c r="B55" i="58"/>
  <c r="C74" i="37"/>
  <c r="B37" i="58"/>
  <c r="B27" i="58"/>
  <c r="C50" i="29"/>
  <c r="B30" i="58"/>
  <c r="H42" i="58"/>
  <c r="C67" i="35"/>
  <c r="B35" i="58"/>
  <c r="B67" i="40"/>
  <c r="B8" i="58"/>
  <c r="B56" i="58"/>
  <c r="C18" i="27"/>
  <c r="C55" i="27" s="1"/>
  <c r="C56" i="27" s="1"/>
  <c r="C88" i="39"/>
  <c r="C189" i="39" s="1"/>
  <c r="H40" i="58"/>
  <c r="D50" i="29"/>
  <c r="B50" i="58"/>
  <c r="B58" i="28"/>
  <c r="B9" i="58"/>
  <c r="C67" i="40"/>
  <c r="B28" i="58"/>
  <c r="B74" i="37"/>
  <c r="B17" i="58"/>
  <c r="C72" i="38"/>
  <c r="B38" i="58"/>
  <c r="D72" i="38"/>
  <c r="B58" i="58"/>
  <c r="B63" i="33"/>
  <c r="B13" i="58"/>
  <c r="B80" i="36"/>
  <c r="B16" i="58"/>
  <c r="B53" i="58"/>
  <c r="C80" i="36"/>
  <c r="B36" i="58"/>
  <c r="B7" i="58"/>
  <c r="D54" i="34"/>
  <c r="D59" i="34" s="1"/>
  <c r="J54" i="58"/>
  <c r="R5" i="55"/>
  <c r="B15" i="58"/>
  <c r="B67" i="35"/>
  <c r="B48" i="58"/>
  <c r="C54" i="34"/>
  <c r="C59" i="34" s="1"/>
  <c r="J34" i="58"/>
  <c r="B18" i="27"/>
  <c r="B55" i="27" s="1"/>
  <c r="B56" i="27" s="1"/>
  <c r="B88" i="39"/>
  <c r="B189" i="39" s="1"/>
  <c r="B57" i="58"/>
  <c r="B50" i="29" l="1"/>
  <c r="B56" i="29" s="1"/>
  <c r="B141" i="39"/>
  <c r="D69" i="64"/>
  <c r="B7" i="55"/>
  <c r="O7" i="55" s="1"/>
  <c r="E197" i="39"/>
  <c r="E199" i="39"/>
  <c r="E195" i="39"/>
  <c r="C79" i="58"/>
  <c r="C139" i="39"/>
  <c r="D163" i="39"/>
  <c r="D141" i="39"/>
  <c r="D107" i="39"/>
  <c r="D94" i="39"/>
  <c r="L20" i="55"/>
  <c r="L15" i="55" s="1"/>
  <c r="G6" i="55" s="1"/>
  <c r="I6" i="55" s="1"/>
  <c r="M6" i="55" s="1"/>
  <c r="N6" i="55" s="1"/>
  <c r="S6" i="55" s="1"/>
  <c r="G22" i="50"/>
  <c r="G20" i="50"/>
  <c r="L50" i="50"/>
  <c r="L57" i="50"/>
  <c r="C81" i="31"/>
  <c r="F31" i="58" s="1"/>
  <c r="F6" i="48"/>
  <c r="C6" i="54"/>
  <c r="F5" i="48"/>
  <c r="C5" i="54"/>
  <c r="F4" i="48"/>
  <c r="C4" i="54"/>
  <c r="S4" i="55"/>
  <c r="R4" i="55"/>
  <c r="C49" i="58"/>
  <c r="D62" i="28"/>
  <c r="D66" i="28"/>
  <c r="F49" i="58" s="1"/>
  <c r="C77" i="31"/>
  <c r="C31" i="58"/>
  <c r="J32" i="58"/>
  <c r="C51" i="58"/>
  <c r="B79" i="31"/>
  <c r="E11" i="58" s="1"/>
  <c r="B77" i="31"/>
  <c r="D11" i="58" s="1"/>
  <c r="B81" i="31"/>
  <c r="F11" i="58" s="1"/>
  <c r="J14" i="58"/>
  <c r="J19" i="58"/>
  <c r="C33" i="58"/>
  <c r="C71" i="33"/>
  <c r="F33" i="58" s="1"/>
  <c r="C67" i="33"/>
  <c r="J12" i="58"/>
  <c r="D77" i="31"/>
  <c r="D79" i="31"/>
  <c r="E51" i="58" s="1"/>
  <c r="D88" i="39"/>
  <c r="D189" i="39" s="1"/>
  <c r="D64" i="27"/>
  <c r="F47" i="58" s="1"/>
  <c r="D60" i="27"/>
  <c r="D47" i="58" s="1"/>
  <c r="C47" i="58"/>
  <c r="B118" i="39"/>
  <c r="I19" i="58" s="1"/>
  <c r="B144" i="39"/>
  <c r="C116" i="39"/>
  <c r="J52" i="58"/>
  <c r="C62" i="27"/>
  <c r="E27" i="58" s="1"/>
  <c r="C64" i="27"/>
  <c r="F27" i="58" s="1"/>
  <c r="C60" i="27"/>
  <c r="C27" i="58"/>
  <c r="D88" i="36"/>
  <c r="F56" i="58" s="1"/>
  <c r="D84" i="36"/>
  <c r="D86" i="36"/>
  <c r="E56" i="58" s="1"/>
  <c r="C56" i="58"/>
  <c r="D75" i="40"/>
  <c r="F48" i="58" s="1"/>
  <c r="D71" i="40"/>
  <c r="D73" i="40"/>
  <c r="E48" i="58" s="1"/>
  <c r="C48" i="58"/>
  <c r="G19" i="50"/>
  <c r="C56" i="29"/>
  <c r="E30" i="58" s="1"/>
  <c r="C54" i="29"/>
  <c r="C58" i="29"/>
  <c r="F30" i="58" s="1"/>
  <c r="C30" i="58"/>
  <c r="C61" i="34"/>
  <c r="B34" i="58"/>
  <c r="C7" i="46"/>
  <c r="D80" i="38"/>
  <c r="F58" i="58" s="1"/>
  <c r="D78" i="38"/>
  <c r="E58" i="58" s="1"/>
  <c r="D76" i="38"/>
  <c r="C58" i="58"/>
  <c r="B73" i="40"/>
  <c r="E8" i="58" s="1"/>
  <c r="B71" i="40"/>
  <c r="B75" i="40"/>
  <c r="F8" i="58" s="1"/>
  <c r="C8" i="58"/>
  <c r="C73" i="35"/>
  <c r="E35" i="58" s="1"/>
  <c r="C35" i="58"/>
  <c r="C75" i="35"/>
  <c r="F35" i="58" s="1"/>
  <c r="C71" i="35"/>
  <c r="B88" i="36"/>
  <c r="F16" i="58" s="1"/>
  <c r="B86" i="36"/>
  <c r="E16" i="58" s="1"/>
  <c r="B84" i="36"/>
  <c r="C16" i="58"/>
  <c r="C64" i="28"/>
  <c r="E29" i="58" s="1"/>
  <c r="C66" i="28"/>
  <c r="F29" i="58" s="1"/>
  <c r="C62" i="28"/>
  <c r="C29" i="58"/>
  <c r="C78" i="37"/>
  <c r="C82" i="37"/>
  <c r="F37" i="58" s="1"/>
  <c r="C80" i="37"/>
  <c r="E37" i="58" s="1"/>
  <c r="C37" i="58"/>
  <c r="D78" i="37"/>
  <c r="D80" i="37"/>
  <c r="E57" i="58" s="1"/>
  <c r="D82" i="37"/>
  <c r="F57" i="58" s="1"/>
  <c r="C57" i="58"/>
  <c r="C88" i="36"/>
  <c r="F36" i="58" s="1"/>
  <c r="C84" i="36"/>
  <c r="C86" i="36"/>
  <c r="E36" i="58" s="1"/>
  <c r="C36" i="58"/>
  <c r="D71" i="33"/>
  <c r="F53" i="58" s="1"/>
  <c r="D67" i="33"/>
  <c r="D69" i="33"/>
  <c r="E53" i="58" s="1"/>
  <c r="C53" i="58"/>
  <c r="B61" i="34"/>
  <c r="B14" i="58"/>
  <c r="D68" i="32"/>
  <c r="B52" i="58"/>
  <c r="C78" i="38"/>
  <c r="E38" i="58" s="1"/>
  <c r="C80" i="38"/>
  <c r="F38" i="58" s="1"/>
  <c r="C76" i="38"/>
  <c r="C38" i="58"/>
  <c r="B78" i="37"/>
  <c r="B82" i="37"/>
  <c r="F17" i="58" s="1"/>
  <c r="B80" i="37"/>
  <c r="E17" i="58" s="1"/>
  <c r="C17" i="58"/>
  <c r="B64" i="27"/>
  <c r="F7" i="58" s="1"/>
  <c r="B62" i="27"/>
  <c r="E7" i="58" s="1"/>
  <c r="C7" i="58"/>
  <c r="B60" i="27"/>
  <c r="B68" i="32"/>
  <c r="B12" i="58"/>
  <c r="C68" i="32"/>
  <c r="B32" i="58"/>
  <c r="B58" i="29"/>
  <c r="C10" i="58"/>
  <c r="B71" i="33"/>
  <c r="F13" i="58" s="1"/>
  <c r="B67" i="33"/>
  <c r="B69" i="33"/>
  <c r="E13" i="58" s="1"/>
  <c r="C13" i="58"/>
  <c r="C75" i="40"/>
  <c r="F28" i="58" s="1"/>
  <c r="C71" i="40"/>
  <c r="C73" i="40"/>
  <c r="E28" i="58" s="1"/>
  <c r="C28" i="58"/>
  <c r="B64" i="28"/>
  <c r="E9" i="58" s="1"/>
  <c r="B66" i="28"/>
  <c r="F9" i="58" s="1"/>
  <c r="B62" i="28"/>
  <c r="C9" i="58"/>
  <c r="C50" i="58"/>
  <c r="D58" i="29"/>
  <c r="F50" i="58" s="1"/>
  <c r="D54" i="29"/>
  <c r="D56" i="29"/>
  <c r="E50" i="58" s="1"/>
  <c r="D73" i="35"/>
  <c r="D71" i="35"/>
  <c r="D75" i="35"/>
  <c r="C55" i="58"/>
  <c r="B75" i="35"/>
  <c r="F15" i="58" s="1"/>
  <c r="B73" i="35"/>
  <c r="E15" i="58" s="1"/>
  <c r="B71" i="35"/>
  <c r="C15" i="58"/>
  <c r="D61" i="34"/>
  <c r="B54" i="58"/>
  <c r="F8" i="47"/>
  <c r="B80" i="38"/>
  <c r="F18" i="58" s="1"/>
  <c r="B78" i="38"/>
  <c r="E18" i="58" s="1"/>
  <c r="B76" i="38"/>
  <c r="C18" i="58"/>
  <c r="B54" i="29" l="1"/>
  <c r="F10" i="58"/>
  <c r="E10" i="58"/>
  <c r="J59" i="58"/>
  <c r="J60" i="58" s="1"/>
  <c r="B146" i="39"/>
  <c r="B164" i="39"/>
  <c r="F79" i="58"/>
  <c r="E79" i="58"/>
  <c r="C82" i="58"/>
  <c r="C80" i="58"/>
  <c r="D79" i="58"/>
  <c r="E200" i="39"/>
  <c r="E202" i="39"/>
  <c r="Q7" i="55"/>
  <c r="P7" i="55"/>
  <c r="C141" i="39"/>
  <c r="R6" i="55"/>
  <c r="C13" i="46" s="1"/>
  <c r="D109" i="39"/>
  <c r="D164" i="39"/>
  <c r="E55" i="58"/>
  <c r="F55" i="58"/>
  <c r="C82" i="31"/>
  <c r="L49" i="50"/>
  <c r="L42" i="50"/>
  <c r="L70" i="50"/>
  <c r="L63" i="50"/>
  <c r="E13" i="47"/>
  <c r="L51" i="50"/>
  <c r="L56" i="50"/>
  <c r="L71" i="50"/>
  <c r="L44" i="50"/>
  <c r="L77" i="50"/>
  <c r="L43" i="50"/>
  <c r="L58" i="50"/>
  <c r="L65" i="50"/>
  <c r="L64" i="50"/>
  <c r="L72" i="50"/>
  <c r="L79" i="50"/>
  <c r="L78" i="50"/>
  <c r="N49" i="50"/>
  <c r="C84" i="31"/>
  <c r="G31" i="58" s="1"/>
  <c r="D31" i="58"/>
  <c r="D69" i="28"/>
  <c r="G49" i="58" s="1"/>
  <c r="D49" i="58"/>
  <c r="D67" i="28"/>
  <c r="B82" i="31"/>
  <c r="B84" i="31"/>
  <c r="G11" i="58" s="1"/>
  <c r="J22" i="58"/>
  <c r="J20" i="58"/>
  <c r="D65" i="27"/>
  <c r="C74" i="33"/>
  <c r="G33" i="58" s="1"/>
  <c r="C72" i="33"/>
  <c r="D33" i="58"/>
  <c r="E16" i="47"/>
  <c r="D84" i="31"/>
  <c r="G51" i="58" s="1"/>
  <c r="D51" i="58"/>
  <c r="D82" i="31"/>
  <c r="D67" i="27"/>
  <c r="G47" i="58" s="1"/>
  <c r="B91" i="36"/>
  <c r="G16" i="58" s="1"/>
  <c r="B83" i="38"/>
  <c r="G18" i="58" s="1"/>
  <c r="C118" i="39"/>
  <c r="C144" i="39"/>
  <c r="I20" i="58"/>
  <c r="I22" i="58"/>
  <c r="C9" i="54"/>
  <c r="F9" i="48"/>
  <c r="D78" i="40"/>
  <c r="G48" i="58" s="1"/>
  <c r="B67" i="27"/>
  <c r="G7" i="58" s="1"/>
  <c r="B85" i="37"/>
  <c r="G17" i="58" s="1"/>
  <c r="C78" i="40"/>
  <c r="G28" i="58" s="1"/>
  <c r="D74" i="33"/>
  <c r="G53" i="58" s="1"/>
  <c r="B74" i="33"/>
  <c r="G13" i="58" s="1"/>
  <c r="C83" i="38"/>
  <c r="G38" i="58" s="1"/>
  <c r="C85" i="37"/>
  <c r="G37" i="58" s="1"/>
  <c r="C69" i="28"/>
  <c r="G29" i="58" s="1"/>
  <c r="B78" i="40"/>
  <c r="G8" i="58" s="1"/>
  <c r="C78" i="35"/>
  <c r="G35" i="58" s="1"/>
  <c r="D78" i="35"/>
  <c r="D55" i="58"/>
  <c r="D76" i="35"/>
  <c r="D10" i="58"/>
  <c r="B59" i="29"/>
  <c r="C89" i="36"/>
  <c r="D36" i="58"/>
  <c r="D83" i="37"/>
  <c r="D57" i="58"/>
  <c r="B89" i="36"/>
  <c r="D16" i="58"/>
  <c r="C67" i="34"/>
  <c r="E34" i="58" s="1"/>
  <c r="C69" i="34"/>
  <c r="F34" i="58" s="1"/>
  <c r="C65" i="34"/>
  <c r="C34" i="58"/>
  <c r="C76" i="40"/>
  <c r="D28" i="58"/>
  <c r="B72" i="33"/>
  <c r="D13" i="58"/>
  <c r="D7" i="58"/>
  <c r="B65" i="27"/>
  <c r="D76" i="32"/>
  <c r="F52" i="58" s="1"/>
  <c r="D72" i="32"/>
  <c r="D74" i="32"/>
  <c r="E52" i="58" s="1"/>
  <c r="C52" i="58"/>
  <c r="B76" i="40"/>
  <c r="D8" i="58"/>
  <c r="D76" i="40"/>
  <c r="D48" i="58"/>
  <c r="H5" i="46"/>
  <c r="B67" i="28"/>
  <c r="D9" i="58"/>
  <c r="C91" i="36"/>
  <c r="G36" i="58" s="1"/>
  <c r="C76" i="35"/>
  <c r="D35" i="58"/>
  <c r="D69" i="34"/>
  <c r="F54" i="58" s="1"/>
  <c r="D65" i="34"/>
  <c r="D67" i="34"/>
  <c r="E54" i="58" s="1"/>
  <c r="C54" i="58"/>
  <c r="B67" i="34"/>
  <c r="E14" i="58" s="1"/>
  <c r="B69" i="34"/>
  <c r="F14" i="58" s="1"/>
  <c r="B65" i="34"/>
  <c r="C14" i="58"/>
  <c r="C61" i="29"/>
  <c r="G30" i="58" s="1"/>
  <c r="D61" i="29"/>
  <c r="G50" i="58" s="1"/>
  <c r="C74" i="32"/>
  <c r="E32" i="58" s="1"/>
  <c r="C76" i="32"/>
  <c r="F32" i="58" s="1"/>
  <c r="C72" i="32"/>
  <c r="C32" i="58"/>
  <c r="C81" i="38"/>
  <c r="D38" i="58"/>
  <c r="D72" i="33"/>
  <c r="D53" i="58"/>
  <c r="G21" i="50"/>
  <c r="C67" i="28"/>
  <c r="D29" i="58"/>
  <c r="D83" i="38"/>
  <c r="G58" i="58" s="1"/>
  <c r="C67" i="27"/>
  <c r="G27" i="58" s="1"/>
  <c r="D89" i="36"/>
  <c r="D56" i="58"/>
  <c r="B78" i="35"/>
  <c r="G15" i="58" s="1"/>
  <c r="B69" i="28"/>
  <c r="G9" i="58" s="1"/>
  <c r="B74" i="32"/>
  <c r="E12" i="58" s="1"/>
  <c r="B76" i="32"/>
  <c r="F12" i="58" s="1"/>
  <c r="B72" i="32"/>
  <c r="C12" i="58"/>
  <c r="B83" i="37"/>
  <c r="D17" i="58"/>
  <c r="D85" i="37"/>
  <c r="G57" i="58" s="1"/>
  <c r="D81" i="38"/>
  <c r="D58" i="58"/>
  <c r="D91" i="36"/>
  <c r="G56" i="58" s="1"/>
  <c r="B81" i="38"/>
  <c r="D18" i="58"/>
  <c r="B76" i="35"/>
  <c r="D15" i="58"/>
  <c r="D50" i="58"/>
  <c r="D59" i="29"/>
  <c r="B61" i="29"/>
  <c r="C83" i="37"/>
  <c r="D37" i="58"/>
  <c r="D30" i="58"/>
  <c r="C59" i="29"/>
  <c r="D27" i="58"/>
  <c r="C65" i="27"/>
  <c r="G10" i="58" l="1"/>
  <c r="J62" i="58"/>
  <c r="E80" i="58"/>
  <c r="B188" i="39"/>
  <c r="F80" i="58"/>
  <c r="G79" i="58"/>
  <c r="D81" i="58"/>
  <c r="D80" i="58"/>
  <c r="D6" i="48"/>
  <c r="I39" i="58"/>
  <c r="I42" i="58" s="1"/>
  <c r="C146" i="39"/>
  <c r="C164" i="39"/>
  <c r="J39" i="58"/>
  <c r="D188" i="39"/>
  <c r="D116" i="39"/>
  <c r="G55" i="58"/>
  <c r="N70" i="50"/>
  <c r="N78" i="50"/>
  <c r="M70" i="50"/>
  <c r="M51" i="50"/>
  <c r="M72" i="50"/>
  <c r="M58" i="50"/>
  <c r="M42" i="50"/>
  <c r="M77" i="50"/>
  <c r="N58" i="50"/>
  <c r="N50" i="50"/>
  <c r="M65" i="50"/>
  <c r="M79" i="50"/>
  <c r="M63" i="50"/>
  <c r="C24" i="54"/>
  <c r="N77" i="50"/>
  <c r="M71" i="50"/>
  <c r="N57" i="50"/>
  <c r="M49" i="50"/>
  <c r="P49" i="50" s="1"/>
  <c r="R49" i="50" s="1"/>
  <c r="N43" i="50"/>
  <c r="M50" i="50"/>
  <c r="N71" i="50"/>
  <c r="N56" i="50"/>
  <c r="M78" i="50"/>
  <c r="N72" i="50"/>
  <c r="M43" i="50"/>
  <c r="N79" i="50"/>
  <c r="M64" i="50"/>
  <c r="M56" i="50"/>
  <c r="C14" i="54"/>
  <c r="N51" i="50"/>
  <c r="M57" i="50"/>
  <c r="C16" i="46"/>
  <c r="B13" i="47"/>
  <c r="N64" i="50"/>
  <c r="N65" i="50"/>
  <c r="N63" i="50"/>
  <c r="N42" i="50"/>
  <c r="N44" i="50"/>
  <c r="E13" i="46"/>
  <c r="M44" i="50"/>
  <c r="F13" i="46"/>
  <c r="C26" i="54"/>
  <c r="P59" i="50"/>
  <c r="R59" i="50" s="1"/>
  <c r="F7" i="46"/>
  <c r="P45" i="50"/>
  <c r="R45" i="50" s="1"/>
  <c r="P80" i="50"/>
  <c r="R80" i="50" s="1"/>
  <c r="P73" i="50"/>
  <c r="R73" i="50" s="1"/>
  <c r="B79" i="32"/>
  <c r="G12" i="58" s="1"/>
  <c r="C79" i="32"/>
  <c r="G32" i="58" s="1"/>
  <c r="D79" i="32"/>
  <c r="G52" i="58" s="1"/>
  <c r="B77" i="32"/>
  <c r="D12" i="58"/>
  <c r="C70" i="34"/>
  <c r="D34" i="58"/>
  <c r="D70" i="34"/>
  <c r="D54" i="58"/>
  <c r="D77" i="32"/>
  <c r="D52" i="58"/>
  <c r="C72" i="34"/>
  <c r="G34" i="58" s="1"/>
  <c r="D72" i="34"/>
  <c r="G54" i="58" s="1"/>
  <c r="B72" i="34"/>
  <c r="G14" i="58" s="1"/>
  <c r="B70" i="34"/>
  <c r="D14" i="58"/>
  <c r="C77" i="32"/>
  <c r="D32" i="58"/>
  <c r="P52" i="50"/>
  <c r="R52" i="50" s="1"/>
  <c r="B19" i="58" l="1"/>
  <c r="B191" i="39"/>
  <c r="D82" i="58"/>
  <c r="B7" i="54" s="1"/>
  <c r="G80" i="58"/>
  <c r="E81" i="58" s="1"/>
  <c r="P58" i="50"/>
  <c r="R58" i="50" s="1"/>
  <c r="P63" i="50"/>
  <c r="R63" i="50" s="1"/>
  <c r="I40" i="58"/>
  <c r="P57" i="50"/>
  <c r="R57" i="50" s="1"/>
  <c r="P70" i="50"/>
  <c r="R70" i="50" s="1"/>
  <c r="P71" i="50"/>
  <c r="R71" i="50" s="1"/>
  <c r="P72" i="50"/>
  <c r="R72" i="50" s="1"/>
  <c r="J40" i="58"/>
  <c r="J42" i="58"/>
  <c r="C188" i="39"/>
  <c r="D118" i="39"/>
  <c r="D144" i="39"/>
  <c r="B59" i="58"/>
  <c r="D191" i="39"/>
  <c r="P78" i="50"/>
  <c r="R78" i="50" s="1"/>
  <c r="P50" i="50"/>
  <c r="R50" i="50" s="1"/>
  <c r="P79" i="50"/>
  <c r="R79" i="50" s="1"/>
  <c r="P77" i="50"/>
  <c r="R77" i="50" s="1"/>
  <c r="P64" i="50"/>
  <c r="R64" i="50" s="1"/>
  <c r="P51" i="50"/>
  <c r="R51" i="50" s="1"/>
  <c r="P65" i="50"/>
  <c r="R65" i="50" s="1"/>
  <c r="P43" i="50"/>
  <c r="R43" i="50" s="1"/>
  <c r="C15" i="54"/>
  <c r="P56" i="50"/>
  <c r="R56" i="50" s="1"/>
  <c r="H13" i="46"/>
  <c r="C13" i="47"/>
  <c r="C24" i="48"/>
  <c r="P44" i="50"/>
  <c r="R44" i="50" s="1"/>
  <c r="P42" i="50"/>
  <c r="H6" i="46"/>
  <c r="C25" i="48"/>
  <c r="E6" i="47"/>
  <c r="D14" i="47"/>
  <c r="P66" i="50"/>
  <c r="R66" i="50" s="1"/>
  <c r="F16" i="46"/>
  <c r="C7" i="48" l="1"/>
  <c r="E7" i="48" s="1"/>
  <c r="F81" i="58"/>
  <c r="F82" i="58" s="1"/>
  <c r="B14" i="46" s="1"/>
  <c r="D14" i="46" s="1"/>
  <c r="B20" i="58"/>
  <c r="B22" i="58"/>
  <c r="B197" i="39"/>
  <c r="B4" i="55"/>
  <c r="O4" i="55" s="1"/>
  <c r="B195" i="39"/>
  <c r="B199" i="39"/>
  <c r="C19" i="58"/>
  <c r="E82" i="58"/>
  <c r="B17" i="54" s="1"/>
  <c r="C81" i="58"/>
  <c r="C191" i="39"/>
  <c r="B39" i="58"/>
  <c r="C25" i="54"/>
  <c r="C29" i="54" s="1"/>
  <c r="B6" i="55"/>
  <c r="O6" i="55" s="1"/>
  <c r="C59" i="58"/>
  <c r="D195" i="39"/>
  <c r="D199" i="39"/>
  <c r="D197" i="39"/>
  <c r="B60" i="58"/>
  <c r="B62" i="58"/>
  <c r="D146" i="39"/>
  <c r="I59" i="58"/>
  <c r="G14" i="47"/>
  <c r="D13" i="47"/>
  <c r="G13" i="47" s="1"/>
  <c r="R42" i="50"/>
  <c r="H7" i="46"/>
  <c r="H6" i="47"/>
  <c r="H16" i="46"/>
  <c r="E7" i="54"/>
  <c r="C22" i="58" l="1"/>
  <c r="C20" i="58"/>
  <c r="D19" i="58"/>
  <c r="B200" i="39"/>
  <c r="B202" i="39"/>
  <c r="F19" i="58"/>
  <c r="P4" i="55"/>
  <c r="Q4" i="55"/>
  <c r="B5" i="46"/>
  <c r="B27" i="54"/>
  <c r="E27" i="54" s="1"/>
  <c r="E19" i="58"/>
  <c r="D9" i="48"/>
  <c r="B42" i="58"/>
  <c r="B40" i="58"/>
  <c r="D202" i="39"/>
  <c r="C197" i="39"/>
  <c r="C39" i="58"/>
  <c r="B5" i="55"/>
  <c r="O5" i="55" s="1"/>
  <c r="C195" i="39"/>
  <c r="C199" i="39"/>
  <c r="E59" i="58"/>
  <c r="E60" i="58" s="1"/>
  <c r="F59" i="58"/>
  <c r="F60" i="58" s="1"/>
  <c r="D200" i="39"/>
  <c r="D59" i="58"/>
  <c r="I60" i="58"/>
  <c r="I62" i="58"/>
  <c r="C16" i="54" s="1"/>
  <c r="C19" i="54" s="1"/>
  <c r="C60" i="58"/>
  <c r="C62" i="58"/>
  <c r="Q6" i="55"/>
  <c r="P6" i="55"/>
  <c r="H7" i="48"/>
  <c r="E17" i="54"/>
  <c r="F20" i="58" l="1"/>
  <c r="D21" i="58"/>
  <c r="D20" i="58"/>
  <c r="E20" i="58"/>
  <c r="G19" i="58"/>
  <c r="G59" i="58"/>
  <c r="G60" i="58" s="1"/>
  <c r="C61" i="58" s="1"/>
  <c r="D39" i="58"/>
  <c r="C200" i="39"/>
  <c r="C42" i="58"/>
  <c r="C40" i="58"/>
  <c r="E39" i="58"/>
  <c r="P5" i="55"/>
  <c r="Q5" i="55"/>
  <c r="C202" i="39"/>
  <c r="F39" i="58"/>
  <c r="D60" i="58"/>
  <c r="D61" i="58"/>
  <c r="D62" i="58" s="1"/>
  <c r="C6" i="48" s="1"/>
  <c r="D5" i="46"/>
  <c r="G20" i="58" l="1"/>
  <c r="F21" i="58" s="1"/>
  <c r="D22" i="58"/>
  <c r="C4" i="48" s="1"/>
  <c r="E4" i="48" s="1"/>
  <c r="H4" i="48" s="1"/>
  <c r="F61" i="58"/>
  <c r="F62" i="58" s="1"/>
  <c r="B26" i="54" s="1"/>
  <c r="E26" i="54" s="1"/>
  <c r="E61" i="58"/>
  <c r="E62" i="58" s="1"/>
  <c r="B16" i="54" s="1"/>
  <c r="F40" i="58"/>
  <c r="G39" i="58"/>
  <c r="G40" i="58" s="1"/>
  <c r="C41" i="58" s="1"/>
  <c r="E40" i="58"/>
  <c r="D40" i="58"/>
  <c r="D41" i="58"/>
  <c r="D42" i="58" s="1"/>
  <c r="B6" i="54"/>
  <c r="E6" i="54" s="1"/>
  <c r="E6" i="48"/>
  <c r="H6" i="48" s="1"/>
  <c r="J5" i="46"/>
  <c r="J14" i="46"/>
  <c r="C21" i="58" l="1"/>
  <c r="B4" i="54"/>
  <c r="E4" i="54" s="1"/>
  <c r="F22" i="58"/>
  <c r="B24" i="54" s="1"/>
  <c r="E24" i="54" s="1"/>
  <c r="E21" i="58"/>
  <c r="B13" i="46"/>
  <c r="D13" i="46" s="1"/>
  <c r="E41" i="58"/>
  <c r="E42" i="58" s="1"/>
  <c r="B15" i="54" s="1"/>
  <c r="E15" i="54" s="1"/>
  <c r="B5" i="54"/>
  <c r="E5" i="54" s="1"/>
  <c r="C5" i="48"/>
  <c r="F41" i="58"/>
  <c r="F42" i="58" s="1"/>
  <c r="E16" i="54"/>
  <c r="J13" i="46" l="1"/>
  <c r="E22" i="58"/>
  <c r="B14" i="54" s="1"/>
  <c r="E14" i="54" s="1"/>
  <c r="B25" i="54"/>
  <c r="E5" i="48"/>
  <c r="H5" i="48" l="1"/>
  <c r="E25" i="54"/>
  <c r="M19" i="64"/>
  <c r="F11" i="27"/>
  <c r="F47" i="27" s="1"/>
  <c r="F54" i="27" s="1"/>
  <c r="F58" i="64" l="1"/>
  <c r="F24" i="40" s="1"/>
  <c r="F66" i="40" s="1"/>
  <c r="F67" i="40" s="1"/>
  <c r="F60" i="64"/>
  <c r="F16" i="29" s="1"/>
  <c r="F49" i="29" s="1"/>
  <c r="F50" i="29" s="1"/>
  <c r="F65" i="64"/>
  <c r="F22" i="35" s="1"/>
  <c r="F66" i="35" s="1"/>
  <c r="F67" i="35" s="1"/>
  <c r="F61" i="64"/>
  <c r="F27" i="31" s="1"/>
  <c r="F72" i="31" s="1"/>
  <c r="F73" i="31" s="1"/>
  <c r="F62" i="64"/>
  <c r="F26" i="32" s="1"/>
  <c r="F67" i="32" s="1"/>
  <c r="F68" i="32" s="1"/>
  <c r="F67" i="64"/>
  <c r="F25" i="37" s="1"/>
  <c r="F73" i="37" s="1"/>
  <c r="F74" i="37" s="1"/>
  <c r="F57" i="64"/>
  <c r="F68" i="64"/>
  <c r="F26" i="38" s="1"/>
  <c r="F71" i="38" s="1"/>
  <c r="F72" i="38" s="1"/>
  <c r="F59" i="64"/>
  <c r="F20" i="28" s="1"/>
  <c r="F57" i="28" s="1"/>
  <c r="F58" i="28" s="1"/>
  <c r="F64" i="64"/>
  <c r="F22" i="34" s="1"/>
  <c r="F60" i="34" s="1"/>
  <c r="F61" i="34" s="1"/>
  <c r="F63" i="64"/>
  <c r="F24" i="33" s="1"/>
  <c r="F62" i="33" s="1"/>
  <c r="F63" i="33" s="1"/>
  <c r="F66" i="64"/>
  <c r="F28" i="36" s="1"/>
  <c r="F79" i="36" s="1"/>
  <c r="F80" i="36" s="1"/>
  <c r="B87" i="58"/>
  <c r="F31" i="39"/>
  <c r="F150" i="39" s="1"/>
  <c r="F188" i="39" s="1"/>
  <c r="F69" i="64" l="1"/>
  <c r="F88" i="39" s="1"/>
  <c r="F189" i="39" s="1"/>
  <c r="F191" i="39" s="1"/>
  <c r="F71" i="33"/>
  <c r="F93" i="58" s="1"/>
  <c r="C93" i="58"/>
  <c r="F69" i="33"/>
  <c r="E93" i="58" s="1"/>
  <c r="F67" i="33"/>
  <c r="C89" i="58"/>
  <c r="F62" i="28"/>
  <c r="F66" i="28"/>
  <c r="F89" i="58" s="1"/>
  <c r="F64" i="28"/>
  <c r="E89" i="58" s="1"/>
  <c r="C97" i="58"/>
  <c r="F82" i="37"/>
  <c r="F97" i="58" s="1"/>
  <c r="F80" i="37"/>
  <c r="E97" i="58" s="1"/>
  <c r="F78" i="37"/>
  <c r="C94" i="58"/>
  <c r="F65" i="34"/>
  <c r="F67" i="34"/>
  <c r="E94" i="58" s="1"/>
  <c r="F69" i="34"/>
  <c r="F94" i="58" s="1"/>
  <c r="F74" i="32"/>
  <c r="E92" i="58" s="1"/>
  <c r="F76" i="32"/>
  <c r="F92" i="58" s="1"/>
  <c r="F72" i="32"/>
  <c r="C92" i="58"/>
  <c r="F80" i="38"/>
  <c r="F98" i="58" s="1"/>
  <c r="F76" i="38"/>
  <c r="F78" i="38"/>
  <c r="E98" i="58" s="1"/>
  <c r="C98" i="58"/>
  <c r="F18" i="27"/>
  <c r="F55" i="27" s="1"/>
  <c r="F56" i="27" s="1"/>
  <c r="F64" i="27" s="1"/>
  <c r="F87" i="58" s="1"/>
  <c r="C91" i="58"/>
  <c r="F79" i="31"/>
  <c r="E91" i="58" s="1"/>
  <c r="F81" i="31"/>
  <c r="F91" i="58" s="1"/>
  <c r="F77" i="31"/>
  <c r="F58" i="29"/>
  <c r="F90" i="58" s="1"/>
  <c r="F54" i="29"/>
  <c r="C90" i="58"/>
  <c r="F56" i="29"/>
  <c r="E90" i="58" s="1"/>
  <c r="F88" i="36"/>
  <c r="F96" i="58" s="1"/>
  <c r="F84" i="36"/>
  <c r="F86" i="36"/>
  <c r="E96" i="58" s="1"/>
  <c r="C96" i="58"/>
  <c r="C95" i="58"/>
  <c r="F71" i="35"/>
  <c r="F73" i="35"/>
  <c r="E95" i="58" s="1"/>
  <c r="F75" i="35"/>
  <c r="F95" i="58" s="1"/>
  <c r="C88" i="58"/>
  <c r="F73" i="40"/>
  <c r="E88" i="58" s="1"/>
  <c r="F75" i="40"/>
  <c r="F88" i="58" s="1"/>
  <c r="F71" i="40"/>
  <c r="B99" i="58"/>
  <c r="L74" i="50" l="1"/>
  <c r="L46" i="50"/>
  <c r="L53" i="50"/>
  <c r="L60" i="50"/>
  <c r="B19" i="50" s="1"/>
  <c r="L81" i="50"/>
  <c r="B22" i="50" s="1"/>
  <c r="L67" i="50"/>
  <c r="B20" i="50" s="1"/>
  <c r="B102" i="58"/>
  <c r="F69" i="28"/>
  <c r="G89" i="58" s="1"/>
  <c r="F83" i="38"/>
  <c r="G98" i="58" s="1"/>
  <c r="F78" i="40"/>
  <c r="G88" i="58" s="1"/>
  <c r="F72" i="34"/>
  <c r="G94" i="58" s="1"/>
  <c r="F60" i="27"/>
  <c r="D87" i="58" s="1"/>
  <c r="F61" i="29"/>
  <c r="G90" i="58" s="1"/>
  <c r="C87" i="58"/>
  <c r="F91" i="36"/>
  <c r="G96" i="58" s="1"/>
  <c r="D91" i="58"/>
  <c r="F82" i="31"/>
  <c r="F76" i="40"/>
  <c r="D88" i="58"/>
  <c r="F67" i="28"/>
  <c r="D89" i="58"/>
  <c r="D94" i="58"/>
  <c r="F70" i="34"/>
  <c r="F74" i="33"/>
  <c r="G93" i="58" s="1"/>
  <c r="F89" i="36"/>
  <c r="D96" i="58"/>
  <c r="B17" i="50"/>
  <c r="F78" i="35"/>
  <c r="G95" i="58" s="1"/>
  <c r="F72" i="33"/>
  <c r="D93" i="58"/>
  <c r="D92" i="58"/>
  <c r="F77" i="32"/>
  <c r="D90" i="58"/>
  <c r="F59" i="29"/>
  <c r="F85" i="37"/>
  <c r="G97" i="58" s="1"/>
  <c r="F62" i="27"/>
  <c r="E87" i="58" s="1"/>
  <c r="D97" i="58"/>
  <c r="F83" i="37"/>
  <c r="B18" i="50"/>
  <c r="D98" i="58"/>
  <c r="F81" i="38"/>
  <c r="D95" i="58"/>
  <c r="F76" i="35"/>
  <c r="F84" i="31"/>
  <c r="G91" i="58" s="1"/>
  <c r="F79" i="32"/>
  <c r="G92" i="58" s="1"/>
  <c r="B21" i="50"/>
  <c r="B100" i="58"/>
  <c r="B15" i="47"/>
  <c r="F197" i="39"/>
  <c r="E99" i="58" s="1"/>
  <c r="F199" i="39"/>
  <c r="F99" i="58" s="1"/>
  <c r="F195" i="39"/>
  <c r="B8" i="55"/>
  <c r="O8" i="55" s="1"/>
  <c r="C99" i="58"/>
  <c r="N67" i="50" l="1"/>
  <c r="D20" i="50" s="1"/>
  <c r="B7" i="47"/>
  <c r="B8" i="47" s="1"/>
  <c r="M67" i="50"/>
  <c r="C20" i="50" s="1"/>
  <c r="M81" i="50"/>
  <c r="C22" i="50" s="1"/>
  <c r="M74" i="50"/>
  <c r="C21" i="50" s="1"/>
  <c r="N74" i="50"/>
  <c r="D21" i="50" s="1"/>
  <c r="M53" i="50"/>
  <c r="C18" i="50" s="1"/>
  <c r="N60" i="50"/>
  <c r="D19" i="50" s="1"/>
  <c r="N53" i="50"/>
  <c r="D18" i="50" s="1"/>
  <c r="M60" i="50"/>
  <c r="C19" i="50" s="1"/>
  <c r="M46" i="50"/>
  <c r="C17" i="50" s="1"/>
  <c r="N81" i="50"/>
  <c r="D22" i="50" s="1"/>
  <c r="F100" i="58"/>
  <c r="F65" i="27"/>
  <c r="E100" i="58"/>
  <c r="F67" i="27"/>
  <c r="G87" i="58" s="1"/>
  <c r="C7" i="47"/>
  <c r="C8" i="47" s="1"/>
  <c r="N46" i="50"/>
  <c r="D7" i="47"/>
  <c r="D8" i="47" s="1"/>
  <c r="B16" i="47"/>
  <c r="E6" i="46"/>
  <c r="E7" i="46" s="1"/>
  <c r="E15" i="46"/>
  <c r="E16" i="46" s="1"/>
  <c r="F200" i="39"/>
  <c r="D99" i="58"/>
  <c r="C102" i="58"/>
  <c r="F202" i="39"/>
  <c r="G99" i="58" s="1"/>
  <c r="Q8" i="55"/>
  <c r="P8" i="55"/>
  <c r="C100" i="58"/>
  <c r="P53" i="50" l="1"/>
  <c r="P74" i="50"/>
  <c r="F21" i="50" s="1"/>
  <c r="P81" i="50"/>
  <c r="F22" i="50" s="1"/>
  <c r="C15" i="47"/>
  <c r="C16" i="47" s="1"/>
  <c r="P60" i="50"/>
  <c r="R60" i="50" s="1"/>
  <c r="H19" i="50" s="1"/>
  <c r="P67" i="50"/>
  <c r="D101" i="58"/>
  <c r="G100" i="58"/>
  <c r="F19" i="50"/>
  <c r="E7" i="47"/>
  <c r="E8" i="47" s="1"/>
  <c r="R74" i="50"/>
  <c r="H21" i="50" s="1"/>
  <c r="R53" i="50"/>
  <c r="H18" i="50" s="1"/>
  <c r="F18" i="50"/>
  <c r="D17" i="50"/>
  <c r="P46" i="50"/>
  <c r="R81" i="50"/>
  <c r="H22" i="50" s="1"/>
  <c r="R67" i="50"/>
  <c r="H20" i="50" s="1"/>
  <c r="F20" i="50"/>
  <c r="D100" i="58"/>
  <c r="D15" i="47" l="1"/>
  <c r="G15" i="47" s="1"/>
  <c r="G16" i="47" s="1"/>
  <c r="D102" i="58"/>
  <c r="C101" i="58"/>
  <c r="E101" i="58"/>
  <c r="F101" i="58"/>
  <c r="H7" i="47"/>
  <c r="H8" i="47" s="1"/>
  <c r="D16" i="47"/>
  <c r="R46" i="50"/>
  <c r="H17" i="50" s="1"/>
  <c r="F17" i="50"/>
  <c r="C8" i="48" l="1"/>
  <c r="B8" i="54"/>
  <c r="F102" i="58"/>
  <c r="B28" i="54" s="1"/>
  <c r="E28" i="54" s="1"/>
  <c r="E102" i="58"/>
  <c r="B15" i="46" l="1"/>
  <c r="D15" i="46" s="1"/>
  <c r="D16" i="46" s="1"/>
  <c r="B18" i="54"/>
  <c r="B6" i="46"/>
  <c r="B9" i="54"/>
  <c r="E8" i="54"/>
  <c r="E9" i="54" s="1"/>
  <c r="E8" i="48"/>
  <c r="C9" i="48"/>
  <c r="E29" i="54"/>
  <c r="B29" i="54"/>
  <c r="J15" i="46" l="1"/>
  <c r="J16" i="46" s="1"/>
  <c r="B16" i="46"/>
  <c r="H8" i="48"/>
  <c r="H9" i="48" s="1"/>
  <c r="E9" i="48"/>
  <c r="D6" i="46"/>
  <c r="B7" i="46"/>
  <c r="B19" i="54"/>
  <c r="E18" i="54"/>
  <c r="E19" i="54" s="1"/>
  <c r="J6" i="46" l="1"/>
  <c r="J7" i="46" s="1"/>
  <c r="D7" i="46"/>
</calcChain>
</file>

<file path=xl/comments1.xml><?xml version="1.0" encoding="utf-8"?>
<comments xmlns="http://schemas.openxmlformats.org/spreadsheetml/2006/main">
  <authors>
    <author>Chance Thayer</author>
    <author>Burgert, Kari</author>
  </authors>
  <commentList>
    <comment ref="AC5" authorId="0">
      <text>
        <r>
          <rPr>
            <b/>
            <sz val="9"/>
            <color indexed="81"/>
            <rFont val="Tahoma"/>
            <family val="2"/>
          </rPr>
          <t>Need to decide whether to zero this column out when Column "O" flips to 0 or not. Currently not.</t>
        </r>
        <r>
          <rPr>
            <sz val="9"/>
            <color indexed="81"/>
            <rFont val="Tahoma"/>
            <family val="2"/>
          </rPr>
          <t xml:space="preserve">
</t>
        </r>
      </text>
    </comment>
    <comment ref="AC14" authorId="1">
      <text>
        <r>
          <rPr>
            <b/>
            <sz val="9"/>
            <color indexed="81"/>
            <rFont val="Tahoma"/>
            <family val="2"/>
          </rPr>
          <t>2015 N-CORPE pumping for 2016 that contributed to subbasin natural flow</t>
        </r>
      </text>
    </comment>
    <comment ref="E15" authorId="1">
      <text>
        <r>
          <rPr>
            <b/>
            <sz val="9"/>
            <color indexed="81"/>
            <rFont val="Tahoma"/>
            <family val="2"/>
          </rPr>
          <t>All 2016 Rock Creek Pumping (Col z) + Jan-May NCORPE Pumping (Col aa) + Riverside Retirement (1450)</t>
        </r>
      </text>
    </comment>
    <comment ref="I15" authorId="0">
      <text>
        <r>
          <rPr>
            <b/>
            <sz val="9"/>
            <color indexed="81"/>
            <rFont val="Tahoma"/>
            <family val="2"/>
          </rPr>
          <t>28,000 of the 33,084 CCV Available for Release was added to Warren Act Water at the end of May 2016. The remainder, 33084-28000=5,084 af, was considered part of the Project Water. All project water was released in 2016. Therefore, CCV Released as Flow is assumed to be the entirety of the CCV portion of Project Water.</t>
        </r>
      </text>
    </comment>
    <comment ref="J15" authorId="1">
      <text>
        <r>
          <rPr>
            <b/>
            <sz val="9"/>
            <color indexed="81"/>
            <rFont val="Tahoma"/>
            <family val="2"/>
          </rPr>
          <t>Evaporation of Warren Act Water was calculated by scaling the montly net evaporation of Warren Act water, provided by the USBR, by the fraction of the 2016 contribution of Warren Act Water to the total Warren Act Water.</t>
        </r>
      </text>
    </comment>
    <comment ref="M15" authorId="1">
      <text>
        <r>
          <rPr>
            <b/>
            <sz val="9"/>
            <color indexed="81"/>
            <rFont val="Tahoma"/>
            <family val="2"/>
          </rPr>
          <t>Col D - Col E + Col AC
this year - Col AC last year. 
Formula for the column with adjustments for other year compliance activities in column AC</t>
        </r>
      </text>
    </comment>
    <comment ref="Z15" authorId="1">
      <text>
        <r>
          <rPr>
            <b/>
            <sz val="9"/>
            <color indexed="81"/>
            <rFont val="Tahoma"/>
            <family val="2"/>
          </rPr>
          <t>Total 2016 Rock Creek Pumping for VWS adjustment</t>
        </r>
      </text>
    </comment>
    <comment ref="AA15" authorId="1">
      <text>
        <r>
          <rPr>
            <b/>
            <sz val="9"/>
            <color indexed="81"/>
            <rFont val="Tahoma"/>
            <family val="2"/>
          </rPr>
          <t>Jan 1-May 31, 2016 NCORPE Pumping</t>
        </r>
      </text>
    </comment>
    <comment ref="AB15" authorId="1">
      <text>
        <r>
          <rPr>
            <b/>
            <sz val="9"/>
            <color indexed="81"/>
            <rFont val="Tahoma"/>
            <family val="2"/>
          </rPr>
          <t>Management Action for 2016 from 2015 (Col AC t-1) + Management Actions for 2016 from 2016 (Col E - Col AC) + RCCV (9300)</t>
        </r>
        <r>
          <rPr>
            <sz val="9"/>
            <color indexed="81"/>
            <rFont val="Tahoma"/>
            <family val="2"/>
          </rPr>
          <t xml:space="preserve">
</t>
        </r>
      </text>
    </comment>
    <comment ref="AC15" authorId="1">
      <text>
        <r>
          <rPr>
            <b/>
            <sz val="9"/>
            <color indexed="81"/>
            <rFont val="Tahoma"/>
            <family val="2"/>
          </rPr>
          <t>2016 pumping for 2017 that contributed to subbasin natural flow - Rock Creek Oct through Dec pumping.  This does not include the N-CORPE Oct-Dec. pumping as that is included in the CCV inflow for 2017</t>
        </r>
      </text>
    </comment>
    <comment ref="E16" authorId="1">
      <text>
        <r>
          <rPr>
            <b/>
            <sz val="9"/>
            <color indexed="81"/>
            <rFont val="Tahoma"/>
            <family val="2"/>
          </rPr>
          <t>Compact Compliance Volume supplied through 
Rock Creek pumping, NCORPE  pumping, water supply release from Enders Reservoir, the permanent retirement of surface water uses from Riverside Canal, bypassing natural flow diversions and uses on Culbertson Canal</t>
        </r>
      </text>
    </comment>
    <comment ref="I16" authorId="1">
      <text>
        <r>
          <rPr>
            <b/>
            <sz val="9"/>
            <color indexed="81"/>
            <rFont val="Tahoma"/>
            <family val="2"/>
          </rPr>
          <t>Burgert, Kari:</t>
        </r>
        <r>
          <rPr>
            <sz val="9"/>
            <color indexed="81"/>
            <rFont val="Tahoma"/>
            <family val="2"/>
          </rPr>
          <t xml:space="preserve">
More than 20,000 AF was released, assumed all 2017 CCV released</t>
        </r>
      </text>
    </comment>
    <comment ref="J16" authorId="1">
      <text>
        <r>
          <rPr>
            <b/>
            <sz val="9"/>
            <color indexed="81"/>
            <rFont val="Tahoma"/>
            <family val="2"/>
          </rPr>
          <t>Burgert, Kari:</t>
        </r>
        <r>
          <rPr>
            <sz val="9"/>
            <color indexed="81"/>
            <rFont val="Tahoma"/>
            <family val="2"/>
          </rPr>
          <t xml:space="preserve">
CWSA proportional evap share</t>
        </r>
      </text>
    </comment>
    <comment ref="Z16" authorId="1">
      <text>
        <r>
          <rPr>
            <b/>
            <sz val="9"/>
            <color indexed="81"/>
            <rFont val="Tahoma"/>
            <family val="2"/>
          </rPr>
          <t xml:space="preserve">Jan 2017-Dec 2017 Rock Creek estimated pumping
</t>
        </r>
      </text>
    </comment>
    <comment ref="AA16" authorId="1">
      <text>
        <r>
          <rPr>
            <b/>
            <sz val="9"/>
            <color indexed="81"/>
            <rFont val="Tahoma"/>
            <family val="2"/>
          </rPr>
          <t>October 2016-Dec 2017 estimated NCORPE pumping to HCL</t>
        </r>
      </text>
    </comment>
    <comment ref="AB16" authorId="1">
      <text>
        <r>
          <rPr>
            <b/>
            <sz val="9"/>
            <color indexed="81"/>
            <rFont val="Tahoma"/>
            <family val="2"/>
          </rPr>
          <t>Compliance activities to date:
Rock Creek (this year pumping and last)- 5000
NCORPE (this year pumping and last) - 10800
Riverside retirement - 1450
Culbertson canal bypass - 1932
Enders release - 2000
These are not all included just the first 20 KAF</t>
        </r>
      </text>
    </comment>
  </commentList>
</comments>
</file>

<file path=xl/sharedStrings.xml><?xml version="1.0" encoding="utf-8"?>
<sst xmlns="http://schemas.openxmlformats.org/spreadsheetml/2006/main" count="2236" uniqueCount="699">
  <si>
    <t>Colorado</t>
  </si>
  <si>
    <t>Nebraska</t>
  </si>
  <si>
    <t>Unallocated</t>
  </si>
  <si>
    <t>Computed Beneficial Consumptive Use</t>
  </si>
  <si>
    <t>Total</t>
  </si>
  <si>
    <t>Rock</t>
  </si>
  <si>
    <t>Main Stem</t>
  </si>
  <si>
    <t>Basin</t>
  </si>
  <si>
    <t>Total All Basins</t>
  </si>
  <si>
    <t>Table 1: Annual Virgin and Computed Water Supply, Allocations, and Computed Beneficial Consumptive Uses by State, Main Stem, and Sub-Basin</t>
  </si>
  <si>
    <t>Virgin Water Supply</t>
  </si>
  <si>
    <t>Computed Water Supply</t>
  </si>
  <si>
    <t>Allocations</t>
  </si>
  <si>
    <t xml:space="preserve">Kansas </t>
  </si>
  <si>
    <t>North Fork</t>
  </si>
  <si>
    <t>Arikaree</t>
  </si>
  <si>
    <t>Buffalo</t>
  </si>
  <si>
    <t>South Fork</t>
  </si>
  <si>
    <t>Frenchman</t>
  </si>
  <si>
    <t>Driftwood</t>
  </si>
  <si>
    <t>Red Willow</t>
  </si>
  <si>
    <t>Medicine</t>
  </si>
  <si>
    <t>Beaver</t>
  </si>
  <si>
    <t>Sappa</t>
  </si>
  <si>
    <t>Prairie Dog</t>
  </si>
  <si>
    <t>Main Stem Including Unallocated</t>
  </si>
  <si>
    <t>Table 2: Original Compact Virgin Water Supply and Allocations</t>
  </si>
  <si>
    <t>Colorado Allocation</t>
  </si>
  <si>
    <t>% of Basin Supply</t>
  </si>
  <si>
    <t>Kansas Allocation</t>
  </si>
  <si>
    <t>Nebraska Allocation</t>
  </si>
  <si>
    <t>Main Stem + Unallocated</t>
  </si>
  <si>
    <t>Tributaries        Sub-Total</t>
  </si>
  <si>
    <t>Year</t>
  </si>
  <si>
    <t>Allocation</t>
  </si>
  <si>
    <t>Imported Water Supply Credit</t>
  </si>
  <si>
    <t>Average</t>
  </si>
  <si>
    <t>Total Available Supply</t>
  </si>
  <si>
    <t>Available Supply - CBCU</t>
  </si>
  <si>
    <t>Table 4B: Kansas's Sub-Basin Non-impairment Compliance</t>
  </si>
  <si>
    <t>Table 5A: Colorado's Compliance During Water-Short Year Administration</t>
  </si>
  <si>
    <t>Table 5B: Kansas's Compliance During Water-Short Year Administration</t>
  </si>
  <si>
    <t>Sub-Basin Total</t>
  </si>
  <si>
    <t>State-Wide Allocation</t>
  </si>
  <si>
    <t>Allocation Below Guide Rock</t>
  </si>
  <si>
    <t>Allocation Above Guide Rock</t>
  </si>
  <si>
    <t>State-Wide CBCU</t>
  </si>
  <si>
    <t>CBCU Below Guide Rock</t>
  </si>
  <si>
    <t>CBCU Above Guide Rock</t>
  </si>
  <si>
    <t>Table 5C: Nebraska's Compliance During Water-Short Year Administration</t>
  </si>
  <si>
    <t>Hardy Gage</t>
  </si>
  <si>
    <t>Superior Courtland Diversion Dam</t>
  </si>
  <si>
    <t>Courtland Canal Diversions</t>
  </si>
  <si>
    <t>Superior Canal Diversion</t>
  </si>
  <si>
    <t>Courtland Canal Returns</t>
  </si>
  <si>
    <t>Superior Canal Returns</t>
  </si>
  <si>
    <t>Total Bostwick Returns Below Guide Rock</t>
  </si>
  <si>
    <t>NE CBCU Below Guide Rock</t>
  </si>
  <si>
    <t>KS CBCU Below Ruide Rock</t>
  </si>
  <si>
    <t>Gain Guide Rock to Hardy</t>
  </si>
  <si>
    <t>VWS Guide Rock to Hardy</t>
  </si>
  <si>
    <t>Nebraska Guide Rock to Hardy Allocation</t>
  </si>
  <si>
    <t>Kansas Guide Rock to Hardy Allocation</t>
  </si>
  <si>
    <t>Total CBCU Below Guide Rock</t>
  </si>
  <si>
    <t>COURTLAND CANAL</t>
  </si>
  <si>
    <t>North Fork Subbasin</t>
  </si>
  <si>
    <t/>
  </si>
  <si>
    <t>Arikaree Subbasin</t>
  </si>
  <si>
    <t>Buffalo Subbasin</t>
  </si>
  <si>
    <t>Rock Subbasin</t>
  </si>
  <si>
    <t>Frenchman Subbasin</t>
  </si>
  <si>
    <t>Driftwood Subbasin</t>
  </si>
  <si>
    <t>Red Willow Subbasin</t>
  </si>
  <si>
    <t>Medicine Creek Subbasin</t>
  </si>
  <si>
    <t>Beaver Subbasin</t>
  </si>
  <si>
    <t>Sappa Subbasin</t>
  </si>
  <si>
    <t>Prairie Dog Subbasin</t>
  </si>
  <si>
    <t>Mainstem Subbasin</t>
  </si>
  <si>
    <t>Calendar Year</t>
  </si>
  <si>
    <t>Groundwater Data</t>
  </si>
  <si>
    <t>Import Water Data</t>
  </si>
  <si>
    <t>SW Pumping Data</t>
  </si>
  <si>
    <t>Stream Gage Data</t>
  </si>
  <si>
    <t>North Fork Republican River At Colorado-Nebraska State Line</t>
  </si>
  <si>
    <t>Arikaree River At Haigler</t>
  </si>
  <si>
    <t>Buffalo Creek Near Haigler</t>
  </si>
  <si>
    <t>Rock Creek At Parks</t>
  </si>
  <si>
    <t>South Fork Republican River Near Benkelman</t>
  </si>
  <si>
    <t>Frenchman Creek At Culbertson</t>
  </si>
  <si>
    <t>Red Willow Creek Near Red Willow</t>
  </si>
  <si>
    <t>Medicine Creek Below Harry Strunk</t>
  </si>
  <si>
    <t>Beaver Creek Near Beaver City</t>
  </si>
  <si>
    <t>Sappa Creek Near Stamford</t>
  </si>
  <si>
    <t>Prairie Dog Creek Near Woodruff</t>
  </si>
  <si>
    <t>Republican River At Guide Rock</t>
  </si>
  <si>
    <t>Republican River Near Hardy</t>
  </si>
  <si>
    <t>North Fork Flood Flow</t>
  </si>
  <si>
    <t>Arikaree Flood Flow</t>
  </si>
  <si>
    <t>Buffalo Flood Flow</t>
  </si>
  <si>
    <t>Rock Flood Flow</t>
  </si>
  <si>
    <t>Southfork Flood Flow</t>
  </si>
  <si>
    <t>Frenchman Flood Flow</t>
  </si>
  <si>
    <t>Driftwood Flood Flow</t>
  </si>
  <si>
    <t>Red Willow Flood Flow</t>
  </si>
  <si>
    <t>Medicine Creek Flood Flow</t>
  </si>
  <si>
    <t>Beaver Flood Flow</t>
  </si>
  <si>
    <t>Sappa Flood Flow</t>
  </si>
  <si>
    <t>Prairie Dog Flood Flow</t>
  </si>
  <si>
    <t>Mainstem Flood Flow</t>
  </si>
  <si>
    <t>Reservoir Data</t>
  </si>
  <si>
    <t>Bonny Reservoir Evaporation</t>
  </si>
  <si>
    <t>Bonny Reservoir Change In Storage</t>
  </si>
  <si>
    <t>Enders Reservoir Evaporation</t>
  </si>
  <si>
    <t>Enders Reservoir Change In Storage</t>
  </si>
  <si>
    <t>Hugh Butler Lake Evaporation</t>
  </si>
  <si>
    <t>Hugh Butler Lake Change In Storage</t>
  </si>
  <si>
    <t>Harry Strunk Lake Evaporation</t>
  </si>
  <si>
    <t>Harry Strunk Lake Change In Storage</t>
  </si>
  <si>
    <t>Keith Sebelius Lake Evaporation</t>
  </si>
  <si>
    <t>Keith Sebelius Lake Change In Storage</t>
  </si>
  <si>
    <t>Swanson Lake Evaporation</t>
  </si>
  <si>
    <t>Swanson Lake Change In Storage</t>
  </si>
  <si>
    <t>Harlan County Change In Storage</t>
  </si>
  <si>
    <t>Canal Data</t>
  </si>
  <si>
    <t>Haigler Canal Diversions - Colorado</t>
  </si>
  <si>
    <t>Haigler Canal Diversions - Nebraska</t>
  </si>
  <si>
    <t>Haigler Canal Diversions</t>
  </si>
  <si>
    <t>Hale Ditch Diversions</t>
  </si>
  <si>
    <t>Champion Canal Diversions</t>
  </si>
  <si>
    <t>Riverside Canal Diversions</t>
  </si>
  <si>
    <t>Culbertson Canal Diversions</t>
  </si>
  <si>
    <t>Culbertson Canal Extension Diversions</t>
  </si>
  <si>
    <t>Culbertson Canal % Return Flow</t>
  </si>
  <si>
    <t>Culbertson Canal Extension % Return Flow</t>
  </si>
  <si>
    <t>Meeker-Driftwood Canal Diversions</t>
  </si>
  <si>
    <t>Meeker-Driftwood Canal % Return Flow</t>
  </si>
  <si>
    <t>Red Willow Canal Diversions</t>
  </si>
  <si>
    <t>Red Willow Canal % Return Flow</t>
  </si>
  <si>
    <t>Bartley Canal Diversion</t>
  </si>
  <si>
    <t>Cambridge Canal Diversion</t>
  </si>
  <si>
    <t>Naponee Canal Diversion</t>
  </si>
  <si>
    <t>Franklin Canal Diversion</t>
  </si>
  <si>
    <t>Franklin Pump Canal Diversions</t>
  </si>
  <si>
    <t>Superior Canal Diversions</t>
  </si>
  <si>
    <t>Courtland Canal Diversions At Headgate</t>
  </si>
  <si>
    <t>Courtland Canal At Kansas-Nebraska State Line</t>
  </si>
  <si>
    <t>Courtland Canal Deliveries To Lovewell Reservoir</t>
  </si>
  <si>
    <t>Return Flow To Republican River Above Hardy From Kansas</t>
  </si>
  <si>
    <t>Bartley Canal % Return Flow</t>
  </si>
  <si>
    <t>Cambridge Canal % Return Flow</t>
  </si>
  <si>
    <t>Naponee Canal % Return Flow</t>
  </si>
  <si>
    <t>Franklin Canal % Return Flow</t>
  </si>
  <si>
    <t>Franklin Pump Canal % Return Flow</t>
  </si>
  <si>
    <t>Superior Canal % Return Flow</t>
  </si>
  <si>
    <t>Courtland Canal Above Lovewell %  Return Flow</t>
  </si>
  <si>
    <t>Courtland Canal Below Lovewell % Return Flow</t>
  </si>
  <si>
    <t>North Fork Republican River Sub-Basin</t>
  </si>
  <si>
    <t>Input Data</t>
  </si>
  <si>
    <t>Groundwater / Model Data</t>
  </si>
  <si>
    <t>Imported Water Nebraska</t>
  </si>
  <si>
    <t>Surface Water Data</t>
  </si>
  <si>
    <t>Kansas</t>
  </si>
  <si>
    <t>Totals</t>
  </si>
  <si>
    <t>Imported Water</t>
  </si>
  <si>
    <t>Nebraska Haigler Canal Return Flow To Main Stem</t>
  </si>
  <si>
    <t>Adjustment For Flood Flows</t>
  </si>
  <si>
    <t>Colorado Percent Of Allocation</t>
  </si>
  <si>
    <t>Kansas Percent Of Allocation</t>
  </si>
  <si>
    <t>Nebraska Percent Of Allocation</t>
  </si>
  <si>
    <t>Total Basin Allocation</t>
  </si>
  <si>
    <t>Percent Of Supply Not Allocated</t>
  </si>
  <si>
    <t>Quantity Of Unallocated Supply</t>
  </si>
  <si>
    <t>SW Diversions - M&amp;I - Colorado</t>
  </si>
  <si>
    <t>SW Diversions - M&amp;I - Nebraska</t>
  </si>
  <si>
    <t>SW Diversions - M&amp;I - Kansas</t>
  </si>
  <si>
    <t>SW Diversions - M&amp;I - Nebraska - Below Gage</t>
  </si>
  <si>
    <t xml:space="preserve">GW Depletion </t>
  </si>
  <si>
    <t>Total CU</t>
  </si>
  <si>
    <t>Mainstem Sub-Basin</t>
  </si>
  <si>
    <t>Surface Water Gages</t>
  </si>
  <si>
    <t>Canal Diversion Data</t>
  </si>
  <si>
    <t>Kansas Surface Water Data</t>
  </si>
  <si>
    <t>Nebraska Surface Water Data</t>
  </si>
  <si>
    <t>Calculations</t>
  </si>
  <si>
    <t>Percent Kansas Bostwick Diversions During Irrigation Season</t>
  </si>
  <si>
    <t>Net Evaporation From Lovewell Charged To Kansas</t>
  </si>
  <si>
    <t>90% Hugh Butler Lake Evap</t>
  </si>
  <si>
    <t>Red Willow Canal Return Flow To Mainstem</t>
  </si>
  <si>
    <t>Culbertson Canal Return Flow To Mainstem</t>
  </si>
  <si>
    <t>Culbertson Canal Extension Return Flow To Mainstem</t>
  </si>
  <si>
    <t>Haigler Canal Return Flow To Mainstem</t>
  </si>
  <si>
    <t>Meeker - Driftwood Canal Return Flow To Driftwood Creek</t>
  </si>
  <si>
    <t>Surface Water Constants</t>
  </si>
  <si>
    <t>GW CBCU Colorado</t>
  </si>
  <si>
    <t>GW CBCU Kansas</t>
  </si>
  <si>
    <t>GW CBCU Nebraska Above Guide Rock</t>
  </si>
  <si>
    <t>GW CBCU Nebraska Below Guide Rock</t>
  </si>
  <si>
    <t>GW CBCU Nebraska</t>
  </si>
  <si>
    <t>90% Red Willow Canal CBCU - Nebraska</t>
  </si>
  <si>
    <t>Arikaree River Sub-Basin</t>
  </si>
  <si>
    <t>Prairie Dog Creek Sub-Basin</t>
  </si>
  <si>
    <t xml:space="preserve">Total </t>
  </si>
  <si>
    <t>Sappa Creek Sub-Basin</t>
  </si>
  <si>
    <t>Beaver Creek Sub-Basin</t>
  </si>
  <si>
    <t>Medicine Creek Sub-Basin</t>
  </si>
  <si>
    <t>Red Willow Creek Sub-Basin</t>
  </si>
  <si>
    <t>Driftwood Creek Sub-Basin</t>
  </si>
  <si>
    <t>24% Meeker Driftwood Canal Return</t>
  </si>
  <si>
    <t>Frenchman Creek Sub-Basin</t>
  </si>
  <si>
    <t>South Fork Republican River Sub-Basin</t>
  </si>
  <si>
    <t>Rock Creek Sub-Basin</t>
  </si>
  <si>
    <t>Buffalo Creek Sub-Basin</t>
  </si>
  <si>
    <t>South Fork Subbasin</t>
  </si>
  <si>
    <t>SW Diversions - Irrigation - Small Pumps - Colorado</t>
  </si>
  <si>
    <t>SW Diversions - Irrigation - Non-Federal Canals - Nebraska</t>
  </si>
  <si>
    <t>SW Diversions - Irrigation - Non-Federal Canals- Kansas</t>
  </si>
  <si>
    <t>SW Diversions - Irrigation - Small Pumps - Kansas</t>
  </si>
  <si>
    <t>SW Diversions - Irrigation - Non-Federal Canals - Nebraska -Below Gage</t>
  </si>
  <si>
    <t>SW CBCU</t>
  </si>
  <si>
    <t>GW CBCU</t>
  </si>
  <si>
    <t>Total SW CBCU</t>
  </si>
  <si>
    <t>Total GW CBCU</t>
  </si>
  <si>
    <t>Total Basin CBCU</t>
  </si>
  <si>
    <t>Colorado CBCU</t>
  </si>
  <si>
    <t>Kansas CBCU</t>
  </si>
  <si>
    <t>Nebraska CBCU</t>
  </si>
  <si>
    <t>90% Red Willow Canal Return Flow To Main Stem</t>
  </si>
  <si>
    <t>SW CBCU Below The Gage</t>
  </si>
  <si>
    <t>Percent Nebraska Diversions During Irrigation Season</t>
  </si>
  <si>
    <t>Net Evaporation From Harlan County Reservoir Charged To Nebraska</t>
  </si>
  <si>
    <t>SW CBCU - Irrigation - Non Federal Canals</t>
  </si>
  <si>
    <t>SW CBCU - Irrigation - Small Pumps</t>
  </si>
  <si>
    <t>SW CBCU - M&amp;I</t>
  </si>
  <si>
    <t>Hale Ditch CBCU</t>
  </si>
  <si>
    <t>Total CBCU</t>
  </si>
  <si>
    <t>Driftwood Creek Near McCook</t>
  </si>
  <si>
    <t>SW Diversions - Irrigation - Small Pumps -Nebraska - Below Gage</t>
  </si>
  <si>
    <t>Non-Federal SW Consumptive Use</t>
  </si>
  <si>
    <t>Non-Federal Reservoir Evaporation - Colorado</t>
  </si>
  <si>
    <t>Non-Federal Reservoir Evaporation - Nebraska</t>
  </si>
  <si>
    <t>Non-Federal Reservoir Evaporation - Kansas</t>
  </si>
  <si>
    <t>Consumptive Use Calculations</t>
  </si>
  <si>
    <t>Location</t>
  </si>
  <si>
    <t>Pumping</t>
  </si>
  <si>
    <t>Mound</t>
  </si>
  <si>
    <t>Above Swanson</t>
  </si>
  <si>
    <t>Swanson - Harlan</t>
  </si>
  <si>
    <t>Harlan - Guide Rock</t>
  </si>
  <si>
    <t>Guide Rock - Hardy</t>
  </si>
  <si>
    <t>Hugh Butler</t>
  </si>
  <si>
    <t>Bonny</t>
  </si>
  <si>
    <t>Keith Sebelius</t>
  </si>
  <si>
    <t>Enders</t>
  </si>
  <si>
    <t>Harlan</t>
  </si>
  <si>
    <t>Harry Strunk</t>
  </si>
  <si>
    <t>Swanson</t>
  </si>
  <si>
    <t>Mainstem</t>
  </si>
  <si>
    <t>MS's 4 reaches + 2 reservoirs</t>
  </si>
  <si>
    <t>Imported Water Nebraska Above Guide Rock</t>
  </si>
  <si>
    <t>Imported Water Nebraska Below Guide Rock</t>
  </si>
  <si>
    <t>Total of individual sub-basins</t>
  </si>
  <si>
    <t>Almena Canal Diversions</t>
  </si>
  <si>
    <t>Almena Canal % Return Flow</t>
  </si>
  <si>
    <t>SW Diversions - M&amp;I - Nebraska - Below Guide Rock</t>
  </si>
  <si>
    <t>SW Diversions - Irrigation - Non-Federal Canals - Nebraska Below Guide Rock</t>
  </si>
  <si>
    <t>COURTLAND CANAL ABOVE LOVEWELL</t>
  </si>
  <si>
    <t>Records</t>
  </si>
  <si>
    <t>District</t>
  </si>
  <si>
    <t>(3 + 4)</t>
  </si>
  <si>
    <t>(2 - 5)</t>
  </si>
  <si>
    <t>(7 + 8)</t>
  </si>
  <si>
    <t>(3 - 9)</t>
  </si>
  <si>
    <t>6-(6x(3/5))</t>
  </si>
  <si>
    <t>(6-11)x(7/9)</t>
  </si>
  <si>
    <t>(6-11-12)</t>
  </si>
  <si>
    <t>(10 x 7/9)</t>
  </si>
  <si>
    <t>(10 - 14)</t>
  </si>
  <si>
    <t>(4 + 11)</t>
  </si>
  <si>
    <t>(7 + 12 + 14)</t>
  </si>
  <si>
    <t>(8 + 13 + 15)</t>
  </si>
  <si>
    <t>(16+17+18)</t>
  </si>
  <si>
    <t>ALLOCATION</t>
  </si>
  <si>
    <t>TOTAL</t>
  </si>
  <si>
    <t>( = 2)</t>
  </si>
  <si>
    <t>OF LOSSES</t>
  </si>
  <si>
    <t>LOSS IN</t>
  </si>
  <si>
    <t xml:space="preserve">   LOSS IN</t>
  </si>
  <si>
    <t>ABOVE</t>
  </si>
  <si>
    <t>C</t>
  </si>
  <si>
    <t>NEB</t>
  </si>
  <si>
    <t>KAN</t>
  </si>
  <si>
    <t>DEL</t>
  </si>
  <si>
    <t>NEBRASKA</t>
  </si>
  <si>
    <t xml:space="preserve">   KANSAS</t>
  </si>
  <si>
    <t>LOVEWELL</t>
  </si>
  <si>
    <t>H</t>
  </si>
  <si>
    <t>Bost</t>
  </si>
  <si>
    <t>to</t>
  </si>
  <si>
    <t>Courtland</t>
  </si>
  <si>
    <t xml:space="preserve">  Courtland</t>
  </si>
  <si>
    <t>E</t>
  </si>
  <si>
    <t>Use</t>
  </si>
  <si>
    <t>out</t>
  </si>
  <si>
    <t>Loss</t>
  </si>
  <si>
    <t>Lovewell</t>
  </si>
  <si>
    <t>Canal</t>
  </si>
  <si>
    <t xml:space="preserve">     Canal</t>
  </si>
  <si>
    <t>Court</t>
  </si>
  <si>
    <t>Main</t>
  </si>
  <si>
    <t>flow</t>
  </si>
  <si>
    <t>in</t>
  </si>
  <si>
    <t>0.7  to  15.1</t>
  </si>
  <si>
    <t xml:space="preserve"> 15.1 to 34.8</t>
  </si>
  <si>
    <t>0.7  to  34.8</t>
  </si>
  <si>
    <t>K</t>
  </si>
  <si>
    <t>Month</t>
  </si>
  <si>
    <t>0.7</t>
  </si>
  <si>
    <t>15.1</t>
  </si>
  <si>
    <t xml:space="preserve"> 0.7 to 15.1</t>
  </si>
  <si>
    <t>34.8</t>
  </si>
  <si>
    <t>USBR</t>
  </si>
  <si>
    <t>Diversion</t>
  </si>
  <si>
    <t>Superior Canal CBCU</t>
  </si>
  <si>
    <t>Franklin Pump Canal CBCU</t>
  </si>
  <si>
    <t>Franklin Canal CBCU</t>
  </si>
  <si>
    <t>Naponee Canal CBCU</t>
  </si>
  <si>
    <t>Meeker-Driftwood Canal CBCU</t>
  </si>
  <si>
    <t>NE Courtland Canal CBCU (includes transportation loss)</t>
  </si>
  <si>
    <t>CBCU Below Gage</t>
  </si>
  <si>
    <t xml:space="preserve">Total  </t>
  </si>
  <si>
    <t>CBCU Below Medicine Creek Gage</t>
  </si>
  <si>
    <t>CBCU Below Beaver Creek Gage</t>
  </si>
  <si>
    <t>CBCU Below Prairie Dog Gage</t>
  </si>
  <si>
    <t>CBCU Below Sappa Creek Gage</t>
  </si>
  <si>
    <t>NA</t>
  </si>
  <si>
    <t>Attachment 7: Calculations of Return Flows from Bureau of Reclamation Canals</t>
  </si>
  <si>
    <t>Col 1</t>
  </si>
  <si>
    <t>Col 2</t>
  </si>
  <si>
    <t>Col 3</t>
  </si>
  <si>
    <t>Col 4</t>
  </si>
  <si>
    <t>Col 5</t>
  </si>
  <si>
    <t>Col 6</t>
  </si>
  <si>
    <t>Col 7</t>
  </si>
  <si>
    <t>Col 8</t>
  </si>
  <si>
    <t>Col 9</t>
  </si>
  <si>
    <t>Col 10</t>
  </si>
  <si>
    <t>Col 11</t>
  </si>
  <si>
    <t xml:space="preserve">Canal </t>
  </si>
  <si>
    <t xml:space="preserve">Spill to </t>
  </si>
  <si>
    <t xml:space="preserve">Field </t>
  </si>
  <si>
    <t>Canal Loss</t>
  </si>
  <si>
    <t xml:space="preserve">Average </t>
  </si>
  <si>
    <t>Field Loss</t>
  </si>
  <si>
    <t>Total Loss</t>
  </si>
  <si>
    <t>Total return</t>
  </si>
  <si>
    <t>Return as</t>
  </si>
  <si>
    <t>Waste-Way</t>
  </si>
  <si>
    <t>Deliveries</t>
  </si>
  <si>
    <t>from District</t>
  </si>
  <si>
    <t>Percent Field</t>
  </si>
  <si>
    <t>to Stream</t>
  </si>
  <si>
    <t>Percent of</t>
  </si>
  <si>
    <t>Factor</t>
  </si>
  <si>
    <t>and Canal</t>
  </si>
  <si>
    <t>from Canal</t>
  </si>
  <si>
    <t>Loss That</t>
  </si>
  <si>
    <t>and Field</t>
  </si>
  <si>
    <t>Returns to</t>
  </si>
  <si>
    <t>the Stream</t>
  </si>
  <si>
    <t>Name Canal</t>
  </si>
  <si>
    <t>Headgate</t>
  </si>
  <si>
    <t>Sum of</t>
  </si>
  <si>
    <t xml:space="preserve">Sum of </t>
  </si>
  <si>
    <t>1 -Weighted</t>
  </si>
  <si>
    <t xml:space="preserve">Estimated </t>
  </si>
  <si>
    <t>measured</t>
  </si>
  <si>
    <t>Deliveries to</t>
  </si>
  <si>
    <t>Percent Loss*</t>
  </si>
  <si>
    <t>spills to river</t>
  </si>
  <si>
    <t>the field</t>
  </si>
  <si>
    <t>Efficiency of</t>
  </si>
  <si>
    <t>Application</t>
  </si>
  <si>
    <t>System for</t>
  </si>
  <si>
    <t>the District*</t>
  </si>
  <si>
    <t>Culbertson</t>
  </si>
  <si>
    <t>Culbertson Extension</t>
  </si>
  <si>
    <t>Meeker - Driftwood</t>
  </si>
  <si>
    <t>Bartley</t>
  </si>
  <si>
    <t>Cambridge</t>
  </si>
  <si>
    <t>Naponee</t>
  </si>
  <si>
    <t>Franklin</t>
  </si>
  <si>
    <t>Franklin Pump</t>
  </si>
  <si>
    <t>Almena</t>
  </si>
  <si>
    <t>Superior</t>
  </si>
  <si>
    <t>Courtland Canal Below Lovewell</t>
  </si>
  <si>
    <t>Attachment 6: Computing Water Supplies and Consumptive Use Above Guide Rock</t>
  </si>
  <si>
    <t xml:space="preserve">Lovewell Reservoir Ev charged to the Republican River </t>
  </si>
  <si>
    <t>Courtland Canal Above Lovewell CBCU</t>
  </si>
  <si>
    <t>Courtland Canal Below Lovewell CBCU</t>
  </si>
  <si>
    <t>Non-Federal Reservoir Evaporation Data</t>
  </si>
  <si>
    <t>Non-Federal Reservoir Evaporation - Nebraska - Below Gage</t>
  </si>
  <si>
    <t>% Non-Federal Canal Diversion Consumed</t>
  </si>
  <si>
    <t>% Small Surface Water Pumps Consumed</t>
  </si>
  <si>
    <t>%  Municipal And Industrial SW Consumed</t>
  </si>
  <si>
    <t>SW Diversions - Irrigation -Non-Federal Canals- Colorado</t>
  </si>
  <si>
    <t>SW Diversions - Irrigation - Small Pumps - Nebraska</t>
  </si>
  <si>
    <t>SW Diversions - Irrigation - Small Pumps - Nebraska Below Guide Rock</t>
  </si>
  <si>
    <t>17% Culbertson Canal Return Flow to Main Stem</t>
  </si>
  <si>
    <t>100% Culbertson Canal Extension Return Flow to Main Stem</t>
  </si>
  <si>
    <r>
      <t xml:space="preserve">SW Diversions - Irrigation - </t>
    </r>
    <r>
      <rPr>
        <sz val="10"/>
        <rFont val="Arial"/>
        <family val="2"/>
      </rPr>
      <t>Small Pumps -Nebraska - Below Gage</t>
    </r>
  </si>
  <si>
    <r>
      <t xml:space="preserve">Net Evaporation From Harlan </t>
    </r>
    <r>
      <rPr>
        <sz val="10"/>
        <rFont val="Arial"/>
        <family val="2"/>
      </rPr>
      <t>County Reservoir Charged To Kansas</t>
    </r>
  </si>
  <si>
    <t>Courtland Canal Diversions to the Upper Courtland District</t>
  </si>
  <si>
    <t>Nebraska Courtland</t>
  </si>
  <si>
    <t>Courtland Canal Above Lovewell (KS)</t>
  </si>
  <si>
    <t>Diversions to Nebraska Courtland</t>
  </si>
  <si>
    <t>Nebraska Courtland % Return Flow</t>
  </si>
  <si>
    <t>Courtland Canal, Loss in NE assigned to upper Courtland KS</t>
  </si>
  <si>
    <t xml:space="preserve">Courtland Canal, Loss in NE assigned to delivery to Lovewell </t>
  </si>
  <si>
    <t>Courtland Canal, Loss assigned to deliveries of water to Lovewell, Stateline to Lovewell</t>
  </si>
  <si>
    <t>To allocate Harlan County evaporation:</t>
  </si>
  <si>
    <t>Diversions of Republican River water from Lovewell Reservoir to the Courtland Canal below Lovewell</t>
  </si>
  <si>
    <t>Courtland Canal Transportation Loss in NE assigned to the Upper Courtland KS that does not recharge</t>
  </si>
  <si>
    <t>Courtland Canal Transportation Loss in NE assigned to deliveries to Lovewell that does not recharge</t>
  </si>
  <si>
    <t>Courtland Canal Transportation Loss from the Stateline to Lovewell that does not return</t>
  </si>
  <si>
    <t>Non-Federal Reservoir Evaporation</t>
  </si>
  <si>
    <t>Total Mainstem CWS</t>
  </si>
  <si>
    <t>Return Flow From Courtland Canal To Republican River Above Hardy From Nebraska</t>
  </si>
  <si>
    <t>SW Return - Irrigation</t>
  </si>
  <si>
    <t>SW Return - M&amp;I</t>
  </si>
  <si>
    <t>KANSAS</t>
  </si>
  <si>
    <t>Table 5E: Nebraska's Tributary Compliance During Water-Short Year Administration</t>
  </si>
  <si>
    <t>Table 5D: Nebraska's Compliance Under a Alternative Water-Short Year Administration Plan</t>
  </si>
  <si>
    <t xml:space="preserve"> </t>
  </si>
  <si>
    <t>Reservoir Name</t>
  </si>
  <si>
    <t>Gross Evaporation</t>
  </si>
  <si>
    <t>Net Evaporation</t>
  </si>
  <si>
    <t>Enders Reservoir</t>
  </si>
  <si>
    <t>Harlan County Lake</t>
  </si>
  <si>
    <t>Harry Strunk Lake</t>
  </si>
  <si>
    <t>Hugh Butler Lake</t>
  </si>
  <si>
    <t>Swanson Lake</t>
  </si>
  <si>
    <t>Bonny Reservoir</t>
  </si>
  <si>
    <t>Keith Sebelius Lake</t>
  </si>
  <si>
    <t>Lovewell Reservoir</t>
  </si>
  <si>
    <t>[Acre-feet]</t>
  </si>
  <si>
    <t>Net / Gross</t>
  </si>
  <si>
    <t>[%]</t>
  </si>
  <si>
    <t>Federal Reservoir Net Evaporation</t>
  </si>
  <si>
    <t>Federal Reservoir Storage Change</t>
  </si>
  <si>
    <t xml:space="preserve">Storage Change </t>
  </si>
  <si>
    <t>AF</t>
  </si>
  <si>
    <t>%</t>
  </si>
  <si>
    <t>Diversions during Release Season</t>
  </si>
  <si>
    <t>Harlan County Lake Net Evaporation Split</t>
  </si>
  <si>
    <t xml:space="preserve">Computed Beneficial Consumptive Use </t>
  </si>
  <si>
    <t>Colorado detail</t>
  </si>
  <si>
    <t>Kansas detail</t>
  </si>
  <si>
    <t xml:space="preserve">Unused Allocation from Colorado </t>
  </si>
  <si>
    <t xml:space="preserve">Total Available Supply </t>
  </si>
  <si>
    <r>
      <t xml:space="preserve">Mainstem VWS Above </t>
    </r>
    <r>
      <rPr>
        <sz val="10"/>
        <color indexed="8"/>
        <rFont val="Arial"/>
        <family val="2"/>
      </rPr>
      <t>Guide Rock</t>
    </r>
  </si>
  <si>
    <r>
      <t xml:space="preserve">NE MS Allocation Above </t>
    </r>
    <r>
      <rPr>
        <sz val="10"/>
        <color indexed="8"/>
        <rFont val="Arial"/>
        <family val="2"/>
      </rPr>
      <t>Guide Rock</t>
    </r>
  </si>
  <si>
    <r>
      <t xml:space="preserve">KS MS Allocation Above </t>
    </r>
    <r>
      <rPr>
        <sz val="10"/>
        <color indexed="8"/>
        <rFont val="Arial"/>
        <family val="2"/>
      </rPr>
      <t>Guide Rock</t>
    </r>
  </si>
  <si>
    <t>Non-Federal Reservoir Evaporation - Nebraska - Above Guide Rock Gage - Whole Basin Value:</t>
  </si>
  <si>
    <t>Non-Federal Reservoir Evaporation - Nebraska - Below Guide Rock Gage - Whole Basin Value:</t>
  </si>
  <si>
    <t>SW Non-Federal Reservoir Evaporation - Below Guide Rock</t>
  </si>
  <si>
    <t>Negative numbers represent the residual accounting impacts from groundwater well pumping. Reference RRCA accounting user's manual for comprehensive explanation.</t>
  </si>
  <si>
    <t>Harlan County Evaporation Charged To Nebraska</t>
  </si>
  <si>
    <t>Kansas Bostwick Diversions During Irrigation Season (actual, or 3-year average)</t>
  </si>
  <si>
    <t>Nebraska Bostwick Diversions During Irrigation Season (actual or 3-year average)</t>
  </si>
  <si>
    <t>Arikaree River</t>
  </si>
  <si>
    <t>North Fork of Republican River</t>
  </si>
  <si>
    <t>Buffalo Creek</t>
  </si>
  <si>
    <t>Rock Creek</t>
  </si>
  <si>
    <t>South Fork of Republican River</t>
  </si>
  <si>
    <t>Frenchman Creek</t>
  </si>
  <si>
    <t>Driftwood Creek</t>
  </si>
  <si>
    <t>Red Willow Creek</t>
  </si>
  <si>
    <t>Medicine Creek</t>
  </si>
  <si>
    <t>Beaver Creek</t>
  </si>
  <si>
    <t>Sappa Creek</t>
  </si>
  <si>
    <t>Sub-basin</t>
  </si>
  <si>
    <t>January</t>
  </si>
  <si>
    <t>February</t>
  </si>
  <si>
    <t>March</t>
  </si>
  <si>
    <t>April</t>
  </si>
  <si>
    <t>May</t>
  </si>
  <si>
    <t>June</t>
  </si>
  <si>
    <t>July</t>
  </si>
  <si>
    <t>August</t>
  </si>
  <si>
    <t>September</t>
  </si>
  <si>
    <t>October</t>
  </si>
  <si>
    <t>November</t>
  </si>
  <si>
    <t>December</t>
  </si>
  <si>
    <t>Attachment 1:  Sub-basin Flood Flow Thresholds</t>
  </si>
  <si>
    <r>
      <t>Sub-basin Flood Flow Threshold Acre-feet per Year</t>
    </r>
    <r>
      <rPr>
        <vertAlign val="superscript"/>
        <sz val="10"/>
        <rFont val="Arial"/>
        <family val="2"/>
      </rPr>
      <t>3</t>
    </r>
  </si>
  <si>
    <r>
      <t>3</t>
    </r>
    <r>
      <rPr>
        <sz val="10"/>
        <rFont val="Arial"/>
        <family val="2"/>
      </rPr>
      <t xml:space="preserve"> Flows considered to be Flood Flows are flows in excess of the 94% flow based on a flood frequency analysis for</t>
    </r>
  </si>
  <si>
    <t xml:space="preserve">the years 1971-2000.  The Gaged Flows are measured after depletions by Beneficial Consumptive Use and change in </t>
  </si>
  <si>
    <t>reservoir storage.</t>
  </si>
  <si>
    <t>Hardy Gage Data</t>
  </si>
  <si>
    <t xml:space="preserve">July </t>
  </si>
  <si>
    <t>Final Sub-basin Flood Flows</t>
  </si>
  <si>
    <t>Jan-Feb</t>
  </si>
  <si>
    <t>Feb-Mar</t>
  </si>
  <si>
    <t>Mar-Apr</t>
  </si>
  <si>
    <t>Apr-May</t>
  </si>
  <si>
    <t>May-Jun</t>
  </si>
  <si>
    <t>Jun-Jul</t>
  </si>
  <si>
    <t>Jul-Aug</t>
  </si>
  <si>
    <t>Aug-Sep</t>
  </si>
  <si>
    <t>Sep-Oct</t>
  </si>
  <si>
    <t>Oct-Nov</t>
  </si>
  <si>
    <t>Nov-Dec</t>
  </si>
  <si>
    <t>5-month Consecutive Period Test</t>
  </si>
  <si>
    <t>Combined Test</t>
  </si>
  <si>
    <t>2-month Consecutive Period Test</t>
  </si>
  <si>
    <t xml:space="preserve">Arikaree </t>
  </si>
  <si>
    <t xml:space="preserve">Buffalo </t>
  </si>
  <si>
    <t xml:space="preserve">Rock </t>
  </si>
  <si>
    <t xml:space="preserve">Frenchman </t>
  </si>
  <si>
    <t xml:space="preserve">Driftwood </t>
  </si>
  <si>
    <t xml:space="preserve">Red Willow </t>
  </si>
  <si>
    <t xml:space="preserve">Medicine Creek </t>
  </si>
  <si>
    <t xml:space="preserve">Beaver </t>
  </si>
  <si>
    <t xml:space="preserve">Sappa </t>
  </si>
  <si>
    <t xml:space="preserve">Prairie Dog </t>
  </si>
  <si>
    <t xml:space="preserve">South Fork </t>
  </si>
  <si>
    <t>Sub-basin Sum</t>
  </si>
  <si>
    <t>Over 400K</t>
  </si>
  <si>
    <t>ANNUAL</t>
  </si>
  <si>
    <t>Sub-basin Flows Above Attachment 1 Flood Flow Thresholds</t>
  </si>
  <si>
    <t>FINAL TOTAL</t>
  </si>
  <si>
    <t>Flood Flow Calculations Based on Accounting Procedures III.B.1 and Attachment 1.</t>
  </si>
  <si>
    <t>Hardy Gage Monthly Data (acre-feet)</t>
  </si>
  <si>
    <t>5-month Consecutive Period Flows (acre-feet)</t>
  </si>
  <si>
    <t>2-month Consecutive Period Flows (acre-feet)</t>
  </si>
  <si>
    <t>Jan-May</t>
  </si>
  <si>
    <t>Feb-Jun</t>
  </si>
  <si>
    <t>Mar-Jul</t>
  </si>
  <si>
    <t>Apr-Aug</t>
  </si>
  <si>
    <t>May-Sep</t>
  </si>
  <si>
    <t>Jun-Oct</t>
  </si>
  <si>
    <t>Jul-Nov</t>
  </si>
  <si>
    <t>Aug-Dec</t>
  </si>
  <si>
    <t>SW Diversions - Irrigation - Non-Federal Canals - Nebraska - Above Gage</t>
  </si>
  <si>
    <t>SW Diversions - Irrigation - Small Pumps - Nebraska - Above Gage</t>
  </si>
  <si>
    <t>SW Diversions - M&amp;I - Nebraska - Above Gage</t>
  </si>
  <si>
    <t>Non-Federal Reservoir Evaporation - Nebraska - Above Gage</t>
  </si>
  <si>
    <t>Nebraska Bostwick Diversions During Irrigation Season (actual, or 3-year average)</t>
  </si>
  <si>
    <t>Cambridge Canal CBCU</t>
  </si>
  <si>
    <t>USGS Gage 06853500 Republican River Near Hardy, NE</t>
  </si>
  <si>
    <t>78% Riverside Canal Return Flows</t>
  </si>
  <si>
    <t>Riverside Canal CBCU</t>
  </si>
  <si>
    <t>78% Riverside Canal Return Flow</t>
  </si>
  <si>
    <t>Return Flow From Courtland Canal To Republican River Above Lovewell From Kansas</t>
  </si>
  <si>
    <t>Col 12</t>
  </si>
  <si>
    <t>Net</t>
  </si>
  <si>
    <t>Col 2 - Col 3</t>
  </si>
  <si>
    <t>Col 4 - Col 5</t>
  </si>
  <si>
    <t>Col 5 x</t>
  </si>
  <si>
    <t>Col 6 +</t>
  </si>
  <si>
    <t>Col 9 x</t>
  </si>
  <si>
    <t xml:space="preserve">Col 10 + </t>
  </si>
  <si>
    <t>Col 11/Col 2</t>
  </si>
  <si>
    <t>Computed Water Supply Adjustment</t>
  </si>
  <si>
    <t>Augmentation Pumping Volume (APV)</t>
  </si>
  <si>
    <t>Imported Water Supply Credit and AWS</t>
  </si>
  <si>
    <t>Allocation - (CBCU - IWS- AWS)</t>
  </si>
  <si>
    <t>GW CBCU Kansas Above Guide Rock</t>
  </si>
  <si>
    <t>GW CBCU Kansas Below Guide Rock</t>
  </si>
  <si>
    <t>Above Guide Rock</t>
  </si>
  <si>
    <t>Difference Between Allocation and the Computed Beneficial Consumpitve Use offset by Imported Water Supply Credit</t>
  </si>
  <si>
    <t>Column</t>
  </si>
  <si>
    <t>Sum Sub-basins</t>
  </si>
  <si>
    <t>Kansas' Share of the Unused Colorado Allocation</t>
  </si>
  <si>
    <t>Total
Col 1 + Col 2 + Col 3</t>
  </si>
  <si>
    <t>Col 4 - (Col 5 - Col 6)</t>
  </si>
  <si>
    <t>Nebraska's Share of Unused Colorado Allocation</t>
  </si>
  <si>
    <t>Imported Water Supply Credit and NERWS Credit</t>
  </si>
  <si>
    <t>Difference Between Allocation and Computed Beneficial Consumptive Use offset by Imported Water Supply Credit Above Guide Rock and NERWS Credit</t>
  </si>
  <si>
    <t>Credits Above Guide Rock</t>
  </si>
  <si>
    <t>Col 3 + Col 4 - (Col 7 - Col 8)</t>
  </si>
  <si>
    <t>Col. 1</t>
  </si>
  <si>
    <t>Col. 2</t>
  </si>
  <si>
    <t>Col. 3</t>
  </si>
  <si>
    <t>Col. 4</t>
  </si>
  <si>
    <t xml:space="preserve">Computed Beneficial Consumptive </t>
  </si>
  <si>
    <t>Imported Water Supply Credit and CORWS</t>
  </si>
  <si>
    <t>Difference between Allocation and the Computed Beneficial Consumptive Use offset by Imported Water Supply Credit and CORWS Credit
Col 1 – (Col 2- Col 3)</t>
  </si>
  <si>
    <t>Difference between Allocation and the Computed Beneficial Consumptive Use offset by Imported Water Supply Credit
Col 1 – (Col 2- Col 3)</t>
  </si>
  <si>
    <t>Table 3A: Table to Be Used to Calculate Colorado's Five-Year Running Average Allocation and Computed Beneficial Consumptive Use for Determining Compact Compliance for Averaging Periods with No Water Short Year Designations Pursuant to Section III.J.</t>
  </si>
  <si>
    <t>Table 3B: Table to Be Used to Calculate Kansas's Five-Year Running Average Allocation and Computed Beneficial Consumptive Use for Determining Compact Compliance</t>
  </si>
  <si>
    <t>Table 3C: Table to Be Used to Calculate Nebraska's Five-Year Running Average Allocation and Computed Beneficial Consumptive Use for Determining Compact Compliance</t>
  </si>
  <si>
    <t>Imported Water Supply Credit and NERWS</t>
  </si>
  <si>
    <t>Difference between Allocation and the Computed Beneficial Consumptive Use offset by Imported Water Supply Credit and NERWS Credit
Col 1 – (Col 2- Col 3)</t>
  </si>
  <si>
    <t>Table 4A: Colorado Compliance with the Sub-basin Non-impairment Requirement</t>
  </si>
  <si>
    <t>Colorado Sub-basin Allocation (Five-year Running Average)</t>
  </si>
  <si>
    <t>Credits from Imported Water Supply and CORWS Credit (Five-year Running Average)</t>
  </si>
  <si>
    <t>N/A</t>
  </si>
  <si>
    <t>Colorado Computed Beneficial Consumptive Use (Five-year Running Average)</t>
  </si>
  <si>
    <t>Kansas Sub-basin Allocation (Five-year Running Average)</t>
  </si>
  <si>
    <t>Credits from Imported Water Supply (Five-year Running Average)</t>
  </si>
  <si>
    <t>Difference Between Available Supply and Computed Beneficial Consumptive Use
Col 5 - Col 6 (Five-year Running Average)</t>
  </si>
  <si>
    <t>Total Available Supply
Col 1 + Col 2 + Col 3 + Col 4 (Five-year Running Average)</t>
  </si>
  <si>
    <t>Col. 5</t>
  </si>
  <si>
    <t>Col. 6</t>
  </si>
  <si>
    <t>Col. 7</t>
  </si>
  <si>
    <t>Is the year Water Short Pursuant to III.J?* (Yes or No)</t>
  </si>
  <si>
    <t>Statewide Allocation</t>
  </si>
  <si>
    <t>Beaver Creek Reduction Pursuant to Table 5F</t>
  </si>
  <si>
    <t>Allocation - Beaver Creek Reduction (Col. 2 - Col.3)</t>
  </si>
  <si>
    <t>Computed Beneficial Consumptive (excluding the Beaver Creek Sub-basin)</t>
  </si>
  <si>
    <t>Imported Water Supply Credit - IWS Beaver Creek + CORWS Credit</t>
  </si>
  <si>
    <t>Difference between Allocation and the Compuated Beneficial Consumptive Use offset by Imported Water Supply Credit and CORWS Credit 
(Col. 4 - Col. 5 + Col. 6)</t>
  </si>
  <si>
    <t>Yes</t>
  </si>
  <si>
    <t>No</t>
  </si>
  <si>
    <t>Table 5F: Colorado's Beaver Creek Reduction During Water-Short Years</t>
  </si>
  <si>
    <t>Water Short Year (WSY) Pursuant to III.J</t>
  </si>
  <si>
    <t>Beaver Creek Allocation</t>
  </si>
  <si>
    <t>Reduction = Average of last five WSY Beaver Creek Allocations</t>
  </si>
  <si>
    <t>Imported Water Supply Credit and CORWS (North Fork)</t>
  </si>
  <si>
    <t>Unallocated Supply (Five-year Running Average)</t>
  </si>
  <si>
    <t>Unallocated Supply</t>
  </si>
  <si>
    <t>Kansas Computed Beneficial Consumptive Use (Five-year Running Average)</t>
  </si>
  <si>
    <t>Kansas' Share of Unallocated Supply</t>
  </si>
  <si>
    <t>Nebraska's Share of Unallocated Supply</t>
  </si>
  <si>
    <t>Start of Year RCCV</t>
  </si>
  <si>
    <t>RCCV Adjustment</t>
  </si>
  <si>
    <t>CCV</t>
  </si>
  <si>
    <t>CCV Inflow Into HCL</t>
  </si>
  <si>
    <t>RCCV Inflow Into HCL</t>
  </si>
  <si>
    <t>Total CCV and RCCV Inflow Into HCL</t>
  </si>
  <si>
    <t>Total CCV and RCCV Available for Release</t>
  </si>
  <si>
    <t>CCV Released from HCL as Evaporation</t>
  </si>
  <si>
    <t>CWSA</t>
  </si>
  <si>
    <t>Col. 8</t>
  </si>
  <si>
    <t>Col. 9</t>
  </si>
  <si>
    <t>Col. 10</t>
  </si>
  <si>
    <t>Col. 11</t>
  </si>
  <si>
    <t>Col. 12</t>
  </si>
  <si>
    <t>b</t>
  </si>
  <si>
    <t>c</t>
  </si>
  <si>
    <t>Harlan County Evaporation Subject to Nebraska/Kansas Split</t>
  </si>
  <si>
    <t>Unused Allocation from Colorado (Five Year Running Average)</t>
  </si>
  <si>
    <r>
      <rPr>
        <sz val="10"/>
        <rFont val="Calibri"/>
        <family val="2"/>
      </rPr>
      <t>Σ</t>
    </r>
    <r>
      <rPr>
        <sz val="10"/>
        <rFont val="Arial"/>
        <family val="2"/>
      </rPr>
      <t xml:space="preserve"> Irrigation Season</t>
    </r>
  </si>
  <si>
    <r>
      <rPr>
        <sz val="10"/>
        <rFont val="Calibri"/>
        <family val="2"/>
      </rPr>
      <t>Σ</t>
    </r>
    <r>
      <rPr>
        <sz val="10"/>
        <rFont val="Arial"/>
        <family val="2"/>
      </rPr>
      <t xml:space="preserve"> Non- Irrigation Season</t>
    </r>
  </si>
  <si>
    <t>Total Available Supply
(Five-year Running Average)</t>
  </si>
  <si>
    <t>Difference Between Available Supply and Computed Beneficial Consumptive Use
(Five-year Running Average)</t>
  </si>
  <si>
    <t>Table 4A is left unpopulated pursuant to the August 24, 2016 “RESOLUTION BY THE REPUBLICAN RIVER COMPACT ADMINISTRATION APPROVING OPERATION AND ACCOUNTING FOR THE COLORADO COMPACT COMPLIANCE PIPELINE AND COLORADO’S COMPLIANCE EFFORTS IN THE SOUTH FORK REPUBLICAN RIVER BASIN”, paragraph E.</t>
  </si>
  <si>
    <r>
      <t>CCV and RCCV Tracking</t>
    </r>
    <r>
      <rPr>
        <b/>
        <vertAlign val="superscript"/>
        <sz val="10"/>
        <rFont val="Arial"/>
        <family val="2"/>
      </rPr>
      <t>a</t>
    </r>
  </si>
  <si>
    <t>RCCV Adjustment Calculation</t>
  </si>
  <si>
    <t>APV and RWS</t>
  </si>
  <si>
    <t>RCCV Calc</t>
  </si>
  <si>
    <t>CCV Released from HCL as Flow</t>
  </si>
  <si>
    <t>CCV Retained in HCL (at End of Year)</t>
  </si>
  <si>
    <t xml:space="preserve">End of Year RCCV </t>
  </si>
  <si>
    <t>CCY?</t>
  </si>
  <si>
    <t>RCCV Annual Increase (Excluding RCCV Adj)</t>
  </si>
  <si>
    <t>RCCV 5 Yr. Cum. Increase since last CCY to Non-CCY</t>
  </si>
  <si>
    <t>RCCV Adjustment Year 1</t>
  </si>
  <si>
    <t>RCCV Adjustment Year 2</t>
  </si>
  <si>
    <t>RCCV Adjustment Year 3</t>
  </si>
  <si>
    <t>RCCV Adjustment Year 4</t>
  </si>
  <si>
    <t>RCCV Adjustment Year 5</t>
  </si>
  <si>
    <t>Aug. Pumping Volume (APV)</t>
  </si>
  <si>
    <t>Resolution Water Supply Credit (CORWS)</t>
  </si>
  <si>
    <t>Aug. Pumping Volume (APV) N-CORPE That Passed Sub-basin Gage in the Current Year</t>
  </si>
  <si>
    <t>Resolution Water Supply Credit (NERWS)</t>
  </si>
  <si>
    <t>Extra CCV Efforts Above CCV (Use with RCCV Calc)</t>
  </si>
  <si>
    <t xml:space="preserve">=Col 12 of previous year </t>
  </si>
  <si>
    <t>= Col. 4 + Col. 5</t>
  </si>
  <si>
    <t>=Col. 6 + Col. 10 of previous year</t>
  </si>
  <si>
    <t>=  Col. 7 – (Col. 8 + Col. 9)</t>
  </si>
  <si>
    <t>=Col. 10 – Col. 10 of previous year</t>
  </si>
  <si>
    <r>
      <t>= Col. 1 – Col. 2 + Col. 3 - Col. 6</t>
    </r>
    <r>
      <rPr>
        <vertAlign val="superscript"/>
        <sz val="10"/>
        <rFont val="Arial"/>
        <family val="2"/>
      </rPr>
      <t>d</t>
    </r>
  </si>
  <si>
    <t>1 if CCY,  otherwise 0</t>
  </si>
  <si>
    <t>a. Calculations for RCCV, CWSA, &amp; RWS don't start until Oct. 1, 2015</t>
  </si>
  <si>
    <t xml:space="preserve">b. See Provision 10 of the RRCA Resolution signed August 24, 2016, titled “Resolution Approving Long-Term Agreement Related to the Operation of Harlan County Lake for Compact Call Years” for the terms of assigning RCCV Adjustment. The RCCV Adjustment for each year is equal to 20% of the unadjusted portion of the RCCV, if it is a non-Compact Call Year, plus any remaining volumetric reductions from the previous four years. </t>
  </si>
  <si>
    <t xml:space="preserve">c. In years when the contributions from Nebraska’s water management activities, consistent with the 2016 CCY HCL Operations Resolution, are greater than CCV and the NERWS is equal to the greater contribution volume, CCV in Column 3 should also be set equal to the contribution. </t>
  </si>
  <si>
    <t>d. The formula for calculation of RCCV is based on calendar year operations and will vary when operations occur in a different calendar year than NERWS Credit is applied.</t>
  </si>
  <si>
    <t>Impacts 2017 (acre-feet)</t>
  </si>
  <si>
    <t>Total - GR to Hardy</t>
  </si>
  <si>
    <t>2017 Total</t>
  </si>
  <si>
    <t>Aug. Pumping Volume (APV) Rock Creek That Passed Sub-basin Gage in the Current Year</t>
  </si>
  <si>
    <t>Harlan County Evaporation Charged to Kansas</t>
  </si>
  <si>
    <t>2018 Total</t>
  </si>
  <si>
    <t>Impacts 2018 (acre-feet)</t>
  </si>
  <si>
    <t>final</t>
  </si>
  <si>
    <t>2019 Total</t>
  </si>
  <si>
    <t>Impacts 2019 (acre-feet)</t>
  </si>
  <si>
    <t>*Changed Equation to make Mainstem Flood Flow 0 if "Combined Test" =0</t>
  </si>
  <si>
    <t>*Changed equation to subtract Aug Pumping in Correct Cells</t>
  </si>
  <si>
    <t>Impacts 2020 (acre-feet)</t>
  </si>
  <si>
    <t>Impacts 2021 (acre-feet)</t>
  </si>
  <si>
    <t>2020 Total</t>
  </si>
  <si>
    <t>2021 Total</t>
  </si>
  <si>
    <t>Avg 2020-2021</t>
  </si>
  <si>
    <t>Avg 2019-2021</t>
  </si>
  <si>
    <t>7/12/22 update</t>
  </si>
  <si>
    <t>Avg 2017-2021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</si>
</sst>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
    <numFmt numFmtId="166" formatCode="#,##0.0000000_);[Red]\(#,##0.0000000\)"/>
  </numFmts>
  <fonts count="9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12"/>
      <name val="Arial"/>
      <family val="2"/>
    </font>
    <font>
      <sz val="10"/>
      <name val="Arial"/>
      <family val="2"/>
    </font>
    <font>
      <sz val="9"/>
      <name val="Arial"/>
      <family val="2"/>
    </font>
    <font>
      <b/>
      <sz val="9"/>
      <name val="Arial"/>
      <family val="2"/>
    </font>
    <font>
      <strike/>
      <sz val="10"/>
      <color indexed="10"/>
      <name val="Arial"/>
      <family val="2"/>
    </font>
    <font>
      <sz val="10"/>
      <color indexed="57"/>
      <name val="Arial"/>
      <family val="2"/>
    </font>
    <font>
      <b/>
      <sz val="10"/>
      <name val="Arial"/>
      <family val="2"/>
    </font>
    <font>
      <sz val="12"/>
      <name val="Arial"/>
      <family val="2"/>
    </font>
    <font>
      <b/>
      <sz val="10"/>
      <color indexed="8"/>
      <name val="Arial"/>
      <family val="2"/>
    </font>
    <font>
      <sz val="10"/>
      <name val="Arial"/>
      <family val="2"/>
    </font>
    <font>
      <b/>
      <sz val="12"/>
      <name val="Arial"/>
      <family val="2"/>
    </font>
    <font>
      <sz val="10"/>
      <name val="Arial"/>
      <family val="2"/>
    </font>
    <font>
      <sz val="11"/>
      <name val="Arial MT"/>
    </font>
    <font>
      <b/>
      <sz val="11"/>
      <name val="Arial MT"/>
    </font>
    <font>
      <sz val="11"/>
      <name val="Arial"/>
      <family val="2"/>
    </font>
    <font>
      <b/>
      <i/>
      <sz val="10"/>
      <name val="Arial"/>
      <family val="2"/>
    </font>
    <font>
      <sz val="10"/>
      <color indexed="8"/>
      <name val="Arial"/>
      <family val="2"/>
    </font>
    <font>
      <sz val="10"/>
      <color indexed="10"/>
      <name val="Arial"/>
      <family val="2"/>
    </font>
    <font>
      <sz val="10"/>
      <color indexed="10"/>
      <name val="Arial"/>
      <family val="2"/>
    </font>
    <font>
      <sz val="14"/>
      <name val="Times New Roman"/>
      <family val="1"/>
    </font>
    <font>
      <b/>
      <sz val="14"/>
      <name val="Times New Roman"/>
      <family val="1"/>
    </font>
    <font>
      <sz val="8"/>
      <name val="Arial"/>
      <family val="2"/>
    </font>
    <font>
      <b/>
      <sz val="18"/>
      <name val="Times New Roman"/>
      <family val="1"/>
    </font>
    <font>
      <b/>
      <sz val="16"/>
      <name val="Times New Roman"/>
      <family val="1"/>
    </font>
    <font>
      <sz val="14"/>
      <name val="Arial"/>
      <family val="2"/>
    </font>
    <font>
      <sz val="12"/>
      <name val="Times New Roman"/>
      <family val="1"/>
    </font>
    <font>
      <sz val="10"/>
      <color indexed="12"/>
      <name val="Arial"/>
      <family val="2"/>
    </font>
    <font>
      <sz val="10"/>
      <color indexed="12"/>
      <name val="Arial"/>
      <family val="2"/>
    </font>
    <font>
      <sz val="14"/>
      <color indexed="12"/>
      <name val="Times New Roman"/>
      <family val="1"/>
    </font>
    <font>
      <strike/>
      <sz val="10"/>
      <name val="Arial"/>
      <family val="2"/>
    </font>
    <font>
      <strike/>
      <sz val="10"/>
      <color indexed="12"/>
      <name val="Arial"/>
      <family val="2"/>
    </font>
    <font>
      <i/>
      <sz val="10"/>
      <name val="Arial"/>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name val="Arial"/>
      <family val="2"/>
    </font>
    <font>
      <b/>
      <sz val="10"/>
      <color rgb="FFFF0000"/>
      <name val="Arial"/>
      <family val="2"/>
    </font>
    <font>
      <sz val="10"/>
      <name val="Arial Unicode MS"/>
      <family val="2"/>
    </font>
    <font>
      <sz val="12"/>
      <name val="Arial MT"/>
    </font>
    <font>
      <sz val="10"/>
      <color rgb="FF0000FF"/>
      <name val="Arial"/>
      <family val="2"/>
    </font>
    <font>
      <sz val="12"/>
      <name val="Arial"/>
      <family val="2"/>
    </font>
    <font>
      <b/>
      <sz val="9"/>
      <color indexed="81"/>
      <name val="Tahoma"/>
      <family val="2"/>
    </font>
    <font>
      <sz val="14"/>
      <color rgb="FF0000FF"/>
      <name val="Times New Roman"/>
      <family val="1"/>
    </font>
    <font>
      <b/>
      <sz val="14"/>
      <color rgb="FF0000FF"/>
      <name val="Times New Roman"/>
      <family val="1"/>
    </font>
    <font>
      <sz val="10"/>
      <name val="Arial"/>
      <family val="2"/>
    </font>
    <font>
      <sz val="10"/>
      <name val="Calibri"/>
      <family val="2"/>
    </font>
    <font>
      <sz val="11"/>
      <color rgb="FF1F4E79"/>
      <name val="Segoe UI"/>
      <family val="2"/>
    </font>
    <font>
      <b/>
      <vertAlign val="superscript"/>
      <sz val="10"/>
      <name val="Arial"/>
      <family val="2"/>
    </font>
    <font>
      <u/>
      <sz val="10"/>
      <color theme="10"/>
      <name val="Arial"/>
      <family val="2"/>
    </font>
    <font>
      <sz val="9"/>
      <color rgb="FF0070C0"/>
      <name val="Arial"/>
      <family val="2"/>
    </font>
    <font>
      <sz val="10"/>
      <color rgb="FF0070C0"/>
      <name val="Arial"/>
      <family val="2"/>
    </font>
    <font>
      <sz val="9"/>
      <color indexed="81"/>
      <name val="Tahoma"/>
      <family val="2"/>
    </font>
    <font>
      <b/>
      <sz val="10"/>
      <name val="Arial"/>
      <family val="2"/>
    </font>
    <font>
      <b/>
      <sz val="24"/>
      <name val="Arial"/>
      <family val="2"/>
    </font>
    <font>
      <b/>
      <sz val="10"/>
      <name val="Times New Roman"/>
      <family val="1"/>
    </font>
    <font>
      <sz val="10"/>
      <name val="Times New Roman"/>
      <family val="1"/>
    </font>
    <font>
      <b/>
      <sz val="10"/>
      <name val="Arial"/>
      <family val="2"/>
    </font>
    <font>
      <sz val="12"/>
      <color rgb="FF000000"/>
      <name val="Times New Roman"/>
      <family val="1"/>
    </font>
    <font>
      <b/>
      <sz val="12"/>
      <color rgb="FF000000"/>
      <name val="Times New Roman"/>
      <family val="1"/>
    </font>
    <font>
      <b/>
      <sz val="10"/>
      <name val="Arial"/>
      <family val="2"/>
    </font>
    <font>
      <b/>
      <sz val="10"/>
      <color rgb="FFFF33CC"/>
      <name val="Arial"/>
      <family val="2"/>
    </font>
    <font>
      <b/>
      <sz val="10"/>
      <name val="Arial"/>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rgb="FFFFFF00"/>
        <bgColor indexed="64"/>
      </patternFill>
    </fill>
    <fill>
      <patternFill patternType="solid">
        <fgColor rgb="FFFFFFCC"/>
      </patternFill>
    </fill>
    <fill>
      <patternFill patternType="solid">
        <fgColor rgb="FFFF0000"/>
        <bgColor indexed="64"/>
      </patternFill>
    </fill>
    <fill>
      <patternFill patternType="solid">
        <fgColor theme="3" tint="0.79998168889431442"/>
        <bgColor indexed="64"/>
      </patternFill>
    </fill>
    <fill>
      <patternFill patternType="solid">
        <fgColor rgb="FFFFC000"/>
        <bgColor indexed="64"/>
      </patternFill>
    </fill>
  </fills>
  <borders count="5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8"/>
      </left>
      <right/>
      <top/>
      <bottom/>
      <diagonal/>
    </border>
    <border>
      <left style="thin">
        <color indexed="8"/>
      </left>
      <right/>
      <top style="thin">
        <color indexed="8"/>
      </top>
      <bottom/>
      <diagonal/>
    </border>
    <border>
      <left style="medium">
        <color indexed="8"/>
      </left>
      <right/>
      <top style="medium">
        <color indexed="8"/>
      </top>
      <bottom/>
      <diagonal/>
    </border>
    <border>
      <left/>
      <right/>
      <top style="medium">
        <color indexed="8"/>
      </top>
      <bottom/>
      <diagonal/>
    </border>
    <border>
      <left style="medium">
        <color indexed="8"/>
      </left>
      <right/>
      <top style="thin">
        <color indexed="8"/>
      </top>
      <bottom/>
      <diagonal/>
    </border>
    <border>
      <left style="medium">
        <color indexed="8"/>
      </left>
      <right/>
      <top/>
      <bottom/>
      <diagonal/>
    </border>
    <border>
      <left style="thin">
        <color indexed="8"/>
      </left>
      <right/>
      <top style="medium">
        <color indexed="8"/>
      </top>
      <bottom/>
      <diagonal/>
    </border>
    <border>
      <left style="thin">
        <color indexed="8"/>
      </left>
      <right style="medium">
        <color indexed="8"/>
      </right>
      <top style="medium">
        <color indexed="8"/>
      </top>
      <bottom/>
      <diagonal/>
    </border>
    <border>
      <left style="thin">
        <color indexed="8"/>
      </left>
      <right style="medium">
        <color indexed="8"/>
      </right>
      <top/>
      <bottom/>
      <diagonal/>
    </border>
    <border>
      <left style="thin">
        <color indexed="8"/>
      </left>
      <right style="medium">
        <color indexed="8"/>
      </right>
      <top style="thin">
        <color indexed="8"/>
      </top>
      <bottom/>
      <diagonal/>
    </border>
    <border>
      <left/>
      <right/>
      <top style="thin">
        <color indexed="8"/>
      </top>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style="thin">
        <color rgb="FF000000"/>
      </top>
      <bottom/>
      <diagonal/>
    </border>
  </borders>
  <cellStyleXfs count="45345">
    <xf numFmtId="0" fontId="0" fillId="0" borderId="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5" borderId="0" applyNumberFormat="0" applyBorder="0" applyAlignment="0" applyProtection="0"/>
    <xf numFmtId="0" fontId="55" fillId="8" borderId="0" applyNumberFormat="0" applyBorder="0" applyAlignment="0" applyProtection="0"/>
    <xf numFmtId="0" fontId="55" fillId="11" borderId="0" applyNumberFormat="0" applyBorder="0" applyAlignment="0" applyProtection="0"/>
    <xf numFmtId="0" fontId="56" fillId="12"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9" borderId="0" applyNumberFormat="0" applyBorder="0" applyAlignment="0" applyProtection="0"/>
    <xf numFmtId="0" fontId="57" fillId="3" borderId="0" applyNumberFormat="0" applyBorder="0" applyAlignment="0" applyProtection="0"/>
    <xf numFmtId="0" fontId="58" fillId="20" borderId="1" applyNumberFormat="0" applyAlignment="0" applyProtection="0"/>
    <xf numFmtId="0" fontId="59" fillId="21" borderId="2" applyNumberFormat="0" applyAlignment="0" applyProtection="0"/>
    <xf numFmtId="0" fontId="60" fillId="0" borderId="0" applyNumberFormat="0" applyFill="0" applyBorder="0" applyAlignment="0" applyProtection="0"/>
    <xf numFmtId="0" fontId="61" fillId="4"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7" borderId="1" applyNumberFormat="0" applyAlignment="0" applyProtection="0"/>
    <xf numFmtId="0" fontId="66" fillId="0" borderId="6" applyNumberFormat="0" applyFill="0" applyAlignment="0" applyProtection="0"/>
    <xf numFmtId="0" fontId="67" fillId="22" borderId="0" applyNumberFormat="0" applyBorder="0" applyAlignment="0" applyProtection="0"/>
    <xf numFmtId="0" fontId="55" fillId="23" borderId="7" applyNumberFormat="0" applyFont="0" applyAlignment="0" applyProtection="0"/>
    <xf numFmtId="0" fontId="68" fillId="20" borderId="8" applyNumberFormat="0" applyAlignment="0" applyProtection="0"/>
    <xf numFmtId="9" fontId="19"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0" fontId="19" fillId="0" borderId="0"/>
    <xf numFmtId="0" fontId="19" fillId="0" borderId="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5" borderId="0" applyNumberFormat="0" applyBorder="0" applyAlignment="0" applyProtection="0"/>
    <xf numFmtId="0" fontId="55" fillId="8" borderId="0" applyNumberFormat="0" applyBorder="0" applyAlignment="0" applyProtection="0"/>
    <xf numFmtId="0" fontId="55" fillId="11" borderId="0" applyNumberFormat="0" applyBorder="0" applyAlignment="0" applyProtection="0"/>
    <xf numFmtId="0" fontId="56" fillId="12"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9" borderId="0" applyNumberFormat="0" applyBorder="0" applyAlignment="0" applyProtection="0"/>
    <xf numFmtId="0" fontId="57" fillId="3" borderId="0" applyNumberFormat="0" applyBorder="0" applyAlignment="0" applyProtection="0"/>
    <xf numFmtId="0" fontId="58" fillId="20" borderId="1" applyNumberFormat="0" applyAlignment="0" applyProtection="0"/>
    <xf numFmtId="0" fontId="59" fillId="21" borderId="2" applyNumberFormat="0" applyAlignment="0" applyProtection="0"/>
    <xf numFmtId="0" fontId="60" fillId="0" borderId="0" applyNumberFormat="0" applyFill="0" applyBorder="0" applyAlignment="0" applyProtection="0"/>
    <xf numFmtId="0" fontId="61" fillId="4"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7" borderId="1" applyNumberFormat="0" applyAlignment="0" applyProtection="0"/>
    <xf numFmtId="0" fontId="66" fillId="0" borderId="6" applyNumberFormat="0" applyFill="0" applyAlignment="0" applyProtection="0"/>
    <xf numFmtId="0" fontId="67" fillId="22" borderId="0" applyNumberFormat="0" applyBorder="0" applyAlignment="0" applyProtection="0"/>
    <xf numFmtId="0" fontId="55" fillId="23" borderId="7" applyNumberFormat="0" applyFont="0" applyAlignment="0" applyProtection="0"/>
    <xf numFmtId="0" fontId="68" fillId="20" borderId="8" applyNumberFormat="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0" fontId="75" fillId="0" borderId="0"/>
    <xf numFmtId="0" fontId="19" fillId="0" borderId="0"/>
    <xf numFmtId="0" fontId="22" fillId="0" borderId="0"/>
    <xf numFmtId="0" fontId="18" fillId="0" borderId="0"/>
    <xf numFmtId="0" fontId="18" fillId="0" borderId="0"/>
    <xf numFmtId="0" fontId="19" fillId="0" borderId="0"/>
    <xf numFmtId="0" fontId="19" fillId="0" borderId="0"/>
    <xf numFmtId="0" fontId="18" fillId="0" borderId="0"/>
    <xf numFmtId="0" fontId="18" fillId="28" borderId="38" applyNumberFormat="0" applyFont="0" applyAlignment="0" applyProtection="0"/>
    <xf numFmtId="43" fontId="19" fillId="0" borderId="0" applyFont="0" applyFill="0" applyBorder="0" applyAlignment="0" applyProtection="0"/>
    <xf numFmtId="9" fontId="19" fillId="0" borderId="0" applyFont="0" applyFill="0" applyBorder="0" applyAlignment="0" applyProtection="0"/>
    <xf numFmtId="0" fontId="18" fillId="0" borderId="0"/>
    <xf numFmtId="0" fontId="18" fillId="0" borderId="0"/>
    <xf numFmtId="0" fontId="18" fillId="0" borderId="0"/>
    <xf numFmtId="0" fontId="18" fillId="0" borderId="0"/>
    <xf numFmtId="0" fontId="18" fillId="28" borderId="38" applyNumberFormat="0" applyFont="0" applyAlignment="0" applyProtection="0"/>
    <xf numFmtId="9" fontId="19" fillId="0" borderId="0" applyFont="0" applyFill="0" applyBorder="0" applyAlignment="0" applyProtection="0"/>
    <xf numFmtId="0" fontId="18" fillId="0" borderId="0"/>
    <xf numFmtId="0" fontId="17" fillId="0" borderId="0"/>
    <xf numFmtId="0" fontId="17" fillId="0" borderId="0"/>
    <xf numFmtId="0" fontId="17" fillId="0" borderId="0"/>
    <xf numFmtId="0" fontId="17" fillId="28" borderId="38" applyNumberFormat="0" applyFont="0" applyAlignment="0" applyProtection="0"/>
    <xf numFmtId="0" fontId="77" fillId="0" borderId="0"/>
    <xf numFmtId="0" fontId="22" fillId="0" borderId="0"/>
    <xf numFmtId="0" fontId="16" fillId="0" borderId="0"/>
    <xf numFmtId="0" fontId="15" fillId="0" borderId="0"/>
    <xf numFmtId="0" fontId="14" fillId="0" borderId="0"/>
    <xf numFmtId="0" fontId="14" fillId="0" borderId="0"/>
    <xf numFmtId="0" fontId="14" fillId="0" borderId="0"/>
    <xf numFmtId="0" fontId="14" fillId="28" borderId="38" applyNumberFormat="0" applyFont="0" applyAlignment="0" applyProtection="0"/>
    <xf numFmtId="0" fontId="14" fillId="0" borderId="0"/>
    <xf numFmtId="0" fontId="14" fillId="0" borderId="0"/>
    <xf numFmtId="0" fontId="14" fillId="0" borderId="0"/>
    <xf numFmtId="0" fontId="14" fillId="0" borderId="0"/>
    <xf numFmtId="0" fontId="14" fillId="28" borderId="38" applyNumberFormat="0" applyFont="0" applyAlignment="0" applyProtection="0"/>
    <xf numFmtId="0" fontId="14" fillId="0" borderId="0"/>
    <xf numFmtId="0" fontId="14" fillId="0" borderId="0"/>
    <xf numFmtId="0" fontId="14" fillId="0" borderId="0"/>
    <xf numFmtId="0" fontId="14" fillId="0" borderId="0"/>
    <xf numFmtId="0" fontId="14" fillId="28" borderId="38" applyNumberFormat="0" applyFont="0" applyAlignment="0" applyProtection="0"/>
    <xf numFmtId="0" fontId="22" fillId="0" borderId="0"/>
    <xf numFmtId="0" fontId="14" fillId="0" borderId="0"/>
    <xf numFmtId="0" fontId="14" fillId="0" borderId="0"/>
    <xf numFmtId="0" fontId="22" fillId="0" borderId="0"/>
    <xf numFmtId="0" fontId="13" fillId="0" borderId="0"/>
    <xf numFmtId="0" fontId="12" fillId="0" borderId="0"/>
    <xf numFmtId="0" fontId="12" fillId="0" borderId="0"/>
    <xf numFmtId="0" fontId="12" fillId="0" borderId="0"/>
    <xf numFmtId="0" fontId="12" fillId="28" borderId="38" applyNumberFormat="0" applyFont="0" applyAlignment="0" applyProtection="0"/>
    <xf numFmtId="0" fontId="12" fillId="0" borderId="0"/>
    <xf numFmtId="0" fontId="12" fillId="0" borderId="0"/>
    <xf numFmtId="0" fontId="12" fillId="0" borderId="0"/>
    <xf numFmtId="0" fontId="12" fillId="0" borderId="0"/>
    <xf numFmtId="0" fontId="12" fillId="28" borderId="38" applyNumberFormat="0" applyFont="0" applyAlignment="0" applyProtection="0"/>
    <xf numFmtId="0" fontId="12" fillId="0" borderId="0"/>
    <xf numFmtId="0" fontId="12" fillId="0" borderId="0"/>
    <xf numFmtId="0" fontId="12" fillId="0" borderId="0"/>
    <xf numFmtId="0" fontId="12" fillId="0" borderId="0"/>
    <xf numFmtId="0" fontId="12" fillId="28" borderId="38" applyNumberFormat="0" applyFont="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5" borderId="0" applyNumberFormat="0" applyBorder="0" applyAlignment="0" applyProtection="0"/>
    <xf numFmtId="0" fontId="55" fillId="8" borderId="0" applyNumberFormat="0" applyBorder="0" applyAlignment="0" applyProtection="0"/>
    <xf numFmtId="0" fontId="55" fillId="11" borderId="0" applyNumberFormat="0" applyBorder="0" applyAlignment="0" applyProtection="0"/>
    <xf numFmtId="0" fontId="56" fillId="12"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9" borderId="0" applyNumberFormat="0" applyBorder="0" applyAlignment="0" applyProtection="0"/>
    <xf numFmtId="0" fontId="57" fillId="3" borderId="0" applyNumberFormat="0" applyBorder="0" applyAlignment="0" applyProtection="0"/>
    <xf numFmtId="0" fontId="58" fillId="20" borderId="1" applyNumberFormat="0" applyAlignment="0" applyProtection="0"/>
    <xf numFmtId="0" fontId="59" fillId="21" borderId="2" applyNumberFormat="0" applyAlignment="0" applyProtection="0"/>
    <xf numFmtId="0" fontId="60" fillId="0" borderId="0" applyNumberFormat="0" applyFill="0" applyBorder="0" applyAlignment="0" applyProtection="0"/>
    <xf numFmtId="0" fontId="61" fillId="4"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7" borderId="1" applyNumberFormat="0" applyAlignment="0" applyProtection="0"/>
    <xf numFmtId="0" fontId="66" fillId="0" borderId="6" applyNumberFormat="0" applyFill="0" applyAlignment="0" applyProtection="0"/>
    <xf numFmtId="0" fontId="67" fillId="22" borderId="0" applyNumberFormat="0" applyBorder="0" applyAlignment="0" applyProtection="0"/>
    <xf numFmtId="0" fontId="55" fillId="23" borderId="7" applyNumberFormat="0" applyFont="0" applyAlignment="0" applyProtection="0"/>
    <xf numFmtId="0" fontId="68" fillId="20" borderId="8" applyNumberFormat="0" applyAlignment="0" applyProtection="0"/>
    <xf numFmtId="9" fontId="19"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0" fontId="19" fillId="0" borderId="0"/>
    <xf numFmtId="0" fontId="75" fillId="0" borderId="0"/>
    <xf numFmtId="0" fontId="19" fillId="0" borderId="0"/>
    <xf numFmtId="0" fontId="12" fillId="0" borderId="0"/>
    <xf numFmtId="0" fontId="12" fillId="0" borderId="0"/>
    <xf numFmtId="0" fontId="19" fillId="0" borderId="0"/>
    <xf numFmtId="0" fontId="12" fillId="0" borderId="0"/>
    <xf numFmtId="0" fontId="12" fillId="28" borderId="38" applyNumberFormat="0" applyFont="0" applyAlignment="0" applyProtection="0"/>
    <xf numFmtId="0" fontId="12" fillId="0" borderId="0"/>
    <xf numFmtId="0" fontId="12" fillId="0" borderId="0"/>
    <xf numFmtId="0" fontId="12" fillId="0" borderId="0"/>
    <xf numFmtId="0" fontId="12" fillId="0" borderId="0"/>
    <xf numFmtId="0" fontId="12" fillId="28" borderId="38" applyNumberFormat="0" applyFont="0" applyAlignment="0" applyProtection="0"/>
    <xf numFmtId="0" fontId="12" fillId="0" borderId="0"/>
    <xf numFmtId="0" fontId="12" fillId="0" borderId="0"/>
    <xf numFmtId="0" fontId="12" fillId="0" borderId="0"/>
    <xf numFmtId="0" fontId="12" fillId="0" borderId="0"/>
    <xf numFmtId="0" fontId="12" fillId="28" borderId="38"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22" fillId="0" borderId="0"/>
    <xf numFmtId="0" fontId="11"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28" borderId="38" applyNumberFormat="0" applyFont="0" applyAlignment="0" applyProtection="0"/>
    <xf numFmtId="0" fontId="10" fillId="0" borderId="0"/>
    <xf numFmtId="0" fontId="10" fillId="0" borderId="0"/>
    <xf numFmtId="0" fontId="10" fillId="0" borderId="0"/>
    <xf numFmtId="0" fontId="10" fillId="0" borderId="0"/>
    <xf numFmtId="0" fontId="10" fillId="28" borderId="38" applyNumberFormat="0" applyFont="0" applyAlignment="0" applyProtection="0"/>
    <xf numFmtId="0" fontId="10" fillId="0" borderId="0"/>
    <xf numFmtId="0" fontId="10" fillId="0" borderId="0"/>
    <xf numFmtId="0" fontId="10" fillId="0" borderId="0"/>
    <xf numFmtId="0" fontId="10" fillId="0" borderId="0"/>
    <xf numFmtId="0" fontId="10" fillId="28" borderId="38"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28" borderId="38" applyNumberFormat="0" applyFont="0" applyAlignment="0" applyProtection="0"/>
    <xf numFmtId="0" fontId="22"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0" borderId="0"/>
    <xf numFmtId="0" fontId="9" fillId="28" borderId="38" applyNumberFormat="0" applyFont="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0" borderId="0"/>
    <xf numFmtId="0" fontId="7"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57" fillId="3" borderId="0" applyNumberFormat="0" applyBorder="0" applyAlignment="0" applyProtection="0"/>
    <xf numFmtId="0" fontId="55" fillId="3" borderId="0" applyNumberFormat="0" applyBorder="0" applyAlignment="0" applyProtection="0"/>
    <xf numFmtId="0" fontId="55" fillId="10" borderId="0" applyNumberFormat="0" applyBorder="0" applyAlignment="0" applyProtection="0"/>
    <xf numFmtId="0" fontId="6" fillId="0" borderId="0"/>
    <xf numFmtId="0" fontId="6" fillId="0" borderId="0"/>
    <xf numFmtId="0" fontId="56" fillId="18" borderId="0" applyNumberFormat="0" applyBorder="0" applyAlignment="0" applyProtection="0"/>
    <xf numFmtId="0" fontId="55" fillId="4" borderId="0" applyNumberFormat="0" applyBorder="0" applyAlignment="0" applyProtection="0"/>
    <xf numFmtId="0" fontId="55" fillId="9" borderId="0" applyNumberFormat="0" applyBorder="0" applyAlignment="0" applyProtection="0"/>
    <xf numFmtId="0" fontId="6" fillId="0" borderId="0"/>
    <xf numFmtId="0" fontId="56" fillId="13" borderId="0" applyNumberFormat="0" applyBorder="0" applyAlignment="0" applyProtection="0"/>
    <xf numFmtId="0" fontId="61" fillId="4" borderId="0" applyNumberFormat="0" applyBorder="0" applyAlignment="0" applyProtection="0"/>
    <xf numFmtId="0" fontId="56" fillId="13" borderId="0" applyNumberFormat="0" applyBorder="0" applyAlignment="0" applyProtection="0"/>
    <xf numFmtId="0" fontId="62" fillId="0" borderId="3" applyNumberFormat="0" applyFill="0" applyAlignment="0" applyProtection="0"/>
    <xf numFmtId="0" fontId="19" fillId="0" borderId="0"/>
    <xf numFmtId="0" fontId="55" fillId="8" borderId="0" applyNumberFormat="0" applyBorder="0" applyAlignment="0" applyProtection="0"/>
    <xf numFmtId="0" fontId="6" fillId="28" borderId="38" applyNumberFormat="0" applyFont="0" applyAlignment="0" applyProtection="0"/>
    <xf numFmtId="0" fontId="56" fillId="15" borderId="0" applyNumberFormat="0" applyBorder="0" applyAlignment="0" applyProtection="0"/>
    <xf numFmtId="0" fontId="55" fillId="2" borderId="0" applyNumberFormat="0" applyBorder="0" applyAlignment="0" applyProtection="0"/>
    <xf numFmtId="0" fontId="55" fillId="7" borderId="0" applyNumberFormat="0" applyBorder="0" applyAlignment="0" applyProtection="0"/>
    <xf numFmtId="0" fontId="6" fillId="0" borderId="0"/>
    <xf numFmtId="0" fontId="6" fillId="0" borderId="0"/>
    <xf numFmtId="0" fontId="66" fillId="0" borderId="6" applyNumberFormat="0" applyFill="0" applyAlignment="0" applyProtection="0"/>
    <xf numFmtId="0" fontId="6" fillId="0" borderId="0"/>
    <xf numFmtId="0" fontId="6" fillId="0" borderId="0"/>
    <xf numFmtId="0" fontId="6" fillId="0" borderId="0"/>
    <xf numFmtId="0" fontId="6" fillId="28" borderId="38" applyNumberFormat="0" applyFont="0" applyAlignment="0" applyProtection="0"/>
    <xf numFmtId="0" fontId="65" fillId="7" borderId="1" applyNumberForma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56" fillId="19" borderId="0" applyNumberFormat="0" applyBorder="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8" fillId="20" borderId="8" applyNumberFormat="0" applyAlignment="0" applyProtection="0"/>
    <xf numFmtId="0" fontId="64" fillId="0" borderId="5" applyNumberFormat="0" applyFill="0" applyAlignment="0" applyProtection="0"/>
    <xf numFmtId="0" fontId="64" fillId="0" borderId="0" applyNumberFormat="0" applyFill="0" applyBorder="0" applyAlignment="0" applyProtection="0"/>
    <xf numFmtId="0" fontId="60" fillId="0" borderId="0" applyNumberFormat="0" applyFill="0" applyBorder="0" applyAlignment="0" applyProtection="0"/>
    <xf numFmtId="0" fontId="55" fillId="11" borderId="0" applyNumberFormat="0" applyBorder="0" applyAlignment="0" applyProtection="0"/>
    <xf numFmtId="0" fontId="55" fillId="6"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5" fillId="23" borderId="7" applyNumberFormat="0" applyFont="0" applyAlignment="0" applyProtection="0"/>
    <xf numFmtId="0" fontId="59" fillId="21" borderId="2" applyNumberFormat="0" applyAlignment="0" applyProtection="0"/>
    <xf numFmtId="0" fontId="55" fillId="8" borderId="0" applyNumberFormat="0" applyBorder="0" applyAlignment="0" applyProtection="0"/>
    <xf numFmtId="0" fontId="55" fillId="5" borderId="0" applyNumberFormat="0" applyBorder="0" applyAlignment="0" applyProtection="0"/>
    <xf numFmtId="0" fontId="56" fillId="12" borderId="0" applyNumberFormat="0" applyBorder="0" applyAlignment="0" applyProtection="0"/>
    <xf numFmtId="0" fontId="71" fillId="0" borderId="0" applyNumberFormat="0" applyFill="0" applyBorder="0" applyAlignment="0" applyProtection="0"/>
    <xf numFmtId="0" fontId="67" fillId="22" borderId="0" applyNumberFormat="0" applyBorder="0" applyAlignment="0" applyProtection="0"/>
    <xf numFmtId="0" fontId="58" fillId="20" borderId="1" applyNumberFormat="0" applyAlignment="0" applyProtection="0"/>
    <xf numFmtId="0" fontId="55" fillId="5" borderId="0" applyNumberFormat="0" applyBorder="0" applyAlignment="0" applyProtection="0"/>
    <xf numFmtId="0" fontId="70" fillId="0" borderId="9" applyNumberFormat="0" applyFill="0" applyAlignment="0" applyProtection="0"/>
    <xf numFmtId="0" fontId="63" fillId="0" borderId="4" applyNumberFormat="0" applyFill="0" applyAlignment="0" applyProtection="0"/>
    <xf numFmtId="0" fontId="69" fillId="0" borderId="0" applyNumberFormat="0" applyFill="0" applyBorder="0" applyAlignment="0" applyProtection="0"/>
    <xf numFmtId="9" fontId="19" fillId="0" borderId="0" applyFont="0" applyFill="0" applyBorder="0" applyAlignment="0" applyProtection="0"/>
    <xf numFmtId="0" fontId="56" fillId="14" borderId="0" applyNumberFormat="0" applyBorder="0" applyAlignment="0" applyProtection="0"/>
    <xf numFmtId="0" fontId="56" fillId="17" borderId="0" applyNumberFormat="0" applyBorder="0" applyAlignment="0" applyProtection="0"/>
    <xf numFmtId="0" fontId="56" fillId="14" borderId="0" applyNumberFormat="0" applyBorder="0" applyAlignment="0" applyProtection="0"/>
    <xf numFmtId="0" fontId="56" fillId="16" borderId="0" applyNumberFormat="0" applyBorder="0" applyAlignment="0" applyProtection="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19" fillId="0" borderId="0"/>
    <xf numFmtId="0" fontId="6" fillId="0" borderId="0"/>
    <xf numFmtId="0" fontId="6" fillId="0" borderId="0"/>
    <xf numFmtId="0" fontId="19" fillId="0" borderId="0"/>
    <xf numFmtId="0" fontId="6" fillId="0" borderId="0"/>
    <xf numFmtId="43" fontId="6" fillId="0" borderId="0" applyFont="0" applyFill="0" applyBorder="0" applyAlignment="0" applyProtection="0"/>
    <xf numFmtId="0" fontId="6" fillId="0" borderId="0"/>
    <xf numFmtId="0" fontId="6" fillId="0" borderId="0"/>
    <xf numFmtId="0" fontId="58" fillId="20" borderId="1" applyNumberFormat="0" applyAlignment="0" applyProtection="0"/>
    <xf numFmtId="0" fontId="65" fillId="7" borderId="1" applyNumberFormat="0" applyAlignment="0" applyProtection="0"/>
    <xf numFmtId="0" fontId="55" fillId="23" borderId="7" applyNumberFormat="0" applyFont="0" applyAlignment="0" applyProtection="0"/>
    <xf numFmtId="0" fontId="68" fillId="20" borderId="8" applyNumberFormat="0" applyAlignment="0" applyProtection="0"/>
    <xf numFmtId="0" fontId="70" fillId="0" borderId="9" applyNumberFormat="0" applyFill="0" applyAlignment="0" applyProtection="0"/>
    <xf numFmtId="0" fontId="58" fillId="20" borderId="1" applyNumberFormat="0" applyAlignment="0" applyProtection="0"/>
    <xf numFmtId="0" fontId="65" fillId="7" borderId="1" applyNumberFormat="0" applyAlignment="0" applyProtection="0"/>
    <xf numFmtId="0" fontId="55" fillId="23" borderId="7" applyNumberFormat="0" applyFont="0" applyAlignment="0" applyProtection="0"/>
    <xf numFmtId="0" fontId="68" fillId="20" borderId="8" applyNumberFormat="0" applyAlignment="0" applyProtection="0"/>
    <xf numFmtId="0" fontId="70" fillId="0" borderId="9" applyNumberFormat="0" applyFill="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5" fillId="7" borderId="1" applyNumberForma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8" fillId="20" borderId="8" applyNumberFormat="0" applyAlignment="0" applyProtection="0"/>
    <xf numFmtId="0" fontId="55" fillId="23" borderId="7" applyNumberFormat="0" applyFont="0" applyAlignment="0" applyProtection="0"/>
    <xf numFmtId="0" fontId="58" fillId="20" borderId="1" applyNumberFormat="0" applyAlignment="0" applyProtection="0"/>
    <xf numFmtId="0" fontId="70" fillId="0" borderId="9" applyNumberFormat="0" applyFill="0" applyAlignment="0" applyProtection="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19"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19" fillId="0" borderId="0"/>
    <xf numFmtId="0" fontId="6" fillId="0" borderId="0"/>
    <xf numFmtId="0" fontId="6" fillId="0" borderId="0"/>
    <xf numFmtId="0" fontId="2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9" fontId="19" fillId="0" borderId="0" applyFont="0" applyFill="0" applyBorder="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28" borderId="38" applyNumberFormat="0" applyFont="0" applyAlignment="0" applyProtection="0"/>
    <xf numFmtId="0" fontId="22"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9" fontId="81" fillId="0" borderId="0" applyFont="0" applyFill="0" applyBorder="0" applyAlignment="0" applyProtection="0"/>
    <xf numFmtId="0" fontId="2" fillId="0" borderId="0"/>
    <xf numFmtId="43" fontId="2" fillId="0" borderId="0" applyFont="0" applyFill="0" applyBorder="0" applyAlignment="0" applyProtection="0"/>
    <xf numFmtId="0" fontId="19" fillId="0" borderId="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5" borderId="0" applyNumberFormat="0" applyBorder="0" applyAlignment="0" applyProtection="0"/>
    <xf numFmtId="0" fontId="55" fillId="8" borderId="0" applyNumberFormat="0" applyBorder="0" applyAlignment="0" applyProtection="0"/>
    <xf numFmtId="0" fontId="55" fillId="11" borderId="0" applyNumberFormat="0" applyBorder="0" applyAlignment="0" applyProtection="0"/>
    <xf numFmtId="0" fontId="56" fillId="12"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9" borderId="0" applyNumberFormat="0" applyBorder="0" applyAlignment="0" applyProtection="0"/>
    <xf numFmtId="0" fontId="57" fillId="3" borderId="0" applyNumberFormat="0" applyBorder="0" applyAlignment="0" applyProtection="0"/>
    <xf numFmtId="0" fontId="58" fillId="20" borderId="1" applyNumberFormat="0" applyAlignment="0" applyProtection="0"/>
    <xf numFmtId="0" fontId="59" fillId="21" borderId="2" applyNumberFormat="0" applyAlignment="0" applyProtection="0"/>
    <xf numFmtId="0" fontId="60" fillId="0" borderId="0" applyNumberFormat="0" applyFill="0" applyBorder="0" applyAlignment="0" applyProtection="0"/>
    <xf numFmtId="0" fontId="61" fillId="4"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7" borderId="1" applyNumberFormat="0" applyAlignment="0" applyProtection="0"/>
    <xf numFmtId="0" fontId="66" fillId="0" borderId="6" applyNumberFormat="0" applyFill="0" applyAlignment="0" applyProtection="0"/>
    <xf numFmtId="0" fontId="67" fillId="22" borderId="0" applyNumberFormat="0" applyBorder="0" applyAlignment="0" applyProtection="0"/>
    <xf numFmtId="0" fontId="55" fillId="23" borderId="7" applyNumberFormat="0" applyFont="0" applyAlignment="0" applyProtection="0"/>
    <xf numFmtId="0" fontId="68" fillId="20" borderId="8" applyNumberFormat="0" applyAlignment="0" applyProtection="0"/>
    <xf numFmtId="9" fontId="19"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9" fillId="0" borderId="0" applyFont="0" applyFill="0" applyBorder="0" applyAlignment="0" applyProtection="0"/>
    <xf numFmtId="9" fontId="19" fillId="0" borderId="0" applyFont="0" applyFill="0" applyBorder="0" applyAlignment="0" applyProtection="0"/>
    <xf numFmtId="0" fontId="85" fillId="0" borderId="0" applyNumberFormat="0" applyFill="0" applyBorder="0" applyAlignment="0" applyProtection="0"/>
    <xf numFmtId="0" fontId="1" fillId="0" borderId="0"/>
  </cellStyleXfs>
  <cellXfs count="574">
    <xf numFmtId="0" fontId="0" fillId="0" borderId="0" xfId="0"/>
    <xf numFmtId="0" fontId="0" fillId="0" borderId="0" xfId="0" applyBorder="1"/>
    <xf numFmtId="0" fontId="0" fillId="0" borderId="10" xfId="0" applyBorder="1"/>
    <xf numFmtId="0" fontId="20" fillId="0" borderId="0" xfId="0" applyFont="1"/>
    <xf numFmtId="0" fontId="20" fillId="0" borderId="10" xfId="0" applyFont="1" applyBorder="1"/>
    <xf numFmtId="0" fontId="0" fillId="24" borderId="10" xfId="0" applyFill="1" applyBorder="1" applyAlignment="1" applyProtection="1">
      <alignment horizontal="left"/>
    </xf>
    <xf numFmtId="164" fontId="0" fillId="0" borderId="0" xfId="0" applyNumberFormat="1"/>
    <xf numFmtId="0" fontId="20" fillId="0" borderId="10" xfId="0" applyFont="1" applyBorder="1" applyAlignment="1">
      <alignment horizontal="left"/>
    </xf>
    <xf numFmtId="0" fontId="0" fillId="0" borderId="10" xfId="0" applyFill="1" applyBorder="1"/>
    <xf numFmtId="0" fontId="21" fillId="0" borderId="10" xfId="0" applyFont="1" applyBorder="1"/>
    <xf numFmtId="0" fontId="21" fillId="0" borderId="10" xfId="0" applyFont="1" applyBorder="1" applyAlignment="1">
      <alignment horizontal="left"/>
    </xf>
    <xf numFmtId="0" fontId="23" fillId="0" borderId="10" xfId="0" applyFont="1" applyBorder="1" applyAlignment="1">
      <alignment horizontal="left"/>
    </xf>
    <xf numFmtId="0" fontId="20" fillId="0" borderId="0" xfId="0" applyFont="1" applyBorder="1"/>
    <xf numFmtId="0" fontId="23" fillId="0" borderId="10" xfId="0" applyFont="1" applyBorder="1"/>
    <xf numFmtId="0" fontId="0" fillId="0" borderId="0" xfId="0" applyFill="1"/>
    <xf numFmtId="0" fontId="24" fillId="0" borderId="10" xfId="0" applyFont="1" applyBorder="1" applyAlignment="1">
      <alignment vertical="center"/>
    </xf>
    <xf numFmtId="0" fontId="24" fillId="0" borderId="13" xfId="0" applyFont="1" applyBorder="1" applyAlignment="1">
      <alignment vertical="center"/>
    </xf>
    <xf numFmtId="0" fontId="24" fillId="0" borderId="12" xfId="0" applyFont="1" applyBorder="1" applyAlignment="1">
      <alignment vertical="center" wrapText="1"/>
    </xf>
    <xf numFmtId="0" fontId="24" fillId="0" borderId="10" xfId="0" applyFont="1" applyBorder="1" applyAlignment="1">
      <alignment horizontal="center" wrapText="1"/>
    </xf>
    <xf numFmtId="0" fontId="24" fillId="0" borderId="10" xfId="0" applyFont="1" applyBorder="1" applyAlignment="1">
      <alignment vertical="center" wrapText="1"/>
    </xf>
    <xf numFmtId="3" fontId="24" fillId="0" borderId="10" xfId="0" applyNumberFormat="1" applyFont="1" applyBorder="1" applyAlignment="1">
      <alignment horizontal="center" wrapText="1"/>
    </xf>
    <xf numFmtId="3" fontId="0" fillId="0" borderId="0" xfId="0" applyNumberFormat="1"/>
    <xf numFmtId="164" fontId="24" fillId="0" borderId="10" xfId="0" applyNumberFormat="1" applyFont="1" applyBorder="1" applyAlignment="1">
      <alignment horizontal="center" wrapText="1"/>
    </xf>
    <xf numFmtId="164" fontId="24" fillId="0" borderId="10" xfId="0" applyNumberFormat="1" applyFont="1" applyBorder="1" applyAlignment="1">
      <alignment horizontal="center" vertical="center"/>
    </xf>
    <xf numFmtId="164" fontId="24" fillId="0" borderId="12" xfId="0" applyNumberFormat="1" applyFont="1" applyBorder="1" applyAlignment="1">
      <alignment horizontal="center" vertical="center"/>
    </xf>
    <xf numFmtId="164" fontId="24" fillId="0" borderId="13" xfId="0" applyNumberFormat="1" applyFont="1" applyBorder="1" applyAlignment="1">
      <alignment horizontal="center" vertical="center"/>
    </xf>
    <xf numFmtId="0" fontId="0" fillId="0" borderId="10" xfId="0" applyBorder="1" applyAlignment="1">
      <alignment horizontal="center" wrapText="1"/>
    </xf>
    <xf numFmtId="0" fontId="0" fillId="0" borderId="10" xfId="0" applyBorder="1" applyAlignment="1">
      <alignment horizontal="center" vertical="center"/>
    </xf>
    <xf numFmtId="0" fontId="0" fillId="0" borderId="13" xfId="0" applyBorder="1" applyAlignment="1">
      <alignment horizontal="center" vertical="center"/>
    </xf>
    <xf numFmtId="0" fontId="20" fillId="24" borderId="10" xfId="0" applyFont="1" applyFill="1" applyBorder="1" applyAlignment="1" applyProtection="1">
      <alignment horizontal="left"/>
    </xf>
    <xf numFmtId="0" fontId="0" fillId="0" borderId="0" xfId="0" applyAlignment="1">
      <alignment wrapText="1"/>
    </xf>
    <xf numFmtId="0" fontId="0" fillId="25" borderId="10" xfId="0" applyFill="1" applyBorder="1"/>
    <xf numFmtId="0" fontId="0" fillId="26" borderId="0" xfId="0" applyFill="1"/>
    <xf numFmtId="0" fontId="0" fillId="26" borderId="10" xfId="0" applyFill="1" applyBorder="1"/>
    <xf numFmtId="0" fontId="0" fillId="25" borderId="10" xfId="0" applyFill="1" applyBorder="1" applyAlignment="1" applyProtection="1">
      <alignment horizontal="left"/>
    </xf>
    <xf numFmtId="9" fontId="19" fillId="25" borderId="10" xfId="39" applyFill="1" applyBorder="1" applyProtection="1"/>
    <xf numFmtId="1" fontId="0" fillId="25" borderId="10" xfId="0" applyNumberFormat="1" applyFill="1" applyBorder="1"/>
    <xf numFmtId="0" fontId="21" fillId="0" borderId="0" xfId="0" applyFont="1"/>
    <xf numFmtId="0" fontId="0" fillId="0" borderId="15" xfId="0" applyFill="1" applyBorder="1"/>
    <xf numFmtId="0" fontId="23" fillId="0" borderId="0" xfId="0" applyFont="1"/>
    <xf numFmtId="0" fontId="26" fillId="26" borderId="0" xfId="0" applyFont="1" applyFill="1"/>
    <xf numFmtId="0" fontId="23" fillId="0" borderId="10" xfId="0" applyFont="1" applyFill="1" applyBorder="1" applyAlignment="1">
      <alignment horizontal="left"/>
    </xf>
    <xf numFmtId="1" fontId="23" fillId="0" borderId="10" xfId="0" applyNumberFormat="1" applyFont="1" applyBorder="1"/>
    <xf numFmtId="0" fontId="23" fillId="0" borderId="10" xfId="0" applyNumberFormat="1" applyFont="1" applyBorder="1" applyAlignment="1">
      <alignment horizontal="left"/>
    </xf>
    <xf numFmtId="0" fontId="30" fillId="0" borderId="10" xfId="0" applyFont="1" applyBorder="1"/>
    <xf numFmtId="0" fontId="23" fillId="0" borderId="10" xfId="0" applyFont="1" applyFill="1" applyBorder="1"/>
    <xf numFmtId="0" fontId="19" fillId="0" borderId="10" xfId="0" applyFont="1" applyBorder="1"/>
    <xf numFmtId="0" fontId="19" fillId="26" borderId="10" xfId="0" applyFont="1" applyFill="1" applyBorder="1"/>
    <xf numFmtId="0" fontId="19" fillId="0" borderId="10" xfId="0" applyFont="1" applyFill="1" applyBorder="1"/>
    <xf numFmtId="0" fontId="23" fillId="25" borderId="10" xfId="0" applyFont="1" applyFill="1" applyBorder="1" applyAlignment="1" applyProtection="1">
      <alignment horizontal="left"/>
    </xf>
    <xf numFmtId="0" fontId="23" fillId="25" borderId="10" xfId="0" applyFont="1" applyFill="1" applyBorder="1"/>
    <xf numFmtId="0" fontId="28" fillId="0" borderId="10" xfId="0" applyFont="1" applyBorder="1" applyAlignment="1">
      <alignment horizontal="left"/>
    </xf>
    <xf numFmtId="0" fontId="31" fillId="0" borderId="10" xfId="0" applyFont="1" applyBorder="1"/>
    <xf numFmtId="0" fontId="31" fillId="0" borderId="10" xfId="0" applyFont="1" applyBorder="1" applyAlignment="1">
      <alignment horizontal="left"/>
    </xf>
    <xf numFmtId="1" fontId="31" fillId="0" borderId="10" xfId="0" applyNumberFormat="1" applyFont="1" applyBorder="1"/>
    <xf numFmtId="0" fontId="31" fillId="0" borderId="10" xfId="0" applyFont="1" applyFill="1" applyBorder="1"/>
    <xf numFmtId="0" fontId="28" fillId="0" borderId="10" xfId="0" applyFont="1" applyBorder="1"/>
    <xf numFmtId="0" fontId="32" fillId="0" borderId="10" xfId="0" applyFont="1" applyBorder="1" applyAlignment="1">
      <alignment horizontal="left"/>
    </xf>
    <xf numFmtId="0" fontId="33" fillId="0" borderId="10" xfId="0" applyFont="1" applyBorder="1"/>
    <xf numFmtId="1" fontId="33" fillId="0" borderId="10" xfId="0" applyNumberFormat="1" applyFont="1" applyBorder="1"/>
    <xf numFmtId="0" fontId="33" fillId="0" borderId="10" xfId="0" applyFont="1" applyFill="1" applyBorder="1"/>
    <xf numFmtId="0" fontId="23" fillId="24" borderId="10" xfId="0" applyFont="1" applyFill="1" applyBorder="1" applyAlignment="1" applyProtection="1">
      <alignment horizontal="left"/>
    </xf>
    <xf numFmtId="0" fontId="23" fillId="0" borderId="10" xfId="0" applyFont="1" applyFill="1" applyBorder="1" applyAlignment="1" applyProtection="1">
      <alignment horizontal="left"/>
    </xf>
    <xf numFmtId="0" fontId="19" fillId="25" borderId="10" xfId="0" applyFont="1" applyFill="1" applyBorder="1"/>
    <xf numFmtId="0" fontId="19" fillId="24" borderId="10" xfId="0" applyFont="1" applyFill="1" applyBorder="1" applyAlignment="1" applyProtection="1">
      <alignment horizontal="left"/>
    </xf>
    <xf numFmtId="0" fontId="32" fillId="0" borderId="10" xfId="0" applyFont="1" applyBorder="1"/>
    <xf numFmtId="1" fontId="33" fillId="0" borderId="10" xfId="0" applyNumberFormat="1" applyFont="1" applyFill="1" applyBorder="1"/>
    <xf numFmtId="9" fontId="19" fillId="25" borderId="10" xfId="39" applyFont="1" applyFill="1" applyBorder="1" applyProtection="1"/>
    <xf numFmtId="1" fontId="31" fillId="25" borderId="10" xfId="0" applyNumberFormat="1" applyFont="1" applyFill="1" applyBorder="1"/>
    <xf numFmtId="0" fontId="31" fillId="24" borderId="10" xfId="0" applyFont="1" applyFill="1" applyBorder="1" applyAlignment="1" applyProtection="1">
      <alignment horizontal="left"/>
    </xf>
    <xf numFmtId="0" fontId="31" fillId="24" borderId="10" xfId="0" applyFont="1" applyFill="1" applyBorder="1" applyAlignment="1" applyProtection="1">
      <alignment horizontal="left" indent="1"/>
    </xf>
    <xf numFmtId="0" fontId="33" fillId="0" borderId="10" xfId="0" applyFont="1" applyFill="1" applyBorder="1" applyAlignment="1" applyProtection="1">
      <alignment horizontal="left"/>
    </xf>
    <xf numFmtId="0" fontId="33" fillId="24" borderId="10" xfId="0" applyFont="1" applyFill="1" applyBorder="1" applyAlignment="1" applyProtection="1">
      <alignment horizontal="left"/>
    </xf>
    <xf numFmtId="0" fontId="33" fillId="24" borderId="10" xfId="0" applyFont="1" applyFill="1" applyBorder="1" applyAlignment="1" applyProtection="1">
      <alignment horizontal="left" indent="1"/>
    </xf>
    <xf numFmtId="0" fontId="28" fillId="0" borderId="10" xfId="0" applyFont="1" applyFill="1" applyBorder="1" applyAlignment="1">
      <alignment horizontal="left"/>
    </xf>
    <xf numFmtId="1" fontId="31" fillId="0" borderId="10" xfId="0" applyNumberFormat="1" applyFont="1" applyBorder="1" applyAlignment="1">
      <alignment horizontal="left"/>
    </xf>
    <xf numFmtId="1" fontId="31" fillId="24" borderId="10" xfId="0" applyNumberFormat="1" applyFont="1" applyFill="1" applyBorder="1" applyAlignment="1" applyProtection="1">
      <alignment horizontal="left"/>
    </xf>
    <xf numFmtId="1" fontId="31" fillId="0" borderId="10" xfId="0" applyNumberFormat="1" applyFont="1" applyFill="1" applyBorder="1" applyAlignment="1"/>
    <xf numFmtId="0" fontId="33" fillId="0" borderId="0" xfId="0" applyFont="1"/>
    <xf numFmtId="0" fontId="33" fillId="0" borderId="10" xfId="0" applyFont="1" applyFill="1" applyBorder="1" applyAlignment="1">
      <alignment horizontal="left" indent="1"/>
    </xf>
    <xf numFmtId="0" fontId="33" fillId="0" borderId="10" xfId="0" applyFont="1" applyFill="1" applyBorder="1" applyAlignment="1"/>
    <xf numFmtId="1" fontId="33" fillId="0" borderId="10" xfId="0" applyNumberFormat="1" applyFont="1" applyBorder="1" applyAlignment="1">
      <alignment horizontal="left"/>
    </xf>
    <xf numFmtId="0" fontId="20" fillId="26" borderId="10" xfId="0" applyFont="1" applyFill="1" applyBorder="1"/>
    <xf numFmtId="0" fontId="0" fillId="25" borderId="0" xfId="0" applyFill="1"/>
    <xf numFmtId="0" fontId="0" fillId="0" borderId="10" xfId="0" applyFill="1" applyBorder="1" applyAlignment="1">
      <alignment horizontal="left" wrapText="1"/>
    </xf>
    <xf numFmtId="0" fontId="0" fillId="0" borderId="17" xfId="0" applyBorder="1"/>
    <xf numFmtId="0" fontId="0" fillId="0" borderId="18" xfId="0" applyBorder="1"/>
    <xf numFmtId="0" fontId="0" fillId="0" borderId="19" xfId="0" applyBorder="1"/>
    <xf numFmtId="0" fontId="23" fillId="0" borderId="0" xfId="0" applyFont="1" applyBorder="1"/>
    <xf numFmtId="0" fontId="0" fillId="0" borderId="20" xfId="0" applyBorder="1"/>
    <xf numFmtId="0" fontId="0" fillId="0" borderId="21" xfId="0" applyBorder="1"/>
    <xf numFmtId="0" fontId="23" fillId="0" borderId="21" xfId="0" applyFont="1" applyBorder="1"/>
    <xf numFmtId="0" fontId="0" fillId="0" borderId="14" xfId="0" applyBorder="1"/>
    <xf numFmtId="0" fontId="0" fillId="0" borderId="22" xfId="0" applyBorder="1"/>
    <xf numFmtId="0" fontId="23" fillId="0" borderId="22" xfId="0" applyFont="1" applyBorder="1"/>
    <xf numFmtId="0" fontId="23" fillId="0" borderId="18" xfId="0" applyFont="1" applyBorder="1"/>
    <xf numFmtId="0" fontId="0" fillId="0" borderId="10" xfId="0" applyFill="1" applyBorder="1" applyAlignment="1">
      <alignment horizontal="center" wrapText="1"/>
    </xf>
    <xf numFmtId="0" fontId="23" fillId="26" borderId="0" xfId="0" applyFont="1" applyFill="1"/>
    <xf numFmtId="0" fontId="39" fillId="0" borderId="0" xfId="0" applyFont="1"/>
    <xf numFmtId="0" fontId="19" fillId="0" borderId="0" xfId="0" applyFont="1"/>
    <xf numFmtId="0" fontId="20" fillId="0" borderId="10" xfId="0" applyFont="1" applyFill="1" applyBorder="1"/>
    <xf numFmtId="0" fontId="47" fillId="0" borderId="0" xfId="0" applyFont="1" applyFill="1" applyBorder="1" applyAlignment="1">
      <alignment horizontal="right"/>
    </xf>
    <xf numFmtId="38" fontId="0" fillId="0" borderId="0" xfId="0" applyNumberFormat="1"/>
    <xf numFmtId="0" fontId="0" fillId="0" borderId="0" xfId="0" applyFill="1" applyBorder="1" applyAlignment="1">
      <alignment horizontal="center" vertical="center"/>
    </xf>
    <xf numFmtId="0" fontId="20" fillId="0" borderId="0" xfId="0" applyFont="1" applyFill="1" applyBorder="1" applyAlignment="1">
      <alignment horizontal="left" vertical="center"/>
    </xf>
    <xf numFmtId="0" fontId="20" fillId="0" borderId="10" xfId="0" applyFont="1" applyBorder="1" applyAlignment="1">
      <alignment horizontal="center" vertical="center"/>
    </xf>
    <xf numFmtId="38" fontId="0" fillId="0" borderId="10" xfId="0" applyNumberFormat="1" applyBorder="1" applyAlignment="1">
      <alignment horizontal="center" vertical="center"/>
    </xf>
    <xf numFmtId="0" fontId="39" fillId="0" borderId="14" xfId="0" applyFont="1" applyBorder="1"/>
    <xf numFmtId="0" fontId="24" fillId="0" borderId="0" xfId="0" applyFont="1" applyFill="1" applyBorder="1" applyAlignment="1">
      <alignment vertical="center"/>
    </xf>
    <xf numFmtId="0" fontId="0" fillId="0" borderId="13" xfId="0" applyBorder="1"/>
    <xf numFmtId="1" fontId="0" fillId="0" borderId="0" xfId="0" applyNumberFormat="1" applyFill="1" applyBorder="1"/>
    <xf numFmtId="9" fontId="19" fillId="0" borderId="0" xfId="39" applyFill="1" applyBorder="1" applyProtection="1"/>
    <xf numFmtId="9" fontId="0" fillId="0" borderId="0" xfId="0" applyNumberFormat="1" applyFill="1" applyBorder="1"/>
    <xf numFmtId="9" fontId="19" fillId="0" borderId="0" xfId="39" applyFont="1" applyFill="1" applyBorder="1" applyProtection="1"/>
    <xf numFmtId="1" fontId="19" fillId="0" borderId="0" xfId="0" applyNumberFormat="1" applyFont="1" applyFill="1" applyBorder="1"/>
    <xf numFmtId="1" fontId="31" fillId="0" borderId="0" xfId="0" applyNumberFormat="1" applyFont="1" applyFill="1" applyBorder="1"/>
    <xf numFmtId="0" fontId="0" fillId="0" borderId="0" xfId="0" applyFill="1" applyBorder="1" applyAlignment="1">
      <alignment wrapText="1"/>
    </xf>
    <xf numFmtId="164" fontId="19" fillId="0" borderId="0" xfId="39" applyNumberFormat="1" applyFill="1" applyBorder="1"/>
    <xf numFmtId="0" fontId="29" fillId="0" borderId="0" xfId="0" applyFont="1" applyFill="1" applyBorder="1"/>
    <xf numFmtId="164" fontId="31" fillId="0" borderId="0" xfId="39" applyNumberFormat="1" applyFont="1" applyFill="1" applyBorder="1"/>
    <xf numFmtId="0" fontId="0" fillId="0" borderId="0" xfId="0" applyFill="1" applyBorder="1"/>
    <xf numFmtId="0" fontId="22" fillId="0" borderId="0" xfId="0" applyFont="1" applyFill="1" applyBorder="1"/>
    <xf numFmtId="164" fontId="23" fillId="0" borderId="0" xfId="39" applyNumberFormat="1" applyFont="1" applyFill="1" applyBorder="1"/>
    <xf numFmtId="9" fontId="0" fillId="0" borderId="0" xfId="39" applyFont="1" applyFill="1" applyBorder="1"/>
    <xf numFmtId="2" fontId="0" fillId="0" borderId="0" xfId="0" applyNumberFormat="1" applyFill="1" applyBorder="1"/>
    <xf numFmtId="0" fontId="51" fillId="26" borderId="10" xfId="0" applyFont="1" applyFill="1" applyBorder="1"/>
    <xf numFmtId="9" fontId="49" fillId="0" borderId="0" xfId="0" applyNumberFormat="1" applyFont="1" applyFill="1" applyBorder="1"/>
    <xf numFmtId="0" fontId="0" fillId="0" borderId="10" xfId="0" applyBorder="1" applyAlignment="1">
      <alignment horizontal="left" indent="1"/>
    </xf>
    <xf numFmtId="0" fontId="0" fillId="0" borderId="10" xfId="0" applyBorder="1" applyAlignment="1">
      <alignment horizontal="left" wrapText="1" indent="1"/>
    </xf>
    <xf numFmtId="3" fontId="0" fillId="0" borderId="10" xfId="0" applyNumberFormat="1" applyBorder="1" applyAlignment="1">
      <alignment horizontal="left" indent="1"/>
    </xf>
    <xf numFmtId="0" fontId="54" fillId="0" borderId="0" xfId="0" applyFont="1"/>
    <xf numFmtId="0" fontId="0" fillId="0" borderId="0" xfId="0" applyFill="1" applyBorder="1" applyAlignment="1">
      <alignment horizontal="left" indent="1"/>
    </xf>
    <xf numFmtId="0" fontId="0" fillId="0" borderId="19" xfId="0" applyFill="1" applyBorder="1"/>
    <xf numFmtId="0" fontId="0" fillId="0" borderId="20" xfId="0" applyFill="1" applyBorder="1"/>
    <xf numFmtId="0" fontId="19" fillId="0" borderId="0" xfId="0" applyFont="1" applyFill="1"/>
    <xf numFmtId="0" fontId="39" fillId="25" borderId="10" xfId="0" applyFont="1" applyFill="1" applyBorder="1" applyAlignment="1" applyProtection="1"/>
    <xf numFmtId="0" fontId="0" fillId="25" borderId="0" xfId="0" applyFill="1" applyBorder="1"/>
    <xf numFmtId="0" fontId="23" fillId="25" borderId="0" xfId="0" applyFont="1" applyFill="1" applyBorder="1"/>
    <xf numFmtId="0" fontId="19" fillId="25" borderId="0" xfId="0" applyFont="1" applyFill="1" applyBorder="1"/>
    <xf numFmtId="1" fontId="31" fillId="25" borderId="0" xfId="0" applyNumberFormat="1" applyFont="1" applyFill="1" applyBorder="1"/>
    <xf numFmtId="9" fontId="38" fillId="0" borderId="10" xfId="0" applyNumberFormat="1" applyFont="1" applyFill="1" applyBorder="1"/>
    <xf numFmtId="38" fontId="37" fillId="0" borderId="0" xfId="0" applyNumberFormat="1" applyFont="1" applyFill="1" applyBorder="1"/>
    <xf numFmtId="38" fontId="37" fillId="0" borderId="0" xfId="0" applyNumberFormat="1" applyFont="1" applyFill="1"/>
    <xf numFmtId="38" fontId="0" fillId="0" borderId="0" xfId="0" applyNumberFormat="1" applyFill="1"/>
    <xf numFmtId="38" fontId="49" fillId="0" borderId="0" xfId="0" applyNumberFormat="1" applyFont="1" applyFill="1"/>
    <xf numFmtId="38" fontId="0" fillId="0" borderId="0" xfId="0" applyNumberFormat="1" applyFill="1" applyBorder="1"/>
    <xf numFmtId="38" fontId="19" fillId="0" borderId="0" xfId="0" applyNumberFormat="1" applyFont="1" applyFill="1" applyBorder="1"/>
    <xf numFmtId="38" fontId="72" fillId="0" borderId="0" xfId="0" applyNumberFormat="1" applyFont="1" applyFill="1" applyBorder="1"/>
    <xf numFmtId="38" fontId="52" fillId="0" borderId="0" xfId="0" applyNumberFormat="1" applyFont="1" applyFill="1" applyBorder="1"/>
    <xf numFmtId="38" fontId="0" fillId="0" borderId="0" xfId="39" applyNumberFormat="1" applyFont="1" applyFill="1" applyBorder="1"/>
    <xf numFmtId="38" fontId="53" fillId="0" borderId="0" xfId="0" applyNumberFormat="1" applyFont="1" applyFill="1" applyBorder="1"/>
    <xf numFmtId="38" fontId="23" fillId="0" borderId="0" xfId="0" applyNumberFormat="1" applyFont="1" applyFill="1" applyBorder="1"/>
    <xf numFmtId="38" fontId="0" fillId="0" borderId="21" xfId="0" applyNumberFormat="1" applyBorder="1"/>
    <xf numFmtId="38" fontId="23" fillId="0" borderId="0" xfId="0" applyNumberFormat="1" applyFont="1" applyFill="1" applyBorder="1" applyAlignment="1" applyProtection="1">
      <alignment horizontal="right"/>
    </xf>
    <xf numFmtId="38" fontId="22" fillId="0" borderId="0" xfId="0" applyNumberFormat="1" applyFont="1" applyFill="1" applyBorder="1"/>
    <xf numFmtId="38" fontId="19" fillId="0" borderId="0" xfId="0" quotePrefix="1" applyNumberFormat="1" applyFont="1" applyFill="1" applyBorder="1"/>
    <xf numFmtId="38" fontId="31" fillId="0" borderId="0" xfId="0" applyNumberFormat="1" applyFont="1" applyFill="1" applyBorder="1"/>
    <xf numFmtId="38" fontId="33" fillId="0" borderId="0" xfId="0" applyNumberFormat="1" applyFont="1" applyFill="1" applyBorder="1"/>
    <xf numFmtId="38" fontId="29" fillId="0" borderId="0" xfId="0" applyNumberFormat="1" applyFont="1" applyFill="1" applyBorder="1"/>
    <xf numFmtId="38" fontId="23" fillId="0" borderId="0" xfId="0" applyNumberFormat="1" applyFont="1" applyFill="1" applyBorder="1" applyAlignment="1"/>
    <xf numFmtId="38" fontId="23" fillId="0" borderId="0" xfId="0" quotePrefix="1" applyNumberFormat="1" applyFont="1" applyFill="1" applyBorder="1"/>
    <xf numFmtId="38" fontId="27" fillId="0" borderId="0" xfId="0" applyNumberFormat="1" applyFont="1" applyFill="1" applyBorder="1"/>
    <xf numFmtId="38" fontId="19" fillId="0" borderId="0" xfId="39" applyNumberFormat="1" applyFill="1" applyBorder="1" applyProtection="1"/>
    <xf numFmtId="38" fontId="33" fillId="0" borderId="0" xfId="0" applyNumberFormat="1" applyFont="1" applyFill="1" applyBorder="1" applyAlignment="1">
      <alignment horizontal="right"/>
    </xf>
    <xf numFmtId="38" fontId="19" fillId="0" borderId="0" xfId="0" applyNumberFormat="1" applyFont="1" applyFill="1" applyBorder="1" applyAlignment="1">
      <alignment horizontal="right"/>
    </xf>
    <xf numFmtId="38" fontId="19" fillId="0" borderId="0" xfId="0" applyNumberFormat="1" applyFont="1" applyFill="1" applyBorder="1" applyAlignment="1"/>
    <xf numFmtId="38" fontId="31" fillId="0" borderId="0" xfId="0" applyNumberFormat="1" applyFont="1" applyFill="1" applyBorder="1" applyAlignment="1">
      <alignment horizontal="right"/>
    </xf>
    <xf numFmtId="38" fontId="33" fillId="0" borderId="0" xfId="0" applyNumberFormat="1" applyFont="1" applyFill="1" applyBorder="1" applyAlignment="1">
      <alignment wrapText="1"/>
    </xf>
    <xf numFmtId="38" fontId="19" fillId="0" borderId="0" xfId="39" applyNumberFormat="1" applyFill="1" applyBorder="1"/>
    <xf numFmtId="164" fontId="19" fillId="0" borderId="0" xfId="39" applyNumberFormat="1" applyFont="1" applyFill="1" applyBorder="1"/>
    <xf numFmtId="38" fontId="24" fillId="0" borderId="10" xfId="0" applyNumberFormat="1" applyFont="1" applyBorder="1" applyAlignment="1">
      <alignment horizontal="center" vertical="center"/>
    </xf>
    <xf numFmtId="38" fontId="24" fillId="0" borderId="12" xfId="0" applyNumberFormat="1" applyFont="1" applyBorder="1" applyAlignment="1">
      <alignment horizontal="center" vertical="center"/>
    </xf>
    <xf numFmtId="38" fontId="24" fillId="0" borderId="13" xfId="0" applyNumberFormat="1" applyFont="1" applyBorder="1" applyAlignment="1">
      <alignment horizontal="center" vertical="center"/>
    </xf>
    <xf numFmtId="38" fontId="24" fillId="0" borderId="10" xfId="0" applyNumberFormat="1" applyFont="1" applyFill="1" applyBorder="1" applyAlignment="1">
      <alignment horizontal="center" vertical="center"/>
    </xf>
    <xf numFmtId="38" fontId="24" fillId="0" borderId="13" xfId="0" applyNumberFormat="1" applyFont="1" applyFill="1" applyBorder="1" applyAlignment="1">
      <alignment horizontal="center" vertical="center"/>
    </xf>
    <xf numFmtId="38" fontId="0" fillId="0" borderId="10" xfId="0" applyNumberFormat="1" applyFill="1" applyBorder="1" applyAlignment="1">
      <alignment horizontal="center" vertical="center"/>
    </xf>
    <xf numFmtId="38" fontId="0" fillId="0" borderId="10" xfId="0" applyNumberFormat="1" applyBorder="1" applyAlignment="1">
      <alignment horizontal="center" wrapText="1"/>
    </xf>
    <xf numFmtId="38" fontId="0" fillId="0" borderId="12" xfId="0" applyNumberFormat="1" applyFill="1" applyBorder="1" applyAlignment="1">
      <alignment horizontal="center" vertical="center"/>
    </xf>
    <xf numFmtId="38" fontId="0" fillId="0" borderId="10" xfId="0" applyNumberFormat="1" applyFill="1" applyBorder="1" applyAlignment="1">
      <alignment horizontal="center"/>
    </xf>
    <xf numFmtId="38" fontId="0" fillId="0" borderId="10" xfId="0" applyNumberFormat="1" applyBorder="1" applyAlignment="1">
      <alignment horizontal="center"/>
    </xf>
    <xf numFmtId="38" fontId="23" fillId="0" borderId="10" xfId="0" applyNumberFormat="1" applyFont="1" applyBorder="1"/>
    <xf numFmtId="38" fontId="23" fillId="0" borderId="13" xfId="0" applyNumberFormat="1" applyFont="1" applyBorder="1"/>
    <xf numFmtId="38" fontId="23" fillId="0" borderId="24" xfId="0" applyNumberFormat="1" applyFont="1" applyBorder="1"/>
    <xf numFmtId="38" fontId="0" fillId="0" borderId="11" xfId="0" applyNumberFormat="1" applyBorder="1"/>
    <xf numFmtId="38" fontId="40" fillId="0" borderId="10" xfId="0" applyNumberFormat="1" applyFont="1" applyBorder="1"/>
    <xf numFmtId="38" fontId="0" fillId="0" borderId="10" xfId="0" applyNumberFormat="1" applyBorder="1"/>
    <xf numFmtId="38" fontId="38" fillId="0" borderId="10" xfId="0" applyNumberFormat="1" applyFont="1" applyFill="1" applyBorder="1"/>
    <xf numFmtId="3" fontId="0" fillId="0" borderId="0" xfId="0" applyNumberFormat="1" applyFill="1"/>
    <xf numFmtId="9" fontId="0" fillId="0" borderId="0" xfId="0" applyNumberFormat="1" applyFill="1"/>
    <xf numFmtId="38" fontId="48" fillId="0" borderId="0" xfId="0" applyNumberFormat="1" applyFont="1" applyFill="1" applyBorder="1"/>
    <xf numFmtId="0" fontId="0" fillId="0" borderId="0" xfId="0" applyFill="1" applyBorder="1" applyAlignment="1">
      <alignment vertical="justify"/>
    </xf>
    <xf numFmtId="1" fontId="40" fillId="0" borderId="0" xfId="0" applyNumberFormat="1" applyFont="1" applyFill="1" applyBorder="1"/>
    <xf numFmtId="0" fontId="20" fillId="0" borderId="0" xfId="0" applyFont="1" applyFill="1" applyAlignment="1">
      <alignment horizontal="left" vertical="center"/>
    </xf>
    <xf numFmtId="0" fontId="0" fillId="0" borderId="0" xfId="0" applyFill="1" applyAlignment="1">
      <alignment horizontal="left" vertical="center"/>
    </xf>
    <xf numFmtId="0" fontId="20" fillId="0" borderId="0" xfId="0" applyFont="1" applyFill="1"/>
    <xf numFmtId="0" fontId="0" fillId="0" borderId="22" xfId="0" applyFill="1" applyBorder="1" applyAlignment="1">
      <alignment horizontal="right"/>
    </xf>
    <xf numFmtId="0" fontId="0" fillId="0" borderId="23" xfId="0" applyFill="1" applyBorder="1" applyAlignment="1">
      <alignment horizontal="right"/>
    </xf>
    <xf numFmtId="0" fontId="0" fillId="0" borderId="17" xfId="0" applyFill="1" applyBorder="1" applyAlignment="1"/>
    <xf numFmtId="0" fontId="0" fillId="0" borderId="0" xfId="0" applyFill="1" applyBorder="1" applyAlignment="1"/>
    <xf numFmtId="0" fontId="0" fillId="0" borderId="19" xfId="0" applyFill="1" applyBorder="1" applyAlignment="1"/>
    <xf numFmtId="0" fontId="0" fillId="0" borderId="24" xfId="0" applyFill="1" applyBorder="1" applyAlignment="1"/>
    <xf numFmtId="0" fontId="0" fillId="0" borderId="10" xfId="0" applyFill="1" applyBorder="1" applyAlignment="1">
      <alignment vertical="justify"/>
    </xf>
    <xf numFmtId="38" fontId="0" fillId="0" borderId="10" xfId="0" applyNumberFormat="1" applyFill="1" applyBorder="1"/>
    <xf numFmtId="9" fontId="0" fillId="0" borderId="10" xfId="0" applyNumberFormat="1" applyFill="1" applyBorder="1"/>
    <xf numFmtId="0" fontId="38" fillId="0" borderId="10" xfId="0" applyFont="1" applyFill="1" applyBorder="1" applyAlignment="1">
      <alignment vertical="justify"/>
    </xf>
    <xf numFmtId="0" fontId="34" fillId="0" borderId="27" xfId="0" applyNumberFormat="1" applyFont="1" applyFill="1" applyBorder="1" applyAlignment="1"/>
    <xf numFmtId="0" fontId="34" fillId="0" borderId="0" xfId="0" applyNumberFormat="1" applyFont="1" applyFill="1" applyAlignment="1"/>
    <xf numFmtId="0" fontId="35" fillId="0" borderId="0" xfId="0" applyNumberFormat="1" applyFont="1" applyFill="1" applyAlignment="1">
      <alignment horizontal="center"/>
    </xf>
    <xf numFmtId="0" fontId="36" fillId="0" borderId="0" xfId="0" applyFont="1" applyFill="1"/>
    <xf numFmtId="0" fontId="34" fillId="0" borderId="28" xfId="0" applyNumberFormat="1" applyFont="1" applyFill="1" applyBorder="1" applyAlignment="1">
      <alignment horizontal="center"/>
    </xf>
    <xf numFmtId="0" fontId="34" fillId="0" borderId="28" xfId="0" applyNumberFormat="1" applyFont="1" applyFill="1" applyBorder="1" applyAlignment="1"/>
    <xf numFmtId="0" fontId="34" fillId="0" borderId="28" xfId="0" applyNumberFormat="1" applyFont="1" applyFill="1" applyBorder="1" applyAlignment="1" applyProtection="1">
      <protection locked="0"/>
    </xf>
    <xf numFmtId="0" fontId="34" fillId="0" borderId="29" xfId="0" applyNumberFormat="1" applyFont="1" applyFill="1" applyBorder="1" applyAlignment="1"/>
    <xf numFmtId="0" fontId="34" fillId="0" borderId="30" xfId="0" applyNumberFormat="1" applyFont="1" applyFill="1" applyBorder="1" applyAlignment="1">
      <alignment horizontal="center"/>
    </xf>
    <xf numFmtId="0" fontId="35" fillId="0" borderId="30" xfId="0" applyNumberFormat="1" applyFont="1" applyFill="1" applyBorder="1" applyAlignment="1">
      <alignment horizontal="center"/>
    </xf>
    <xf numFmtId="0" fontId="34" fillId="0" borderId="30" xfId="0" applyNumberFormat="1" applyFont="1" applyFill="1" applyBorder="1" applyAlignment="1"/>
    <xf numFmtId="0" fontId="34" fillId="0" borderId="31" xfId="0" applyNumberFormat="1" applyFont="1" applyFill="1" applyBorder="1" applyAlignment="1" applyProtection="1">
      <alignment horizontal="center"/>
      <protection locked="0"/>
    </xf>
    <xf numFmtId="0" fontId="34" fillId="0" borderId="27" xfId="0" applyNumberFormat="1" applyFont="1" applyFill="1" applyBorder="1" applyAlignment="1" applyProtection="1">
      <protection locked="0"/>
    </xf>
    <xf numFmtId="0" fontId="34" fillId="0" borderId="32" xfId="0" applyNumberFormat="1" applyFont="1" applyFill="1" applyBorder="1" applyAlignment="1"/>
    <xf numFmtId="0" fontId="34" fillId="0" borderId="0" xfId="0" applyNumberFormat="1" applyFont="1" applyFill="1" applyAlignment="1">
      <alignment horizontal="center"/>
    </xf>
    <xf numFmtId="0" fontId="34" fillId="0" borderId="32" xfId="0" applyNumberFormat="1" applyFont="1" applyFill="1" applyBorder="1" applyAlignment="1" applyProtection="1">
      <alignment horizontal="center"/>
      <protection locked="0"/>
    </xf>
    <xf numFmtId="0" fontId="34" fillId="0" borderId="27" xfId="0" applyNumberFormat="1" applyFont="1" applyFill="1" applyBorder="1" applyAlignment="1">
      <alignment horizontal="center"/>
    </xf>
    <xf numFmtId="0" fontId="34" fillId="0" borderId="29" xfId="0" applyNumberFormat="1" applyFont="1" applyFill="1" applyBorder="1" applyAlignment="1">
      <alignment horizontal="center"/>
    </xf>
    <xf numFmtId="0" fontId="34" fillId="0" borderId="33" xfId="0" applyNumberFormat="1" applyFont="1" applyFill="1" applyBorder="1" applyAlignment="1">
      <alignment horizontal="center"/>
    </xf>
    <xf numFmtId="0" fontId="34" fillId="0" borderId="34" xfId="0" applyNumberFormat="1" applyFont="1" applyFill="1" applyBorder="1" applyAlignment="1"/>
    <xf numFmtId="0" fontId="34" fillId="0" borderId="0" xfId="0" applyNumberFormat="1" applyFont="1" applyFill="1" applyBorder="1" applyAlignment="1" applyProtection="1">
      <alignment horizontal="center"/>
      <protection locked="0"/>
    </xf>
    <xf numFmtId="0" fontId="34" fillId="0" borderId="32" xfId="0" applyNumberFormat="1" applyFont="1" applyFill="1" applyBorder="1" applyAlignment="1">
      <alignment horizontal="center"/>
    </xf>
    <xf numFmtId="0" fontId="34" fillId="0" borderId="35" xfId="0" applyNumberFormat="1" applyFont="1" applyFill="1" applyBorder="1" applyAlignment="1">
      <alignment horizontal="center"/>
    </xf>
    <xf numFmtId="0" fontId="34" fillId="0" borderId="0" xfId="0" applyNumberFormat="1" applyFont="1" applyFill="1" applyBorder="1" applyAlignment="1" applyProtection="1">
      <protection locked="0"/>
    </xf>
    <xf numFmtId="0" fontId="34" fillId="0" borderId="28" xfId="0" applyNumberFormat="1" applyFont="1" applyFill="1" applyBorder="1" applyAlignment="1" applyProtection="1">
      <alignment horizontal="center"/>
      <protection locked="0"/>
    </xf>
    <xf numFmtId="0" fontId="34" fillId="0" borderId="36" xfId="0" applyNumberFormat="1" applyFont="1" applyFill="1" applyBorder="1" applyAlignment="1" applyProtection="1">
      <alignment horizontal="center"/>
      <protection locked="0"/>
    </xf>
    <xf numFmtId="0" fontId="34" fillId="0" borderId="29" xfId="0" applyNumberFormat="1" applyFont="1" applyFill="1" applyBorder="1" applyAlignment="1" applyProtection="1">
      <alignment horizontal="center"/>
      <protection locked="0"/>
    </xf>
    <xf numFmtId="0" fontId="34" fillId="0" borderId="34" xfId="0" applyNumberFormat="1" applyFont="1" applyFill="1" applyBorder="1" applyAlignment="1" applyProtection="1">
      <alignment horizontal="center"/>
      <protection locked="0"/>
    </xf>
    <xf numFmtId="0" fontId="34" fillId="0" borderId="33" xfId="0" applyNumberFormat="1" applyFont="1" applyFill="1" applyBorder="1" applyAlignment="1" applyProtection="1">
      <alignment horizontal="center"/>
      <protection locked="0"/>
    </xf>
    <xf numFmtId="0" fontId="34" fillId="0" borderId="37" xfId="0" applyNumberFormat="1" applyFont="1" applyFill="1" applyBorder="1" applyAlignment="1" applyProtection="1">
      <protection locked="0"/>
    </xf>
    <xf numFmtId="0" fontId="36" fillId="0" borderId="10" xfId="0" applyFont="1" applyFill="1" applyBorder="1" applyAlignment="1">
      <alignment horizontal="center"/>
    </xf>
    <xf numFmtId="0" fontId="44" fillId="0" borderId="0" xfId="0" applyFont="1" applyFill="1" applyBorder="1" applyAlignment="1">
      <alignment horizontal="center"/>
    </xf>
    <xf numFmtId="0" fontId="0" fillId="0" borderId="0" xfId="0" applyFill="1" applyBorder="1" applyAlignment="1">
      <alignment horizontal="center"/>
    </xf>
    <xf numFmtId="0" fontId="41" fillId="0" borderId="0" xfId="0" applyFont="1" applyFill="1"/>
    <xf numFmtId="0" fontId="53" fillId="0" borderId="0" xfId="0" applyFont="1" applyFill="1"/>
    <xf numFmtId="0" fontId="46" fillId="0" borderId="11" xfId="0" applyFont="1" applyFill="1" applyBorder="1" applyAlignment="1" applyProtection="1">
      <alignment horizontal="center" vertical="center" wrapText="1"/>
      <protection locked="0"/>
    </xf>
    <xf numFmtId="0" fontId="41" fillId="0" borderId="19" xfId="0" applyFont="1" applyFill="1" applyBorder="1"/>
    <xf numFmtId="0" fontId="41" fillId="0" borderId="16" xfId="0" applyFont="1" applyFill="1" applyBorder="1" applyAlignment="1">
      <alignment horizontal="center"/>
    </xf>
    <xf numFmtId="38" fontId="50" fillId="0" borderId="16" xfId="0" applyNumberFormat="1" applyFont="1" applyFill="1" applyBorder="1"/>
    <xf numFmtId="0" fontId="41" fillId="0" borderId="20" xfId="0" applyFont="1" applyFill="1" applyBorder="1"/>
    <xf numFmtId="0" fontId="45" fillId="0" borderId="0" xfId="0" applyFont="1" applyFill="1" applyAlignment="1">
      <alignment horizontal="center" vertical="center"/>
    </xf>
    <xf numFmtId="0" fontId="0" fillId="0" borderId="17" xfId="0" applyFill="1" applyBorder="1"/>
    <xf numFmtId="0" fontId="0" fillId="0" borderId="24" xfId="0" applyFill="1" applyBorder="1"/>
    <xf numFmtId="0" fontId="0" fillId="0" borderId="21" xfId="0" applyFill="1" applyBorder="1"/>
    <xf numFmtId="0" fontId="0" fillId="0" borderId="25" xfId="0" applyFill="1" applyBorder="1"/>
    <xf numFmtId="38" fontId="0" fillId="0" borderId="10" xfId="0" applyNumberFormat="1" applyFill="1" applyBorder="1" applyAlignment="1">
      <alignment horizontal="center" wrapText="1"/>
    </xf>
    <xf numFmtId="38" fontId="19" fillId="0" borderId="0" xfId="0" applyNumberFormat="1" applyFont="1" applyFill="1"/>
    <xf numFmtId="9" fontId="19" fillId="0" borderId="0" xfId="0" applyNumberFormat="1" applyFont="1" applyFill="1" applyBorder="1"/>
    <xf numFmtId="0" fontId="73" fillId="0" borderId="0" xfId="0" applyFont="1" applyFill="1" applyAlignment="1">
      <alignment wrapText="1"/>
    </xf>
    <xf numFmtId="38" fontId="48" fillId="0" borderId="0" xfId="0" applyNumberFormat="1" applyFont="1" applyFill="1"/>
    <xf numFmtId="9" fontId="48" fillId="0" borderId="0" xfId="0" applyNumberFormat="1" applyFont="1" applyFill="1" applyBorder="1"/>
    <xf numFmtId="0" fontId="20" fillId="0" borderId="0" xfId="0" applyFont="1" applyFill="1" applyBorder="1"/>
    <xf numFmtId="0" fontId="36" fillId="0" borderId="0" xfId="0" applyFont="1" applyFill="1" applyBorder="1"/>
    <xf numFmtId="0" fontId="74" fillId="0" borderId="0" xfId="0" applyFont="1" applyAlignment="1">
      <alignment vertical="center"/>
    </xf>
    <xf numFmtId="14" fontId="36" fillId="0" borderId="0" xfId="0" applyNumberFormat="1" applyFont="1" applyFill="1"/>
    <xf numFmtId="1" fontId="19" fillId="0" borderId="10" xfId="0" applyNumberFormat="1" applyFont="1" applyFill="1" applyBorder="1" applyAlignment="1"/>
    <xf numFmtId="0" fontId="19" fillId="0" borderId="10" xfId="0" applyFont="1" applyFill="1" applyBorder="1" applyAlignment="1" applyProtection="1">
      <alignment horizontal="left"/>
    </xf>
    <xf numFmtId="38" fontId="0" fillId="0" borderId="19" xfId="0" applyNumberFormat="1" applyFill="1" applyBorder="1" applyAlignment="1">
      <alignment horizontal="center" vertical="center"/>
    </xf>
    <xf numFmtId="0" fontId="19" fillId="0" borderId="0" xfId="0" applyFont="1" applyFill="1" applyBorder="1" applyAlignment="1">
      <alignment horizontal="right" vertical="center" wrapText="1"/>
    </xf>
    <xf numFmtId="22" fontId="0" fillId="0" borderId="0" xfId="0" applyNumberFormat="1" applyFill="1"/>
    <xf numFmtId="164" fontId="0" fillId="0" borderId="0" xfId="39" applyNumberFormat="1" applyFont="1" applyFill="1" applyBorder="1"/>
    <xf numFmtId="164" fontId="0" fillId="0" borderId="0" xfId="0" applyNumberFormat="1" applyFill="1" applyBorder="1"/>
    <xf numFmtId="164" fontId="0" fillId="0" borderId="10" xfId="0" applyNumberFormat="1" applyFill="1" applyBorder="1"/>
    <xf numFmtId="164" fontId="38" fillId="0" borderId="10" xfId="0" applyNumberFormat="1" applyFont="1" applyFill="1" applyBorder="1"/>
    <xf numFmtId="164" fontId="53" fillId="0" borderId="0" xfId="0" applyNumberFormat="1" applyFont="1" applyFill="1" applyBorder="1"/>
    <xf numFmtId="0" fontId="19" fillId="0" borderId="23" xfId="0" applyFont="1" applyFill="1" applyBorder="1" applyAlignment="1">
      <alignment horizontal="right"/>
    </xf>
    <xf numFmtId="0" fontId="19" fillId="0" borderId="18" xfId="0" applyFont="1" applyFill="1" applyBorder="1" applyAlignment="1"/>
    <xf numFmtId="0" fontId="19" fillId="0" borderId="0" xfId="0" applyFont="1" applyFill="1" applyBorder="1" applyAlignment="1"/>
    <xf numFmtId="0" fontId="19" fillId="0" borderId="26" xfId="0" applyFont="1" applyFill="1" applyBorder="1" applyAlignment="1"/>
    <xf numFmtId="10" fontId="0" fillId="0" borderId="0" xfId="0" applyNumberFormat="1"/>
    <xf numFmtId="14" fontId="74" fillId="0" borderId="0" xfId="0" applyNumberFormat="1" applyFont="1" applyAlignment="1">
      <alignment vertical="center"/>
    </xf>
    <xf numFmtId="38" fontId="0" fillId="0" borderId="39" xfId="0" applyNumberFormat="1" applyFill="1" applyBorder="1"/>
    <xf numFmtId="0" fontId="19" fillId="27" borderId="10" xfId="0" applyFont="1" applyFill="1" applyBorder="1"/>
    <xf numFmtId="38" fontId="23" fillId="27" borderId="0" xfId="0" applyNumberFormat="1" applyFont="1" applyFill="1" applyBorder="1"/>
    <xf numFmtId="38" fontId="33" fillId="27" borderId="0" xfId="0" applyNumberFormat="1" applyFont="1" applyFill="1" applyBorder="1"/>
    <xf numFmtId="40" fontId="0" fillId="0" borderId="0" xfId="0" applyNumberFormat="1"/>
    <xf numFmtId="40" fontId="23" fillId="0" borderId="0" xfId="0" applyNumberFormat="1" applyFont="1" applyFill="1" applyBorder="1"/>
    <xf numFmtId="38" fontId="48" fillId="0" borderId="0" xfId="92" applyNumberFormat="1" applyFont="1" applyFill="1" applyBorder="1"/>
    <xf numFmtId="0" fontId="19" fillId="0" borderId="10" xfId="0" applyFont="1" applyBorder="1" applyAlignment="1">
      <alignment horizontal="center" wrapText="1"/>
    </xf>
    <xf numFmtId="38" fontId="19" fillId="0" borderId="10" xfId="0" applyNumberFormat="1" applyFont="1" applyFill="1" applyBorder="1" applyAlignment="1">
      <alignment horizontal="right"/>
    </xf>
    <xf numFmtId="0" fontId="19" fillId="0" borderId="0" xfId="0" applyFont="1" applyFill="1"/>
    <xf numFmtId="0" fontId="0" fillId="0" borderId="0" xfId="0" applyFill="1" applyAlignment="1">
      <alignment horizontal="left"/>
    </xf>
    <xf numFmtId="0" fontId="20" fillId="0" borderId="0" xfId="0" applyFont="1" applyAlignment="1">
      <alignment horizontal="left"/>
    </xf>
    <xf numFmtId="0" fontId="19" fillId="0" borderId="10" xfId="0" applyFont="1" applyBorder="1" applyAlignment="1">
      <alignment horizontal="center" wrapText="1"/>
    </xf>
    <xf numFmtId="0" fontId="0" fillId="0" borderId="18" xfId="0" applyFill="1" applyBorder="1" applyAlignment="1"/>
    <xf numFmtId="0" fontId="0" fillId="0" borderId="26" xfId="0" applyFill="1" applyBorder="1" applyAlignment="1"/>
    <xf numFmtId="0" fontId="20" fillId="0" borderId="0" xfId="0" applyFont="1" applyAlignment="1">
      <alignment horizontal="left"/>
    </xf>
    <xf numFmtId="0" fontId="41" fillId="0" borderId="13" xfId="0" applyFont="1" applyFill="1" applyBorder="1" applyAlignment="1">
      <alignment horizontal="center"/>
    </xf>
    <xf numFmtId="0" fontId="41" fillId="0" borderId="13" xfId="0" applyFont="1" applyFill="1" applyBorder="1"/>
    <xf numFmtId="0" fontId="25" fillId="0" borderId="14" xfId="0" applyFont="1" applyFill="1" applyBorder="1" applyAlignment="1">
      <alignment horizontal="center"/>
    </xf>
    <xf numFmtId="0" fontId="24" fillId="0" borderId="10" xfId="0" applyFont="1" applyFill="1" applyBorder="1" applyAlignment="1">
      <alignment horizontal="center"/>
    </xf>
    <xf numFmtId="0" fontId="24" fillId="0" borderId="11" xfId="0" applyFont="1" applyFill="1" applyBorder="1" applyAlignment="1">
      <alignment horizontal="center"/>
    </xf>
    <xf numFmtId="0" fontId="24" fillId="0" borderId="10" xfId="0" applyFont="1" applyFill="1" applyBorder="1" applyAlignment="1">
      <alignment vertical="center"/>
    </xf>
    <xf numFmtId="0" fontId="24" fillId="0" borderId="12" xfId="0" applyFont="1" applyFill="1" applyBorder="1" applyAlignment="1">
      <alignment vertical="center"/>
    </xf>
    <xf numFmtId="38" fontId="24" fillId="0" borderId="12" xfId="0" applyNumberFormat="1" applyFont="1" applyFill="1" applyBorder="1" applyAlignment="1">
      <alignment horizontal="center" vertical="center"/>
    </xf>
    <xf numFmtId="0" fontId="24" fillId="0" borderId="13" xfId="0" applyFont="1" applyFill="1" applyBorder="1" applyAlignment="1">
      <alignment vertical="center"/>
    </xf>
    <xf numFmtId="0" fontId="24" fillId="0" borderId="12" xfId="0" applyFont="1" applyFill="1" applyBorder="1" applyAlignment="1">
      <alignment vertical="center" wrapText="1"/>
    </xf>
    <xf numFmtId="0" fontId="0" fillId="0" borderId="18" xfId="0" applyBorder="1" applyAlignment="1">
      <alignment horizontal="center" vertical="center"/>
    </xf>
    <xf numFmtId="38" fontId="0" fillId="0" borderId="18" xfId="0" applyNumberFormat="1" applyBorder="1"/>
    <xf numFmtId="0" fontId="20" fillId="0" borderId="21" xfId="0" applyFont="1" applyBorder="1" applyAlignment="1">
      <alignment horizontal="center" vertical="center"/>
    </xf>
    <xf numFmtId="0" fontId="20" fillId="0" borderId="11" xfId="0" applyFont="1" applyBorder="1" applyAlignment="1">
      <alignment horizontal="center" vertical="center"/>
    </xf>
    <xf numFmtId="0" fontId="0" fillId="0" borderId="0" xfId="0" applyBorder="1" applyAlignment="1">
      <alignment horizontal="center" vertical="center"/>
    </xf>
    <xf numFmtId="38" fontId="0" fillId="0" borderId="0" xfId="0" applyNumberFormat="1" applyBorder="1" applyAlignment="1">
      <alignment horizontal="center" vertical="center"/>
    </xf>
    <xf numFmtId="38" fontId="23" fillId="0" borderId="0" xfId="0" applyNumberFormat="1" applyFont="1" applyBorder="1" applyAlignment="1">
      <alignment horizontal="center" vertical="center"/>
    </xf>
    <xf numFmtId="38" fontId="23" fillId="0" borderId="10" xfId="0" applyNumberFormat="1" applyFont="1" applyFill="1" applyBorder="1" applyAlignment="1">
      <alignment horizontal="center" vertical="center"/>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0" fillId="0" borderId="0" xfId="0"/>
    <xf numFmtId="0" fontId="0" fillId="0" borderId="10" xfId="0" applyBorder="1" applyAlignment="1">
      <alignment horizontal="center" vertical="center"/>
    </xf>
    <xf numFmtId="3" fontId="0" fillId="0" borderId="10" xfId="0" applyNumberFormat="1" applyFill="1" applyBorder="1" applyAlignment="1">
      <alignment horizontal="center" vertical="center"/>
    </xf>
    <xf numFmtId="38" fontId="19" fillId="0" borderId="10" xfId="0" applyNumberFormat="1" applyFont="1" applyFill="1" applyBorder="1" applyAlignment="1">
      <alignment horizontal="center" wrapText="1"/>
    </xf>
    <xf numFmtId="38" fontId="0" fillId="0" borderId="10" xfId="0" applyNumberFormat="1" applyFill="1" applyBorder="1" applyAlignment="1">
      <alignment horizontal="center" vertical="center" wrapText="1"/>
    </xf>
    <xf numFmtId="3" fontId="0" fillId="0" borderId="0" xfId="0" applyNumberFormat="1"/>
    <xf numFmtId="38" fontId="0" fillId="0" borderId="10" xfId="0" applyNumberFormat="1" applyBorder="1" applyAlignment="1">
      <alignment horizontal="center" vertical="center"/>
    </xf>
    <xf numFmtId="0" fontId="0" fillId="0" borderId="0" xfId="0" applyFill="1"/>
    <xf numFmtId="0" fontId="0" fillId="0" borderId="10" xfId="0" applyBorder="1" applyAlignment="1">
      <alignment horizontal="center"/>
    </xf>
    <xf numFmtId="38" fontId="19" fillId="0" borderId="10" xfId="0" applyNumberFormat="1" applyFont="1" applyFill="1" applyBorder="1" applyAlignment="1">
      <alignment horizontal="center"/>
    </xf>
    <xf numFmtId="0" fontId="39" fillId="0" borderId="0" xfId="0" applyFont="1" applyFill="1"/>
    <xf numFmtId="0" fontId="0" fillId="0" borderId="10" xfId="0" applyFill="1" applyBorder="1" applyAlignment="1">
      <alignment horizontal="center" wrapText="1"/>
    </xf>
    <xf numFmtId="38" fontId="0" fillId="0" borderId="12" xfId="0" applyNumberFormat="1" applyFill="1" applyBorder="1" applyAlignment="1">
      <alignment horizontal="center" vertical="center" wrapText="1"/>
    </xf>
    <xf numFmtId="0" fontId="0" fillId="0" borderId="0" xfId="0" applyFill="1" applyAlignment="1">
      <alignment horizontal="center" wrapText="1"/>
    </xf>
    <xf numFmtId="38" fontId="0" fillId="0" borderId="0" xfId="0" applyNumberFormat="1" applyFill="1" applyAlignment="1">
      <alignment wrapText="1"/>
    </xf>
    <xf numFmtId="38" fontId="0" fillId="0" borderId="0" xfId="0" applyNumberFormat="1" applyFill="1" applyAlignment="1">
      <alignment horizontal="center" wrapText="1"/>
    </xf>
    <xf numFmtId="0" fontId="20" fillId="0" borderId="0" xfId="0" applyFont="1" applyFill="1" applyAlignment="1">
      <alignment horizontal="center" wrapText="1"/>
    </xf>
    <xf numFmtId="0" fontId="0" fillId="0" borderId="0" xfId="0" applyFill="1" applyAlignment="1">
      <alignment wrapText="1"/>
    </xf>
    <xf numFmtId="38" fontId="23" fillId="0" borderId="12" xfId="0" applyNumberFormat="1" applyFont="1" applyFill="1" applyBorder="1" applyAlignment="1">
      <alignment horizontal="center" vertical="center"/>
    </xf>
    <xf numFmtId="38" fontId="0" fillId="0" borderId="12" xfId="0" applyNumberFormat="1" applyFill="1" applyBorder="1" applyAlignment="1">
      <alignment horizontal="center" wrapText="1"/>
    </xf>
    <xf numFmtId="38" fontId="0" fillId="0" borderId="13" xfId="0" applyNumberFormat="1" applyFill="1" applyBorder="1" applyAlignment="1">
      <alignment horizontal="center" vertical="center"/>
    </xf>
    <xf numFmtId="0" fontId="74" fillId="0" borderId="0" xfId="0" applyFont="1" applyFill="1"/>
    <xf numFmtId="0" fontId="0" fillId="0" borderId="14" xfId="0" applyFill="1" applyBorder="1" applyAlignment="1">
      <alignment horizontal="center"/>
    </xf>
    <xf numFmtId="0" fontId="0" fillId="0" borderId="22" xfId="0" applyFill="1" applyBorder="1"/>
    <xf numFmtId="0" fontId="23" fillId="0" borderId="0" xfId="0" applyFont="1" applyFill="1" applyBorder="1"/>
    <xf numFmtId="0" fontId="23" fillId="0" borderId="0" xfId="0" applyFont="1" applyFill="1"/>
    <xf numFmtId="0" fontId="23" fillId="0" borderId="22" xfId="0" applyFont="1" applyFill="1" applyBorder="1"/>
    <xf numFmtId="0" fontId="0" fillId="0" borderId="13" xfId="0" applyFill="1" applyBorder="1" applyAlignment="1">
      <alignment horizontal="left" wrapText="1"/>
    </xf>
    <xf numFmtId="1" fontId="0" fillId="29" borderId="10" xfId="0" applyNumberFormat="1" applyFill="1" applyBorder="1"/>
    <xf numFmtId="1" fontId="0" fillId="0" borderId="20" xfId="0" applyNumberFormat="1" applyBorder="1"/>
    <xf numFmtId="0" fontId="20" fillId="0" borderId="0" xfId="0" applyFont="1" applyFill="1" applyAlignment="1">
      <alignment horizontal="left"/>
    </xf>
    <xf numFmtId="0" fontId="0" fillId="0" borderId="10" xfId="0" applyFill="1" applyBorder="1" applyAlignment="1">
      <alignment horizontal="center" wrapText="1"/>
    </xf>
    <xf numFmtId="0" fontId="19" fillId="0" borderId="10" xfId="0" applyFont="1" applyFill="1" applyBorder="1" applyAlignment="1">
      <alignment horizontal="center" wrapText="1"/>
    </xf>
    <xf numFmtId="0" fontId="19" fillId="0" borderId="10" xfId="0" applyFont="1" applyFill="1" applyBorder="1" applyAlignment="1">
      <alignment horizontal="left"/>
    </xf>
    <xf numFmtId="0" fontId="19" fillId="0" borderId="10" xfId="0" applyFont="1" applyFill="1" applyBorder="1" applyAlignment="1">
      <alignment horizontal="left" wrapText="1"/>
    </xf>
    <xf numFmtId="0" fontId="19" fillId="0" borderId="10" xfId="0" applyFont="1" applyFill="1" applyBorder="1" applyAlignment="1">
      <alignment wrapText="1"/>
    </xf>
    <xf numFmtId="3" fontId="0" fillId="0" borderId="12" xfId="0" applyNumberFormat="1" applyFill="1" applyBorder="1" applyAlignment="1">
      <alignment horizontal="center" vertical="center"/>
    </xf>
    <xf numFmtId="0" fontId="20" fillId="0" borderId="10" xfId="0" applyFont="1" applyFill="1" applyBorder="1" applyAlignment="1">
      <alignment horizontal="left" wrapText="1"/>
    </xf>
    <xf numFmtId="0" fontId="19" fillId="0" borderId="10" xfId="0" applyFont="1" applyBorder="1" applyAlignment="1">
      <alignment horizontal="left"/>
    </xf>
    <xf numFmtId="38" fontId="19" fillId="0" borderId="10" xfId="0" applyNumberFormat="1" applyFont="1" applyBorder="1" applyAlignment="1">
      <alignment horizontal="center" vertical="center"/>
    </xf>
    <xf numFmtId="0" fontId="19" fillId="0" borderId="10" xfId="0" applyFont="1" applyBorder="1" applyAlignment="1">
      <alignment horizontal="left" wrapText="1"/>
    </xf>
    <xf numFmtId="0" fontId="19" fillId="0" borderId="16" xfId="0" applyFont="1" applyFill="1" applyBorder="1" applyAlignment="1">
      <alignment horizontal="left" wrapText="1"/>
    </xf>
    <xf numFmtId="0" fontId="20" fillId="0" borderId="10" xfId="0" applyFont="1" applyFill="1" applyBorder="1" applyAlignment="1">
      <alignment horizontal="left"/>
    </xf>
    <xf numFmtId="0" fontId="19" fillId="0" borderId="10"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0" xfId="0" applyFont="1" applyBorder="1" applyAlignment="1">
      <alignment wrapText="1"/>
    </xf>
    <xf numFmtId="0" fontId="19" fillId="0" borderId="11" xfId="0" applyFont="1" applyBorder="1"/>
    <xf numFmtId="0" fontId="0" fillId="0" borderId="14" xfId="0" applyBorder="1" applyAlignment="1">
      <alignment horizontal="center"/>
    </xf>
    <xf numFmtId="38" fontId="19" fillId="0" borderId="13" xfId="0" applyNumberFormat="1" applyFont="1" applyFill="1" applyBorder="1" applyAlignment="1">
      <alignment horizontal="center"/>
    </xf>
    <xf numFmtId="38" fontId="0" fillId="0" borderId="13" xfId="0" applyNumberFormat="1" applyFill="1" applyBorder="1" applyAlignment="1">
      <alignment horizontal="center"/>
    </xf>
    <xf numFmtId="0" fontId="19" fillId="0" borderId="10" xfId="0" applyFont="1" applyFill="1" applyBorder="1" applyAlignment="1">
      <alignment horizontal="center"/>
    </xf>
    <xf numFmtId="0" fontId="0" fillId="0" borderId="10" xfId="0" applyFill="1" applyBorder="1" applyAlignment="1">
      <alignment horizontal="center"/>
    </xf>
    <xf numFmtId="0" fontId="19" fillId="0" borderId="10" xfId="0" applyFont="1" applyFill="1" applyBorder="1" applyAlignment="1"/>
    <xf numFmtId="0" fontId="19" fillId="30" borderId="10" xfId="0" applyFont="1" applyFill="1" applyBorder="1" applyAlignment="1"/>
    <xf numFmtId="38" fontId="48" fillId="30" borderId="10" xfId="0" applyNumberFormat="1" applyFont="1" applyFill="1" applyBorder="1" applyAlignment="1">
      <alignment horizontal="right"/>
    </xf>
    <xf numFmtId="38" fontId="48" fillId="30" borderId="10" xfId="0" applyNumberFormat="1" applyFont="1" applyFill="1" applyBorder="1"/>
    <xf numFmtId="38" fontId="19" fillId="30" borderId="10" xfId="0" applyNumberFormat="1" applyFont="1" applyFill="1" applyBorder="1" applyAlignment="1">
      <alignment horizontal="right"/>
    </xf>
    <xf numFmtId="38" fontId="0" fillId="30" borderId="10" xfId="0" applyNumberFormat="1" applyFill="1" applyBorder="1"/>
    <xf numFmtId="9" fontId="0" fillId="30" borderId="10" xfId="0" applyNumberFormat="1" applyFill="1" applyBorder="1"/>
    <xf numFmtId="164" fontId="0" fillId="30" borderId="10" xfId="0" applyNumberFormat="1" applyFill="1" applyBorder="1"/>
    <xf numFmtId="0" fontId="19" fillId="0" borderId="13" xfId="0" applyFont="1" applyBorder="1"/>
    <xf numFmtId="38" fontId="19" fillId="0" borderId="13" xfId="0" applyNumberFormat="1" applyFont="1" applyFill="1" applyBorder="1"/>
    <xf numFmtId="0" fontId="0" fillId="0" borderId="12" xfId="0" applyBorder="1"/>
    <xf numFmtId="38" fontId="0" fillId="0" borderId="12" xfId="0" applyNumberFormat="1" applyBorder="1"/>
    <xf numFmtId="38" fontId="0" fillId="0" borderId="13" xfId="0" applyNumberFormat="1" applyBorder="1"/>
    <xf numFmtId="0" fontId="0" fillId="0" borderId="12" xfId="0" applyFill="1" applyBorder="1"/>
    <xf numFmtId="1" fontId="19" fillId="26" borderId="10" xfId="0" applyNumberFormat="1" applyFont="1" applyFill="1" applyBorder="1"/>
    <xf numFmtId="38" fontId="0" fillId="0" borderId="10" xfId="0" applyNumberFormat="1" applyFill="1" applyBorder="1" applyAlignment="1">
      <alignment horizontal="right"/>
    </xf>
    <xf numFmtId="0" fontId="83" fillId="0" borderId="0" xfId="0" applyFont="1" applyAlignment="1">
      <alignment vertical="center" wrapText="1"/>
    </xf>
    <xf numFmtId="0" fontId="19" fillId="0" borderId="0" xfId="0" applyFont="1" applyBorder="1" applyAlignment="1">
      <alignment horizontal="left" wrapText="1"/>
    </xf>
    <xf numFmtId="0" fontId="19" fillId="26" borderId="10" xfId="0" applyFont="1" applyFill="1" applyBorder="1" applyAlignment="1" applyProtection="1">
      <alignment horizontal="left"/>
    </xf>
    <xf numFmtId="0" fontId="19" fillId="0" borderId="0" xfId="0" applyFont="1" applyBorder="1"/>
    <xf numFmtId="0" fontId="19" fillId="26" borderId="16" xfId="0" applyFont="1" applyFill="1" applyBorder="1"/>
    <xf numFmtId="1" fontId="31" fillId="0" borderId="10" xfId="0" applyNumberFormat="1" applyFont="1" applyFill="1" applyBorder="1"/>
    <xf numFmtId="0" fontId="20" fillId="0" borderId="13" xfId="0" applyFont="1" applyBorder="1"/>
    <xf numFmtId="0" fontId="20" fillId="0" borderId="0" xfId="0" applyFont="1" applyBorder="1" applyAlignment="1"/>
    <xf numFmtId="0" fontId="20" fillId="0" borderId="0" xfId="0" applyFont="1" applyFill="1" applyBorder="1" applyAlignment="1">
      <alignment horizontal="center"/>
    </xf>
    <xf numFmtId="38" fontId="0" fillId="0" borderId="0" xfId="0" applyNumberFormat="1" applyBorder="1"/>
    <xf numFmtId="0" fontId="20" fillId="0" borderId="40" xfId="0" applyFont="1" applyBorder="1" applyAlignment="1"/>
    <xf numFmtId="0" fontId="25" fillId="0" borderId="40" xfId="0" applyFont="1" applyBorder="1" applyAlignment="1">
      <alignment vertical="center" wrapText="1"/>
    </xf>
    <xf numFmtId="0" fontId="25" fillId="0" borderId="40" xfId="0" applyFont="1" applyBorder="1" applyAlignment="1">
      <alignment horizontal="center" vertical="center" wrapText="1"/>
    </xf>
    <xf numFmtId="0" fontId="25" fillId="0" borderId="0" xfId="0" applyFont="1" applyBorder="1" applyAlignment="1">
      <alignment horizontal="center" vertical="center" wrapText="1"/>
    </xf>
    <xf numFmtId="0" fontId="0" fillId="0" borderId="40" xfId="0" applyBorder="1"/>
    <xf numFmtId="0" fontId="25" fillId="0" borderId="40" xfId="0" applyFont="1" applyFill="1" applyBorder="1" applyAlignment="1">
      <alignment horizontal="center" vertical="center" wrapText="1"/>
    </xf>
    <xf numFmtId="0" fontId="20" fillId="0" borderId="40" xfId="0" applyFont="1" applyBorder="1" applyAlignment="1">
      <alignment horizontal="center" wrapText="1"/>
    </xf>
    <xf numFmtId="0" fontId="20" fillId="0" borderId="40" xfId="0" applyFont="1" applyFill="1" applyBorder="1" applyAlignment="1">
      <alignment horizontal="center" wrapText="1"/>
    </xf>
    <xf numFmtId="0" fontId="24" fillId="0" borderId="40" xfId="0" applyFont="1" applyBorder="1" applyAlignment="1">
      <alignment horizontal="center" vertical="center" wrapText="1"/>
    </xf>
    <xf numFmtId="0" fontId="43" fillId="0" borderId="40" xfId="45343" applyFont="1" applyBorder="1" applyAlignment="1">
      <alignment horizontal="center" vertical="top" wrapText="1"/>
    </xf>
    <xf numFmtId="0" fontId="24" fillId="0" borderId="40" xfId="0" applyFont="1" applyBorder="1" applyAlignment="1">
      <alignment horizontal="right" vertical="center" wrapText="1"/>
    </xf>
    <xf numFmtId="0" fontId="24" fillId="0" borderId="40" xfId="0" quotePrefix="1" applyFont="1" applyBorder="1" applyAlignment="1">
      <alignment horizontal="center" vertical="center" wrapText="1"/>
    </xf>
    <xf numFmtId="0" fontId="24" fillId="0" borderId="0" xfId="0" quotePrefix="1" applyFont="1" applyBorder="1" applyAlignment="1">
      <alignment horizontal="center" vertical="center" wrapText="1"/>
    </xf>
    <xf numFmtId="0" fontId="24" fillId="0" borderId="40" xfId="0" applyFont="1" applyFill="1" applyBorder="1" applyAlignment="1">
      <alignment horizontal="center" vertical="center" wrapText="1"/>
    </xf>
    <xf numFmtId="0" fontId="86" fillId="0" borderId="40" xfId="0" applyFont="1" applyBorder="1" applyAlignment="1">
      <alignment horizontal="right" vertical="center" wrapText="1"/>
    </xf>
    <xf numFmtId="0" fontId="24" fillId="0" borderId="0" xfId="0" applyFont="1" applyBorder="1" applyAlignment="1">
      <alignment horizontal="right" vertical="center" wrapText="1"/>
    </xf>
    <xf numFmtId="0" fontId="86" fillId="0" borderId="40" xfId="0" applyFont="1" applyFill="1" applyBorder="1" applyAlignment="1">
      <alignment horizontal="right" vertical="center" wrapText="1"/>
    </xf>
    <xf numFmtId="0" fontId="24" fillId="0" borderId="40" xfId="0" applyFont="1" applyFill="1" applyBorder="1" applyAlignment="1">
      <alignment horizontal="right" vertical="center" wrapText="1"/>
    </xf>
    <xf numFmtId="3" fontId="87" fillId="0" borderId="40" xfId="0" applyNumberFormat="1" applyFont="1" applyBorder="1"/>
    <xf numFmtId="3" fontId="19" fillId="0" borderId="40" xfId="0" applyNumberFormat="1" applyFont="1" applyBorder="1"/>
    <xf numFmtId="3" fontId="87" fillId="0" borderId="40" xfId="0" applyNumberFormat="1" applyFont="1" applyFill="1" applyBorder="1"/>
    <xf numFmtId="3" fontId="0" fillId="0" borderId="40" xfId="0" applyNumberFormat="1" applyBorder="1"/>
    <xf numFmtId="38" fontId="86" fillId="0" borderId="40" xfId="0" applyNumberFormat="1" applyFont="1" applyBorder="1" applyAlignment="1">
      <alignment horizontal="right" vertical="center" wrapText="1"/>
    </xf>
    <xf numFmtId="38" fontId="24" fillId="0" borderId="40" xfId="0" applyNumberFormat="1" applyFont="1" applyBorder="1" applyAlignment="1">
      <alignment horizontal="right" vertical="center" wrapText="1"/>
    </xf>
    <xf numFmtId="38" fontId="0" fillId="0" borderId="40" xfId="0" applyNumberFormat="1" applyBorder="1"/>
    <xf numFmtId="38" fontId="86" fillId="0" borderId="40" xfId="0" applyNumberFormat="1" applyFont="1" applyFill="1" applyBorder="1" applyAlignment="1">
      <alignment horizontal="right" vertical="center" wrapText="1"/>
    </xf>
    <xf numFmtId="38" fontId="24" fillId="0" borderId="40" xfId="0" applyNumberFormat="1" applyFont="1" applyFill="1" applyBorder="1" applyAlignment="1">
      <alignment horizontal="right" vertical="center" wrapText="1"/>
    </xf>
    <xf numFmtId="0" fontId="24" fillId="0" borderId="0" xfId="0" applyFont="1" applyFill="1" applyBorder="1" applyAlignment="1">
      <alignment horizontal="right" vertical="center" wrapText="1"/>
    </xf>
    <xf numFmtId="0" fontId="0" fillId="0" borderId="40" xfId="0" applyFill="1" applyBorder="1"/>
    <xf numFmtId="3" fontId="0" fillId="0" borderId="40" xfId="0" applyNumberFormat="1" applyFill="1" applyBorder="1"/>
    <xf numFmtId="3" fontId="87" fillId="0" borderId="0" xfId="0" applyNumberFormat="1" applyFont="1" applyFill="1" applyBorder="1"/>
    <xf numFmtId="0" fontId="85" fillId="0" borderId="0" xfId="45343" applyAlignment="1">
      <alignment vertical="center"/>
    </xf>
    <xf numFmtId="38" fontId="20" fillId="0" borderId="0" xfId="0" applyNumberFormat="1" applyFont="1"/>
    <xf numFmtId="0" fontId="20" fillId="27" borderId="10" xfId="0" applyFont="1" applyFill="1" applyBorder="1"/>
    <xf numFmtId="0" fontId="24" fillId="0" borderId="10" xfId="0" applyFont="1" applyFill="1" applyBorder="1" applyAlignment="1">
      <alignment horizontal="center"/>
    </xf>
    <xf numFmtId="0" fontId="0" fillId="0" borderId="44" xfId="0" applyBorder="1" applyAlignment="1">
      <alignment horizontal="left" vertical="center" wrapText="1"/>
    </xf>
    <xf numFmtId="0" fontId="0" fillId="0" borderId="44" xfId="0" applyBorder="1" applyAlignment="1">
      <alignment horizontal="right" vertical="center" wrapText="1"/>
    </xf>
    <xf numFmtId="1" fontId="39" fillId="0" borderId="0" xfId="0" applyNumberFormat="1" applyFont="1" applyFill="1" applyBorder="1"/>
    <xf numFmtId="38" fontId="48" fillId="0" borderId="0" xfId="3722" applyNumberFormat="1" applyFont="1" applyFill="1" applyBorder="1" applyAlignment="1">
      <alignment horizontal="right"/>
    </xf>
    <xf numFmtId="38" fontId="34" fillId="0" borderId="10" xfId="0" applyNumberFormat="1" applyFont="1" applyFill="1" applyBorder="1" applyAlignment="1"/>
    <xf numFmtId="0" fontId="20" fillId="0" borderId="0" xfId="0" applyFont="1" applyFill="1" applyBorder="1" applyAlignment="1"/>
    <xf numFmtId="0" fontId="20" fillId="0" borderId="0" xfId="0" applyFont="1" applyFill="1" applyBorder="1" applyAlignment="1">
      <alignment horizontal="left"/>
    </xf>
    <xf numFmtId="38" fontId="0" fillId="0" borderId="13" xfId="0" applyNumberFormat="1" applyFill="1" applyBorder="1" applyAlignment="1">
      <alignment horizontal="center" vertical="center" wrapText="1"/>
    </xf>
    <xf numFmtId="38" fontId="50" fillId="0" borderId="13" xfId="0" applyNumberFormat="1" applyFont="1" applyFill="1" applyBorder="1"/>
    <xf numFmtId="0" fontId="48" fillId="0" borderId="0" xfId="0" applyFont="1" applyFill="1"/>
    <xf numFmtId="0" fontId="20" fillId="0" borderId="50" xfId="0" applyFont="1" applyFill="1" applyBorder="1" applyAlignment="1">
      <alignment horizontal="center" vertical="center" wrapText="1"/>
    </xf>
    <xf numFmtId="0" fontId="19" fillId="0" borderId="13" xfId="0" applyFont="1" applyFill="1" applyBorder="1" applyAlignment="1">
      <alignment horizontal="center" vertical="center"/>
    </xf>
    <xf numFmtId="0" fontId="25" fillId="0" borderId="40" xfId="0" applyFont="1" applyFill="1" applyBorder="1" applyAlignment="1">
      <alignment vertical="center" wrapText="1"/>
    </xf>
    <xf numFmtId="38" fontId="0" fillId="0" borderId="40" xfId="0" applyNumberFormat="1" applyFill="1" applyBorder="1"/>
    <xf numFmtId="1" fontId="19" fillId="0" borderId="0" xfId="0" applyNumberFormat="1" applyFont="1"/>
    <xf numFmtId="0" fontId="91" fillId="0" borderId="0" xfId="0" applyFont="1" applyFill="1" applyAlignment="1">
      <alignment vertical="center" wrapText="1"/>
    </xf>
    <xf numFmtId="0" fontId="91" fillId="0" borderId="0" xfId="0" applyFont="1" applyFill="1" applyAlignment="1">
      <alignment horizontal="center" vertical="center" wrapText="1"/>
    </xf>
    <xf numFmtId="0" fontId="91" fillId="0" borderId="0" xfId="0" applyFont="1" applyFill="1" applyAlignment="1">
      <alignment vertical="center"/>
    </xf>
    <xf numFmtId="0" fontId="92" fillId="0" borderId="0" xfId="0" applyFont="1" applyFill="1" applyAlignment="1">
      <alignment horizontal="right" vertical="center" wrapText="1"/>
    </xf>
    <xf numFmtId="0" fontId="91" fillId="0" borderId="0" xfId="0" applyFont="1" applyFill="1" applyAlignment="1">
      <alignment horizontal="left" vertical="center"/>
    </xf>
    <xf numFmtId="14" fontId="20" fillId="0" borderId="50" xfId="0" applyNumberFormat="1" applyFont="1" applyFill="1" applyBorder="1" applyAlignment="1">
      <alignment horizontal="center" vertical="center" wrapText="1"/>
    </xf>
    <xf numFmtId="0" fontId="93" fillId="0" borderId="44" xfId="0" applyFont="1" applyBorder="1" applyAlignment="1">
      <alignment horizontal="left" vertical="center" wrapText="1"/>
    </xf>
    <xf numFmtId="0" fontId="93" fillId="0" borderId="44" xfId="0" applyFont="1" applyBorder="1" applyAlignment="1">
      <alignment horizontal="center" vertical="center" wrapText="1"/>
    </xf>
    <xf numFmtId="0" fontId="89" fillId="0" borderId="48" xfId="0" applyFont="1" applyBorder="1" applyAlignment="1">
      <alignment horizontal="center" vertical="center" wrapText="1"/>
    </xf>
    <xf numFmtId="0" fontId="89" fillId="0" borderId="49" xfId="0" applyFont="1" applyBorder="1" applyAlignment="1">
      <alignment horizontal="center" vertical="center" wrapText="1"/>
    </xf>
    <xf numFmtId="166" fontId="23" fillId="0" borderId="0" xfId="0" applyNumberFormat="1" applyFont="1" applyFill="1" applyBorder="1"/>
    <xf numFmtId="0" fontId="94" fillId="0" borderId="44" xfId="0" applyFont="1" applyBorder="1" applyAlignment="1">
      <alignment horizontal="right" vertical="center" wrapText="1"/>
    </xf>
    <xf numFmtId="0" fontId="95" fillId="0" borderId="44" xfId="0" applyFont="1" applyBorder="1" applyAlignment="1">
      <alignment horizontal="center" vertical="center" wrapText="1"/>
    </xf>
    <xf numFmtId="38" fontId="19" fillId="0" borderId="10" xfId="0" applyNumberFormat="1" applyFont="1" applyBorder="1" applyAlignment="1">
      <alignment horizontal="center" wrapText="1"/>
    </xf>
    <xf numFmtId="0" fontId="94" fillId="0" borderId="44" xfId="0" applyFont="1" applyBorder="1" applyAlignment="1">
      <alignment horizontal="left" vertical="center" wrapText="1"/>
    </xf>
    <xf numFmtId="0" fontId="95" fillId="0" borderId="44" xfId="0" applyFont="1" applyBorder="1" applyAlignment="1">
      <alignment horizontal="left" vertical="center" wrapText="1"/>
    </xf>
    <xf numFmtId="4" fontId="41" fillId="0" borderId="0" xfId="0" applyNumberFormat="1" applyFont="1" applyFill="1" applyBorder="1"/>
    <xf numFmtId="38" fontId="76" fillId="0" borderId="10" xfId="45344" applyNumberFormat="1" applyFont="1" applyFill="1" applyBorder="1" applyAlignment="1">
      <alignment horizontal="right"/>
    </xf>
    <xf numFmtId="38" fontId="48" fillId="0" borderId="10" xfId="45344" applyNumberFormat="1" applyFont="1" applyFill="1" applyBorder="1"/>
    <xf numFmtId="38" fontId="76" fillId="30" borderId="10" xfId="0" applyNumberFormat="1" applyFont="1" applyFill="1" applyBorder="1"/>
    <xf numFmtId="38" fontId="76" fillId="0" borderId="10" xfId="45344" applyNumberFormat="1" applyFont="1" applyFill="1" applyBorder="1"/>
    <xf numFmtId="38" fontId="48" fillId="0" borderId="10" xfId="45344" applyNumberFormat="1" applyFont="1" applyFill="1" applyBorder="1" applyAlignment="1">
      <alignment horizontal="right"/>
    </xf>
    <xf numFmtId="0" fontId="0" fillId="31" borderId="0" xfId="0" applyFill="1"/>
    <xf numFmtId="0" fontId="19" fillId="31" borderId="0" xfId="0" applyFont="1" applyFill="1"/>
    <xf numFmtId="38" fontId="48" fillId="27" borderId="10" xfId="45344" applyNumberFormat="1" applyFont="1" applyFill="1" applyBorder="1"/>
    <xf numFmtId="38" fontId="48" fillId="0" borderId="0" xfId="0" applyNumberFormat="1" applyFont="1"/>
    <xf numFmtId="38" fontId="19" fillId="0" borderId="0" xfId="0" applyNumberFormat="1" applyFont="1"/>
    <xf numFmtId="38" fontId="48" fillId="0" borderId="10" xfId="45344" applyNumberFormat="1" applyFont="1" applyBorder="1" applyAlignment="1">
      <alignment horizontal="right"/>
    </xf>
    <xf numFmtId="38" fontId="48" fillId="0" borderId="10" xfId="45344" applyNumberFormat="1" applyFont="1" applyBorder="1"/>
    <xf numFmtId="14" fontId="20" fillId="0" borderId="50" xfId="0" applyNumberFormat="1" applyFont="1" applyBorder="1" applyAlignment="1">
      <alignment horizontal="center" vertical="center" wrapText="1"/>
    </xf>
    <xf numFmtId="0" fontId="0" fillId="0" borderId="13" xfId="0" applyBorder="1" applyAlignment="1">
      <alignment horizontal="left" wrapText="1"/>
    </xf>
    <xf numFmtId="38" fontId="0" fillId="0" borderId="39" xfId="0" applyNumberFormat="1" applyBorder="1"/>
    <xf numFmtId="0" fontId="0" fillId="0" borderId="10" xfId="0" applyBorder="1" applyAlignment="1">
      <alignment horizontal="left" wrapText="1"/>
    </xf>
    <xf numFmtId="0" fontId="19" fillId="0" borderId="0" xfId="0" applyFont="1" applyAlignment="1">
      <alignment horizontal="right" vertical="center" wrapText="1"/>
    </xf>
    <xf numFmtId="0" fontId="91" fillId="0" borderId="0" xfId="0" applyFont="1" applyAlignment="1">
      <alignment vertical="center" wrapText="1"/>
    </xf>
    <xf numFmtId="0" fontId="91" fillId="0" borderId="0" xfId="0" applyFont="1" applyAlignment="1">
      <alignment horizontal="center" vertical="center" wrapText="1"/>
    </xf>
    <xf numFmtId="0" fontId="91" fillId="0" borderId="0" xfId="0" applyFont="1" applyAlignment="1">
      <alignment vertical="center"/>
    </xf>
    <xf numFmtId="0" fontId="92" fillId="0" borderId="0" xfId="0" applyFont="1" applyAlignment="1">
      <alignment horizontal="left" vertical="center"/>
    </xf>
    <xf numFmtId="0" fontId="92" fillId="0" borderId="0" xfId="0" applyFont="1" applyAlignment="1">
      <alignment horizontal="right" vertical="center"/>
    </xf>
    <xf numFmtId="0" fontId="92" fillId="0" borderId="0" xfId="0" applyFont="1" applyAlignment="1">
      <alignment horizontal="right" vertical="center" wrapText="1"/>
    </xf>
    <xf numFmtId="0" fontId="91" fillId="0" borderId="0" xfId="0" applyFont="1" applyAlignment="1">
      <alignment horizontal="left" vertical="center"/>
    </xf>
    <xf numFmtId="0" fontId="91" fillId="0" borderId="0" xfId="0" applyFont="1" applyAlignment="1">
      <alignment horizontal="right" vertical="center"/>
    </xf>
    <xf numFmtId="0" fontId="41" fillId="0" borderId="19" xfId="0" applyFont="1" applyBorder="1" applyAlignment="1">
      <alignment horizontal="center"/>
    </xf>
    <xf numFmtId="0" fontId="41" fillId="0" borderId="0" xfId="0" applyFont="1" applyAlignment="1">
      <alignment horizontal="center"/>
    </xf>
    <xf numFmtId="0" fontId="41" fillId="0" borderId="24" xfId="0" applyFont="1" applyBorder="1" applyAlignment="1">
      <alignment horizontal="center"/>
    </xf>
    <xf numFmtId="10" fontId="0" fillId="0" borderId="24" xfId="0" applyNumberFormat="1" applyBorder="1" applyAlignment="1">
      <alignment horizontal="center"/>
    </xf>
    <xf numFmtId="3" fontId="79" fillId="0" borderId="19" xfId="92" applyNumberFormat="1" applyFont="1" applyBorder="1" applyAlignment="1">
      <alignment horizontal="center"/>
    </xf>
    <xf numFmtId="1" fontId="80" fillId="0" borderId="0" xfId="92" applyNumberFormat="1" applyFont="1" applyAlignment="1">
      <alignment horizontal="center"/>
    </xf>
    <xf numFmtId="165" fontId="80" fillId="0" borderId="0" xfId="92" applyNumberFormat="1" applyFont="1" applyAlignment="1">
      <alignment horizontal="center"/>
    </xf>
    <xf numFmtId="10" fontId="0" fillId="0" borderId="25" xfId="0" applyNumberFormat="1" applyBorder="1" applyAlignment="1">
      <alignment horizontal="center"/>
    </xf>
    <xf numFmtId="3" fontId="79" fillId="0" borderId="20" xfId="92" applyNumberFormat="1" applyFont="1" applyBorder="1" applyAlignment="1">
      <alignment horizontal="center"/>
    </xf>
    <xf numFmtId="165" fontId="80" fillId="0" borderId="21" xfId="92" applyNumberFormat="1" applyFont="1" applyBorder="1" applyAlignment="1">
      <alignment horizontal="center"/>
    </xf>
    <xf numFmtId="1" fontId="80" fillId="0" borderId="21" xfId="92" applyNumberFormat="1" applyFont="1" applyBorder="1" applyAlignment="1">
      <alignment horizontal="center"/>
    </xf>
    <xf numFmtId="164" fontId="48" fillId="0" borderId="0" xfId="0" applyNumberFormat="1" applyFont="1"/>
    <xf numFmtId="164" fontId="48" fillId="0" borderId="24" xfId="0" applyNumberFormat="1" applyFont="1" applyBorder="1"/>
    <xf numFmtId="3" fontId="20" fillId="0" borderId="0" xfId="0" applyNumberFormat="1" applyFont="1"/>
    <xf numFmtId="3" fontId="79" fillId="0" borderId="19" xfId="92" applyNumberFormat="1" applyFont="1" applyFill="1" applyBorder="1" applyAlignment="1">
      <alignment horizontal="center"/>
    </xf>
    <xf numFmtId="1" fontId="80" fillId="0" borderId="0" xfId="92" applyNumberFormat="1" applyFont="1" applyFill="1" applyAlignment="1">
      <alignment horizontal="center"/>
    </xf>
    <xf numFmtId="3" fontId="79" fillId="0" borderId="20" xfId="92" applyNumberFormat="1" applyFont="1" applyFill="1" applyBorder="1" applyAlignment="1">
      <alignment horizontal="center"/>
    </xf>
    <xf numFmtId="1" fontId="80" fillId="0" borderId="21" xfId="92" applyNumberFormat="1" applyFont="1" applyFill="1" applyBorder="1" applyAlignment="1">
      <alignment horizontal="center"/>
    </xf>
    <xf numFmtId="38" fontId="52" fillId="0" borderId="0" xfId="0" applyNumberFormat="1" applyFont="1" applyFill="1"/>
    <xf numFmtId="3" fontId="20" fillId="0" borderId="0" xfId="0" applyNumberFormat="1" applyFont="1" applyFill="1"/>
    <xf numFmtId="0" fontId="90" fillId="0" borderId="45" xfId="0" applyFont="1" applyBorder="1" applyAlignment="1">
      <alignment horizontal="center" vertical="center" wrapText="1"/>
    </xf>
    <xf numFmtId="0" fontId="90" fillId="0" borderId="46" xfId="0" applyFont="1" applyBorder="1" applyAlignment="1">
      <alignment horizontal="center" vertical="center" wrapText="1"/>
    </xf>
    <xf numFmtId="0" fontId="90" fillId="0" borderId="47" xfId="0" applyFont="1" applyBorder="1" applyAlignment="1">
      <alignment horizontal="center" vertical="center" wrapText="1"/>
    </xf>
    <xf numFmtId="0" fontId="95" fillId="0" borderId="48" xfId="0" applyFont="1" applyBorder="1" applyAlignment="1">
      <alignment horizontal="center" vertical="center" wrapText="1"/>
    </xf>
    <xf numFmtId="0" fontId="95" fillId="0" borderId="49" xfId="0" applyFont="1" applyBorder="1" applyAlignment="1">
      <alignment horizontal="center" vertical="center" wrapText="1"/>
    </xf>
    <xf numFmtId="0" fontId="42" fillId="0" borderId="17" xfId="0" applyFont="1" applyBorder="1" applyAlignment="1">
      <alignment horizontal="center" vertical="center"/>
    </xf>
    <xf numFmtId="0" fontId="0" fillId="0" borderId="18" xfId="0" applyBorder="1" applyAlignment="1">
      <alignment horizontal="center" vertical="center"/>
    </xf>
    <xf numFmtId="0" fontId="42" fillId="0" borderId="26" xfId="0" applyFont="1" applyBorder="1" applyAlignment="1">
      <alignment horizontal="center" vertical="center"/>
    </xf>
    <xf numFmtId="0" fontId="41" fillId="0" borderId="19" xfId="0" applyFont="1" applyBorder="1" applyAlignment="1">
      <alignment horizontal="center" wrapText="1"/>
    </xf>
    <xf numFmtId="0" fontId="0" fillId="0" borderId="0" xfId="0" applyAlignment="1">
      <alignment horizontal="center" wrapText="1"/>
    </xf>
    <xf numFmtId="0" fontId="96" fillId="0" borderId="48" xfId="0" applyFont="1" applyBorder="1" applyAlignment="1">
      <alignment horizontal="center" vertical="center" wrapText="1"/>
    </xf>
    <xf numFmtId="0" fontId="96" fillId="0" borderId="49" xfId="0" applyFont="1" applyBorder="1" applyAlignment="1">
      <alignment horizontal="center" vertical="center" wrapText="1"/>
    </xf>
    <xf numFmtId="0" fontId="96" fillId="0" borderId="44" xfId="0" applyFont="1" applyBorder="1" applyAlignment="1">
      <alignment horizontal="left" vertical="center" wrapText="1"/>
    </xf>
    <xf numFmtId="38" fontId="48" fillId="0" borderId="0" xfId="92" applyNumberFormat="1" applyFont="1"/>
    <xf numFmtId="38" fontId="52" fillId="0" borderId="0" xfId="0" applyNumberFormat="1" applyFont="1"/>
    <xf numFmtId="38" fontId="50" fillId="0" borderId="16" xfId="0" applyNumberFormat="1" applyFont="1" applyBorder="1"/>
    <xf numFmtId="38" fontId="50" fillId="0" borderId="13" xfId="0" applyNumberFormat="1" applyFont="1" applyBorder="1"/>
    <xf numFmtId="0" fontId="20" fillId="0" borderId="14" xfId="0" applyFont="1" applyFill="1" applyBorder="1"/>
    <xf numFmtId="16" fontId="97" fillId="0" borderId="0" xfId="0" applyNumberFormat="1" applyFont="1" applyFill="1" applyBorder="1"/>
    <xf numFmtId="0" fontId="19" fillId="0" borderId="0" xfId="0" applyFont="1" applyFill="1" applyBorder="1"/>
    <xf numFmtId="3" fontId="0" fillId="0" borderId="0" xfId="0" applyNumberFormat="1" applyFill="1" applyBorder="1"/>
    <xf numFmtId="0" fontId="20" fillId="0" borderId="0" xfId="0" applyFont="1" applyAlignment="1">
      <alignment horizontal="center" vertical="center" wrapText="1"/>
    </xf>
    <xf numFmtId="0" fontId="0" fillId="0" borderId="0" xfId="0" applyAlignment="1">
      <alignment horizontal="left" vertical="center" wrapText="1"/>
    </xf>
    <xf numFmtId="0" fontId="0" fillId="0" borderId="0" xfId="0" applyAlignment="1">
      <alignment horizontal="right" vertical="center" wrapText="1"/>
    </xf>
    <xf numFmtId="0" fontId="98" fillId="0" borderId="0" xfId="0" applyFont="1" applyAlignment="1">
      <alignment horizontal="left" vertical="center" wrapText="1"/>
    </xf>
    <xf numFmtId="0" fontId="98" fillId="0" borderId="0" xfId="0" applyFont="1" applyAlignment="1">
      <alignment horizontal="center" vertical="center" wrapText="1"/>
    </xf>
    <xf numFmtId="3" fontId="79" fillId="29" borderId="20" xfId="92" applyNumberFormat="1" applyFont="1" applyFill="1" applyBorder="1" applyAlignment="1">
      <alignment horizontal="center"/>
    </xf>
    <xf numFmtId="0" fontId="19" fillId="0" borderId="0" xfId="0" applyFont="1" applyAlignment="1">
      <alignment wrapText="1"/>
    </xf>
    <xf numFmtId="0" fontId="20" fillId="0" borderId="40" xfId="0" applyFont="1" applyBorder="1" applyAlignment="1">
      <alignment horizontal="center"/>
    </xf>
    <xf numFmtId="0" fontId="20" fillId="0" borderId="41" xfId="0" applyFont="1" applyBorder="1" applyAlignment="1">
      <alignment horizontal="center"/>
    </xf>
    <xf numFmtId="0" fontId="20" fillId="0" borderId="42" xfId="0" applyFont="1" applyBorder="1" applyAlignment="1">
      <alignment horizontal="center"/>
    </xf>
    <xf numFmtId="0" fontId="20" fillId="0" borderId="43" xfId="0" applyFont="1" applyBorder="1" applyAlignment="1">
      <alignment horizontal="center"/>
    </xf>
    <xf numFmtId="0" fontId="19" fillId="0" borderId="0" xfId="0" applyFont="1" applyAlignment="1">
      <alignment horizontal="left" wrapText="1"/>
    </xf>
    <xf numFmtId="0" fontId="25" fillId="0" borderId="21" xfId="0" applyFont="1" applyFill="1" applyBorder="1" applyAlignment="1">
      <alignment horizontal="left" wrapText="1"/>
    </xf>
    <xf numFmtId="0" fontId="24" fillId="0" borderId="11" xfId="0" applyFont="1" applyFill="1" applyBorder="1" applyAlignment="1">
      <alignment horizontal="center" wrapText="1"/>
    </xf>
    <xf numFmtId="0" fontId="24" fillId="0" borderId="13" xfId="0" applyFont="1" applyFill="1" applyBorder="1" applyAlignment="1">
      <alignment horizontal="center" wrapText="1"/>
    </xf>
    <xf numFmtId="0" fontId="24" fillId="0" borderId="10" xfId="0" applyFont="1" applyFill="1" applyBorder="1" applyAlignment="1">
      <alignment horizontal="center"/>
    </xf>
    <xf numFmtId="164" fontId="25" fillId="0" borderId="0" xfId="0" applyNumberFormat="1" applyFont="1" applyAlignment="1">
      <alignment horizontal="left" wrapText="1"/>
    </xf>
    <xf numFmtId="0" fontId="20" fillId="0" borderId="0" xfId="0" applyFont="1" applyFill="1" applyAlignment="1">
      <alignment horizontal="left" wrapText="1"/>
    </xf>
    <xf numFmtId="0" fontId="20" fillId="0" borderId="0" xfId="0" applyFont="1" applyAlignment="1">
      <alignment horizontal="left"/>
    </xf>
    <xf numFmtId="0" fontId="20" fillId="0" borderId="0" xfId="0" applyFont="1" applyBorder="1" applyAlignment="1">
      <alignment horizontal="left" wrapText="1"/>
    </xf>
    <xf numFmtId="0" fontId="20" fillId="0" borderId="0" xfId="0" applyFont="1" applyFill="1" applyAlignment="1">
      <alignment horizontal="left"/>
    </xf>
    <xf numFmtId="0" fontId="0" fillId="0" borderId="10" xfId="0" applyFill="1" applyBorder="1" applyAlignment="1">
      <alignment horizontal="center"/>
    </xf>
    <xf numFmtId="0" fontId="0" fillId="0" borderId="10" xfId="0" applyFill="1" applyBorder="1" applyAlignment="1">
      <alignment horizontal="center" wrapText="1"/>
    </xf>
    <xf numFmtId="0" fontId="19" fillId="0" borderId="10" xfId="0" applyFont="1" applyFill="1" applyBorder="1" applyAlignment="1">
      <alignment horizontal="center" wrapText="1"/>
    </xf>
    <xf numFmtId="0" fontId="19" fillId="0" borderId="14" xfId="0" applyFont="1" applyFill="1" applyBorder="1" applyAlignment="1">
      <alignment horizontal="center" wrapText="1"/>
    </xf>
    <xf numFmtId="0" fontId="19" fillId="0" borderId="22" xfId="0" applyFont="1" applyFill="1" applyBorder="1" applyAlignment="1">
      <alignment horizontal="center" wrapText="1"/>
    </xf>
    <xf numFmtId="0" fontId="19" fillId="0" borderId="23" xfId="0" applyFont="1" applyFill="1" applyBorder="1" applyAlignment="1">
      <alignment horizontal="center" wrapText="1"/>
    </xf>
    <xf numFmtId="0" fontId="0" fillId="0" borderId="11" xfId="0" applyFill="1" applyBorder="1" applyAlignment="1">
      <alignment horizontal="left" vertical="center"/>
    </xf>
    <xf numFmtId="0" fontId="0" fillId="0" borderId="13" xfId="0" applyFill="1" applyBorder="1" applyAlignment="1">
      <alignment horizontal="left" vertical="center"/>
    </xf>
    <xf numFmtId="0" fontId="20" fillId="0" borderId="14" xfId="0" applyFont="1" applyBorder="1" applyAlignment="1">
      <alignment horizontal="center"/>
    </xf>
    <xf numFmtId="0" fontId="20" fillId="0" borderId="22" xfId="0" applyFont="1" applyBorder="1" applyAlignment="1">
      <alignment horizontal="center"/>
    </xf>
    <xf numFmtId="0" fontId="20" fillId="0" borderId="23" xfId="0" applyFont="1" applyBorder="1" applyAlignment="1">
      <alignment horizontal="center"/>
    </xf>
    <xf numFmtId="0" fontId="90" fillId="0" borderId="45" xfId="0" applyFont="1" applyBorder="1" applyAlignment="1">
      <alignment horizontal="center" vertical="center" wrapText="1"/>
    </xf>
    <xf numFmtId="0" fontId="90" fillId="0" borderId="46" xfId="0" applyFont="1" applyBorder="1" applyAlignment="1">
      <alignment horizontal="center" vertical="center" wrapText="1"/>
    </xf>
    <xf numFmtId="0" fontId="90" fillId="0" borderId="47" xfId="0" applyFont="1" applyBorder="1" applyAlignment="1">
      <alignment horizontal="center" vertical="center" wrapText="1"/>
    </xf>
    <xf numFmtId="0" fontId="96" fillId="0" borderId="48" xfId="0" applyFont="1" applyBorder="1" applyAlignment="1">
      <alignment horizontal="center" vertical="center" wrapText="1"/>
    </xf>
    <xf numFmtId="0" fontId="96" fillId="0" borderId="49" xfId="0" applyFont="1" applyBorder="1" applyAlignment="1">
      <alignment horizontal="center" vertical="center" wrapText="1"/>
    </xf>
    <xf numFmtId="0" fontId="20" fillId="0" borderId="51" xfId="0" applyFont="1" applyBorder="1" applyAlignment="1">
      <alignment horizontal="center" vertical="center" wrapText="1"/>
    </xf>
    <xf numFmtId="0" fontId="20" fillId="0" borderId="0" xfId="0" applyFont="1" applyAlignment="1">
      <alignment horizontal="center" vertical="center" wrapText="1"/>
    </xf>
    <xf numFmtId="0" fontId="44" fillId="0" borderId="17" xfId="0" applyFont="1" applyFill="1" applyBorder="1" applyAlignment="1">
      <alignment horizontal="center"/>
    </xf>
    <xf numFmtId="0" fontId="44" fillId="0" borderId="18" xfId="0" applyFont="1" applyFill="1" applyBorder="1" applyAlignment="1">
      <alignment horizontal="center"/>
    </xf>
    <xf numFmtId="0" fontId="0" fillId="0" borderId="18" xfId="0" applyFill="1" applyBorder="1" applyAlignment="1">
      <alignment horizontal="center"/>
    </xf>
    <xf numFmtId="0" fontId="0" fillId="0" borderId="26" xfId="0" applyFill="1" applyBorder="1" applyAlignment="1">
      <alignment horizontal="center"/>
    </xf>
    <xf numFmtId="0" fontId="42" fillId="0" borderId="17" xfId="0" applyFont="1" applyBorder="1" applyAlignment="1">
      <alignment horizontal="center" vertical="center"/>
    </xf>
    <xf numFmtId="0" fontId="0" fillId="0" borderId="18" xfId="0" applyBorder="1" applyAlignment="1">
      <alignment horizontal="center" vertical="center"/>
    </xf>
    <xf numFmtId="0" fontId="42" fillId="0" borderId="26" xfId="0" applyFont="1" applyBorder="1" applyAlignment="1">
      <alignment horizontal="center" vertical="center"/>
    </xf>
    <xf numFmtId="0" fontId="41" fillId="0" borderId="19" xfId="0" applyFont="1" applyBorder="1" applyAlignment="1">
      <alignment horizontal="center" wrapText="1"/>
    </xf>
    <xf numFmtId="0" fontId="0" fillId="0" borderId="0" xfId="0" applyAlignment="1">
      <alignment horizontal="center" wrapText="1"/>
    </xf>
    <xf numFmtId="0" fontId="21" fillId="0" borderId="18" xfId="0" applyFont="1" applyFill="1" applyBorder="1" applyAlignment="1">
      <alignment horizontal="center" wrapText="1"/>
    </xf>
    <xf numFmtId="0" fontId="45" fillId="0" borderId="21" xfId="0" applyFont="1" applyFill="1" applyBorder="1" applyAlignment="1">
      <alignment horizontal="center" vertical="center"/>
    </xf>
    <xf numFmtId="0" fontId="45" fillId="0" borderId="21" xfId="0" applyFont="1" applyFill="1" applyBorder="1" applyAlignment="1">
      <alignment horizontal="center" vertical="center" wrapText="1"/>
    </xf>
  </cellXfs>
  <cellStyles count="45345">
    <cellStyle name="20% - Accent1" xfId="1" builtinId="30" customBuiltin="1"/>
    <cellStyle name="20% - Accent1 2" xfId="45"/>
    <cellStyle name="20% - Accent1 3" xfId="151"/>
    <cellStyle name="20% - Accent1 4" xfId="569"/>
    <cellStyle name="20% - Accent1 5" xfId="22758"/>
    <cellStyle name="20% - Accent2" xfId="2" builtinId="34" customBuiltin="1"/>
    <cellStyle name="20% - Accent2 2" xfId="46"/>
    <cellStyle name="20% - Accent2 3" xfId="152"/>
    <cellStyle name="20% - Accent2 4" xfId="553"/>
    <cellStyle name="20% - Accent2 5" xfId="22759"/>
    <cellStyle name="20% - Accent3" xfId="3" builtinId="38" customBuiltin="1"/>
    <cellStyle name="20% - Accent3 2" xfId="47"/>
    <cellStyle name="20% - Accent3 3" xfId="153"/>
    <cellStyle name="20% - Accent3 4" xfId="558"/>
    <cellStyle name="20% - Accent3 5" xfId="22760"/>
    <cellStyle name="20% - Accent4" xfId="4" builtinId="42" customBuiltin="1"/>
    <cellStyle name="20% - Accent4 2" xfId="48"/>
    <cellStyle name="20% - Accent4 3" xfId="154"/>
    <cellStyle name="20% - Accent4 4" xfId="606"/>
    <cellStyle name="20% - Accent4 5" xfId="22761"/>
    <cellStyle name="20% - Accent5" xfId="5" builtinId="46" customBuiltin="1"/>
    <cellStyle name="20% - Accent5 2" xfId="49"/>
    <cellStyle name="20% - Accent5 3" xfId="155"/>
    <cellStyle name="20% - Accent5 4" xfId="600"/>
    <cellStyle name="20% - Accent5 5" xfId="22762"/>
    <cellStyle name="20% - Accent6" xfId="6" builtinId="50" customBuiltin="1"/>
    <cellStyle name="20% - Accent6 2" xfId="50"/>
    <cellStyle name="20% - Accent6 3" xfId="156"/>
    <cellStyle name="20% - Accent6 4" xfId="570"/>
    <cellStyle name="20% - Accent6 5" xfId="22763"/>
    <cellStyle name="40% - Accent1" xfId="7" builtinId="31" customBuiltin="1"/>
    <cellStyle name="40% - Accent1 2" xfId="51"/>
    <cellStyle name="40% - Accent1 3" xfId="157"/>
    <cellStyle name="40% - Accent1 4" xfId="566"/>
    <cellStyle name="40% - Accent1 5" xfId="22764"/>
    <cellStyle name="40% - Accent2" xfId="8" builtinId="35" customBuiltin="1"/>
    <cellStyle name="40% - Accent2 2" xfId="52"/>
    <cellStyle name="40% - Accent2 3" xfId="158"/>
    <cellStyle name="40% - Accent2 4" xfId="559"/>
    <cellStyle name="40% - Accent2 5" xfId="22765"/>
    <cellStyle name="40% - Accent3" xfId="9" builtinId="39" customBuiltin="1"/>
    <cellStyle name="40% - Accent3 2" xfId="53"/>
    <cellStyle name="40% - Accent3 3" xfId="159"/>
    <cellStyle name="40% - Accent3 4" xfId="554"/>
    <cellStyle name="40% - Accent3 5" xfId="22766"/>
    <cellStyle name="40% - Accent4" xfId="10" builtinId="43" customBuiltin="1"/>
    <cellStyle name="40% - Accent4 2" xfId="54"/>
    <cellStyle name="40% - Accent4 3" xfId="160"/>
    <cellStyle name="40% - Accent4 4" xfId="611"/>
    <cellStyle name="40% - Accent4 5" xfId="22767"/>
    <cellStyle name="40% - Accent5" xfId="11" builtinId="47" customBuiltin="1"/>
    <cellStyle name="40% - Accent5 2" xfId="55"/>
    <cellStyle name="40% - Accent5 3" xfId="161"/>
    <cellStyle name="40% - Accent5 4" xfId="605"/>
    <cellStyle name="40% - Accent5 5" xfId="22768"/>
    <cellStyle name="40% - Accent6" xfId="12" builtinId="51" customBuiltin="1"/>
    <cellStyle name="40% - Accent6 2" xfId="56"/>
    <cellStyle name="40% - Accent6 3" xfId="162"/>
    <cellStyle name="40% - Accent6 4" xfId="599"/>
    <cellStyle name="40% - Accent6 5" xfId="22769"/>
    <cellStyle name="60% - Accent1" xfId="13" builtinId="32" customBuiltin="1"/>
    <cellStyle name="60% - Accent1 2" xfId="57"/>
    <cellStyle name="60% - Accent1 3" xfId="163"/>
    <cellStyle name="60% - Accent1 4" xfId="607"/>
    <cellStyle name="60% - Accent1 5" xfId="22770"/>
    <cellStyle name="60% - Accent2" xfId="14" builtinId="36" customBuiltin="1"/>
    <cellStyle name="60% - Accent2 2" xfId="58"/>
    <cellStyle name="60% - Accent2 3" xfId="164"/>
    <cellStyle name="60% - Accent2 4" xfId="601"/>
    <cellStyle name="60% - Accent2 5" xfId="22771"/>
    <cellStyle name="60% - Accent3" xfId="15" builtinId="40" customBuiltin="1"/>
    <cellStyle name="60% - Accent3 2" xfId="59"/>
    <cellStyle name="60% - Accent3 3" xfId="165"/>
    <cellStyle name="60% - Accent3 4" xfId="602"/>
    <cellStyle name="60% - Accent3 5" xfId="22772"/>
    <cellStyle name="60% - Accent4" xfId="16" builtinId="44" customBuiltin="1"/>
    <cellStyle name="60% - Accent4 2" xfId="60"/>
    <cellStyle name="60% - Accent4 3" xfId="166"/>
    <cellStyle name="60% - Accent4 4" xfId="563"/>
    <cellStyle name="60% - Accent4 5" xfId="22773"/>
    <cellStyle name="60% - Accent5" xfId="17" builtinId="48" customBuiltin="1"/>
    <cellStyle name="60% - Accent5 2" xfId="61"/>
    <cellStyle name="60% - Accent5 3" xfId="167"/>
    <cellStyle name="60% - Accent5 4" xfId="618"/>
    <cellStyle name="60% - Accent5 5" xfId="22774"/>
    <cellStyle name="60% - Accent6" xfId="18" builtinId="52" customBuiltin="1"/>
    <cellStyle name="60% - Accent6 2" xfId="62"/>
    <cellStyle name="60% - Accent6 3" xfId="168"/>
    <cellStyle name="60% - Accent6 4" xfId="568"/>
    <cellStyle name="60% - Accent6 5" xfId="22775"/>
    <cellStyle name="Accent1" xfId="19" builtinId="29" customBuiltin="1"/>
    <cellStyle name="Accent1 2" xfId="63"/>
    <cellStyle name="Accent1 3" xfId="169"/>
    <cellStyle name="Accent1 4" xfId="619"/>
    <cellStyle name="Accent1 5" xfId="22776"/>
    <cellStyle name="Accent2" xfId="20" builtinId="33" customBuiltin="1"/>
    <cellStyle name="Accent2 2" xfId="64"/>
    <cellStyle name="Accent2 3" xfId="170"/>
    <cellStyle name="Accent2 4" xfId="617"/>
    <cellStyle name="Accent2 5" xfId="22777"/>
    <cellStyle name="Accent3" xfId="21" builtinId="37" customBuiltin="1"/>
    <cellStyle name="Accent3 2" xfId="65"/>
    <cellStyle name="Accent3 3" xfId="171"/>
    <cellStyle name="Accent3 4" xfId="557"/>
    <cellStyle name="Accent3 5" xfId="22778"/>
    <cellStyle name="Accent4" xfId="22" builtinId="41" customBuiltin="1"/>
    <cellStyle name="Accent4 2" xfId="66"/>
    <cellStyle name="Accent4 3" xfId="172"/>
    <cellStyle name="Accent4 4" xfId="561"/>
    <cellStyle name="Accent4 5" xfId="22779"/>
    <cellStyle name="Accent5" xfId="23" builtinId="45" customBuiltin="1"/>
    <cellStyle name="Accent5 2" xfId="67"/>
    <cellStyle name="Accent5 3" xfId="173"/>
    <cellStyle name="Accent5 4" xfId="616"/>
    <cellStyle name="Accent5 5" xfId="22780"/>
    <cellStyle name="Accent6" xfId="24" builtinId="49" customBuiltin="1"/>
    <cellStyle name="Accent6 2" xfId="68"/>
    <cellStyle name="Accent6 3" xfId="174"/>
    <cellStyle name="Accent6 4" xfId="584"/>
    <cellStyle name="Accent6 5" xfId="22781"/>
    <cellStyle name="Bad" xfId="25" builtinId="27" customBuiltin="1"/>
    <cellStyle name="Bad 2" xfId="69"/>
    <cellStyle name="Bad 3" xfId="175"/>
    <cellStyle name="Bad 4" xfId="552"/>
    <cellStyle name="Bad 5" xfId="22782"/>
    <cellStyle name="Calculation" xfId="26" builtinId="22" customBuiltin="1"/>
    <cellStyle name="Calculation 2" xfId="70"/>
    <cellStyle name="Calculation 2 2" xfId="720"/>
    <cellStyle name="Calculation 3" xfId="176"/>
    <cellStyle name="Calculation 3 2" xfId="715"/>
    <cellStyle name="Calculation 4" xfId="610"/>
    <cellStyle name="Calculation 4 2" xfId="982"/>
    <cellStyle name="Calculation 5" xfId="22783"/>
    <cellStyle name="Check Cell" xfId="27" builtinId="23" customBuiltin="1"/>
    <cellStyle name="Check Cell 2" xfId="71"/>
    <cellStyle name="Check Cell 3" xfId="177"/>
    <cellStyle name="Check Cell 4" xfId="604"/>
    <cellStyle name="Check Cell 5" xfId="22784"/>
    <cellStyle name="Comma 2" xfId="95"/>
    <cellStyle name="Comma 3" xfId="148"/>
    <cellStyle name="Comma 3 10" xfId="2902"/>
    <cellStyle name="Comma 3 10 2" xfId="6123"/>
    <cellStyle name="Comma 3 10 2 2" xfId="22223"/>
    <cellStyle name="Comma 3 10 2 2 2" xfId="44810"/>
    <cellStyle name="Comma 3 10 2 3" xfId="12563"/>
    <cellStyle name="Comma 3 10 2 3 2" xfId="35150"/>
    <cellStyle name="Comma 3 10 2 4" xfId="28710"/>
    <cellStyle name="Comma 3 10 3" xfId="19003"/>
    <cellStyle name="Comma 3 10 3 2" xfId="41590"/>
    <cellStyle name="Comma 3 10 4" xfId="15783"/>
    <cellStyle name="Comma 3 10 4 2" xfId="38370"/>
    <cellStyle name="Comma 3 10 5" xfId="9343"/>
    <cellStyle name="Comma 3 10 5 2" xfId="31930"/>
    <cellStyle name="Comma 3 10 6" xfId="25490"/>
    <cellStyle name="Comma 3 11" xfId="3193"/>
    <cellStyle name="Comma 3 11 2" xfId="6413"/>
    <cellStyle name="Comma 3 11 2 2" xfId="22513"/>
    <cellStyle name="Comma 3 11 2 2 2" xfId="45100"/>
    <cellStyle name="Comma 3 11 2 3" xfId="12853"/>
    <cellStyle name="Comma 3 11 2 3 2" xfId="35440"/>
    <cellStyle name="Comma 3 11 2 4" xfId="29000"/>
    <cellStyle name="Comma 3 11 3" xfId="19293"/>
    <cellStyle name="Comma 3 11 3 2" xfId="41880"/>
    <cellStyle name="Comma 3 11 4" xfId="16073"/>
    <cellStyle name="Comma 3 11 4 2" xfId="38660"/>
    <cellStyle name="Comma 3 11 5" xfId="9633"/>
    <cellStyle name="Comma 3 11 5 2" xfId="32220"/>
    <cellStyle name="Comma 3 11 6" xfId="25780"/>
    <cellStyle name="Comma 3 12" xfId="486"/>
    <cellStyle name="Comma 3 12 2" xfId="3773"/>
    <cellStyle name="Comma 3 12 2 2" xfId="19873"/>
    <cellStyle name="Comma 3 12 2 2 2" xfId="42460"/>
    <cellStyle name="Comma 3 12 2 3" xfId="10213"/>
    <cellStyle name="Comma 3 12 2 3 2" xfId="32800"/>
    <cellStyle name="Comma 3 12 2 4" xfId="26360"/>
    <cellStyle name="Comma 3 12 3" xfId="16653"/>
    <cellStyle name="Comma 3 12 3 2" xfId="39240"/>
    <cellStyle name="Comma 3 12 4" xfId="13433"/>
    <cellStyle name="Comma 3 12 4 2" xfId="36020"/>
    <cellStyle name="Comma 3 12 5" xfId="6993"/>
    <cellStyle name="Comma 3 12 5 2" xfId="29580"/>
    <cellStyle name="Comma 3 12 6" xfId="23140"/>
    <cellStyle name="Comma 3 13" xfId="3483"/>
    <cellStyle name="Comma 3 13 2" xfId="19583"/>
    <cellStyle name="Comma 3 13 2 2" xfId="42170"/>
    <cellStyle name="Comma 3 13 3" xfId="9923"/>
    <cellStyle name="Comma 3 13 3 2" xfId="32510"/>
    <cellStyle name="Comma 3 13 4" xfId="26070"/>
    <cellStyle name="Comma 3 14" xfId="16363"/>
    <cellStyle name="Comma 3 14 2" xfId="38950"/>
    <cellStyle name="Comma 3 15" xfId="13143"/>
    <cellStyle name="Comma 3 15 2" xfId="35730"/>
    <cellStyle name="Comma 3 16" xfId="6703"/>
    <cellStyle name="Comma 3 16 2" xfId="29290"/>
    <cellStyle name="Comma 3 17" xfId="22850"/>
    <cellStyle name="Comma 3 2" xfId="269"/>
    <cellStyle name="Comma 3 2 10" xfId="526"/>
    <cellStyle name="Comma 3 2 10 2" xfId="3813"/>
    <cellStyle name="Comma 3 2 10 2 2" xfId="19913"/>
    <cellStyle name="Comma 3 2 10 2 2 2" xfId="42500"/>
    <cellStyle name="Comma 3 2 10 2 3" xfId="10253"/>
    <cellStyle name="Comma 3 2 10 2 3 2" xfId="32840"/>
    <cellStyle name="Comma 3 2 10 2 4" xfId="26400"/>
    <cellStyle name="Comma 3 2 10 3" xfId="16693"/>
    <cellStyle name="Comma 3 2 10 3 2" xfId="39280"/>
    <cellStyle name="Comma 3 2 10 4" xfId="13473"/>
    <cellStyle name="Comma 3 2 10 4 2" xfId="36060"/>
    <cellStyle name="Comma 3 2 10 5" xfId="7033"/>
    <cellStyle name="Comma 3 2 10 5 2" xfId="29620"/>
    <cellStyle name="Comma 3 2 10 6" xfId="23180"/>
    <cellStyle name="Comma 3 2 11" xfId="3556"/>
    <cellStyle name="Comma 3 2 11 2" xfId="19656"/>
    <cellStyle name="Comma 3 2 11 2 2" xfId="42243"/>
    <cellStyle name="Comma 3 2 11 3" xfId="9996"/>
    <cellStyle name="Comma 3 2 11 3 2" xfId="32583"/>
    <cellStyle name="Comma 3 2 11 4" xfId="26143"/>
    <cellStyle name="Comma 3 2 12" xfId="16436"/>
    <cellStyle name="Comma 3 2 12 2" xfId="39023"/>
    <cellStyle name="Comma 3 2 13" xfId="13216"/>
    <cellStyle name="Comma 3 2 13 2" xfId="35803"/>
    <cellStyle name="Comma 3 2 14" xfId="6776"/>
    <cellStyle name="Comma 3 2 14 2" xfId="29363"/>
    <cellStyle name="Comma 3 2 15" xfId="22923"/>
    <cellStyle name="Comma 3 2 2" xfId="685"/>
    <cellStyle name="Comma 3 2 2 2" xfId="1049"/>
    <cellStyle name="Comma 3 2 2 2 2" xfId="2363"/>
    <cellStyle name="Comma 3 2 2 2 2 2" xfId="5584"/>
    <cellStyle name="Comma 3 2 2 2 2 2 2" xfId="21684"/>
    <cellStyle name="Comma 3 2 2 2 2 2 2 2" xfId="44271"/>
    <cellStyle name="Comma 3 2 2 2 2 2 3" xfId="12024"/>
    <cellStyle name="Comma 3 2 2 2 2 2 3 2" xfId="34611"/>
    <cellStyle name="Comma 3 2 2 2 2 2 4" xfId="28171"/>
    <cellStyle name="Comma 3 2 2 2 2 3" xfId="18464"/>
    <cellStyle name="Comma 3 2 2 2 2 3 2" xfId="41051"/>
    <cellStyle name="Comma 3 2 2 2 2 4" xfId="15244"/>
    <cellStyle name="Comma 3 2 2 2 2 4 2" xfId="37831"/>
    <cellStyle name="Comma 3 2 2 2 2 5" xfId="8804"/>
    <cellStyle name="Comma 3 2 2 2 2 5 2" xfId="31391"/>
    <cellStyle name="Comma 3 2 2 2 2 6" xfId="24951"/>
    <cellStyle name="Comma 3 2 2 2 3" xfId="4276"/>
    <cellStyle name="Comma 3 2 2 2 3 2" xfId="20376"/>
    <cellStyle name="Comma 3 2 2 2 3 2 2" xfId="42963"/>
    <cellStyle name="Comma 3 2 2 2 3 3" xfId="10716"/>
    <cellStyle name="Comma 3 2 2 2 3 3 2" xfId="33303"/>
    <cellStyle name="Comma 3 2 2 2 3 4" xfId="26863"/>
    <cellStyle name="Comma 3 2 2 2 4" xfId="17156"/>
    <cellStyle name="Comma 3 2 2 2 4 2" xfId="39743"/>
    <cellStyle name="Comma 3 2 2 2 5" xfId="13936"/>
    <cellStyle name="Comma 3 2 2 2 5 2" xfId="36523"/>
    <cellStyle name="Comma 3 2 2 2 6" xfId="7496"/>
    <cellStyle name="Comma 3 2 2 2 6 2" xfId="30083"/>
    <cellStyle name="Comma 3 2 2 2 7" xfId="23643"/>
    <cellStyle name="Comma 3 2 2 3" xfId="1396"/>
    <cellStyle name="Comma 3 2 2 3 2" xfId="2710"/>
    <cellStyle name="Comma 3 2 2 3 2 2" xfId="5931"/>
    <cellStyle name="Comma 3 2 2 3 2 2 2" xfId="22031"/>
    <cellStyle name="Comma 3 2 2 3 2 2 2 2" xfId="44618"/>
    <cellStyle name="Comma 3 2 2 3 2 2 3" xfId="12371"/>
    <cellStyle name="Comma 3 2 2 3 2 2 3 2" xfId="34958"/>
    <cellStyle name="Comma 3 2 2 3 2 2 4" xfId="28518"/>
    <cellStyle name="Comma 3 2 2 3 2 3" xfId="18811"/>
    <cellStyle name="Comma 3 2 2 3 2 3 2" xfId="41398"/>
    <cellStyle name="Comma 3 2 2 3 2 4" xfId="15591"/>
    <cellStyle name="Comma 3 2 2 3 2 4 2" xfId="38178"/>
    <cellStyle name="Comma 3 2 2 3 2 5" xfId="9151"/>
    <cellStyle name="Comma 3 2 2 3 2 5 2" xfId="31738"/>
    <cellStyle name="Comma 3 2 2 3 2 6" xfId="25298"/>
    <cellStyle name="Comma 3 2 2 3 3" xfId="4623"/>
    <cellStyle name="Comma 3 2 2 3 3 2" xfId="20723"/>
    <cellStyle name="Comma 3 2 2 3 3 2 2" xfId="43310"/>
    <cellStyle name="Comma 3 2 2 3 3 3" xfId="11063"/>
    <cellStyle name="Comma 3 2 2 3 3 3 2" xfId="33650"/>
    <cellStyle name="Comma 3 2 2 3 3 4" xfId="27210"/>
    <cellStyle name="Comma 3 2 2 3 4" xfId="17503"/>
    <cellStyle name="Comma 3 2 2 3 4 2" xfId="40090"/>
    <cellStyle name="Comma 3 2 2 3 5" xfId="14283"/>
    <cellStyle name="Comma 3 2 2 3 5 2" xfId="36870"/>
    <cellStyle name="Comma 3 2 2 3 6" xfId="7843"/>
    <cellStyle name="Comma 3 2 2 3 6 2" xfId="30430"/>
    <cellStyle name="Comma 3 2 2 3 7" xfId="23990"/>
    <cellStyle name="Comma 3 2 2 4" xfId="2015"/>
    <cellStyle name="Comma 3 2 2 4 2" xfId="5237"/>
    <cellStyle name="Comma 3 2 2 4 2 2" xfId="21337"/>
    <cellStyle name="Comma 3 2 2 4 2 2 2" xfId="43924"/>
    <cellStyle name="Comma 3 2 2 4 2 3" xfId="11677"/>
    <cellStyle name="Comma 3 2 2 4 2 3 2" xfId="34264"/>
    <cellStyle name="Comma 3 2 2 4 2 4" xfId="27824"/>
    <cellStyle name="Comma 3 2 2 4 3" xfId="18117"/>
    <cellStyle name="Comma 3 2 2 4 3 2" xfId="40704"/>
    <cellStyle name="Comma 3 2 2 4 4" xfId="14897"/>
    <cellStyle name="Comma 3 2 2 4 4 2" xfId="37484"/>
    <cellStyle name="Comma 3 2 2 4 5" xfId="8457"/>
    <cellStyle name="Comma 3 2 2 4 5 2" xfId="31044"/>
    <cellStyle name="Comma 3 2 2 4 6" xfId="24604"/>
    <cellStyle name="Comma 3 2 2 5" xfId="3929"/>
    <cellStyle name="Comma 3 2 2 5 2" xfId="20029"/>
    <cellStyle name="Comma 3 2 2 5 2 2" xfId="42616"/>
    <cellStyle name="Comma 3 2 2 5 3" xfId="10369"/>
    <cellStyle name="Comma 3 2 2 5 3 2" xfId="32956"/>
    <cellStyle name="Comma 3 2 2 5 4" xfId="26516"/>
    <cellStyle name="Comma 3 2 2 6" xfId="16809"/>
    <cellStyle name="Comma 3 2 2 6 2" xfId="39396"/>
    <cellStyle name="Comma 3 2 2 7" xfId="13589"/>
    <cellStyle name="Comma 3 2 2 7 2" xfId="36176"/>
    <cellStyle name="Comma 3 2 2 8" xfId="7149"/>
    <cellStyle name="Comma 3 2 2 8 2" xfId="29736"/>
    <cellStyle name="Comma 3 2 2 9" xfId="23296"/>
    <cellStyle name="Comma 3 2 3" xfId="821"/>
    <cellStyle name="Comma 3 2 3 2" xfId="1173"/>
    <cellStyle name="Comma 3 2 3 2 2" xfId="2487"/>
    <cellStyle name="Comma 3 2 3 2 2 2" xfId="5708"/>
    <cellStyle name="Comma 3 2 3 2 2 2 2" xfId="21808"/>
    <cellStyle name="Comma 3 2 3 2 2 2 2 2" xfId="44395"/>
    <cellStyle name="Comma 3 2 3 2 2 2 3" xfId="12148"/>
    <cellStyle name="Comma 3 2 3 2 2 2 3 2" xfId="34735"/>
    <cellStyle name="Comma 3 2 3 2 2 2 4" xfId="28295"/>
    <cellStyle name="Comma 3 2 3 2 2 3" xfId="18588"/>
    <cellStyle name="Comma 3 2 3 2 2 3 2" xfId="41175"/>
    <cellStyle name="Comma 3 2 3 2 2 4" xfId="15368"/>
    <cellStyle name="Comma 3 2 3 2 2 4 2" xfId="37955"/>
    <cellStyle name="Comma 3 2 3 2 2 5" xfId="8928"/>
    <cellStyle name="Comma 3 2 3 2 2 5 2" xfId="31515"/>
    <cellStyle name="Comma 3 2 3 2 2 6" xfId="25075"/>
    <cellStyle name="Comma 3 2 3 2 3" xfId="4400"/>
    <cellStyle name="Comma 3 2 3 2 3 2" xfId="20500"/>
    <cellStyle name="Comma 3 2 3 2 3 2 2" xfId="43087"/>
    <cellStyle name="Comma 3 2 3 2 3 3" xfId="10840"/>
    <cellStyle name="Comma 3 2 3 2 3 3 2" xfId="33427"/>
    <cellStyle name="Comma 3 2 3 2 3 4" xfId="26987"/>
    <cellStyle name="Comma 3 2 3 2 4" xfId="17280"/>
    <cellStyle name="Comma 3 2 3 2 4 2" xfId="39867"/>
    <cellStyle name="Comma 3 2 3 2 5" xfId="14060"/>
    <cellStyle name="Comma 3 2 3 2 5 2" xfId="36647"/>
    <cellStyle name="Comma 3 2 3 2 6" xfId="7620"/>
    <cellStyle name="Comma 3 2 3 2 6 2" xfId="30207"/>
    <cellStyle name="Comma 3 2 3 2 7" xfId="23767"/>
    <cellStyle name="Comma 3 2 3 3" xfId="1520"/>
    <cellStyle name="Comma 3 2 3 3 2" xfId="2834"/>
    <cellStyle name="Comma 3 2 3 3 2 2" xfId="6055"/>
    <cellStyle name="Comma 3 2 3 3 2 2 2" xfId="22155"/>
    <cellStyle name="Comma 3 2 3 3 2 2 2 2" xfId="44742"/>
    <cellStyle name="Comma 3 2 3 3 2 2 3" xfId="12495"/>
    <cellStyle name="Comma 3 2 3 3 2 2 3 2" xfId="35082"/>
    <cellStyle name="Comma 3 2 3 3 2 2 4" xfId="28642"/>
    <cellStyle name="Comma 3 2 3 3 2 3" xfId="18935"/>
    <cellStyle name="Comma 3 2 3 3 2 3 2" xfId="41522"/>
    <cellStyle name="Comma 3 2 3 3 2 4" xfId="15715"/>
    <cellStyle name="Comma 3 2 3 3 2 4 2" xfId="38302"/>
    <cellStyle name="Comma 3 2 3 3 2 5" xfId="9275"/>
    <cellStyle name="Comma 3 2 3 3 2 5 2" xfId="31862"/>
    <cellStyle name="Comma 3 2 3 3 2 6" xfId="25422"/>
    <cellStyle name="Comma 3 2 3 3 3" xfId="4747"/>
    <cellStyle name="Comma 3 2 3 3 3 2" xfId="20847"/>
    <cellStyle name="Comma 3 2 3 3 3 2 2" xfId="43434"/>
    <cellStyle name="Comma 3 2 3 3 3 3" xfId="11187"/>
    <cellStyle name="Comma 3 2 3 3 3 3 2" xfId="33774"/>
    <cellStyle name="Comma 3 2 3 3 3 4" xfId="27334"/>
    <cellStyle name="Comma 3 2 3 3 4" xfId="17627"/>
    <cellStyle name="Comma 3 2 3 3 4 2" xfId="40214"/>
    <cellStyle name="Comma 3 2 3 3 5" xfId="14407"/>
    <cellStyle name="Comma 3 2 3 3 5 2" xfId="36994"/>
    <cellStyle name="Comma 3 2 3 3 6" xfId="7967"/>
    <cellStyle name="Comma 3 2 3 3 6 2" xfId="30554"/>
    <cellStyle name="Comma 3 2 3 3 7" xfId="24114"/>
    <cellStyle name="Comma 3 2 3 4" xfId="2140"/>
    <cellStyle name="Comma 3 2 3 4 2" xfId="5361"/>
    <cellStyle name="Comma 3 2 3 4 2 2" xfId="21461"/>
    <cellStyle name="Comma 3 2 3 4 2 2 2" xfId="44048"/>
    <cellStyle name="Comma 3 2 3 4 2 3" xfId="11801"/>
    <cellStyle name="Comma 3 2 3 4 2 3 2" xfId="34388"/>
    <cellStyle name="Comma 3 2 3 4 2 4" xfId="27948"/>
    <cellStyle name="Comma 3 2 3 4 3" xfId="18241"/>
    <cellStyle name="Comma 3 2 3 4 3 2" xfId="40828"/>
    <cellStyle name="Comma 3 2 3 4 4" xfId="15021"/>
    <cellStyle name="Comma 3 2 3 4 4 2" xfId="37608"/>
    <cellStyle name="Comma 3 2 3 4 5" xfId="8581"/>
    <cellStyle name="Comma 3 2 3 4 5 2" xfId="31168"/>
    <cellStyle name="Comma 3 2 3 4 6" xfId="24728"/>
    <cellStyle name="Comma 3 2 3 5" xfId="4053"/>
    <cellStyle name="Comma 3 2 3 5 2" xfId="20153"/>
    <cellStyle name="Comma 3 2 3 5 2 2" xfId="42740"/>
    <cellStyle name="Comma 3 2 3 5 3" xfId="10493"/>
    <cellStyle name="Comma 3 2 3 5 3 2" xfId="33080"/>
    <cellStyle name="Comma 3 2 3 5 4" xfId="26640"/>
    <cellStyle name="Comma 3 2 3 6" xfId="16933"/>
    <cellStyle name="Comma 3 2 3 6 2" xfId="39520"/>
    <cellStyle name="Comma 3 2 3 7" xfId="13713"/>
    <cellStyle name="Comma 3 2 3 7 2" xfId="36300"/>
    <cellStyle name="Comma 3 2 3 8" xfId="7273"/>
    <cellStyle name="Comma 3 2 3 8 2" xfId="29860"/>
    <cellStyle name="Comma 3 2 3 9" xfId="23420"/>
    <cellStyle name="Comma 3 2 4" xfId="928"/>
    <cellStyle name="Comma 3 2 4 2" xfId="2247"/>
    <cellStyle name="Comma 3 2 4 2 2" xfId="5468"/>
    <cellStyle name="Comma 3 2 4 2 2 2" xfId="21568"/>
    <cellStyle name="Comma 3 2 4 2 2 2 2" xfId="44155"/>
    <cellStyle name="Comma 3 2 4 2 2 3" xfId="11908"/>
    <cellStyle name="Comma 3 2 4 2 2 3 2" xfId="34495"/>
    <cellStyle name="Comma 3 2 4 2 2 4" xfId="28055"/>
    <cellStyle name="Comma 3 2 4 2 3" xfId="18348"/>
    <cellStyle name="Comma 3 2 4 2 3 2" xfId="40935"/>
    <cellStyle name="Comma 3 2 4 2 4" xfId="15128"/>
    <cellStyle name="Comma 3 2 4 2 4 2" xfId="37715"/>
    <cellStyle name="Comma 3 2 4 2 5" xfId="8688"/>
    <cellStyle name="Comma 3 2 4 2 5 2" xfId="31275"/>
    <cellStyle name="Comma 3 2 4 2 6" xfId="24835"/>
    <cellStyle name="Comma 3 2 4 3" xfId="4160"/>
    <cellStyle name="Comma 3 2 4 3 2" xfId="20260"/>
    <cellStyle name="Comma 3 2 4 3 2 2" xfId="42847"/>
    <cellStyle name="Comma 3 2 4 3 3" xfId="10600"/>
    <cellStyle name="Comma 3 2 4 3 3 2" xfId="33187"/>
    <cellStyle name="Comma 3 2 4 3 4" xfId="26747"/>
    <cellStyle name="Comma 3 2 4 4" xfId="17040"/>
    <cellStyle name="Comma 3 2 4 4 2" xfId="39627"/>
    <cellStyle name="Comma 3 2 4 5" xfId="13820"/>
    <cellStyle name="Comma 3 2 4 5 2" xfId="36407"/>
    <cellStyle name="Comma 3 2 4 6" xfId="7380"/>
    <cellStyle name="Comma 3 2 4 6 2" xfId="29967"/>
    <cellStyle name="Comma 3 2 4 7" xfId="23527"/>
    <cellStyle name="Comma 3 2 5" xfId="1280"/>
    <cellStyle name="Comma 3 2 5 2" xfId="2594"/>
    <cellStyle name="Comma 3 2 5 2 2" xfId="5815"/>
    <cellStyle name="Comma 3 2 5 2 2 2" xfId="21915"/>
    <cellStyle name="Comma 3 2 5 2 2 2 2" xfId="44502"/>
    <cellStyle name="Comma 3 2 5 2 2 3" xfId="12255"/>
    <cellStyle name="Comma 3 2 5 2 2 3 2" xfId="34842"/>
    <cellStyle name="Comma 3 2 5 2 2 4" xfId="28402"/>
    <cellStyle name="Comma 3 2 5 2 3" xfId="18695"/>
    <cellStyle name="Comma 3 2 5 2 3 2" xfId="41282"/>
    <cellStyle name="Comma 3 2 5 2 4" xfId="15475"/>
    <cellStyle name="Comma 3 2 5 2 4 2" xfId="38062"/>
    <cellStyle name="Comma 3 2 5 2 5" xfId="9035"/>
    <cellStyle name="Comma 3 2 5 2 5 2" xfId="31622"/>
    <cellStyle name="Comma 3 2 5 2 6" xfId="25182"/>
    <cellStyle name="Comma 3 2 5 3" xfId="4507"/>
    <cellStyle name="Comma 3 2 5 3 2" xfId="20607"/>
    <cellStyle name="Comma 3 2 5 3 2 2" xfId="43194"/>
    <cellStyle name="Comma 3 2 5 3 3" xfId="10947"/>
    <cellStyle name="Comma 3 2 5 3 3 2" xfId="33534"/>
    <cellStyle name="Comma 3 2 5 3 4" xfId="27094"/>
    <cellStyle name="Comma 3 2 5 4" xfId="17387"/>
    <cellStyle name="Comma 3 2 5 4 2" xfId="39974"/>
    <cellStyle name="Comma 3 2 5 5" xfId="14167"/>
    <cellStyle name="Comma 3 2 5 5 2" xfId="36754"/>
    <cellStyle name="Comma 3 2 5 6" xfId="7727"/>
    <cellStyle name="Comma 3 2 5 6 2" xfId="30314"/>
    <cellStyle name="Comma 3 2 5 7" xfId="23874"/>
    <cellStyle name="Comma 3 2 6" xfId="1541"/>
    <cellStyle name="Comma 3 2 6 2" xfId="4767"/>
    <cellStyle name="Comma 3 2 6 2 2" xfId="20867"/>
    <cellStyle name="Comma 3 2 6 2 2 2" xfId="43454"/>
    <cellStyle name="Comma 3 2 6 2 3" xfId="11207"/>
    <cellStyle name="Comma 3 2 6 2 3 2" xfId="33794"/>
    <cellStyle name="Comma 3 2 6 2 4" xfId="27354"/>
    <cellStyle name="Comma 3 2 6 3" xfId="17647"/>
    <cellStyle name="Comma 3 2 6 3 2" xfId="40234"/>
    <cellStyle name="Comma 3 2 6 4" xfId="14427"/>
    <cellStyle name="Comma 3 2 6 4 2" xfId="37014"/>
    <cellStyle name="Comma 3 2 6 5" xfId="7987"/>
    <cellStyle name="Comma 3 2 6 5 2" xfId="30574"/>
    <cellStyle name="Comma 3 2 6 6" xfId="24134"/>
    <cellStyle name="Comma 3 2 7" xfId="1899"/>
    <cellStyle name="Comma 3 2 7 2" xfId="5121"/>
    <cellStyle name="Comma 3 2 7 2 2" xfId="21221"/>
    <cellStyle name="Comma 3 2 7 2 2 2" xfId="43808"/>
    <cellStyle name="Comma 3 2 7 2 3" xfId="11561"/>
    <cellStyle name="Comma 3 2 7 2 3 2" xfId="34148"/>
    <cellStyle name="Comma 3 2 7 2 4" xfId="27708"/>
    <cellStyle name="Comma 3 2 7 3" xfId="18001"/>
    <cellStyle name="Comma 3 2 7 3 2" xfId="40588"/>
    <cellStyle name="Comma 3 2 7 4" xfId="14781"/>
    <cellStyle name="Comma 3 2 7 4 2" xfId="37368"/>
    <cellStyle name="Comma 3 2 7 5" xfId="8341"/>
    <cellStyle name="Comma 3 2 7 5 2" xfId="30928"/>
    <cellStyle name="Comma 3 2 7 6" xfId="24488"/>
    <cellStyle name="Comma 3 2 8" xfId="2976"/>
    <cellStyle name="Comma 3 2 8 2" xfId="6196"/>
    <cellStyle name="Comma 3 2 8 2 2" xfId="22296"/>
    <cellStyle name="Comma 3 2 8 2 2 2" xfId="44883"/>
    <cellStyle name="Comma 3 2 8 2 3" xfId="12636"/>
    <cellStyle name="Comma 3 2 8 2 3 2" xfId="35223"/>
    <cellStyle name="Comma 3 2 8 2 4" xfId="28783"/>
    <cellStyle name="Comma 3 2 8 3" xfId="19076"/>
    <cellStyle name="Comma 3 2 8 3 2" xfId="41663"/>
    <cellStyle name="Comma 3 2 8 4" xfId="15856"/>
    <cellStyle name="Comma 3 2 8 4 2" xfId="38443"/>
    <cellStyle name="Comma 3 2 8 5" xfId="9416"/>
    <cellStyle name="Comma 3 2 8 5 2" xfId="32003"/>
    <cellStyle name="Comma 3 2 8 6" xfId="25563"/>
    <cellStyle name="Comma 3 2 9" xfId="3266"/>
    <cellStyle name="Comma 3 2 9 2" xfId="6486"/>
    <cellStyle name="Comma 3 2 9 2 2" xfId="22586"/>
    <cellStyle name="Comma 3 2 9 2 2 2" xfId="45173"/>
    <cellStyle name="Comma 3 2 9 2 3" xfId="12926"/>
    <cellStyle name="Comma 3 2 9 2 3 2" xfId="35513"/>
    <cellStyle name="Comma 3 2 9 2 4" xfId="29073"/>
    <cellStyle name="Comma 3 2 9 3" xfId="19366"/>
    <cellStyle name="Comma 3 2 9 3 2" xfId="41953"/>
    <cellStyle name="Comma 3 2 9 4" xfId="16146"/>
    <cellStyle name="Comma 3 2 9 4 2" xfId="38733"/>
    <cellStyle name="Comma 3 2 9 5" xfId="9706"/>
    <cellStyle name="Comma 3 2 9 5 2" xfId="32293"/>
    <cellStyle name="Comma 3 2 9 6" xfId="25853"/>
    <cellStyle name="Comma 3 3" xfId="389"/>
    <cellStyle name="Comma 3 3 10" xfId="16556"/>
    <cellStyle name="Comma 3 3 10 2" xfId="39143"/>
    <cellStyle name="Comma 3 3 11" xfId="13336"/>
    <cellStyle name="Comma 3 3 11 2" xfId="35923"/>
    <cellStyle name="Comma 3 3 12" xfId="6896"/>
    <cellStyle name="Comma 3 3 12 2" xfId="29483"/>
    <cellStyle name="Comma 3 3 13" xfId="23043"/>
    <cellStyle name="Comma 3 3 2" xfId="761"/>
    <cellStyle name="Comma 3 3 2 2" xfId="1113"/>
    <cellStyle name="Comma 3 3 2 2 2" xfId="2427"/>
    <cellStyle name="Comma 3 3 2 2 2 2" xfId="5648"/>
    <cellStyle name="Comma 3 3 2 2 2 2 2" xfId="21748"/>
    <cellStyle name="Comma 3 3 2 2 2 2 2 2" xfId="44335"/>
    <cellStyle name="Comma 3 3 2 2 2 2 3" xfId="12088"/>
    <cellStyle name="Comma 3 3 2 2 2 2 3 2" xfId="34675"/>
    <cellStyle name="Comma 3 3 2 2 2 2 4" xfId="28235"/>
    <cellStyle name="Comma 3 3 2 2 2 3" xfId="18528"/>
    <cellStyle name="Comma 3 3 2 2 2 3 2" xfId="41115"/>
    <cellStyle name="Comma 3 3 2 2 2 4" xfId="15308"/>
    <cellStyle name="Comma 3 3 2 2 2 4 2" xfId="37895"/>
    <cellStyle name="Comma 3 3 2 2 2 5" xfId="8868"/>
    <cellStyle name="Comma 3 3 2 2 2 5 2" xfId="31455"/>
    <cellStyle name="Comma 3 3 2 2 2 6" xfId="25015"/>
    <cellStyle name="Comma 3 3 2 2 3" xfId="4340"/>
    <cellStyle name="Comma 3 3 2 2 3 2" xfId="20440"/>
    <cellStyle name="Comma 3 3 2 2 3 2 2" xfId="43027"/>
    <cellStyle name="Comma 3 3 2 2 3 3" xfId="10780"/>
    <cellStyle name="Comma 3 3 2 2 3 3 2" xfId="33367"/>
    <cellStyle name="Comma 3 3 2 2 3 4" xfId="26927"/>
    <cellStyle name="Comma 3 3 2 2 4" xfId="17220"/>
    <cellStyle name="Comma 3 3 2 2 4 2" xfId="39807"/>
    <cellStyle name="Comma 3 3 2 2 5" xfId="14000"/>
    <cellStyle name="Comma 3 3 2 2 5 2" xfId="36587"/>
    <cellStyle name="Comma 3 3 2 2 6" xfId="7560"/>
    <cellStyle name="Comma 3 3 2 2 6 2" xfId="30147"/>
    <cellStyle name="Comma 3 3 2 2 7" xfId="23707"/>
    <cellStyle name="Comma 3 3 2 3" xfId="1460"/>
    <cellStyle name="Comma 3 3 2 3 2" xfId="2774"/>
    <cellStyle name="Comma 3 3 2 3 2 2" xfId="5995"/>
    <cellStyle name="Comma 3 3 2 3 2 2 2" xfId="22095"/>
    <cellStyle name="Comma 3 3 2 3 2 2 2 2" xfId="44682"/>
    <cellStyle name="Comma 3 3 2 3 2 2 3" xfId="12435"/>
    <cellStyle name="Comma 3 3 2 3 2 2 3 2" xfId="35022"/>
    <cellStyle name="Comma 3 3 2 3 2 2 4" xfId="28582"/>
    <cellStyle name="Comma 3 3 2 3 2 3" xfId="18875"/>
    <cellStyle name="Comma 3 3 2 3 2 3 2" xfId="41462"/>
    <cellStyle name="Comma 3 3 2 3 2 4" xfId="15655"/>
    <cellStyle name="Comma 3 3 2 3 2 4 2" xfId="38242"/>
    <cellStyle name="Comma 3 3 2 3 2 5" xfId="9215"/>
    <cellStyle name="Comma 3 3 2 3 2 5 2" xfId="31802"/>
    <cellStyle name="Comma 3 3 2 3 2 6" xfId="25362"/>
    <cellStyle name="Comma 3 3 2 3 3" xfId="4687"/>
    <cellStyle name="Comma 3 3 2 3 3 2" xfId="20787"/>
    <cellStyle name="Comma 3 3 2 3 3 2 2" xfId="43374"/>
    <cellStyle name="Comma 3 3 2 3 3 3" xfId="11127"/>
    <cellStyle name="Comma 3 3 2 3 3 3 2" xfId="33714"/>
    <cellStyle name="Comma 3 3 2 3 3 4" xfId="27274"/>
    <cellStyle name="Comma 3 3 2 3 4" xfId="17567"/>
    <cellStyle name="Comma 3 3 2 3 4 2" xfId="40154"/>
    <cellStyle name="Comma 3 3 2 3 5" xfId="14347"/>
    <cellStyle name="Comma 3 3 2 3 5 2" xfId="36934"/>
    <cellStyle name="Comma 3 3 2 3 6" xfId="7907"/>
    <cellStyle name="Comma 3 3 2 3 6 2" xfId="30494"/>
    <cellStyle name="Comma 3 3 2 3 7" xfId="24054"/>
    <cellStyle name="Comma 3 3 2 4" xfId="2080"/>
    <cellStyle name="Comma 3 3 2 4 2" xfId="5301"/>
    <cellStyle name="Comma 3 3 2 4 2 2" xfId="21401"/>
    <cellStyle name="Comma 3 3 2 4 2 2 2" xfId="43988"/>
    <cellStyle name="Comma 3 3 2 4 2 3" xfId="11741"/>
    <cellStyle name="Comma 3 3 2 4 2 3 2" xfId="34328"/>
    <cellStyle name="Comma 3 3 2 4 2 4" xfId="27888"/>
    <cellStyle name="Comma 3 3 2 4 3" xfId="18181"/>
    <cellStyle name="Comma 3 3 2 4 3 2" xfId="40768"/>
    <cellStyle name="Comma 3 3 2 4 4" xfId="14961"/>
    <cellStyle name="Comma 3 3 2 4 4 2" xfId="37548"/>
    <cellStyle name="Comma 3 3 2 4 5" xfId="8521"/>
    <cellStyle name="Comma 3 3 2 4 5 2" xfId="31108"/>
    <cellStyle name="Comma 3 3 2 4 6" xfId="24668"/>
    <cellStyle name="Comma 3 3 2 5" xfId="3993"/>
    <cellStyle name="Comma 3 3 2 5 2" xfId="20093"/>
    <cellStyle name="Comma 3 3 2 5 2 2" xfId="42680"/>
    <cellStyle name="Comma 3 3 2 5 3" xfId="10433"/>
    <cellStyle name="Comma 3 3 2 5 3 2" xfId="33020"/>
    <cellStyle name="Comma 3 3 2 5 4" xfId="26580"/>
    <cellStyle name="Comma 3 3 2 6" xfId="16873"/>
    <cellStyle name="Comma 3 3 2 6 2" xfId="39460"/>
    <cellStyle name="Comma 3 3 2 7" xfId="13653"/>
    <cellStyle name="Comma 3 3 2 7 2" xfId="36240"/>
    <cellStyle name="Comma 3 3 2 8" xfId="7213"/>
    <cellStyle name="Comma 3 3 2 8 2" xfId="29800"/>
    <cellStyle name="Comma 3 3 2 9" xfId="23360"/>
    <cellStyle name="Comma 3 3 3" xfId="1012"/>
    <cellStyle name="Comma 3 3 3 2" xfId="2326"/>
    <cellStyle name="Comma 3 3 3 2 2" xfId="5547"/>
    <cellStyle name="Comma 3 3 3 2 2 2" xfId="21647"/>
    <cellStyle name="Comma 3 3 3 2 2 2 2" xfId="44234"/>
    <cellStyle name="Comma 3 3 3 2 2 3" xfId="11987"/>
    <cellStyle name="Comma 3 3 3 2 2 3 2" xfId="34574"/>
    <cellStyle name="Comma 3 3 3 2 2 4" xfId="28134"/>
    <cellStyle name="Comma 3 3 3 2 3" xfId="18427"/>
    <cellStyle name="Comma 3 3 3 2 3 2" xfId="41014"/>
    <cellStyle name="Comma 3 3 3 2 4" xfId="15207"/>
    <cellStyle name="Comma 3 3 3 2 4 2" xfId="37794"/>
    <cellStyle name="Comma 3 3 3 2 5" xfId="8767"/>
    <cellStyle name="Comma 3 3 3 2 5 2" xfId="31354"/>
    <cellStyle name="Comma 3 3 3 2 6" xfId="24914"/>
    <cellStyle name="Comma 3 3 3 3" xfId="4239"/>
    <cellStyle name="Comma 3 3 3 3 2" xfId="20339"/>
    <cellStyle name="Comma 3 3 3 3 2 2" xfId="42926"/>
    <cellStyle name="Comma 3 3 3 3 3" xfId="10679"/>
    <cellStyle name="Comma 3 3 3 3 3 2" xfId="33266"/>
    <cellStyle name="Comma 3 3 3 3 4" xfId="26826"/>
    <cellStyle name="Comma 3 3 3 4" xfId="17119"/>
    <cellStyle name="Comma 3 3 3 4 2" xfId="39706"/>
    <cellStyle name="Comma 3 3 3 5" xfId="13899"/>
    <cellStyle name="Comma 3 3 3 5 2" xfId="36486"/>
    <cellStyle name="Comma 3 3 3 6" xfId="7459"/>
    <cellStyle name="Comma 3 3 3 6 2" xfId="30046"/>
    <cellStyle name="Comma 3 3 3 7" xfId="23606"/>
    <cellStyle name="Comma 3 3 4" xfId="1359"/>
    <cellStyle name="Comma 3 3 4 2" xfId="2673"/>
    <cellStyle name="Comma 3 3 4 2 2" xfId="5894"/>
    <cellStyle name="Comma 3 3 4 2 2 2" xfId="21994"/>
    <cellStyle name="Comma 3 3 4 2 2 2 2" xfId="44581"/>
    <cellStyle name="Comma 3 3 4 2 2 3" xfId="12334"/>
    <cellStyle name="Comma 3 3 4 2 2 3 2" xfId="34921"/>
    <cellStyle name="Comma 3 3 4 2 2 4" xfId="28481"/>
    <cellStyle name="Comma 3 3 4 2 3" xfId="18774"/>
    <cellStyle name="Comma 3 3 4 2 3 2" xfId="41361"/>
    <cellStyle name="Comma 3 3 4 2 4" xfId="15554"/>
    <cellStyle name="Comma 3 3 4 2 4 2" xfId="38141"/>
    <cellStyle name="Comma 3 3 4 2 5" xfId="9114"/>
    <cellStyle name="Comma 3 3 4 2 5 2" xfId="31701"/>
    <cellStyle name="Comma 3 3 4 2 6" xfId="25261"/>
    <cellStyle name="Comma 3 3 4 3" xfId="4586"/>
    <cellStyle name="Comma 3 3 4 3 2" xfId="20686"/>
    <cellStyle name="Comma 3 3 4 3 2 2" xfId="43273"/>
    <cellStyle name="Comma 3 3 4 3 3" xfId="11026"/>
    <cellStyle name="Comma 3 3 4 3 3 2" xfId="33613"/>
    <cellStyle name="Comma 3 3 4 3 4" xfId="27173"/>
    <cellStyle name="Comma 3 3 4 4" xfId="17466"/>
    <cellStyle name="Comma 3 3 4 4 2" xfId="40053"/>
    <cellStyle name="Comma 3 3 4 5" xfId="14246"/>
    <cellStyle name="Comma 3 3 4 5 2" xfId="36833"/>
    <cellStyle name="Comma 3 3 4 6" xfId="7806"/>
    <cellStyle name="Comma 3 3 4 6 2" xfId="30393"/>
    <cellStyle name="Comma 3 3 4 7" xfId="23953"/>
    <cellStyle name="Comma 3 3 5" xfId="1978"/>
    <cellStyle name="Comma 3 3 5 2" xfId="5200"/>
    <cellStyle name="Comma 3 3 5 2 2" xfId="21300"/>
    <cellStyle name="Comma 3 3 5 2 2 2" xfId="43887"/>
    <cellStyle name="Comma 3 3 5 2 3" xfId="11640"/>
    <cellStyle name="Comma 3 3 5 2 3 2" xfId="34227"/>
    <cellStyle name="Comma 3 3 5 2 4" xfId="27787"/>
    <cellStyle name="Comma 3 3 5 3" xfId="18080"/>
    <cellStyle name="Comma 3 3 5 3 2" xfId="40667"/>
    <cellStyle name="Comma 3 3 5 4" xfId="14860"/>
    <cellStyle name="Comma 3 3 5 4 2" xfId="37447"/>
    <cellStyle name="Comma 3 3 5 5" xfId="8420"/>
    <cellStyle name="Comma 3 3 5 5 2" xfId="31007"/>
    <cellStyle name="Comma 3 3 5 6" xfId="24567"/>
    <cellStyle name="Comma 3 3 6" xfId="3096"/>
    <cellStyle name="Comma 3 3 6 2" xfId="6316"/>
    <cellStyle name="Comma 3 3 6 2 2" xfId="22416"/>
    <cellStyle name="Comma 3 3 6 2 2 2" xfId="45003"/>
    <cellStyle name="Comma 3 3 6 2 3" xfId="12756"/>
    <cellStyle name="Comma 3 3 6 2 3 2" xfId="35343"/>
    <cellStyle name="Comma 3 3 6 2 4" xfId="28903"/>
    <cellStyle name="Comma 3 3 6 3" xfId="19196"/>
    <cellStyle name="Comma 3 3 6 3 2" xfId="41783"/>
    <cellStyle name="Comma 3 3 6 4" xfId="15976"/>
    <cellStyle name="Comma 3 3 6 4 2" xfId="38563"/>
    <cellStyle name="Comma 3 3 6 5" xfId="9536"/>
    <cellStyle name="Comma 3 3 6 5 2" xfId="32123"/>
    <cellStyle name="Comma 3 3 6 6" xfId="25683"/>
    <cellStyle name="Comma 3 3 7" xfId="3386"/>
    <cellStyle name="Comma 3 3 7 2" xfId="6606"/>
    <cellStyle name="Comma 3 3 7 2 2" xfId="22706"/>
    <cellStyle name="Comma 3 3 7 2 2 2" xfId="45293"/>
    <cellStyle name="Comma 3 3 7 2 3" xfId="13046"/>
    <cellStyle name="Comma 3 3 7 2 3 2" xfId="35633"/>
    <cellStyle name="Comma 3 3 7 2 4" xfId="29193"/>
    <cellStyle name="Comma 3 3 7 3" xfId="19486"/>
    <cellStyle name="Comma 3 3 7 3 2" xfId="42073"/>
    <cellStyle name="Comma 3 3 7 4" xfId="16266"/>
    <cellStyle name="Comma 3 3 7 4 2" xfId="38853"/>
    <cellStyle name="Comma 3 3 7 5" xfId="9826"/>
    <cellStyle name="Comma 3 3 7 5 2" xfId="32413"/>
    <cellStyle name="Comma 3 3 7 6" xfId="25973"/>
    <cellStyle name="Comma 3 3 8" xfId="648"/>
    <cellStyle name="Comma 3 3 8 2" xfId="3892"/>
    <cellStyle name="Comma 3 3 8 2 2" xfId="19992"/>
    <cellStyle name="Comma 3 3 8 2 2 2" xfId="42579"/>
    <cellStyle name="Comma 3 3 8 2 3" xfId="10332"/>
    <cellStyle name="Comma 3 3 8 2 3 2" xfId="32919"/>
    <cellStyle name="Comma 3 3 8 2 4" xfId="26479"/>
    <cellStyle name="Comma 3 3 8 3" xfId="16772"/>
    <cellStyle name="Comma 3 3 8 3 2" xfId="39359"/>
    <cellStyle name="Comma 3 3 8 4" xfId="13552"/>
    <cellStyle name="Comma 3 3 8 4 2" xfId="36139"/>
    <cellStyle name="Comma 3 3 8 5" xfId="7112"/>
    <cellStyle name="Comma 3 3 8 5 2" xfId="29699"/>
    <cellStyle name="Comma 3 3 8 6" xfId="23259"/>
    <cellStyle name="Comma 3 3 9" xfId="3676"/>
    <cellStyle name="Comma 3 3 9 2" xfId="19776"/>
    <cellStyle name="Comma 3 3 9 2 2" xfId="42363"/>
    <cellStyle name="Comma 3 3 9 3" xfId="10116"/>
    <cellStyle name="Comma 3 3 9 3 2" xfId="32703"/>
    <cellStyle name="Comma 3 3 9 4" xfId="26263"/>
    <cellStyle name="Comma 3 4" xfId="712"/>
    <cellStyle name="Comma 3 4 2" xfId="1074"/>
    <cellStyle name="Comma 3 4 2 2" xfId="2388"/>
    <cellStyle name="Comma 3 4 2 2 2" xfId="5609"/>
    <cellStyle name="Comma 3 4 2 2 2 2" xfId="21709"/>
    <cellStyle name="Comma 3 4 2 2 2 2 2" xfId="44296"/>
    <cellStyle name="Comma 3 4 2 2 2 3" xfId="12049"/>
    <cellStyle name="Comma 3 4 2 2 2 3 2" xfId="34636"/>
    <cellStyle name="Comma 3 4 2 2 2 4" xfId="28196"/>
    <cellStyle name="Comma 3 4 2 2 3" xfId="18489"/>
    <cellStyle name="Comma 3 4 2 2 3 2" xfId="41076"/>
    <cellStyle name="Comma 3 4 2 2 4" xfId="15269"/>
    <cellStyle name="Comma 3 4 2 2 4 2" xfId="37856"/>
    <cellStyle name="Comma 3 4 2 2 5" xfId="8829"/>
    <cellStyle name="Comma 3 4 2 2 5 2" xfId="31416"/>
    <cellStyle name="Comma 3 4 2 2 6" xfId="24976"/>
    <cellStyle name="Comma 3 4 2 3" xfId="4301"/>
    <cellStyle name="Comma 3 4 2 3 2" xfId="20401"/>
    <cellStyle name="Comma 3 4 2 3 2 2" xfId="42988"/>
    <cellStyle name="Comma 3 4 2 3 3" xfId="10741"/>
    <cellStyle name="Comma 3 4 2 3 3 2" xfId="33328"/>
    <cellStyle name="Comma 3 4 2 3 4" xfId="26888"/>
    <cellStyle name="Comma 3 4 2 4" xfId="17181"/>
    <cellStyle name="Comma 3 4 2 4 2" xfId="39768"/>
    <cellStyle name="Comma 3 4 2 5" xfId="13961"/>
    <cellStyle name="Comma 3 4 2 5 2" xfId="36548"/>
    <cellStyle name="Comma 3 4 2 6" xfId="7521"/>
    <cellStyle name="Comma 3 4 2 6 2" xfId="30108"/>
    <cellStyle name="Comma 3 4 2 7" xfId="23668"/>
    <cellStyle name="Comma 3 4 3" xfId="1421"/>
    <cellStyle name="Comma 3 4 3 2" xfId="2735"/>
    <cellStyle name="Comma 3 4 3 2 2" xfId="5956"/>
    <cellStyle name="Comma 3 4 3 2 2 2" xfId="22056"/>
    <cellStyle name="Comma 3 4 3 2 2 2 2" xfId="44643"/>
    <cellStyle name="Comma 3 4 3 2 2 3" xfId="12396"/>
    <cellStyle name="Comma 3 4 3 2 2 3 2" xfId="34983"/>
    <cellStyle name="Comma 3 4 3 2 2 4" xfId="28543"/>
    <cellStyle name="Comma 3 4 3 2 3" xfId="18836"/>
    <cellStyle name="Comma 3 4 3 2 3 2" xfId="41423"/>
    <cellStyle name="Comma 3 4 3 2 4" xfId="15616"/>
    <cellStyle name="Comma 3 4 3 2 4 2" xfId="38203"/>
    <cellStyle name="Comma 3 4 3 2 5" xfId="9176"/>
    <cellStyle name="Comma 3 4 3 2 5 2" xfId="31763"/>
    <cellStyle name="Comma 3 4 3 2 6" xfId="25323"/>
    <cellStyle name="Comma 3 4 3 3" xfId="4648"/>
    <cellStyle name="Comma 3 4 3 3 2" xfId="20748"/>
    <cellStyle name="Comma 3 4 3 3 2 2" xfId="43335"/>
    <cellStyle name="Comma 3 4 3 3 3" xfId="11088"/>
    <cellStyle name="Comma 3 4 3 3 3 2" xfId="33675"/>
    <cellStyle name="Comma 3 4 3 3 4" xfId="27235"/>
    <cellStyle name="Comma 3 4 3 4" xfId="17528"/>
    <cellStyle name="Comma 3 4 3 4 2" xfId="40115"/>
    <cellStyle name="Comma 3 4 3 5" xfId="14308"/>
    <cellStyle name="Comma 3 4 3 5 2" xfId="36895"/>
    <cellStyle name="Comma 3 4 3 6" xfId="7868"/>
    <cellStyle name="Comma 3 4 3 6 2" xfId="30455"/>
    <cellStyle name="Comma 3 4 3 7" xfId="24015"/>
    <cellStyle name="Comma 3 4 4" xfId="2041"/>
    <cellStyle name="Comma 3 4 4 2" xfId="5262"/>
    <cellStyle name="Comma 3 4 4 2 2" xfId="21362"/>
    <cellStyle name="Comma 3 4 4 2 2 2" xfId="43949"/>
    <cellStyle name="Comma 3 4 4 2 3" xfId="11702"/>
    <cellStyle name="Comma 3 4 4 2 3 2" xfId="34289"/>
    <cellStyle name="Comma 3 4 4 2 4" xfId="27849"/>
    <cellStyle name="Comma 3 4 4 3" xfId="18142"/>
    <cellStyle name="Comma 3 4 4 3 2" xfId="40729"/>
    <cellStyle name="Comma 3 4 4 4" xfId="14922"/>
    <cellStyle name="Comma 3 4 4 4 2" xfId="37509"/>
    <cellStyle name="Comma 3 4 4 5" xfId="8482"/>
    <cellStyle name="Comma 3 4 4 5 2" xfId="31069"/>
    <cellStyle name="Comma 3 4 4 6" xfId="24629"/>
    <cellStyle name="Comma 3 4 5" xfId="3954"/>
    <cellStyle name="Comma 3 4 5 2" xfId="20054"/>
    <cellStyle name="Comma 3 4 5 2 2" xfId="42641"/>
    <cellStyle name="Comma 3 4 5 3" xfId="10394"/>
    <cellStyle name="Comma 3 4 5 3 2" xfId="32981"/>
    <cellStyle name="Comma 3 4 5 4" xfId="26541"/>
    <cellStyle name="Comma 3 4 6" xfId="16834"/>
    <cellStyle name="Comma 3 4 6 2" xfId="39421"/>
    <cellStyle name="Comma 3 4 7" xfId="13614"/>
    <cellStyle name="Comma 3 4 7 2" xfId="36201"/>
    <cellStyle name="Comma 3 4 8" xfId="7174"/>
    <cellStyle name="Comma 3 4 8 2" xfId="29761"/>
    <cellStyle name="Comma 3 4 9" xfId="23321"/>
    <cellStyle name="Comma 3 5" xfId="741"/>
    <cellStyle name="Comma 3 5 2" xfId="1093"/>
    <cellStyle name="Comma 3 5 2 2" xfId="2407"/>
    <cellStyle name="Comma 3 5 2 2 2" xfId="5628"/>
    <cellStyle name="Comma 3 5 2 2 2 2" xfId="21728"/>
    <cellStyle name="Comma 3 5 2 2 2 2 2" xfId="44315"/>
    <cellStyle name="Comma 3 5 2 2 2 3" xfId="12068"/>
    <cellStyle name="Comma 3 5 2 2 2 3 2" xfId="34655"/>
    <cellStyle name="Comma 3 5 2 2 2 4" xfId="28215"/>
    <cellStyle name="Comma 3 5 2 2 3" xfId="18508"/>
    <cellStyle name="Comma 3 5 2 2 3 2" xfId="41095"/>
    <cellStyle name="Comma 3 5 2 2 4" xfId="15288"/>
    <cellStyle name="Comma 3 5 2 2 4 2" xfId="37875"/>
    <cellStyle name="Comma 3 5 2 2 5" xfId="8848"/>
    <cellStyle name="Comma 3 5 2 2 5 2" xfId="31435"/>
    <cellStyle name="Comma 3 5 2 2 6" xfId="24995"/>
    <cellStyle name="Comma 3 5 2 3" xfId="4320"/>
    <cellStyle name="Comma 3 5 2 3 2" xfId="20420"/>
    <cellStyle name="Comma 3 5 2 3 2 2" xfId="43007"/>
    <cellStyle name="Comma 3 5 2 3 3" xfId="10760"/>
    <cellStyle name="Comma 3 5 2 3 3 2" xfId="33347"/>
    <cellStyle name="Comma 3 5 2 3 4" xfId="26907"/>
    <cellStyle name="Comma 3 5 2 4" xfId="17200"/>
    <cellStyle name="Comma 3 5 2 4 2" xfId="39787"/>
    <cellStyle name="Comma 3 5 2 5" xfId="13980"/>
    <cellStyle name="Comma 3 5 2 5 2" xfId="36567"/>
    <cellStyle name="Comma 3 5 2 6" xfId="7540"/>
    <cellStyle name="Comma 3 5 2 6 2" xfId="30127"/>
    <cellStyle name="Comma 3 5 2 7" xfId="23687"/>
    <cellStyle name="Comma 3 5 3" xfId="1440"/>
    <cellStyle name="Comma 3 5 3 2" xfId="2754"/>
    <cellStyle name="Comma 3 5 3 2 2" xfId="5975"/>
    <cellStyle name="Comma 3 5 3 2 2 2" xfId="22075"/>
    <cellStyle name="Comma 3 5 3 2 2 2 2" xfId="44662"/>
    <cellStyle name="Comma 3 5 3 2 2 3" xfId="12415"/>
    <cellStyle name="Comma 3 5 3 2 2 3 2" xfId="35002"/>
    <cellStyle name="Comma 3 5 3 2 2 4" xfId="28562"/>
    <cellStyle name="Comma 3 5 3 2 3" xfId="18855"/>
    <cellStyle name="Comma 3 5 3 2 3 2" xfId="41442"/>
    <cellStyle name="Comma 3 5 3 2 4" xfId="15635"/>
    <cellStyle name="Comma 3 5 3 2 4 2" xfId="38222"/>
    <cellStyle name="Comma 3 5 3 2 5" xfId="9195"/>
    <cellStyle name="Comma 3 5 3 2 5 2" xfId="31782"/>
    <cellStyle name="Comma 3 5 3 2 6" xfId="25342"/>
    <cellStyle name="Comma 3 5 3 3" xfId="4667"/>
    <cellStyle name="Comma 3 5 3 3 2" xfId="20767"/>
    <cellStyle name="Comma 3 5 3 3 2 2" xfId="43354"/>
    <cellStyle name="Comma 3 5 3 3 3" xfId="11107"/>
    <cellStyle name="Comma 3 5 3 3 3 2" xfId="33694"/>
    <cellStyle name="Comma 3 5 3 3 4" xfId="27254"/>
    <cellStyle name="Comma 3 5 3 4" xfId="17547"/>
    <cellStyle name="Comma 3 5 3 4 2" xfId="40134"/>
    <cellStyle name="Comma 3 5 3 5" xfId="14327"/>
    <cellStyle name="Comma 3 5 3 5 2" xfId="36914"/>
    <cellStyle name="Comma 3 5 3 6" xfId="7887"/>
    <cellStyle name="Comma 3 5 3 6 2" xfId="30474"/>
    <cellStyle name="Comma 3 5 3 7" xfId="24034"/>
    <cellStyle name="Comma 3 5 4" xfId="2060"/>
    <cellStyle name="Comma 3 5 4 2" xfId="5281"/>
    <cellStyle name="Comma 3 5 4 2 2" xfId="21381"/>
    <cellStyle name="Comma 3 5 4 2 2 2" xfId="43968"/>
    <cellStyle name="Comma 3 5 4 2 3" xfId="11721"/>
    <cellStyle name="Comma 3 5 4 2 3 2" xfId="34308"/>
    <cellStyle name="Comma 3 5 4 2 4" xfId="27868"/>
    <cellStyle name="Comma 3 5 4 3" xfId="18161"/>
    <cellStyle name="Comma 3 5 4 3 2" xfId="40748"/>
    <cellStyle name="Comma 3 5 4 4" xfId="14941"/>
    <cellStyle name="Comma 3 5 4 4 2" xfId="37528"/>
    <cellStyle name="Comma 3 5 4 5" xfId="8501"/>
    <cellStyle name="Comma 3 5 4 5 2" xfId="31088"/>
    <cellStyle name="Comma 3 5 4 6" xfId="24648"/>
    <cellStyle name="Comma 3 5 5" xfId="3973"/>
    <cellStyle name="Comma 3 5 5 2" xfId="20073"/>
    <cellStyle name="Comma 3 5 5 2 2" xfId="42660"/>
    <cellStyle name="Comma 3 5 5 3" xfId="10413"/>
    <cellStyle name="Comma 3 5 5 3 2" xfId="33000"/>
    <cellStyle name="Comma 3 5 5 4" xfId="26560"/>
    <cellStyle name="Comma 3 5 6" xfId="16853"/>
    <cellStyle name="Comma 3 5 6 2" xfId="39440"/>
    <cellStyle name="Comma 3 5 7" xfId="13633"/>
    <cellStyle name="Comma 3 5 7 2" xfId="36220"/>
    <cellStyle name="Comma 3 5 8" xfId="7193"/>
    <cellStyle name="Comma 3 5 8 2" xfId="29780"/>
    <cellStyle name="Comma 3 5 9" xfId="23340"/>
    <cellStyle name="Comma 3 6" xfId="888"/>
    <cellStyle name="Comma 3 6 2" xfId="2207"/>
    <cellStyle name="Comma 3 6 2 2" xfId="5428"/>
    <cellStyle name="Comma 3 6 2 2 2" xfId="21528"/>
    <cellStyle name="Comma 3 6 2 2 2 2" xfId="44115"/>
    <cellStyle name="Comma 3 6 2 2 3" xfId="11868"/>
    <cellStyle name="Comma 3 6 2 2 3 2" xfId="34455"/>
    <cellStyle name="Comma 3 6 2 2 4" xfId="28015"/>
    <cellStyle name="Comma 3 6 2 3" xfId="18308"/>
    <cellStyle name="Comma 3 6 2 3 2" xfId="40895"/>
    <cellStyle name="Comma 3 6 2 4" xfId="15088"/>
    <cellStyle name="Comma 3 6 2 4 2" xfId="37675"/>
    <cellStyle name="Comma 3 6 2 5" xfId="8648"/>
    <cellStyle name="Comma 3 6 2 5 2" xfId="31235"/>
    <cellStyle name="Comma 3 6 2 6" xfId="24795"/>
    <cellStyle name="Comma 3 6 3" xfId="4120"/>
    <cellStyle name="Comma 3 6 3 2" xfId="20220"/>
    <cellStyle name="Comma 3 6 3 2 2" xfId="42807"/>
    <cellStyle name="Comma 3 6 3 3" xfId="10560"/>
    <cellStyle name="Comma 3 6 3 3 2" xfId="33147"/>
    <cellStyle name="Comma 3 6 3 4" xfId="26707"/>
    <cellStyle name="Comma 3 6 4" xfId="17000"/>
    <cellStyle name="Comma 3 6 4 2" xfId="39587"/>
    <cellStyle name="Comma 3 6 5" xfId="13780"/>
    <cellStyle name="Comma 3 6 5 2" xfId="36367"/>
    <cellStyle name="Comma 3 6 6" xfId="7340"/>
    <cellStyle name="Comma 3 6 6 2" xfId="29927"/>
    <cellStyle name="Comma 3 6 7" xfId="23487"/>
    <cellStyle name="Comma 3 7" xfId="1240"/>
    <cellStyle name="Comma 3 7 2" xfId="2554"/>
    <cellStyle name="Comma 3 7 2 2" xfId="5775"/>
    <cellStyle name="Comma 3 7 2 2 2" xfId="21875"/>
    <cellStyle name="Comma 3 7 2 2 2 2" xfId="44462"/>
    <cellStyle name="Comma 3 7 2 2 3" xfId="12215"/>
    <cellStyle name="Comma 3 7 2 2 3 2" xfId="34802"/>
    <cellStyle name="Comma 3 7 2 2 4" xfId="28362"/>
    <cellStyle name="Comma 3 7 2 3" xfId="18655"/>
    <cellStyle name="Comma 3 7 2 3 2" xfId="41242"/>
    <cellStyle name="Comma 3 7 2 4" xfId="15435"/>
    <cellStyle name="Comma 3 7 2 4 2" xfId="38022"/>
    <cellStyle name="Comma 3 7 2 5" xfId="8995"/>
    <cellStyle name="Comma 3 7 2 5 2" xfId="31582"/>
    <cellStyle name="Comma 3 7 2 6" xfId="25142"/>
    <cellStyle name="Comma 3 7 3" xfId="4467"/>
    <cellStyle name="Comma 3 7 3 2" xfId="20567"/>
    <cellStyle name="Comma 3 7 3 2 2" xfId="43154"/>
    <cellStyle name="Comma 3 7 3 3" xfId="10907"/>
    <cellStyle name="Comma 3 7 3 3 2" xfId="33494"/>
    <cellStyle name="Comma 3 7 3 4" xfId="27054"/>
    <cellStyle name="Comma 3 7 4" xfId="17347"/>
    <cellStyle name="Comma 3 7 4 2" xfId="39934"/>
    <cellStyle name="Comma 3 7 5" xfId="14127"/>
    <cellStyle name="Comma 3 7 5 2" xfId="36714"/>
    <cellStyle name="Comma 3 7 6" xfId="7687"/>
    <cellStyle name="Comma 3 7 6 2" xfId="30274"/>
    <cellStyle name="Comma 3 7 7" xfId="23834"/>
    <cellStyle name="Comma 3 8" xfId="1542"/>
    <cellStyle name="Comma 3 8 2" xfId="4768"/>
    <cellStyle name="Comma 3 8 2 2" xfId="20868"/>
    <cellStyle name="Comma 3 8 2 2 2" xfId="43455"/>
    <cellStyle name="Comma 3 8 2 3" xfId="11208"/>
    <cellStyle name="Comma 3 8 2 3 2" xfId="33795"/>
    <cellStyle name="Comma 3 8 2 4" xfId="27355"/>
    <cellStyle name="Comma 3 8 3" xfId="17648"/>
    <cellStyle name="Comma 3 8 3 2" xfId="40235"/>
    <cellStyle name="Comma 3 8 4" xfId="14428"/>
    <cellStyle name="Comma 3 8 4 2" xfId="37015"/>
    <cellStyle name="Comma 3 8 5" xfId="7988"/>
    <cellStyle name="Comma 3 8 5 2" xfId="30575"/>
    <cellStyle name="Comma 3 8 6" xfId="24135"/>
    <cellStyle name="Comma 3 9" xfId="1859"/>
    <cellStyle name="Comma 3 9 2" xfId="5081"/>
    <cellStyle name="Comma 3 9 2 2" xfId="21181"/>
    <cellStyle name="Comma 3 9 2 2 2" xfId="43768"/>
    <cellStyle name="Comma 3 9 2 3" xfId="11521"/>
    <cellStyle name="Comma 3 9 2 3 2" xfId="34108"/>
    <cellStyle name="Comma 3 9 2 4" xfId="27668"/>
    <cellStyle name="Comma 3 9 3" xfId="17961"/>
    <cellStyle name="Comma 3 9 3 2" xfId="40548"/>
    <cellStyle name="Comma 3 9 4" xfId="14741"/>
    <cellStyle name="Comma 3 9 4 2" xfId="37328"/>
    <cellStyle name="Comma 3 9 5" xfId="8301"/>
    <cellStyle name="Comma 3 9 5 2" xfId="30888"/>
    <cellStyle name="Comma 3 9 6" xfId="24448"/>
    <cellStyle name="Comma 4" xfId="219"/>
    <cellStyle name="Comma 4 10" xfId="16387"/>
    <cellStyle name="Comma 4 10 2" xfId="38974"/>
    <cellStyle name="Comma 4 11" xfId="13167"/>
    <cellStyle name="Comma 4 11 2" xfId="35754"/>
    <cellStyle name="Comma 4 12" xfId="6727"/>
    <cellStyle name="Comma 4 12 2" xfId="29314"/>
    <cellStyle name="Comma 4 13" xfId="22874"/>
    <cellStyle name="Comma 4 2" xfId="317"/>
    <cellStyle name="Comma 4 2 10" xfId="13264"/>
    <cellStyle name="Comma 4 2 10 2" xfId="35851"/>
    <cellStyle name="Comma 4 2 11" xfId="6824"/>
    <cellStyle name="Comma 4 2 11 2" xfId="29411"/>
    <cellStyle name="Comma 4 2 12" xfId="22971"/>
    <cellStyle name="Comma 4 2 2" xfId="1133"/>
    <cellStyle name="Comma 4 2 2 2" xfId="2447"/>
    <cellStyle name="Comma 4 2 2 2 2" xfId="5668"/>
    <cellStyle name="Comma 4 2 2 2 2 2" xfId="21768"/>
    <cellStyle name="Comma 4 2 2 2 2 2 2" xfId="44355"/>
    <cellStyle name="Comma 4 2 2 2 2 3" xfId="12108"/>
    <cellStyle name="Comma 4 2 2 2 2 3 2" xfId="34695"/>
    <cellStyle name="Comma 4 2 2 2 2 4" xfId="28255"/>
    <cellStyle name="Comma 4 2 2 2 3" xfId="18548"/>
    <cellStyle name="Comma 4 2 2 2 3 2" xfId="41135"/>
    <cellStyle name="Comma 4 2 2 2 4" xfId="15328"/>
    <cellStyle name="Comma 4 2 2 2 4 2" xfId="37915"/>
    <cellStyle name="Comma 4 2 2 2 5" xfId="8888"/>
    <cellStyle name="Comma 4 2 2 2 5 2" xfId="31475"/>
    <cellStyle name="Comma 4 2 2 2 6" xfId="25035"/>
    <cellStyle name="Comma 4 2 2 3" xfId="4360"/>
    <cellStyle name="Comma 4 2 2 3 2" xfId="20460"/>
    <cellStyle name="Comma 4 2 2 3 2 2" xfId="43047"/>
    <cellStyle name="Comma 4 2 2 3 3" xfId="10800"/>
    <cellStyle name="Comma 4 2 2 3 3 2" xfId="33387"/>
    <cellStyle name="Comma 4 2 2 3 4" xfId="26947"/>
    <cellStyle name="Comma 4 2 2 4" xfId="17240"/>
    <cellStyle name="Comma 4 2 2 4 2" xfId="39827"/>
    <cellStyle name="Comma 4 2 2 5" xfId="14020"/>
    <cellStyle name="Comma 4 2 2 5 2" xfId="36607"/>
    <cellStyle name="Comma 4 2 2 6" xfId="7580"/>
    <cellStyle name="Comma 4 2 2 6 2" xfId="30167"/>
    <cellStyle name="Comma 4 2 2 7" xfId="23727"/>
    <cellStyle name="Comma 4 2 3" xfId="1480"/>
    <cellStyle name="Comma 4 2 3 2" xfId="2794"/>
    <cellStyle name="Comma 4 2 3 2 2" xfId="6015"/>
    <cellStyle name="Comma 4 2 3 2 2 2" xfId="22115"/>
    <cellStyle name="Comma 4 2 3 2 2 2 2" xfId="44702"/>
    <cellStyle name="Comma 4 2 3 2 2 3" xfId="12455"/>
    <cellStyle name="Comma 4 2 3 2 2 3 2" xfId="35042"/>
    <cellStyle name="Comma 4 2 3 2 2 4" xfId="28602"/>
    <cellStyle name="Comma 4 2 3 2 3" xfId="18895"/>
    <cellStyle name="Comma 4 2 3 2 3 2" xfId="41482"/>
    <cellStyle name="Comma 4 2 3 2 4" xfId="15675"/>
    <cellStyle name="Comma 4 2 3 2 4 2" xfId="38262"/>
    <cellStyle name="Comma 4 2 3 2 5" xfId="9235"/>
    <cellStyle name="Comma 4 2 3 2 5 2" xfId="31822"/>
    <cellStyle name="Comma 4 2 3 2 6" xfId="25382"/>
    <cellStyle name="Comma 4 2 3 3" xfId="4707"/>
    <cellStyle name="Comma 4 2 3 3 2" xfId="20807"/>
    <cellStyle name="Comma 4 2 3 3 2 2" xfId="43394"/>
    <cellStyle name="Comma 4 2 3 3 3" xfId="11147"/>
    <cellStyle name="Comma 4 2 3 3 3 2" xfId="33734"/>
    <cellStyle name="Comma 4 2 3 3 4" xfId="27294"/>
    <cellStyle name="Comma 4 2 3 4" xfId="17587"/>
    <cellStyle name="Comma 4 2 3 4 2" xfId="40174"/>
    <cellStyle name="Comma 4 2 3 5" xfId="14367"/>
    <cellStyle name="Comma 4 2 3 5 2" xfId="36954"/>
    <cellStyle name="Comma 4 2 3 6" xfId="7927"/>
    <cellStyle name="Comma 4 2 3 6 2" xfId="30514"/>
    <cellStyle name="Comma 4 2 3 7" xfId="24074"/>
    <cellStyle name="Comma 4 2 4" xfId="2100"/>
    <cellStyle name="Comma 4 2 4 2" xfId="5321"/>
    <cellStyle name="Comma 4 2 4 2 2" xfId="21421"/>
    <cellStyle name="Comma 4 2 4 2 2 2" xfId="44008"/>
    <cellStyle name="Comma 4 2 4 2 3" xfId="11761"/>
    <cellStyle name="Comma 4 2 4 2 3 2" xfId="34348"/>
    <cellStyle name="Comma 4 2 4 2 4" xfId="27908"/>
    <cellStyle name="Comma 4 2 4 3" xfId="18201"/>
    <cellStyle name="Comma 4 2 4 3 2" xfId="40788"/>
    <cellStyle name="Comma 4 2 4 4" xfId="14981"/>
    <cellStyle name="Comma 4 2 4 4 2" xfId="37568"/>
    <cellStyle name="Comma 4 2 4 5" xfId="8541"/>
    <cellStyle name="Comma 4 2 4 5 2" xfId="31128"/>
    <cellStyle name="Comma 4 2 4 6" xfId="24688"/>
    <cellStyle name="Comma 4 2 5" xfId="3024"/>
    <cellStyle name="Comma 4 2 5 2" xfId="6244"/>
    <cellStyle name="Comma 4 2 5 2 2" xfId="22344"/>
    <cellStyle name="Comma 4 2 5 2 2 2" xfId="44931"/>
    <cellStyle name="Comma 4 2 5 2 3" xfId="12684"/>
    <cellStyle name="Comma 4 2 5 2 3 2" xfId="35271"/>
    <cellStyle name="Comma 4 2 5 2 4" xfId="28831"/>
    <cellStyle name="Comma 4 2 5 3" xfId="19124"/>
    <cellStyle name="Comma 4 2 5 3 2" xfId="41711"/>
    <cellStyle name="Comma 4 2 5 4" xfId="15904"/>
    <cellStyle name="Comma 4 2 5 4 2" xfId="38491"/>
    <cellStyle name="Comma 4 2 5 5" xfId="9464"/>
    <cellStyle name="Comma 4 2 5 5 2" xfId="32051"/>
    <cellStyle name="Comma 4 2 5 6" xfId="25611"/>
    <cellStyle name="Comma 4 2 6" xfId="3314"/>
    <cellStyle name="Comma 4 2 6 2" xfId="6534"/>
    <cellStyle name="Comma 4 2 6 2 2" xfId="22634"/>
    <cellStyle name="Comma 4 2 6 2 2 2" xfId="45221"/>
    <cellStyle name="Comma 4 2 6 2 3" xfId="12974"/>
    <cellStyle name="Comma 4 2 6 2 3 2" xfId="35561"/>
    <cellStyle name="Comma 4 2 6 2 4" xfId="29121"/>
    <cellStyle name="Comma 4 2 6 3" xfId="19414"/>
    <cellStyle name="Comma 4 2 6 3 2" xfId="42001"/>
    <cellStyle name="Comma 4 2 6 4" xfId="16194"/>
    <cellStyle name="Comma 4 2 6 4 2" xfId="38781"/>
    <cellStyle name="Comma 4 2 6 5" xfId="9754"/>
    <cellStyle name="Comma 4 2 6 5 2" xfId="32341"/>
    <cellStyle name="Comma 4 2 6 6" xfId="25901"/>
    <cellStyle name="Comma 4 2 7" xfId="781"/>
    <cellStyle name="Comma 4 2 7 2" xfId="4013"/>
    <cellStyle name="Comma 4 2 7 2 2" xfId="20113"/>
    <cellStyle name="Comma 4 2 7 2 2 2" xfId="42700"/>
    <cellStyle name="Comma 4 2 7 2 3" xfId="10453"/>
    <cellStyle name="Comma 4 2 7 2 3 2" xfId="33040"/>
    <cellStyle name="Comma 4 2 7 2 4" xfId="26600"/>
    <cellStyle name="Comma 4 2 7 3" xfId="16893"/>
    <cellStyle name="Comma 4 2 7 3 2" xfId="39480"/>
    <cellStyle name="Comma 4 2 7 4" xfId="13673"/>
    <cellStyle name="Comma 4 2 7 4 2" xfId="36260"/>
    <cellStyle name="Comma 4 2 7 5" xfId="7233"/>
    <cellStyle name="Comma 4 2 7 5 2" xfId="29820"/>
    <cellStyle name="Comma 4 2 7 6" xfId="23380"/>
    <cellStyle name="Comma 4 2 8" xfId="3604"/>
    <cellStyle name="Comma 4 2 8 2" xfId="19704"/>
    <cellStyle name="Comma 4 2 8 2 2" xfId="42291"/>
    <cellStyle name="Comma 4 2 8 3" xfId="10044"/>
    <cellStyle name="Comma 4 2 8 3 2" xfId="32631"/>
    <cellStyle name="Comma 4 2 8 4" xfId="26191"/>
    <cellStyle name="Comma 4 2 9" xfId="16484"/>
    <cellStyle name="Comma 4 2 9 2" xfId="39071"/>
    <cellStyle name="Comma 4 3" xfId="413"/>
    <cellStyle name="Comma 4 3 10" xfId="23067"/>
    <cellStyle name="Comma 4 3 2" xfId="2270"/>
    <cellStyle name="Comma 4 3 2 2" xfId="5491"/>
    <cellStyle name="Comma 4 3 2 2 2" xfId="21591"/>
    <cellStyle name="Comma 4 3 2 2 2 2" xfId="44178"/>
    <cellStyle name="Comma 4 3 2 2 3" xfId="11931"/>
    <cellStyle name="Comma 4 3 2 2 3 2" xfId="34518"/>
    <cellStyle name="Comma 4 3 2 2 4" xfId="28078"/>
    <cellStyle name="Comma 4 3 2 3" xfId="18371"/>
    <cellStyle name="Comma 4 3 2 3 2" xfId="40958"/>
    <cellStyle name="Comma 4 3 2 4" xfId="15151"/>
    <cellStyle name="Comma 4 3 2 4 2" xfId="37738"/>
    <cellStyle name="Comma 4 3 2 5" xfId="8711"/>
    <cellStyle name="Comma 4 3 2 5 2" xfId="31298"/>
    <cellStyle name="Comma 4 3 2 6" xfId="24858"/>
    <cellStyle name="Comma 4 3 3" xfId="3120"/>
    <cellStyle name="Comma 4 3 3 2" xfId="6340"/>
    <cellStyle name="Comma 4 3 3 2 2" xfId="22440"/>
    <cellStyle name="Comma 4 3 3 2 2 2" xfId="45027"/>
    <cellStyle name="Comma 4 3 3 2 3" xfId="12780"/>
    <cellStyle name="Comma 4 3 3 2 3 2" xfId="35367"/>
    <cellStyle name="Comma 4 3 3 2 4" xfId="28927"/>
    <cellStyle name="Comma 4 3 3 3" xfId="19220"/>
    <cellStyle name="Comma 4 3 3 3 2" xfId="41807"/>
    <cellStyle name="Comma 4 3 3 4" xfId="16000"/>
    <cellStyle name="Comma 4 3 3 4 2" xfId="38587"/>
    <cellStyle name="Comma 4 3 3 5" xfId="9560"/>
    <cellStyle name="Comma 4 3 3 5 2" xfId="32147"/>
    <cellStyle name="Comma 4 3 3 6" xfId="25707"/>
    <cellStyle name="Comma 4 3 4" xfId="3410"/>
    <cellStyle name="Comma 4 3 4 2" xfId="6630"/>
    <cellStyle name="Comma 4 3 4 2 2" xfId="22730"/>
    <cellStyle name="Comma 4 3 4 2 2 2" xfId="45317"/>
    <cellStyle name="Comma 4 3 4 2 3" xfId="13070"/>
    <cellStyle name="Comma 4 3 4 2 3 2" xfId="35657"/>
    <cellStyle name="Comma 4 3 4 2 4" xfId="29217"/>
    <cellStyle name="Comma 4 3 4 3" xfId="19510"/>
    <cellStyle name="Comma 4 3 4 3 2" xfId="42097"/>
    <cellStyle name="Comma 4 3 4 4" xfId="16290"/>
    <cellStyle name="Comma 4 3 4 4 2" xfId="38877"/>
    <cellStyle name="Comma 4 3 4 5" xfId="9850"/>
    <cellStyle name="Comma 4 3 4 5 2" xfId="32437"/>
    <cellStyle name="Comma 4 3 4 6" xfId="25997"/>
    <cellStyle name="Comma 4 3 5" xfId="951"/>
    <cellStyle name="Comma 4 3 5 2" xfId="4183"/>
    <cellStyle name="Comma 4 3 5 2 2" xfId="20283"/>
    <cellStyle name="Comma 4 3 5 2 2 2" xfId="42870"/>
    <cellStyle name="Comma 4 3 5 2 3" xfId="10623"/>
    <cellStyle name="Comma 4 3 5 2 3 2" xfId="33210"/>
    <cellStyle name="Comma 4 3 5 2 4" xfId="26770"/>
    <cellStyle name="Comma 4 3 5 3" xfId="17063"/>
    <cellStyle name="Comma 4 3 5 3 2" xfId="39650"/>
    <cellStyle name="Comma 4 3 5 4" xfId="13843"/>
    <cellStyle name="Comma 4 3 5 4 2" xfId="36430"/>
    <cellStyle name="Comma 4 3 5 5" xfId="7403"/>
    <cellStyle name="Comma 4 3 5 5 2" xfId="29990"/>
    <cellStyle name="Comma 4 3 5 6" xfId="23550"/>
    <cellStyle name="Comma 4 3 6" xfId="3700"/>
    <cellStyle name="Comma 4 3 6 2" xfId="19800"/>
    <cellStyle name="Comma 4 3 6 2 2" xfId="42387"/>
    <cellStyle name="Comma 4 3 6 3" xfId="10140"/>
    <cellStyle name="Comma 4 3 6 3 2" xfId="32727"/>
    <cellStyle name="Comma 4 3 6 4" xfId="26287"/>
    <cellStyle name="Comma 4 3 7" xfId="16580"/>
    <cellStyle name="Comma 4 3 7 2" xfId="39167"/>
    <cellStyle name="Comma 4 3 8" xfId="13360"/>
    <cellStyle name="Comma 4 3 8 2" xfId="35947"/>
    <cellStyle name="Comma 4 3 9" xfId="6920"/>
    <cellStyle name="Comma 4 3 9 2" xfId="29507"/>
    <cellStyle name="Comma 4 4" xfId="1303"/>
    <cellStyle name="Comma 4 4 2" xfId="2617"/>
    <cellStyle name="Comma 4 4 2 2" xfId="5838"/>
    <cellStyle name="Comma 4 4 2 2 2" xfId="21938"/>
    <cellStyle name="Comma 4 4 2 2 2 2" xfId="44525"/>
    <cellStyle name="Comma 4 4 2 2 3" xfId="12278"/>
    <cellStyle name="Comma 4 4 2 2 3 2" xfId="34865"/>
    <cellStyle name="Comma 4 4 2 2 4" xfId="28425"/>
    <cellStyle name="Comma 4 4 2 3" xfId="18718"/>
    <cellStyle name="Comma 4 4 2 3 2" xfId="41305"/>
    <cellStyle name="Comma 4 4 2 4" xfId="15498"/>
    <cellStyle name="Comma 4 4 2 4 2" xfId="38085"/>
    <cellStyle name="Comma 4 4 2 5" xfId="9058"/>
    <cellStyle name="Comma 4 4 2 5 2" xfId="31645"/>
    <cellStyle name="Comma 4 4 2 6" xfId="25205"/>
    <cellStyle name="Comma 4 4 3" xfId="4530"/>
    <cellStyle name="Comma 4 4 3 2" xfId="20630"/>
    <cellStyle name="Comma 4 4 3 2 2" xfId="43217"/>
    <cellStyle name="Comma 4 4 3 3" xfId="10970"/>
    <cellStyle name="Comma 4 4 3 3 2" xfId="33557"/>
    <cellStyle name="Comma 4 4 3 4" xfId="27117"/>
    <cellStyle name="Comma 4 4 4" xfId="17410"/>
    <cellStyle name="Comma 4 4 4 2" xfId="39997"/>
    <cellStyle name="Comma 4 4 5" xfId="14190"/>
    <cellStyle name="Comma 4 4 5 2" xfId="36777"/>
    <cellStyle name="Comma 4 4 6" xfId="7750"/>
    <cellStyle name="Comma 4 4 6 2" xfId="30337"/>
    <cellStyle name="Comma 4 4 7" xfId="23897"/>
    <cellStyle name="Comma 4 5" xfId="1922"/>
    <cellStyle name="Comma 4 5 2" xfId="5144"/>
    <cellStyle name="Comma 4 5 2 2" xfId="21244"/>
    <cellStyle name="Comma 4 5 2 2 2" xfId="43831"/>
    <cellStyle name="Comma 4 5 2 3" xfId="11584"/>
    <cellStyle name="Comma 4 5 2 3 2" xfId="34171"/>
    <cellStyle name="Comma 4 5 2 4" xfId="27731"/>
    <cellStyle name="Comma 4 5 3" xfId="18024"/>
    <cellStyle name="Comma 4 5 3 2" xfId="40611"/>
    <cellStyle name="Comma 4 5 4" xfId="14804"/>
    <cellStyle name="Comma 4 5 4 2" xfId="37391"/>
    <cellStyle name="Comma 4 5 5" xfId="8364"/>
    <cellStyle name="Comma 4 5 5 2" xfId="30951"/>
    <cellStyle name="Comma 4 5 6" xfId="24511"/>
    <cellStyle name="Comma 4 6" xfId="2926"/>
    <cellStyle name="Comma 4 6 2" xfId="6147"/>
    <cellStyle name="Comma 4 6 2 2" xfId="22247"/>
    <cellStyle name="Comma 4 6 2 2 2" xfId="44834"/>
    <cellStyle name="Comma 4 6 2 3" xfId="12587"/>
    <cellStyle name="Comma 4 6 2 3 2" xfId="35174"/>
    <cellStyle name="Comma 4 6 2 4" xfId="28734"/>
    <cellStyle name="Comma 4 6 3" xfId="19027"/>
    <cellStyle name="Comma 4 6 3 2" xfId="41614"/>
    <cellStyle name="Comma 4 6 4" xfId="15807"/>
    <cellStyle name="Comma 4 6 4 2" xfId="38394"/>
    <cellStyle name="Comma 4 6 5" xfId="9367"/>
    <cellStyle name="Comma 4 6 5 2" xfId="31954"/>
    <cellStyle name="Comma 4 6 6" xfId="25514"/>
    <cellStyle name="Comma 4 7" xfId="3217"/>
    <cellStyle name="Comma 4 7 2" xfId="6437"/>
    <cellStyle name="Comma 4 7 2 2" xfId="22537"/>
    <cellStyle name="Comma 4 7 2 2 2" xfId="45124"/>
    <cellStyle name="Comma 4 7 2 3" xfId="12877"/>
    <cellStyle name="Comma 4 7 2 3 2" xfId="35464"/>
    <cellStyle name="Comma 4 7 2 4" xfId="29024"/>
    <cellStyle name="Comma 4 7 3" xfId="19317"/>
    <cellStyle name="Comma 4 7 3 2" xfId="41904"/>
    <cellStyle name="Comma 4 7 4" xfId="16097"/>
    <cellStyle name="Comma 4 7 4 2" xfId="38684"/>
    <cellStyle name="Comma 4 7 5" xfId="9657"/>
    <cellStyle name="Comma 4 7 5 2" xfId="32244"/>
    <cellStyle name="Comma 4 7 6" xfId="25804"/>
    <cellStyle name="Comma 4 8" xfId="549"/>
    <cellStyle name="Comma 4 8 2" xfId="3836"/>
    <cellStyle name="Comma 4 8 2 2" xfId="19936"/>
    <cellStyle name="Comma 4 8 2 2 2" xfId="42523"/>
    <cellStyle name="Comma 4 8 2 3" xfId="10276"/>
    <cellStyle name="Comma 4 8 2 3 2" xfId="32863"/>
    <cellStyle name="Comma 4 8 2 4" xfId="26423"/>
    <cellStyle name="Comma 4 8 3" xfId="16716"/>
    <cellStyle name="Comma 4 8 3 2" xfId="39303"/>
    <cellStyle name="Comma 4 8 4" xfId="13496"/>
    <cellStyle name="Comma 4 8 4 2" xfId="36083"/>
    <cellStyle name="Comma 4 8 5" xfId="7056"/>
    <cellStyle name="Comma 4 8 5 2" xfId="29643"/>
    <cellStyle name="Comma 4 8 6" xfId="23203"/>
    <cellStyle name="Comma 4 9" xfId="3507"/>
    <cellStyle name="Comma 4 9 2" xfId="19607"/>
    <cellStyle name="Comma 4 9 2 2" xfId="42194"/>
    <cellStyle name="Comma 4 9 3" xfId="9947"/>
    <cellStyle name="Comma 4 9 3 2" xfId="32534"/>
    <cellStyle name="Comma 4 9 4" xfId="26094"/>
    <cellStyle name="Comma 5" xfId="22756"/>
    <cellStyle name="Excel Built-in Normal 11" xfId="129"/>
    <cellStyle name="Explanatory Text" xfId="28" builtinId="53" customBuiltin="1"/>
    <cellStyle name="Explanatory Text 2" xfId="72"/>
    <cellStyle name="Explanatory Text 3" xfId="178"/>
    <cellStyle name="Explanatory Text 4" xfId="598"/>
    <cellStyle name="Explanatory Text 5" xfId="22785"/>
    <cellStyle name="Good" xfId="29" builtinId="26" customBuiltin="1"/>
    <cellStyle name="Good 2" xfId="73"/>
    <cellStyle name="Good 3" xfId="179"/>
    <cellStyle name="Good 4" xfId="562"/>
    <cellStyle name="Good 5" xfId="22786"/>
    <cellStyle name="Heading 1" xfId="30" builtinId="16" customBuiltin="1"/>
    <cellStyle name="Heading 1 2" xfId="74"/>
    <cellStyle name="Heading 1 3" xfId="180"/>
    <cellStyle name="Heading 1 4" xfId="564"/>
    <cellStyle name="Heading 1 5" xfId="22787"/>
    <cellStyle name="Heading 2" xfId="31" builtinId="17" customBuiltin="1"/>
    <cellStyle name="Heading 2 2" xfId="75"/>
    <cellStyle name="Heading 2 3" xfId="181"/>
    <cellStyle name="Heading 2 4" xfId="613"/>
    <cellStyle name="Heading 2 5" xfId="22788"/>
    <cellStyle name="Heading 3" xfId="32" builtinId="18" customBuiltin="1"/>
    <cellStyle name="Heading 3 2" xfId="76"/>
    <cellStyle name="Heading 3 3" xfId="182"/>
    <cellStyle name="Heading 3 4" xfId="596"/>
    <cellStyle name="Heading 3 5" xfId="22789"/>
    <cellStyle name="Heading 4" xfId="33" builtinId="19" customBuiltin="1"/>
    <cellStyle name="Heading 4 2" xfId="77"/>
    <cellStyle name="Heading 4 3" xfId="183"/>
    <cellStyle name="Heading 4 4" xfId="597"/>
    <cellStyle name="Heading 4 5" xfId="22790"/>
    <cellStyle name="Hyperlink" xfId="45343" builtinId="8"/>
    <cellStyle name="Input" xfId="34" builtinId="20" customBuiltin="1"/>
    <cellStyle name="Input 2" xfId="78"/>
    <cellStyle name="Input 2 2" xfId="721"/>
    <cellStyle name="Input 3" xfId="184"/>
    <cellStyle name="Input 3 2" xfId="716"/>
    <cellStyle name="Input 4" xfId="578"/>
    <cellStyle name="Input 4 2" xfId="964"/>
    <cellStyle name="Input 5" xfId="22791"/>
    <cellStyle name="Linked Cell" xfId="35" builtinId="24" customBuiltin="1"/>
    <cellStyle name="Linked Cell 2" xfId="79"/>
    <cellStyle name="Linked Cell 3" xfId="185"/>
    <cellStyle name="Linked Cell 4" xfId="573"/>
    <cellStyle name="Linked Cell 5" xfId="22792"/>
    <cellStyle name="Neutral" xfId="36" builtinId="28" customBuiltin="1"/>
    <cellStyle name="Neutral 2" xfId="80"/>
    <cellStyle name="Neutral 3" xfId="186"/>
    <cellStyle name="Neutral 4" xfId="609"/>
    <cellStyle name="Neutral 5" xfId="22793"/>
    <cellStyle name="Normal" xfId="0" builtinId="0"/>
    <cellStyle name="Normal 10" xfId="104"/>
    <cellStyle name="Normal 10 10" xfId="1543"/>
    <cellStyle name="Normal 10 10 2" xfId="4769"/>
    <cellStyle name="Normal 10 10 2 2" xfId="20869"/>
    <cellStyle name="Normal 10 10 2 2 2" xfId="43456"/>
    <cellStyle name="Normal 10 10 2 3" xfId="11209"/>
    <cellStyle name="Normal 10 10 2 3 2" xfId="33796"/>
    <cellStyle name="Normal 10 10 2 4" xfId="27356"/>
    <cellStyle name="Normal 10 10 3" xfId="17649"/>
    <cellStyle name="Normal 10 10 3 2" xfId="40236"/>
    <cellStyle name="Normal 10 10 4" xfId="14429"/>
    <cellStyle name="Normal 10 10 4 2" xfId="37016"/>
    <cellStyle name="Normal 10 10 5" xfId="7989"/>
    <cellStyle name="Normal 10 10 5 2" xfId="30576"/>
    <cellStyle name="Normal 10 10 6" xfId="24136"/>
    <cellStyle name="Normal 10 11" xfId="1819"/>
    <cellStyle name="Normal 10 11 2" xfId="5041"/>
    <cellStyle name="Normal 10 11 2 2" xfId="21141"/>
    <cellStyle name="Normal 10 11 2 2 2" xfId="43728"/>
    <cellStyle name="Normal 10 11 2 3" xfId="11481"/>
    <cellStyle name="Normal 10 11 2 3 2" xfId="34068"/>
    <cellStyle name="Normal 10 11 2 4" xfId="27628"/>
    <cellStyle name="Normal 10 11 3" xfId="17921"/>
    <cellStyle name="Normal 10 11 3 2" xfId="40508"/>
    <cellStyle name="Normal 10 11 4" xfId="14701"/>
    <cellStyle name="Normal 10 11 4 2" xfId="37288"/>
    <cellStyle name="Normal 10 11 5" xfId="8261"/>
    <cellStyle name="Normal 10 11 5 2" xfId="30848"/>
    <cellStyle name="Normal 10 11 6" xfId="24408"/>
    <cellStyle name="Normal 10 12" xfId="2862"/>
    <cellStyle name="Normal 10 12 2" xfId="6083"/>
    <cellStyle name="Normal 10 12 2 2" xfId="22183"/>
    <cellStyle name="Normal 10 12 2 2 2" xfId="44770"/>
    <cellStyle name="Normal 10 12 2 3" xfId="12523"/>
    <cellStyle name="Normal 10 12 2 3 2" xfId="35110"/>
    <cellStyle name="Normal 10 12 2 4" xfId="28670"/>
    <cellStyle name="Normal 10 12 3" xfId="18963"/>
    <cellStyle name="Normal 10 12 3 2" xfId="41550"/>
    <cellStyle name="Normal 10 12 4" xfId="15743"/>
    <cellStyle name="Normal 10 12 4 2" xfId="38330"/>
    <cellStyle name="Normal 10 12 5" xfId="9303"/>
    <cellStyle name="Normal 10 12 5 2" xfId="31890"/>
    <cellStyle name="Normal 10 12 6" xfId="25450"/>
    <cellStyle name="Normal 10 13" xfId="3153"/>
    <cellStyle name="Normal 10 13 2" xfId="6373"/>
    <cellStyle name="Normal 10 13 2 2" xfId="22473"/>
    <cellStyle name="Normal 10 13 2 2 2" xfId="45060"/>
    <cellStyle name="Normal 10 13 2 3" xfId="12813"/>
    <cellStyle name="Normal 10 13 2 3 2" xfId="35400"/>
    <cellStyle name="Normal 10 13 2 4" xfId="28960"/>
    <cellStyle name="Normal 10 13 3" xfId="19253"/>
    <cellStyle name="Normal 10 13 3 2" xfId="41840"/>
    <cellStyle name="Normal 10 13 4" xfId="16033"/>
    <cellStyle name="Normal 10 13 4 2" xfId="38620"/>
    <cellStyle name="Normal 10 13 5" xfId="9593"/>
    <cellStyle name="Normal 10 13 5 2" xfId="32180"/>
    <cellStyle name="Normal 10 13 6" xfId="25740"/>
    <cellStyle name="Normal 10 14" xfId="446"/>
    <cellStyle name="Normal 10 14 2" xfId="3733"/>
    <cellStyle name="Normal 10 14 2 2" xfId="19833"/>
    <cellStyle name="Normal 10 14 2 2 2" xfId="42420"/>
    <cellStyle name="Normal 10 14 2 3" xfId="10173"/>
    <cellStyle name="Normal 10 14 2 3 2" xfId="32760"/>
    <cellStyle name="Normal 10 14 2 4" xfId="26320"/>
    <cellStyle name="Normal 10 14 3" xfId="16613"/>
    <cellStyle name="Normal 10 14 3 2" xfId="39200"/>
    <cellStyle name="Normal 10 14 4" xfId="13393"/>
    <cellStyle name="Normal 10 14 4 2" xfId="35980"/>
    <cellStyle name="Normal 10 14 5" xfId="6953"/>
    <cellStyle name="Normal 10 14 5 2" xfId="29540"/>
    <cellStyle name="Normal 10 14 6" xfId="23100"/>
    <cellStyle name="Normal 10 15" xfId="3443"/>
    <cellStyle name="Normal 10 15 2" xfId="19543"/>
    <cellStyle name="Normal 10 15 2 2" xfId="42130"/>
    <cellStyle name="Normal 10 15 3" xfId="9883"/>
    <cellStyle name="Normal 10 15 3 2" xfId="32470"/>
    <cellStyle name="Normal 10 15 4" xfId="26030"/>
    <cellStyle name="Normal 10 16" xfId="16323"/>
    <cellStyle name="Normal 10 16 2" xfId="38910"/>
    <cellStyle name="Normal 10 17" xfId="13103"/>
    <cellStyle name="Normal 10 17 2" xfId="35690"/>
    <cellStyle name="Normal 10 18" xfId="6663"/>
    <cellStyle name="Normal 10 18 2" xfId="29250"/>
    <cellStyle name="Normal 10 19" xfId="22810"/>
    <cellStyle name="Normal 10 2" xfId="122"/>
    <cellStyle name="Normal 10 2 10" xfId="2878"/>
    <cellStyle name="Normal 10 2 10 2" xfId="6099"/>
    <cellStyle name="Normal 10 2 10 2 2" xfId="22199"/>
    <cellStyle name="Normal 10 2 10 2 2 2" xfId="44786"/>
    <cellStyle name="Normal 10 2 10 2 3" xfId="12539"/>
    <cellStyle name="Normal 10 2 10 2 3 2" xfId="35126"/>
    <cellStyle name="Normal 10 2 10 2 4" xfId="28686"/>
    <cellStyle name="Normal 10 2 10 3" xfId="18979"/>
    <cellStyle name="Normal 10 2 10 3 2" xfId="41566"/>
    <cellStyle name="Normal 10 2 10 4" xfId="15759"/>
    <cellStyle name="Normal 10 2 10 4 2" xfId="38346"/>
    <cellStyle name="Normal 10 2 10 5" xfId="9319"/>
    <cellStyle name="Normal 10 2 10 5 2" xfId="31906"/>
    <cellStyle name="Normal 10 2 10 6" xfId="25466"/>
    <cellStyle name="Normal 10 2 11" xfId="3169"/>
    <cellStyle name="Normal 10 2 11 2" xfId="6389"/>
    <cellStyle name="Normal 10 2 11 2 2" xfId="22489"/>
    <cellStyle name="Normal 10 2 11 2 2 2" xfId="45076"/>
    <cellStyle name="Normal 10 2 11 2 3" xfId="12829"/>
    <cellStyle name="Normal 10 2 11 2 3 2" xfId="35416"/>
    <cellStyle name="Normal 10 2 11 2 4" xfId="28976"/>
    <cellStyle name="Normal 10 2 11 3" xfId="19269"/>
    <cellStyle name="Normal 10 2 11 3 2" xfId="41856"/>
    <cellStyle name="Normal 10 2 11 4" xfId="16049"/>
    <cellStyle name="Normal 10 2 11 4 2" xfId="38636"/>
    <cellStyle name="Normal 10 2 11 5" xfId="9609"/>
    <cellStyle name="Normal 10 2 11 5 2" xfId="32196"/>
    <cellStyle name="Normal 10 2 11 6" xfId="25756"/>
    <cellStyle name="Normal 10 2 12" xfId="462"/>
    <cellStyle name="Normal 10 2 12 2" xfId="3749"/>
    <cellStyle name="Normal 10 2 12 2 2" xfId="19849"/>
    <cellStyle name="Normal 10 2 12 2 2 2" xfId="42436"/>
    <cellStyle name="Normal 10 2 12 2 3" xfId="10189"/>
    <cellStyle name="Normal 10 2 12 2 3 2" xfId="32776"/>
    <cellStyle name="Normal 10 2 12 2 4" xfId="26336"/>
    <cellStyle name="Normal 10 2 12 3" xfId="16629"/>
    <cellStyle name="Normal 10 2 12 3 2" xfId="39216"/>
    <cellStyle name="Normal 10 2 12 4" xfId="13409"/>
    <cellStyle name="Normal 10 2 12 4 2" xfId="35996"/>
    <cellStyle name="Normal 10 2 12 5" xfId="6969"/>
    <cellStyle name="Normal 10 2 12 5 2" xfId="29556"/>
    <cellStyle name="Normal 10 2 12 6" xfId="23116"/>
    <cellStyle name="Normal 10 2 13" xfId="3459"/>
    <cellStyle name="Normal 10 2 13 2" xfId="19559"/>
    <cellStyle name="Normal 10 2 13 2 2" xfId="42146"/>
    <cellStyle name="Normal 10 2 13 3" xfId="9899"/>
    <cellStyle name="Normal 10 2 13 3 2" xfId="32486"/>
    <cellStyle name="Normal 10 2 13 4" xfId="26046"/>
    <cellStyle name="Normal 10 2 14" xfId="16339"/>
    <cellStyle name="Normal 10 2 14 2" xfId="38926"/>
    <cellStyle name="Normal 10 2 15" xfId="13119"/>
    <cellStyle name="Normal 10 2 15 2" xfId="35706"/>
    <cellStyle name="Normal 10 2 16" xfId="6679"/>
    <cellStyle name="Normal 10 2 16 2" xfId="29266"/>
    <cellStyle name="Normal 10 2 17" xfId="22826"/>
    <cellStyle name="Normal 10 2 2" xfId="207"/>
    <cellStyle name="Normal 10 2 2 10" xfId="499"/>
    <cellStyle name="Normal 10 2 2 10 2" xfId="3786"/>
    <cellStyle name="Normal 10 2 2 10 2 2" xfId="19886"/>
    <cellStyle name="Normal 10 2 2 10 2 2 2" xfId="42473"/>
    <cellStyle name="Normal 10 2 2 10 2 3" xfId="10226"/>
    <cellStyle name="Normal 10 2 2 10 2 3 2" xfId="32813"/>
    <cellStyle name="Normal 10 2 2 10 2 4" xfId="26373"/>
    <cellStyle name="Normal 10 2 2 10 3" xfId="16666"/>
    <cellStyle name="Normal 10 2 2 10 3 2" xfId="39253"/>
    <cellStyle name="Normal 10 2 2 10 4" xfId="13446"/>
    <cellStyle name="Normal 10 2 2 10 4 2" xfId="36033"/>
    <cellStyle name="Normal 10 2 2 10 5" xfId="7006"/>
    <cellStyle name="Normal 10 2 2 10 5 2" xfId="29593"/>
    <cellStyle name="Normal 10 2 2 10 6" xfId="23153"/>
    <cellStyle name="Normal 10 2 2 11" xfId="3496"/>
    <cellStyle name="Normal 10 2 2 11 2" xfId="19596"/>
    <cellStyle name="Normal 10 2 2 11 2 2" xfId="42183"/>
    <cellStyle name="Normal 10 2 2 11 3" xfId="9936"/>
    <cellStyle name="Normal 10 2 2 11 3 2" xfId="32523"/>
    <cellStyle name="Normal 10 2 2 11 4" xfId="26083"/>
    <cellStyle name="Normal 10 2 2 12" xfId="16376"/>
    <cellStyle name="Normal 10 2 2 12 2" xfId="38963"/>
    <cellStyle name="Normal 10 2 2 13" xfId="13156"/>
    <cellStyle name="Normal 10 2 2 13 2" xfId="35743"/>
    <cellStyle name="Normal 10 2 2 14" xfId="6716"/>
    <cellStyle name="Normal 10 2 2 14 2" xfId="29303"/>
    <cellStyle name="Normal 10 2 2 15" xfId="22863"/>
    <cellStyle name="Normal 10 2 2 2" xfId="306"/>
    <cellStyle name="Normal 10 2 2 2 10" xfId="16473"/>
    <cellStyle name="Normal 10 2 2 2 10 2" xfId="39060"/>
    <cellStyle name="Normal 10 2 2 2 11" xfId="13253"/>
    <cellStyle name="Normal 10 2 2 2 11 2" xfId="35840"/>
    <cellStyle name="Normal 10 2 2 2 12" xfId="6813"/>
    <cellStyle name="Normal 10 2 2 2 12 2" xfId="29400"/>
    <cellStyle name="Normal 10 2 2 2 13" xfId="22960"/>
    <cellStyle name="Normal 10 2 2 2 2" xfId="1025"/>
    <cellStyle name="Normal 10 2 2 2 2 2" xfId="2339"/>
    <cellStyle name="Normal 10 2 2 2 2 2 2" xfId="5560"/>
    <cellStyle name="Normal 10 2 2 2 2 2 2 2" xfId="21660"/>
    <cellStyle name="Normal 10 2 2 2 2 2 2 2 2" xfId="44247"/>
    <cellStyle name="Normal 10 2 2 2 2 2 2 3" xfId="12000"/>
    <cellStyle name="Normal 10 2 2 2 2 2 2 3 2" xfId="34587"/>
    <cellStyle name="Normal 10 2 2 2 2 2 2 4" xfId="28147"/>
    <cellStyle name="Normal 10 2 2 2 2 2 3" xfId="18440"/>
    <cellStyle name="Normal 10 2 2 2 2 2 3 2" xfId="41027"/>
    <cellStyle name="Normal 10 2 2 2 2 2 4" xfId="15220"/>
    <cellStyle name="Normal 10 2 2 2 2 2 4 2" xfId="37807"/>
    <cellStyle name="Normal 10 2 2 2 2 2 5" xfId="8780"/>
    <cellStyle name="Normal 10 2 2 2 2 2 5 2" xfId="31367"/>
    <cellStyle name="Normal 10 2 2 2 2 2 6" xfId="24927"/>
    <cellStyle name="Normal 10 2 2 2 2 3" xfId="4252"/>
    <cellStyle name="Normal 10 2 2 2 2 3 2" xfId="20352"/>
    <cellStyle name="Normal 10 2 2 2 2 3 2 2" xfId="42939"/>
    <cellStyle name="Normal 10 2 2 2 2 3 3" xfId="10692"/>
    <cellStyle name="Normal 10 2 2 2 2 3 3 2" xfId="33279"/>
    <cellStyle name="Normal 10 2 2 2 2 3 4" xfId="26839"/>
    <cellStyle name="Normal 10 2 2 2 2 4" xfId="17132"/>
    <cellStyle name="Normal 10 2 2 2 2 4 2" xfId="39719"/>
    <cellStyle name="Normal 10 2 2 2 2 5" xfId="13912"/>
    <cellStyle name="Normal 10 2 2 2 2 5 2" xfId="36499"/>
    <cellStyle name="Normal 10 2 2 2 2 6" xfId="7472"/>
    <cellStyle name="Normal 10 2 2 2 2 6 2" xfId="30059"/>
    <cellStyle name="Normal 10 2 2 2 2 7" xfId="23619"/>
    <cellStyle name="Normal 10 2 2 2 3" xfId="1372"/>
    <cellStyle name="Normal 10 2 2 2 3 2" xfId="2686"/>
    <cellStyle name="Normal 10 2 2 2 3 2 2" xfId="5907"/>
    <cellStyle name="Normal 10 2 2 2 3 2 2 2" xfId="22007"/>
    <cellStyle name="Normal 10 2 2 2 3 2 2 2 2" xfId="44594"/>
    <cellStyle name="Normal 10 2 2 2 3 2 2 3" xfId="12347"/>
    <cellStyle name="Normal 10 2 2 2 3 2 2 3 2" xfId="34934"/>
    <cellStyle name="Normal 10 2 2 2 3 2 2 4" xfId="28494"/>
    <cellStyle name="Normal 10 2 2 2 3 2 3" xfId="18787"/>
    <cellStyle name="Normal 10 2 2 2 3 2 3 2" xfId="41374"/>
    <cellStyle name="Normal 10 2 2 2 3 2 4" xfId="15567"/>
    <cellStyle name="Normal 10 2 2 2 3 2 4 2" xfId="38154"/>
    <cellStyle name="Normal 10 2 2 2 3 2 5" xfId="9127"/>
    <cellStyle name="Normal 10 2 2 2 3 2 5 2" xfId="31714"/>
    <cellStyle name="Normal 10 2 2 2 3 2 6" xfId="25274"/>
    <cellStyle name="Normal 10 2 2 2 3 3" xfId="4599"/>
    <cellStyle name="Normal 10 2 2 2 3 3 2" xfId="20699"/>
    <cellStyle name="Normal 10 2 2 2 3 3 2 2" xfId="43286"/>
    <cellStyle name="Normal 10 2 2 2 3 3 3" xfId="11039"/>
    <cellStyle name="Normal 10 2 2 2 3 3 3 2" xfId="33626"/>
    <cellStyle name="Normal 10 2 2 2 3 3 4" xfId="27186"/>
    <cellStyle name="Normal 10 2 2 2 3 4" xfId="17479"/>
    <cellStyle name="Normal 10 2 2 2 3 4 2" xfId="40066"/>
    <cellStyle name="Normal 10 2 2 2 3 5" xfId="14259"/>
    <cellStyle name="Normal 10 2 2 2 3 5 2" xfId="36846"/>
    <cellStyle name="Normal 10 2 2 2 3 6" xfId="7819"/>
    <cellStyle name="Normal 10 2 2 2 3 6 2" xfId="30406"/>
    <cellStyle name="Normal 10 2 2 2 3 7" xfId="23966"/>
    <cellStyle name="Normal 10 2 2 2 4" xfId="1537"/>
    <cellStyle name="Normal 10 2 2 2 4 2" xfId="4764"/>
    <cellStyle name="Normal 10 2 2 2 4 2 2" xfId="20864"/>
    <cellStyle name="Normal 10 2 2 2 4 2 2 2" xfId="43451"/>
    <cellStyle name="Normal 10 2 2 2 4 2 3" xfId="11204"/>
    <cellStyle name="Normal 10 2 2 2 4 2 3 2" xfId="33791"/>
    <cellStyle name="Normal 10 2 2 2 4 2 4" xfId="27351"/>
    <cellStyle name="Normal 10 2 2 2 4 3" xfId="17644"/>
    <cellStyle name="Normal 10 2 2 2 4 3 2" xfId="40231"/>
    <cellStyle name="Normal 10 2 2 2 4 4" xfId="14424"/>
    <cellStyle name="Normal 10 2 2 2 4 4 2" xfId="37011"/>
    <cellStyle name="Normal 10 2 2 2 4 5" xfId="7984"/>
    <cellStyle name="Normal 10 2 2 2 4 5 2" xfId="30571"/>
    <cellStyle name="Normal 10 2 2 2 4 6" xfId="24131"/>
    <cellStyle name="Normal 10 2 2 2 5" xfId="1991"/>
    <cellStyle name="Normal 10 2 2 2 5 2" xfId="5213"/>
    <cellStyle name="Normal 10 2 2 2 5 2 2" xfId="21313"/>
    <cellStyle name="Normal 10 2 2 2 5 2 2 2" xfId="43900"/>
    <cellStyle name="Normal 10 2 2 2 5 2 3" xfId="11653"/>
    <cellStyle name="Normal 10 2 2 2 5 2 3 2" xfId="34240"/>
    <cellStyle name="Normal 10 2 2 2 5 2 4" xfId="27800"/>
    <cellStyle name="Normal 10 2 2 2 5 3" xfId="18093"/>
    <cellStyle name="Normal 10 2 2 2 5 3 2" xfId="40680"/>
    <cellStyle name="Normal 10 2 2 2 5 4" xfId="14873"/>
    <cellStyle name="Normal 10 2 2 2 5 4 2" xfId="37460"/>
    <cellStyle name="Normal 10 2 2 2 5 5" xfId="8433"/>
    <cellStyle name="Normal 10 2 2 2 5 5 2" xfId="31020"/>
    <cellStyle name="Normal 10 2 2 2 5 6" xfId="24580"/>
    <cellStyle name="Normal 10 2 2 2 6" xfId="3013"/>
    <cellStyle name="Normal 10 2 2 2 6 2" xfId="6233"/>
    <cellStyle name="Normal 10 2 2 2 6 2 2" xfId="22333"/>
    <cellStyle name="Normal 10 2 2 2 6 2 2 2" xfId="44920"/>
    <cellStyle name="Normal 10 2 2 2 6 2 3" xfId="12673"/>
    <cellStyle name="Normal 10 2 2 2 6 2 3 2" xfId="35260"/>
    <cellStyle name="Normal 10 2 2 2 6 2 4" xfId="28820"/>
    <cellStyle name="Normal 10 2 2 2 6 3" xfId="19113"/>
    <cellStyle name="Normal 10 2 2 2 6 3 2" xfId="41700"/>
    <cellStyle name="Normal 10 2 2 2 6 4" xfId="15893"/>
    <cellStyle name="Normal 10 2 2 2 6 4 2" xfId="38480"/>
    <cellStyle name="Normal 10 2 2 2 6 5" xfId="9453"/>
    <cellStyle name="Normal 10 2 2 2 6 5 2" xfId="32040"/>
    <cellStyle name="Normal 10 2 2 2 6 6" xfId="25600"/>
    <cellStyle name="Normal 10 2 2 2 7" xfId="3303"/>
    <cellStyle name="Normal 10 2 2 2 7 2" xfId="6523"/>
    <cellStyle name="Normal 10 2 2 2 7 2 2" xfId="22623"/>
    <cellStyle name="Normal 10 2 2 2 7 2 2 2" xfId="45210"/>
    <cellStyle name="Normal 10 2 2 2 7 2 3" xfId="12963"/>
    <cellStyle name="Normal 10 2 2 2 7 2 3 2" xfId="35550"/>
    <cellStyle name="Normal 10 2 2 2 7 2 4" xfId="29110"/>
    <cellStyle name="Normal 10 2 2 2 7 3" xfId="19403"/>
    <cellStyle name="Normal 10 2 2 2 7 3 2" xfId="41990"/>
    <cellStyle name="Normal 10 2 2 2 7 4" xfId="16183"/>
    <cellStyle name="Normal 10 2 2 2 7 4 2" xfId="38770"/>
    <cellStyle name="Normal 10 2 2 2 7 5" xfId="9743"/>
    <cellStyle name="Normal 10 2 2 2 7 5 2" xfId="32330"/>
    <cellStyle name="Normal 10 2 2 2 7 6" xfId="25890"/>
    <cellStyle name="Normal 10 2 2 2 8" xfId="661"/>
    <cellStyle name="Normal 10 2 2 2 8 2" xfId="3905"/>
    <cellStyle name="Normal 10 2 2 2 8 2 2" xfId="20005"/>
    <cellStyle name="Normal 10 2 2 2 8 2 2 2" xfId="42592"/>
    <cellStyle name="Normal 10 2 2 2 8 2 3" xfId="10345"/>
    <cellStyle name="Normal 10 2 2 2 8 2 3 2" xfId="32932"/>
    <cellStyle name="Normal 10 2 2 2 8 2 4" xfId="26492"/>
    <cellStyle name="Normal 10 2 2 2 8 3" xfId="16785"/>
    <cellStyle name="Normal 10 2 2 2 8 3 2" xfId="39372"/>
    <cellStyle name="Normal 10 2 2 2 8 4" xfId="13565"/>
    <cellStyle name="Normal 10 2 2 2 8 4 2" xfId="36152"/>
    <cellStyle name="Normal 10 2 2 2 8 5" xfId="7125"/>
    <cellStyle name="Normal 10 2 2 2 8 5 2" xfId="29712"/>
    <cellStyle name="Normal 10 2 2 2 8 6" xfId="23272"/>
    <cellStyle name="Normal 10 2 2 2 9" xfId="3593"/>
    <cellStyle name="Normal 10 2 2 2 9 2" xfId="19693"/>
    <cellStyle name="Normal 10 2 2 2 9 2 2" xfId="42280"/>
    <cellStyle name="Normal 10 2 2 2 9 3" xfId="10033"/>
    <cellStyle name="Normal 10 2 2 2 9 3 2" xfId="32620"/>
    <cellStyle name="Normal 10 2 2 2 9 4" xfId="26180"/>
    <cellStyle name="Normal 10 2 2 3" xfId="402"/>
    <cellStyle name="Normal 10 2 2 3 10" xfId="13349"/>
    <cellStyle name="Normal 10 2 2 3 10 2" xfId="35936"/>
    <cellStyle name="Normal 10 2 2 3 11" xfId="6909"/>
    <cellStyle name="Normal 10 2 2 3 11 2" xfId="29496"/>
    <cellStyle name="Normal 10 2 2 3 12" xfId="23056"/>
    <cellStyle name="Normal 10 2 2 3 2" xfId="1184"/>
    <cellStyle name="Normal 10 2 2 3 2 2" xfId="2498"/>
    <cellStyle name="Normal 10 2 2 3 2 2 2" xfId="5719"/>
    <cellStyle name="Normal 10 2 2 3 2 2 2 2" xfId="21819"/>
    <cellStyle name="Normal 10 2 2 3 2 2 2 2 2" xfId="44406"/>
    <cellStyle name="Normal 10 2 2 3 2 2 2 3" xfId="12159"/>
    <cellStyle name="Normal 10 2 2 3 2 2 2 3 2" xfId="34746"/>
    <cellStyle name="Normal 10 2 2 3 2 2 2 4" xfId="28306"/>
    <cellStyle name="Normal 10 2 2 3 2 2 3" xfId="18599"/>
    <cellStyle name="Normal 10 2 2 3 2 2 3 2" xfId="41186"/>
    <cellStyle name="Normal 10 2 2 3 2 2 4" xfId="15379"/>
    <cellStyle name="Normal 10 2 2 3 2 2 4 2" xfId="37966"/>
    <cellStyle name="Normal 10 2 2 3 2 2 5" xfId="8939"/>
    <cellStyle name="Normal 10 2 2 3 2 2 5 2" xfId="31526"/>
    <cellStyle name="Normal 10 2 2 3 2 2 6" xfId="25086"/>
    <cellStyle name="Normal 10 2 2 3 2 3" xfId="4411"/>
    <cellStyle name="Normal 10 2 2 3 2 3 2" xfId="20511"/>
    <cellStyle name="Normal 10 2 2 3 2 3 2 2" xfId="43098"/>
    <cellStyle name="Normal 10 2 2 3 2 3 3" xfId="10851"/>
    <cellStyle name="Normal 10 2 2 3 2 3 3 2" xfId="33438"/>
    <cellStyle name="Normal 10 2 2 3 2 3 4" xfId="26998"/>
    <cellStyle name="Normal 10 2 2 3 2 4" xfId="17291"/>
    <cellStyle name="Normal 10 2 2 3 2 4 2" xfId="39878"/>
    <cellStyle name="Normal 10 2 2 3 2 5" xfId="14071"/>
    <cellStyle name="Normal 10 2 2 3 2 5 2" xfId="36658"/>
    <cellStyle name="Normal 10 2 2 3 2 6" xfId="7631"/>
    <cellStyle name="Normal 10 2 2 3 2 6 2" xfId="30218"/>
    <cellStyle name="Normal 10 2 2 3 2 7" xfId="23778"/>
    <cellStyle name="Normal 10 2 2 3 3" xfId="1531"/>
    <cellStyle name="Normal 10 2 2 3 3 2" xfId="2845"/>
    <cellStyle name="Normal 10 2 2 3 3 2 2" xfId="6066"/>
    <cellStyle name="Normal 10 2 2 3 3 2 2 2" xfId="22166"/>
    <cellStyle name="Normal 10 2 2 3 3 2 2 2 2" xfId="44753"/>
    <cellStyle name="Normal 10 2 2 3 3 2 2 3" xfId="12506"/>
    <cellStyle name="Normal 10 2 2 3 3 2 2 3 2" xfId="35093"/>
    <cellStyle name="Normal 10 2 2 3 3 2 2 4" xfId="28653"/>
    <cellStyle name="Normal 10 2 2 3 3 2 3" xfId="18946"/>
    <cellStyle name="Normal 10 2 2 3 3 2 3 2" xfId="41533"/>
    <cellStyle name="Normal 10 2 2 3 3 2 4" xfId="15726"/>
    <cellStyle name="Normal 10 2 2 3 3 2 4 2" xfId="38313"/>
    <cellStyle name="Normal 10 2 2 3 3 2 5" xfId="9286"/>
    <cellStyle name="Normal 10 2 2 3 3 2 5 2" xfId="31873"/>
    <cellStyle name="Normal 10 2 2 3 3 2 6" xfId="25433"/>
    <cellStyle name="Normal 10 2 2 3 3 3" xfId="4758"/>
    <cellStyle name="Normal 10 2 2 3 3 3 2" xfId="20858"/>
    <cellStyle name="Normal 10 2 2 3 3 3 2 2" xfId="43445"/>
    <cellStyle name="Normal 10 2 2 3 3 3 3" xfId="11198"/>
    <cellStyle name="Normal 10 2 2 3 3 3 3 2" xfId="33785"/>
    <cellStyle name="Normal 10 2 2 3 3 3 4" xfId="27345"/>
    <cellStyle name="Normal 10 2 2 3 3 4" xfId="17638"/>
    <cellStyle name="Normal 10 2 2 3 3 4 2" xfId="40225"/>
    <cellStyle name="Normal 10 2 2 3 3 5" xfId="14418"/>
    <cellStyle name="Normal 10 2 2 3 3 5 2" xfId="37005"/>
    <cellStyle name="Normal 10 2 2 3 3 6" xfId="7978"/>
    <cellStyle name="Normal 10 2 2 3 3 6 2" xfId="30565"/>
    <cellStyle name="Normal 10 2 2 3 3 7" xfId="24125"/>
    <cellStyle name="Normal 10 2 2 3 4" xfId="2151"/>
    <cellStyle name="Normal 10 2 2 3 4 2" xfId="5372"/>
    <cellStyle name="Normal 10 2 2 3 4 2 2" xfId="21472"/>
    <cellStyle name="Normal 10 2 2 3 4 2 2 2" xfId="44059"/>
    <cellStyle name="Normal 10 2 2 3 4 2 3" xfId="11812"/>
    <cellStyle name="Normal 10 2 2 3 4 2 3 2" xfId="34399"/>
    <cellStyle name="Normal 10 2 2 3 4 2 4" xfId="27959"/>
    <cellStyle name="Normal 10 2 2 3 4 3" xfId="18252"/>
    <cellStyle name="Normal 10 2 2 3 4 3 2" xfId="40839"/>
    <cellStyle name="Normal 10 2 2 3 4 4" xfId="15032"/>
    <cellStyle name="Normal 10 2 2 3 4 4 2" xfId="37619"/>
    <cellStyle name="Normal 10 2 2 3 4 5" xfId="8592"/>
    <cellStyle name="Normal 10 2 2 3 4 5 2" xfId="31179"/>
    <cellStyle name="Normal 10 2 2 3 4 6" xfId="24739"/>
    <cellStyle name="Normal 10 2 2 3 5" xfId="3109"/>
    <cellStyle name="Normal 10 2 2 3 5 2" xfId="6329"/>
    <cellStyle name="Normal 10 2 2 3 5 2 2" xfId="22429"/>
    <cellStyle name="Normal 10 2 2 3 5 2 2 2" xfId="45016"/>
    <cellStyle name="Normal 10 2 2 3 5 2 3" xfId="12769"/>
    <cellStyle name="Normal 10 2 2 3 5 2 3 2" xfId="35356"/>
    <cellStyle name="Normal 10 2 2 3 5 2 4" xfId="28916"/>
    <cellStyle name="Normal 10 2 2 3 5 3" xfId="19209"/>
    <cellStyle name="Normal 10 2 2 3 5 3 2" xfId="41796"/>
    <cellStyle name="Normal 10 2 2 3 5 4" xfId="15989"/>
    <cellStyle name="Normal 10 2 2 3 5 4 2" xfId="38576"/>
    <cellStyle name="Normal 10 2 2 3 5 5" xfId="9549"/>
    <cellStyle name="Normal 10 2 2 3 5 5 2" xfId="32136"/>
    <cellStyle name="Normal 10 2 2 3 5 6" xfId="25696"/>
    <cellStyle name="Normal 10 2 2 3 6" xfId="3399"/>
    <cellStyle name="Normal 10 2 2 3 6 2" xfId="6619"/>
    <cellStyle name="Normal 10 2 2 3 6 2 2" xfId="22719"/>
    <cellStyle name="Normal 10 2 2 3 6 2 2 2" xfId="45306"/>
    <cellStyle name="Normal 10 2 2 3 6 2 3" xfId="13059"/>
    <cellStyle name="Normal 10 2 2 3 6 2 3 2" xfId="35646"/>
    <cellStyle name="Normal 10 2 2 3 6 2 4" xfId="29206"/>
    <cellStyle name="Normal 10 2 2 3 6 3" xfId="19499"/>
    <cellStyle name="Normal 10 2 2 3 6 3 2" xfId="42086"/>
    <cellStyle name="Normal 10 2 2 3 6 4" xfId="16279"/>
    <cellStyle name="Normal 10 2 2 3 6 4 2" xfId="38866"/>
    <cellStyle name="Normal 10 2 2 3 6 5" xfId="9839"/>
    <cellStyle name="Normal 10 2 2 3 6 5 2" xfId="32426"/>
    <cellStyle name="Normal 10 2 2 3 6 6" xfId="25986"/>
    <cellStyle name="Normal 10 2 2 3 7" xfId="832"/>
    <cellStyle name="Normal 10 2 2 3 7 2" xfId="4064"/>
    <cellStyle name="Normal 10 2 2 3 7 2 2" xfId="20164"/>
    <cellStyle name="Normal 10 2 2 3 7 2 2 2" xfId="42751"/>
    <cellStyle name="Normal 10 2 2 3 7 2 3" xfId="10504"/>
    <cellStyle name="Normal 10 2 2 3 7 2 3 2" xfId="33091"/>
    <cellStyle name="Normal 10 2 2 3 7 2 4" xfId="26651"/>
    <cellStyle name="Normal 10 2 2 3 7 3" xfId="16944"/>
    <cellStyle name="Normal 10 2 2 3 7 3 2" xfId="39531"/>
    <cellStyle name="Normal 10 2 2 3 7 4" xfId="13724"/>
    <cellStyle name="Normal 10 2 2 3 7 4 2" xfId="36311"/>
    <cellStyle name="Normal 10 2 2 3 7 5" xfId="7284"/>
    <cellStyle name="Normal 10 2 2 3 7 5 2" xfId="29871"/>
    <cellStyle name="Normal 10 2 2 3 7 6" xfId="23431"/>
    <cellStyle name="Normal 10 2 2 3 8" xfId="3689"/>
    <cellStyle name="Normal 10 2 2 3 8 2" xfId="19789"/>
    <cellStyle name="Normal 10 2 2 3 8 2 2" xfId="42376"/>
    <cellStyle name="Normal 10 2 2 3 8 3" xfId="10129"/>
    <cellStyle name="Normal 10 2 2 3 8 3 2" xfId="32716"/>
    <cellStyle name="Normal 10 2 2 3 8 4" xfId="26276"/>
    <cellStyle name="Normal 10 2 2 3 9" xfId="16569"/>
    <cellStyle name="Normal 10 2 2 3 9 2" xfId="39156"/>
    <cellStyle name="Normal 10 2 2 4" xfId="901"/>
    <cellStyle name="Normal 10 2 2 4 2" xfId="2220"/>
    <cellStyle name="Normal 10 2 2 4 2 2" xfId="5441"/>
    <cellStyle name="Normal 10 2 2 4 2 2 2" xfId="21541"/>
    <cellStyle name="Normal 10 2 2 4 2 2 2 2" xfId="44128"/>
    <cellStyle name="Normal 10 2 2 4 2 2 3" xfId="11881"/>
    <cellStyle name="Normal 10 2 2 4 2 2 3 2" xfId="34468"/>
    <cellStyle name="Normal 10 2 2 4 2 2 4" xfId="28028"/>
    <cellStyle name="Normal 10 2 2 4 2 3" xfId="18321"/>
    <cellStyle name="Normal 10 2 2 4 2 3 2" xfId="40908"/>
    <cellStyle name="Normal 10 2 2 4 2 4" xfId="15101"/>
    <cellStyle name="Normal 10 2 2 4 2 4 2" xfId="37688"/>
    <cellStyle name="Normal 10 2 2 4 2 5" xfId="8661"/>
    <cellStyle name="Normal 10 2 2 4 2 5 2" xfId="31248"/>
    <cellStyle name="Normal 10 2 2 4 2 6" xfId="24808"/>
    <cellStyle name="Normal 10 2 2 4 3" xfId="4133"/>
    <cellStyle name="Normal 10 2 2 4 3 2" xfId="20233"/>
    <cellStyle name="Normal 10 2 2 4 3 2 2" xfId="42820"/>
    <cellStyle name="Normal 10 2 2 4 3 3" xfId="10573"/>
    <cellStyle name="Normal 10 2 2 4 3 3 2" xfId="33160"/>
    <cellStyle name="Normal 10 2 2 4 3 4" xfId="26720"/>
    <cellStyle name="Normal 10 2 2 4 4" xfId="17013"/>
    <cellStyle name="Normal 10 2 2 4 4 2" xfId="39600"/>
    <cellStyle name="Normal 10 2 2 4 5" xfId="13793"/>
    <cellStyle name="Normal 10 2 2 4 5 2" xfId="36380"/>
    <cellStyle name="Normal 10 2 2 4 6" xfId="7353"/>
    <cellStyle name="Normal 10 2 2 4 6 2" xfId="29940"/>
    <cellStyle name="Normal 10 2 2 4 7" xfId="23500"/>
    <cellStyle name="Normal 10 2 2 5" xfId="1253"/>
    <cellStyle name="Normal 10 2 2 5 2" xfId="2567"/>
    <cellStyle name="Normal 10 2 2 5 2 2" xfId="5788"/>
    <cellStyle name="Normal 10 2 2 5 2 2 2" xfId="21888"/>
    <cellStyle name="Normal 10 2 2 5 2 2 2 2" xfId="44475"/>
    <cellStyle name="Normal 10 2 2 5 2 2 3" xfId="12228"/>
    <cellStyle name="Normal 10 2 2 5 2 2 3 2" xfId="34815"/>
    <cellStyle name="Normal 10 2 2 5 2 2 4" xfId="28375"/>
    <cellStyle name="Normal 10 2 2 5 2 3" xfId="18668"/>
    <cellStyle name="Normal 10 2 2 5 2 3 2" xfId="41255"/>
    <cellStyle name="Normal 10 2 2 5 2 4" xfId="15448"/>
    <cellStyle name="Normal 10 2 2 5 2 4 2" xfId="38035"/>
    <cellStyle name="Normal 10 2 2 5 2 5" xfId="9008"/>
    <cellStyle name="Normal 10 2 2 5 2 5 2" xfId="31595"/>
    <cellStyle name="Normal 10 2 2 5 2 6" xfId="25155"/>
    <cellStyle name="Normal 10 2 2 5 3" xfId="4480"/>
    <cellStyle name="Normal 10 2 2 5 3 2" xfId="20580"/>
    <cellStyle name="Normal 10 2 2 5 3 2 2" xfId="43167"/>
    <cellStyle name="Normal 10 2 2 5 3 3" xfId="10920"/>
    <cellStyle name="Normal 10 2 2 5 3 3 2" xfId="33507"/>
    <cellStyle name="Normal 10 2 2 5 3 4" xfId="27067"/>
    <cellStyle name="Normal 10 2 2 5 4" xfId="17360"/>
    <cellStyle name="Normal 10 2 2 5 4 2" xfId="39947"/>
    <cellStyle name="Normal 10 2 2 5 5" xfId="14140"/>
    <cellStyle name="Normal 10 2 2 5 5 2" xfId="36727"/>
    <cellStyle name="Normal 10 2 2 5 6" xfId="7700"/>
    <cellStyle name="Normal 10 2 2 5 6 2" xfId="30287"/>
    <cellStyle name="Normal 10 2 2 5 7" xfId="23847"/>
    <cellStyle name="Normal 10 2 2 6" xfId="1544"/>
    <cellStyle name="Normal 10 2 2 6 2" xfId="4770"/>
    <cellStyle name="Normal 10 2 2 6 2 2" xfId="20870"/>
    <cellStyle name="Normal 10 2 2 6 2 2 2" xfId="43457"/>
    <cellStyle name="Normal 10 2 2 6 2 3" xfId="11210"/>
    <cellStyle name="Normal 10 2 2 6 2 3 2" xfId="33797"/>
    <cellStyle name="Normal 10 2 2 6 2 4" xfId="27357"/>
    <cellStyle name="Normal 10 2 2 6 3" xfId="17650"/>
    <cellStyle name="Normal 10 2 2 6 3 2" xfId="40237"/>
    <cellStyle name="Normal 10 2 2 6 4" xfId="14430"/>
    <cellStyle name="Normal 10 2 2 6 4 2" xfId="37017"/>
    <cellStyle name="Normal 10 2 2 6 5" xfId="7990"/>
    <cellStyle name="Normal 10 2 2 6 5 2" xfId="30577"/>
    <cellStyle name="Normal 10 2 2 6 6" xfId="24137"/>
    <cellStyle name="Normal 10 2 2 7" xfId="1872"/>
    <cellStyle name="Normal 10 2 2 7 2" xfId="5094"/>
    <cellStyle name="Normal 10 2 2 7 2 2" xfId="21194"/>
    <cellStyle name="Normal 10 2 2 7 2 2 2" xfId="43781"/>
    <cellStyle name="Normal 10 2 2 7 2 3" xfId="11534"/>
    <cellStyle name="Normal 10 2 2 7 2 3 2" xfId="34121"/>
    <cellStyle name="Normal 10 2 2 7 2 4" xfId="27681"/>
    <cellStyle name="Normal 10 2 2 7 3" xfId="17974"/>
    <cellStyle name="Normal 10 2 2 7 3 2" xfId="40561"/>
    <cellStyle name="Normal 10 2 2 7 4" xfId="14754"/>
    <cellStyle name="Normal 10 2 2 7 4 2" xfId="37341"/>
    <cellStyle name="Normal 10 2 2 7 5" xfId="8314"/>
    <cellStyle name="Normal 10 2 2 7 5 2" xfId="30901"/>
    <cellStyle name="Normal 10 2 2 7 6" xfId="24461"/>
    <cellStyle name="Normal 10 2 2 8" xfId="2915"/>
    <cellStyle name="Normal 10 2 2 8 2" xfId="6136"/>
    <cellStyle name="Normal 10 2 2 8 2 2" xfId="22236"/>
    <cellStyle name="Normal 10 2 2 8 2 2 2" xfId="44823"/>
    <cellStyle name="Normal 10 2 2 8 2 3" xfId="12576"/>
    <cellStyle name="Normal 10 2 2 8 2 3 2" xfId="35163"/>
    <cellStyle name="Normal 10 2 2 8 2 4" xfId="28723"/>
    <cellStyle name="Normal 10 2 2 8 3" xfId="19016"/>
    <cellStyle name="Normal 10 2 2 8 3 2" xfId="41603"/>
    <cellStyle name="Normal 10 2 2 8 4" xfId="15796"/>
    <cellStyle name="Normal 10 2 2 8 4 2" xfId="38383"/>
    <cellStyle name="Normal 10 2 2 8 5" xfId="9356"/>
    <cellStyle name="Normal 10 2 2 8 5 2" xfId="31943"/>
    <cellStyle name="Normal 10 2 2 8 6" xfId="25503"/>
    <cellStyle name="Normal 10 2 2 9" xfId="3206"/>
    <cellStyle name="Normal 10 2 2 9 2" xfId="6426"/>
    <cellStyle name="Normal 10 2 2 9 2 2" xfId="22526"/>
    <cellStyle name="Normal 10 2 2 9 2 2 2" xfId="45113"/>
    <cellStyle name="Normal 10 2 2 9 2 3" xfId="12866"/>
    <cellStyle name="Normal 10 2 2 9 2 3 2" xfId="35453"/>
    <cellStyle name="Normal 10 2 2 9 2 4" xfId="29013"/>
    <cellStyle name="Normal 10 2 2 9 3" xfId="19306"/>
    <cellStyle name="Normal 10 2 2 9 3 2" xfId="41893"/>
    <cellStyle name="Normal 10 2 2 9 4" xfId="16086"/>
    <cellStyle name="Normal 10 2 2 9 4 2" xfId="38673"/>
    <cellStyle name="Normal 10 2 2 9 5" xfId="9646"/>
    <cellStyle name="Normal 10 2 2 9 5 2" xfId="32233"/>
    <cellStyle name="Normal 10 2 2 9 6" xfId="25793"/>
    <cellStyle name="Normal 10 2 3" xfId="274"/>
    <cellStyle name="Normal 10 2 3 10" xfId="3561"/>
    <cellStyle name="Normal 10 2 3 10 2" xfId="19661"/>
    <cellStyle name="Normal 10 2 3 10 2 2" xfId="42248"/>
    <cellStyle name="Normal 10 2 3 10 3" xfId="10001"/>
    <cellStyle name="Normal 10 2 3 10 3 2" xfId="32588"/>
    <cellStyle name="Normal 10 2 3 10 4" xfId="26148"/>
    <cellStyle name="Normal 10 2 3 11" xfId="16441"/>
    <cellStyle name="Normal 10 2 3 11 2" xfId="39028"/>
    <cellStyle name="Normal 10 2 3 12" xfId="13221"/>
    <cellStyle name="Normal 10 2 3 12 2" xfId="35808"/>
    <cellStyle name="Normal 10 2 3 13" xfId="6781"/>
    <cellStyle name="Normal 10 2 3 13 2" xfId="29368"/>
    <cellStyle name="Normal 10 2 3 14" xfId="22928"/>
    <cellStyle name="Normal 10 2 3 2" xfId="698"/>
    <cellStyle name="Normal 10 2 3 2 2" xfId="1062"/>
    <cellStyle name="Normal 10 2 3 2 2 2" xfId="2376"/>
    <cellStyle name="Normal 10 2 3 2 2 2 2" xfId="5597"/>
    <cellStyle name="Normal 10 2 3 2 2 2 2 2" xfId="21697"/>
    <cellStyle name="Normal 10 2 3 2 2 2 2 2 2" xfId="44284"/>
    <cellStyle name="Normal 10 2 3 2 2 2 2 3" xfId="12037"/>
    <cellStyle name="Normal 10 2 3 2 2 2 2 3 2" xfId="34624"/>
    <cellStyle name="Normal 10 2 3 2 2 2 2 4" xfId="28184"/>
    <cellStyle name="Normal 10 2 3 2 2 2 3" xfId="18477"/>
    <cellStyle name="Normal 10 2 3 2 2 2 3 2" xfId="41064"/>
    <cellStyle name="Normal 10 2 3 2 2 2 4" xfId="15257"/>
    <cellStyle name="Normal 10 2 3 2 2 2 4 2" xfId="37844"/>
    <cellStyle name="Normal 10 2 3 2 2 2 5" xfId="8817"/>
    <cellStyle name="Normal 10 2 3 2 2 2 5 2" xfId="31404"/>
    <cellStyle name="Normal 10 2 3 2 2 2 6" xfId="24964"/>
    <cellStyle name="Normal 10 2 3 2 2 3" xfId="4289"/>
    <cellStyle name="Normal 10 2 3 2 2 3 2" xfId="20389"/>
    <cellStyle name="Normal 10 2 3 2 2 3 2 2" xfId="42976"/>
    <cellStyle name="Normal 10 2 3 2 2 3 3" xfId="10729"/>
    <cellStyle name="Normal 10 2 3 2 2 3 3 2" xfId="33316"/>
    <cellStyle name="Normal 10 2 3 2 2 3 4" xfId="26876"/>
    <cellStyle name="Normal 10 2 3 2 2 4" xfId="17169"/>
    <cellStyle name="Normal 10 2 3 2 2 4 2" xfId="39756"/>
    <cellStyle name="Normal 10 2 3 2 2 5" xfId="13949"/>
    <cellStyle name="Normal 10 2 3 2 2 5 2" xfId="36536"/>
    <cellStyle name="Normal 10 2 3 2 2 6" xfId="7509"/>
    <cellStyle name="Normal 10 2 3 2 2 6 2" xfId="30096"/>
    <cellStyle name="Normal 10 2 3 2 2 7" xfId="23656"/>
    <cellStyle name="Normal 10 2 3 2 3" xfId="1409"/>
    <cellStyle name="Normal 10 2 3 2 3 2" xfId="2723"/>
    <cellStyle name="Normal 10 2 3 2 3 2 2" xfId="5944"/>
    <cellStyle name="Normal 10 2 3 2 3 2 2 2" xfId="22044"/>
    <cellStyle name="Normal 10 2 3 2 3 2 2 2 2" xfId="44631"/>
    <cellStyle name="Normal 10 2 3 2 3 2 2 3" xfId="12384"/>
    <cellStyle name="Normal 10 2 3 2 3 2 2 3 2" xfId="34971"/>
    <cellStyle name="Normal 10 2 3 2 3 2 2 4" xfId="28531"/>
    <cellStyle name="Normal 10 2 3 2 3 2 3" xfId="18824"/>
    <cellStyle name="Normal 10 2 3 2 3 2 3 2" xfId="41411"/>
    <cellStyle name="Normal 10 2 3 2 3 2 4" xfId="15604"/>
    <cellStyle name="Normal 10 2 3 2 3 2 4 2" xfId="38191"/>
    <cellStyle name="Normal 10 2 3 2 3 2 5" xfId="9164"/>
    <cellStyle name="Normal 10 2 3 2 3 2 5 2" xfId="31751"/>
    <cellStyle name="Normal 10 2 3 2 3 2 6" xfId="25311"/>
    <cellStyle name="Normal 10 2 3 2 3 3" xfId="4636"/>
    <cellStyle name="Normal 10 2 3 2 3 3 2" xfId="20736"/>
    <cellStyle name="Normal 10 2 3 2 3 3 2 2" xfId="43323"/>
    <cellStyle name="Normal 10 2 3 2 3 3 3" xfId="11076"/>
    <cellStyle name="Normal 10 2 3 2 3 3 3 2" xfId="33663"/>
    <cellStyle name="Normal 10 2 3 2 3 3 4" xfId="27223"/>
    <cellStyle name="Normal 10 2 3 2 3 4" xfId="17516"/>
    <cellStyle name="Normal 10 2 3 2 3 4 2" xfId="40103"/>
    <cellStyle name="Normal 10 2 3 2 3 5" xfId="14296"/>
    <cellStyle name="Normal 10 2 3 2 3 5 2" xfId="36883"/>
    <cellStyle name="Normal 10 2 3 2 3 6" xfId="7856"/>
    <cellStyle name="Normal 10 2 3 2 3 6 2" xfId="30443"/>
    <cellStyle name="Normal 10 2 3 2 3 7" xfId="24003"/>
    <cellStyle name="Normal 10 2 3 2 4" xfId="2028"/>
    <cellStyle name="Normal 10 2 3 2 4 2" xfId="5250"/>
    <cellStyle name="Normal 10 2 3 2 4 2 2" xfId="21350"/>
    <cellStyle name="Normal 10 2 3 2 4 2 2 2" xfId="43937"/>
    <cellStyle name="Normal 10 2 3 2 4 2 3" xfId="11690"/>
    <cellStyle name="Normal 10 2 3 2 4 2 3 2" xfId="34277"/>
    <cellStyle name="Normal 10 2 3 2 4 2 4" xfId="27837"/>
    <cellStyle name="Normal 10 2 3 2 4 3" xfId="18130"/>
    <cellStyle name="Normal 10 2 3 2 4 3 2" xfId="40717"/>
    <cellStyle name="Normal 10 2 3 2 4 4" xfId="14910"/>
    <cellStyle name="Normal 10 2 3 2 4 4 2" xfId="37497"/>
    <cellStyle name="Normal 10 2 3 2 4 5" xfId="8470"/>
    <cellStyle name="Normal 10 2 3 2 4 5 2" xfId="31057"/>
    <cellStyle name="Normal 10 2 3 2 4 6" xfId="24617"/>
    <cellStyle name="Normal 10 2 3 2 5" xfId="3942"/>
    <cellStyle name="Normal 10 2 3 2 5 2" xfId="20042"/>
    <cellStyle name="Normal 10 2 3 2 5 2 2" xfId="42629"/>
    <cellStyle name="Normal 10 2 3 2 5 3" xfId="10382"/>
    <cellStyle name="Normal 10 2 3 2 5 3 2" xfId="32969"/>
    <cellStyle name="Normal 10 2 3 2 5 4" xfId="26529"/>
    <cellStyle name="Normal 10 2 3 2 6" xfId="16822"/>
    <cellStyle name="Normal 10 2 3 2 6 2" xfId="39409"/>
    <cellStyle name="Normal 10 2 3 2 7" xfId="13602"/>
    <cellStyle name="Normal 10 2 3 2 7 2" xfId="36189"/>
    <cellStyle name="Normal 10 2 3 2 8" xfId="7162"/>
    <cellStyle name="Normal 10 2 3 2 8 2" xfId="29749"/>
    <cellStyle name="Normal 10 2 3 2 9" xfId="23309"/>
    <cellStyle name="Normal 10 2 3 3" xfId="941"/>
    <cellStyle name="Normal 10 2 3 3 2" xfId="2260"/>
    <cellStyle name="Normal 10 2 3 3 2 2" xfId="5481"/>
    <cellStyle name="Normal 10 2 3 3 2 2 2" xfId="21581"/>
    <cellStyle name="Normal 10 2 3 3 2 2 2 2" xfId="44168"/>
    <cellStyle name="Normal 10 2 3 3 2 2 3" xfId="11921"/>
    <cellStyle name="Normal 10 2 3 3 2 2 3 2" xfId="34508"/>
    <cellStyle name="Normal 10 2 3 3 2 2 4" xfId="28068"/>
    <cellStyle name="Normal 10 2 3 3 2 3" xfId="18361"/>
    <cellStyle name="Normal 10 2 3 3 2 3 2" xfId="40948"/>
    <cellStyle name="Normal 10 2 3 3 2 4" xfId="15141"/>
    <cellStyle name="Normal 10 2 3 3 2 4 2" xfId="37728"/>
    <cellStyle name="Normal 10 2 3 3 2 5" xfId="8701"/>
    <cellStyle name="Normal 10 2 3 3 2 5 2" xfId="31288"/>
    <cellStyle name="Normal 10 2 3 3 2 6" xfId="24848"/>
    <cellStyle name="Normal 10 2 3 3 3" xfId="4173"/>
    <cellStyle name="Normal 10 2 3 3 3 2" xfId="20273"/>
    <cellStyle name="Normal 10 2 3 3 3 2 2" xfId="42860"/>
    <cellStyle name="Normal 10 2 3 3 3 3" xfId="10613"/>
    <cellStyle name="Normal 10 2 3 3 3 3 2" xfId="33200"/>
    <cellStyle name="Normal 10 2 3 3 3 4" xfId="26760"/>
    <cellStyle name="Normal 10 2 3 3 4" xfId="17053"/>
    <cellStyle name="Normal 10 2 3 3 4 2" xfId="39640"/>
    <cellStyle name="Normal 10 2 3 3 5" xfId="13833"/>
    <cellStyle name="Normal 10 2 3 3 5 2" xfId="36420"/>
    <cellStyle name="Normal 10 2 3 3 6" xfId="7393"/>
    <cellStyle name="Normal 10 2 3 3 6 2" xfId="29980"/>
    <cellStyle name="Normal 10 2 3 3 7" xfId="23540"/>
    <cellStyle name="Normal 10 2 3 4" xfId="1293"/>
    <cellStyle name="Normal 10 2 3 4 2" xfId="2607"/>
    <cellStyle name="Normal 10 2 3 4 2 2" xfId="5828"/>
    <cellStyle name="Normal 10 2 3 4 2 2 2" xfId="21928"/>
    <cellStyle name="Normal 10 2 3 4 2 2 2 2" xfId="44515"/>
    <cellStyle name="Normal 10 2 3 4 2 2 3" xfId="12268"/>
    <cellStyle name="Normal 10 2 3 4 2 2 3 2" xfId="34855"/>
    <cellStyle name="Normal 10 2 3 4 2 2 4" xfId="28415"/>
    <cellStyle name="Normal 10 2 3 4 2 3" xfId="18708"/>
    <cellStyle name="Normal 10 2 3 4 2 3 2" xfId="41295"/>
    <cellStyle name="Normal 10 2 3 4 2 4" xfId="15488"/>
    <cellStyle name="Normal 10 2 3 4 2 4 2" xfId="38075"/>
    <cellStyle name="Normal 10 2 3 4 2 5" xfId="9048"/>
    <cellStyle name="Normal 10 2 3 4 2 5 2" xfId="31635"/>
    <cellStyle name="Normal 10 2 3 4 2 6" xfId="25195"/>
    <cellStyle name="Normal 10 2 3 4 3" xfId="4520"/>
    <cellStyle name="Normal 10 2 3 4 3 2" xfId="20620"/>
    <cellStyle name="Normal 10 2 3 4 3 2 2" xfId="43207"/>
    <cellStyle name="Normal 10 2 3 4 3 3" xfId="10960"/>
    <cellStyle name="Normal 10 2 3 4 3 3 2" xfId="33547"/>
    <cellStyle name="Normal 10 2 3 4 3 4" xfId="27107"/>
    <cellStyle name="Normal 10 2 3 4 4" xfId="17400"/>
    <cellStyle name="Normal 10 2 3 4 4 2" xfId="39987"/>
    <cellStyle name="Normal 10 2 3 4 5" xfId="14180"/>
    <cellStyle name="Normal 10 2 3 4 5 2" xfId="36767"/>
    <cellStyle name="Normal 10 2 3 4 6" xfId="7740"/>
    <cellStyle name="Normal 10 2 3 4 6 2" xfId="30327"/>
    <cellStyle name="Normal 10 2 3 4 7" xfId="23887"/>
    <cellStyle name="Normal 10 2 3 5" xfId="1545"/>
    <cellStyle name="Normal 10 2 3 5 2" xfId="4771"/>
    <cellStyle name="Normal 10 2 3 5 2 2" xfId="20871"/>
    <cellStyle name="Normal 10 2 3 5 2 2 2" xfId="43458"/>
    <cellStyle name="Normal 10 2 3 5 2 3" xfId="11211"/>
    <cellStyle name="Normal 10 2 3 5 2 3 2" xfId="33798"/>
    <cellStyle name="Normal 10 2 3 5 2 4" xfId="27358"/>
    <cellStyle name="Normal 10 2 3 5 3" xfId="17651"/>
    <cellStyle name="Normal 10 2 3 5 3 2" xfId="40238"/>
    <cellStyle name="Normal 10 2 3 5 4" xfId="14431"/>
    <cellStyle name="Normal 10 2 3 5 4 2" xfId="37018"/>
    <cellStyle name="Normal 10 2 3 5 5" xfId="7991"/>
    <cellStyle name="Normal 10 2 3 5 5 2" xfId="30578"/>
    <cellStyle name="Normal 10 2 3 5 6" xfId="24138"/>
    <cellStyle name="Normal 10 2 3 6" xfId="1912"/>
    <cellStyle name="Normal 10 2 3 6 2" xfId="5134"/>
    <cellStyle name="Normal 10 2 3 6 2 2" xfId="21234"/>
    <cellStyle name="Normal 10 2 3 6 2 2 2" xfId="43821"/>
    <cellStyle name="Normal 10 2 3 6 2 3" xfId="11574"/>
    <cellStyle name="Normal 10 2 3 6 2 3 2" xfId="34161"/>
    <cellStyle name="Normal 10 2 3 6 2 4" xfId="27721"/>
    <cellStyle name="Normal 10 2 3 6 3" xfId="18014"/>
    <cellStyle name="Normal 10 2 3 6 3 2" xfId="40601"/>
    <cellStyle name="Normal 10 2 3 6 4" xfId="14794"/>
    <cellStyle name="Normal 10 2 3 6 4 2" xfId="37381"/>
    <cellStyle name="Normal 10 2 3 6 5" xfId="8354"/>
    <cellStyle name="Normal 10 2 3 6 5 2" xfId="30941"/>
    <cellStyle name="Normal 10 2 3 6 6" xfId="24501"/>
    <cellStyle name="Normal 10 2 3 7" xfId="2981"/>
    <cellStyle name="Normal 10 2 3 7 2" xfId="6201"/>
    <cellStyle name="Normal 10 2 3 7 2 2" xfId="22301"/>
    <cellStyle name="Normal 10 2 3 7 2 2 2" xfId="44888"/>
    <cellStyle name="Normal 10 2 3 7 2 3" xfId="12641"/>
    <cellStyle name="Normal 10 2 3 7 2 3 2" xfId="35228"/>
    <cellStyle name="Normal 10 2 3 7 2 4" xfId="28788"/>
    <cellStyle name="Normal 10 2 3 7 3" xfId="19081"/>
    <cellStyle name="Normal 10 2 3 7 3 2" xfId="41668"/>
    <cellStyle name="Normal 10 2 3 7 4" xfId="15861"/>
    <cellStyle name="Normal 10 2 3 7 4 2" xfId="38448"/>
    <cellStyle name="Normal 10 2 3 7 5" xfId="9421"/>
    <cellStyle name="Normal 10 2 3 7 5 2" xfId="32008"/>
    <cellStyle name="Normal 10 2 3 7 6" xfId="25568"/>
    <cellStyle name="Normal 10 2 3 8" xfId="3271"/>
    <cellStyle name="Normal 10 2 3 8 2" xfId="6491"/>
    <cellStyle name="Normal 10 2 3 8 2 2" xfId="22591"/>
    <cellStyle name="Normal 10 2 3 8 2 2 2" xfId="45178"/>
    <cellStyle name="Normal 10 2 3 8 2 3" xfId="12931"/>
    <cellStyle name="Normal 10 2 3 8 2 3 2" xfId="35518"/>
    <cellStyle name="Normal 10 2 3 8 2 4" xfId="29078"/>
    <cellStyle name="Normal 10 2 3 8 3" xfId="19371"/>
    <cellStyle name="Normal 10 2 3 8 3 2" xfId="41958"/>
    <cellStyle name="Normal 10 2 3 8 4" xfId="16151"/>
    <cellStyle name="Normal 10 2 3 8 4 2" xfId="38738"/>
    <cellStyle name="Normal 10 2 3 8 5" xfId="9711"/>
    <cellStyle name="Normal 10 2 3 8 5 2" xfId="32298"/>
    <cellStyle name="Normal 10 2 3 8 6" xfId="25858"/>
    <cellStyle name="Normal 10 2 3 9" xfId="539"/>
    <cellStyle name="Normal 10 2 3 9 2" xfId="3826"/>
    <cellStyle name="Normal 10 2 3 9 2 2" xfId="19926"/>
    <cellStyle name="Normal 10 2 3 9 2 2 2" xfId="42513"/>
    <cellStyle name="Normal 10 2 3 9 2 3" xfId="10266"/>
    <cellStyle name="Normal 10 2 3 9 2 3 2" xfId="32853"/>
    <cellStyle name="Normal 10 2 3 9 2 4" xfId="26413"/>
    <cellStyle name="Normal 10 2 3 9 3" xfId="16706"/>
    <cellStyle name="Normal 10 2 3 9 3 2" xfId="39293"/>
    <cellStyle name="Normal 10 2 3 9 4" xfId="13486"/>
    <cellStyle name="Normal 10 2 3 9 4 2" xfId="36073"/>
    <cellStyle name="Normal 10 2 3 9 5" xfId="7046"/>
    <cellStyle name="Normal 10 2 3 9 5 2" xfId="29633"/>
    <cellStyle name="Normal 10 2 3 9 6" xfId="23193"/>
    <cellStyle name="Normal 10 2 4" xfId="365"/>
    <cellStyle name="Normal 10 2 4 10" xfId="16532"/>
    <cellStyle name="Normal 10 2 4 10 2" xfId="39119"/>
    <cellStyle name="Normal 10 2 4 11" xfId="13312"/>
    <cellStyle name="Normal 10 2 4 11 2" xfId="35899"/>
    <cellStyle name="Normal 10 2 4 12" xfId="6872"/>
    <cellStyle name="Normal 10 2 4 12 2" xfId="29459"/>
    <cellStyle name="Normal 10 2 4 13" xfId="23019"/>
    <cellStyle name="Normal 10 2 4 2" xfId="988"/>
    <cellStyle name="Normal 10 2 4 2 2" xfId="2302"/>
    <cellStyle name="Normal 10 2 4 2 2 2" xfId="5523"/>
    <cellStyle name="Normal 10 2 4 2 2 2 2" xfId="21623"/>
    <cellStyle name="Normal 10 2 4 2 2 2 2 2" xfId="44210"/>
    <cellStyle name="Normal 10 2 4 2 2 2 3" xfId="11963"/>
    <cellStyle name="Normal 10 2 4 2 2 2 3 2" xfId="34550"/>
    <cellStyle name="Normal 10 2 4 2 2 2 4" xfId="28110"/>
    <cellStyle name="Normal 10 2 4 2 2 3" xfId="18403"/>
    <cellStyle name="Normal 10 2 4 2 2 3 2" xfId="40990"/>
    <cellStyle name="Normal 10 2 4 2 2 4" xfId="15183"/>
    <cellStyle name="Normal 10 2 4 2 2 4 2" xfId="37770"/>
    <cellStyle name="Normal 10 2 4 2 2 5" xfId="8743"/>
    <cellStyle name="Normal 10 2 4 2 2 5 2" xfId="31330"/>
    <cellStyle name="Normal 10 2 4 2 2 6" xfId="24890"/>
    <cellStyle name="Normal 10 2 4 2 3" xfId="4215"/>
    <cellStyle name="Normal 10 2 4 2 3 2" xfId="20315"/>
    <cellStyle name="Normal 10 2 4 2 3 2 2" xfId="42902"/>
    <cellStyle name="Normal 10 2 4 2 3 3" xfId="10655"/>
    <cellStyle name="Normal 10 2 4 2 3 3 2" xfId="33242"/>
    <cellStyle name="Normal 10 2 4 2 3 4" xfId="26802"/>
    <cellStyle name="Normal 10 2 4 2 4" xfId="17095"/>
    <cellStyle name="Normal 10 2 4 2 4 2" xfId="39682"/>
    <cellStyle name="Normal 10 2 4 2 5" xfId="13875"/>
    <cellStyle name="Normal 10 2 4 2 5 2" xfId="36462"/>
    <cellStyle name="Normal 10 2 4 2 6" xfId="7435"/>
    <cellStyle name="Normal 10 2 4 2 6 2" xfId="30022"/>
    <cellStyle name="Normal 10 2 4 2 7" xfId="23582"/>
    <cellStyle name="Normal 10 2 4 3" xfId="1335"/>
    <cellStyle name="Normal 10 2 4 3 2" xfId="2649"/>
    <cellStyle name="Normal 10 2 4 3 2 2" xfId="5870"/>
    <cellStyle name="Normal 10 2 4 3 2 2 2" xfId="21970"/>
    <cellStyle name="Normal 10 2 4 3 2 2 2 2" xfId="44557"/>
    <cellStyle name="Normal 10 2 4 3 2 2 3" xfId="12310"/>
    <cellStyle name="Normal 10 2 4 3 2 2 3 2" xfId="34897"/>
    <cellStyle name="Normal 10 2 4 3 2 2 4" xfId="28457"/>
    <cellStyle name="Normal 10 2 4 3 2 3" xfId="18750"/>
    <cellStyle name="Normal 10 2 4 3 2 3 2" xfId="41337"/>
    <cellStyle name="Normal 10 2 4 3 2 4" xfId="15530"/>
    <cellStyle name="Normal 10 2 4 3 2 4 2" xfId="38117"/>
    <cellStyle name="Normal 10 2 4 3 2 5" xfId="9090"/>
    <cellStyle name="Normal 10 2 4 3 2 5 2" xfId="31677"/>
    <cellStyle name="Normal 10 2 4 3 2 6" xfId="25237"/>
    <cellStyle name="Normal 10 2 4 3 3" xfId="4562"/>
    <cellStyle name="Normal 10 2 4 3 3 2" xfId="20662"/>
    <cellStyle name="Normal 10 2 4 3 3 2 2" xfId="43249"/>
    <cellStyle name="Normal 10 2 4 3 3 3" xfId="11002"/>
    <cellStyle name="Normal 10 2 4 3 3 3 2" xfId="33589"/>
    <cellStyle name="Normal 10 2 4 3 3 4" xfId="27149"/>
    <cellStyle name="Normal 10 2 4 3 4" xfId="17442"/>
    <cellStyle name="Normal 10 2 4 3 4 2" xfId="40029"/>
    <cellStyle name="Normal 10 2 4 3 5" xfId="14222"/>
    <cellStyle name="Normal 10 2 4 3 5 2" xfId="36809"/>
    <cellStyle name="Normal 10 2 4 3 6" xfId="7782"/>
    <cellStyle name="Normal 10 2 4 3 6 2" xfId="30369"/>
    <cellStyle name="Normal 10 2 4 3 7" xfId="23929"/>
    <cellStyle name="Normal 10 2 4 4" xfId="1546"/>
    <cellStyle name="Normal 10 2 4 4 2" xfId="4772"/>
    <cellStyle name="Normal 10 2 4 4 2 2" xfId="20872"/>
    <cellStyle name="Normal 10 2 4 4 2 2 2" xfId="43459"/>
    <cellStyle name="Normal 10 2 4 4 2 3" xfId="11212"/>
    <cellStyle name="Normal 10 2 4 4 2 3 2" xfId="33799"/>
    <cellStyle name="Normal 10 2 4 4 2 4" xfId="27359"/>
    <cellStyle name="Normal 10 2 4 4 3" xfId="17652"/>
    <cellStyle name="Normal 10 2 4 4 3 2" xfId="40239"/>
    <cellStyle name="Normal 10 2 4 4 4" xfId="14432"/>
    <cellStyle name="Normal 10 2 4 4 4 2" xfId="37019"/>
    <cellStyle name="Normal 10 2 4 4 5" xfId="7992"/>
    <cellStyle name="Normal 10 2 4 4 5 2" xfId="30579"/>
    <cellStyle name="Normal 10 2 4 4 6" xfId="24139"/>
    <cellStyle name="Normal 10 2 4 5" xfId="1954"/>
    <cellStyle name="Normal 10 2 4 5 2" xfId="5176"/>
    <cellStyle name="Normal 10 2 4 5 2 2" xfId="21276"/>
    <cellStyle name="Normal 10 2 4 5 2 2 2" xfId="43863"/>
    <cellStyle name="Normal 10 2 4 5 2 3" xfId="11616"/>
    <cellStyle name="Normal 10 2 4 5 2 3 2" xfId="34203"/>
    <cellStyle name="Normal 10 2 4 5 2 4" xfId="27763"/>
    <cellStyle name="Normal 10 2 4 5 3" xfId="18056"/>
    <cellStyle name="Normal 10 2 4 5 3 2" xfId="40643"/>
    <cellStyle name="Normal 10 2 4 5 4" xfId="14836"/>
    <cellStyle name="Normal 10 2 4 5 4 2" xfId="37423"/>
    <cellStyle name="Normal 10 2 4 5 5" xfId="8396"/>
    <cellStyle name="Normal 10 2 4 5 5 2" xfId="30983"/>
    <cellStyle name="Normal 10 2 4 5 6" xfId="24543"/>
    <cellStyle name="Normal 10 2 4 6" xfId="3072"/>
    <cellStyle name="Normal 10 2 4 6 2" xfId="6292"/>
    <cellStyle name="Normal 10 2 4 6 2 2" xfId="22392"/>
    <cellStyle name="Normal 10 2 4 6 2 2 2" xfId="44979"/>
    <cellStyle name="Normal 10 2 4 6 2 3" xfId="12732"/>
    <cellStyle name="Normal 10 2 4 6 2 3 2" xfId="35319"/>
    <cellStyle name="Normal 10 2 4 6 2 4" xfId="28879"/>
    <cellStyle name="Normal 10 2 4 6 3" xfId="19172"/>
    <cellStyle name="Normal 10 2 4 6 3 2" xfId="41759"/>
    <cellStyle name="Normal 10 2 4 6 4" xfId="15952"/>
    <cellStyle name="Normal 10 2 4 6 4 2" xfId="38539"/>
    <cellStyle name="Normal 10 2 4 6 5" xfId="9512"/>
    <cellStyle name="Normal 10 2 4 6 5 2" xfId="32099"/>
    <cellStyle name="Normal 10 2 4 6 6" xfId="25659"/>
    <cellStyle name="Normal 10 2 4 7" xfId="3362"/>
    <cellStyle name="Normal 10 2 4 7 2" xfId="6582"/>
    <cellStyle name="Normal 10 2 4 7 2 2" xfId="22682"/>
    <cellStyle name="Normal 10 2 4 7 2 2 2" xfId="45269"/>
    <cellStyle name="Normal 10 2 4 7 2 3" xfId="13022"/>
    <cellStyle name="Normal 10 2 4 7 2 3 2" xfId="35609"/>
    <cellStyle name="Normal 10 2 4 7 2 4" xfId="29169"/>
    <cellStyle name="Normal 10 2 4 7 3" xfId="19462"/>
    <cellStyle name="Normal 10 2 4 7 3 2" xfId="42049"/>
    <cellStyle name="Normal 10 2 4 7 4" xfId="16242"/>
    <cellStyle name="Normal 10 2 4 7 4 2" xfId="38829"/>
    <cellStyle name="Normal 10 2 4 7 5" xfId="9802"/>
    <cellStyle name="Normal 10 2 4 7 5 2" xfId="32389"/>
    <cellStyle name="Normal 10 2 4 7 6" xfId="25949"/>
    <cellStyle name="Normal 10 2 4 8" xfId="624"/>
    <cellStyle name="Normal 10 2 4 8 2" xfId="3868"/>
    <cellStyle name="Normal 10 2 4 8 2 2" xfId="19968"/>
    <cellStyle name="Normal 10 2 4 8 2 2 2" xfId="42555"/>
    <cellStyle name="Normal 10 2 4 8 2 3" xfId="10308"/>
    <cellStyle name="Normal 10 2 4 8 2 3 2" xfId="32895"/>
    <cellStyle name="Normal 10 2 4 8 2 4" xfId="26455"/>
    <cellStyle name="Normal 10 2 4 8 3" xfId="16748"/>
    <cellStyle name="Normal 10 2 4 8 3 2" xfId="39335"/>
    <cellStyle name="Normal 10 2 4 8 4" xfId="13528"/>
    <cellStyle name="Normal 10 2 4 8 4 2" xfId="36115"/>
    <cellStyle name="Normal 10 2 4 8 5" xfId="7088"/>
    <cellStyle name="Normal 10 2 4 8 5 2" xfId="29675"/>
    <cellStyle name="Normal 10 2 4 8 6" xfId="23235"/>
    <cellStyle name="Normal 10 2 4 9" xfId="3652"/>
    <cellStyle name="Normal 10 2 4 9 2" xfId="19752"/>
    <cellStyle name="Normal 10 2 4 9 2 2" xfId="42339"/>
    <cellStyle name="Normal 10 2 4 9 3" xfId="10092"/>
    <cellStyle name="Normal 10 2 4 9 3 2" xfId="32679"/>
    <cellStyle name="Normal 10 2 4 9 4" xfId="26239"/>
    <cellStyle name="Normal 10 2 5" xfId="794"/>
    <cellStyle name="Normal 10 2 5 2" xfId="1146"/>
    <cellStyle name="Normal 10 2 5 2 2" xfId="2460"/>
    <cellStyle name="Normal 10 2 5 2 2 2" xfId="5681"/>
    <cellStyle name="Normal 10 2 5 2 2 2 2" xfId="21781"/>
    <cellStyle name="Normal 10 2 5 2 2 2 2 2" xfId="44368"/>
    <cellStyle name="Normal 10 2 5 2 2 2 3" xfId="12121"/>
    <cellStyle name="Normal 10 2 5 2 2 2 3 2" xfId="34708"/>
    <cellStyle name="Normal 10 2 5 2 2 2 4" xfId="28268"/>
    <cellStyle name="Normal 10 2 5 2 2 3" xfId="18561"/>
    <cellStyle name="Normal 10 2 5 2 2 3 2" xfId="41148"/>
    <cellStyle name="Normal 10 2 5 2 2 4" xfId="15341"/>
    <cellStyle name="Normal 10 2 5 2 2 4 2" xfId="37928"/>
    <cellStyle name="Normal 10 2 5 2 2 5" xfId="8901"/>
    <cellStyle name="Normal 10 2 5 2 2 5 2" xfId="31488"/>
    <cellStyle name="Normal 10 2 5 2 2 6" xfId="25048"/>
    <cellStyle name="Normal 10 2 5 2 3" xfId="4373"/>
    <cellStyle name="Normal 10 2 5 2 3 2" xfId="20473"/>
    <cellStyle name="Normal 10 2 5 2 3 2 2" xfId="43060"/>
    <cellStyle name="Normal 10 2 5 2 3 3" xfId="10813"/>
    <cellStyle name="Normal 10 2 5 2 3 3 2" xfId="33400"/>
    <cellStyle name="Normal 10 2 5 2 3 4" xfId="26960"/>
    <cellStyle name="Normal 10 2 5 2 4" xfId="17253"/>
    <cellStyle name="Normal 10 2 5 2 4 2" xfId="39840"/>
    <cellStyle name="Normal 10 2 5 2 5" xfId="14033"/>
    <cellStyle name="Normal 10 2 5 2 5 2" xfId="36620"/>
    <cellStyle name="Normal 10 2 5 2 6" xfId="7593"/>
    <cellStyle name="Normal 10 2 5 2 6 2" xfId="30180"/>
    <cellStyle name="Normal 10 2 5 2 7" xfId="23740"/>
    <cellStyle name="Normal 10 2 5 3" xfId="1493"/>
    <cellStyle name="Normal 10 2 5 3 2" xfId="2807"/>
    <cellStyle name="Normal 10 2 5 3 2 2" xfId="6028"/>
    <cellStyle name="Normal 10 2 5 3 2 2 2" xfId="22128"/>
    <cellStyle name="Normal 10 2 5 3 2 2 2 2" xfId="44715"/>
    <cellStyle name="Normal 10 2 5 3 2 2 3" xfId="12468"/>
    <cellStyle name="Normal 10 2 5 3 2 2 3 2" xfId="35055"/>
    <cellStyle name="Normal 10 2 5 3 2 2 4" xfId="28615"/>
    <cellStyle name="Normal 10 2 5 3 2 3" xfId="18908"/>
    <cellStyle name="Normal 10 2 5 3 2 3 2" xfId="41495"/>
    <cellStyle name="Normal 10 2 5 3 2 4" xfId="15688"/>
    <cellStyle name="Normal 10 2 5 3 2 4 2" xfId="38275"/>
    <cellStyle name="Normal 10 2 5 3 2 5" xfId="9248"/>
    <cellStyle name="Normal 10 2 5 3 2 5 2" xfId="31835"/>
    <cellStyle name="Normal 10 2 5 3 2 6" xfId="25395"/>
    <cellStyle name="Normal 10 2 5 3 3" xfId="4720"/>
    <cellStyle name="Normal 10 2 5 3 3 2" xfId="20820"/>
    <cellStyle name="Normal 10 2 5 3 3 2 2" xfId="43407"/>
    <cellStyle name="Normal 10 2 5 3 3 3" xfId="11160"/>
    <cellStyle name="Normal 10 2 5 3 3 3 2" xfId="33747"/>
    <cellStyle name="Normal 10 2 5 3 3 4" xfId="27307"/>
    <cellStyle name="Normal 10 2 5 3 4" xfId="17600"/>
    <cellStyle name="Normal 10 2 5 3 4 2" xfId="40187"/>
    <cellStyle name="Normal 10 2 5 3 5" xfId="14380"/>
    <cellStyle name="Normal 10 2 5 3 5 2" xfId="36967"/>
    <cellStyle name="Normal 10 2 5 3 6" xfId="7940"/>
    <cellStyle name="Normal 10 2 5 3 6 2" xfId="30527"/>
    <cellStyle name="Normal 10 2 5 3 7" xfId="24087"/>
    <cellStyle name="Normal 10 2 5 4" xfId="2113"/>
    <cellStyle name="Normal 10 2 5 4 2" xfId="5334"/>
    <cellStyle name="Normal 10 2 5 4 2 2" xfId="21434"/>
    <cellStyle name="Normal 10 2 5 4 2 2 2" xfId="44021"/>
    <cellStyle name="Normal 10 2 5 4 2 3" xfId="11774"/>
    <cellStyle name="Normal 10 2 5 4 2 3 2" xfId="34361"/>
    <cellStyle name="Normal 10 2 5 4 2 4" xfId="27921"/>
    <cellStyle name="Normal 10 2 5 4 3" xfId="18214"/>
    <cellStyle name="Normal 10 2 5 4 3 2" xfId="40801"/>
    <cellStyle name="Normal 10 2 5 4 4" xfId="14994"/>
    <cellStyle name="Normal 10 2 5 4 4 2" xfId="37581"/>
    <cellStyle name="Normal 10 2 5 4 5" xfId="8554"/>
    <cellStyle name="Normal 10 2 5 4 5 2" xfId="31141"/>
    <cellStyle name="Normal 10 2 5 4 6" xfId="24701"/>
    <cellStyle name="Normal 10 2 5 5" xfId="4026"/>
    <cellStyle name="Normal 10 2 5 5 2" xfId="20126"/>
    <cellStyle name="Normal 10 2 5 5 2 2" xfId="42713"/>
    <cellStyle name="Normal 10 2 5 5 3" xfId="10466"/>
    <cellStyle name="Normal 10 2 5 5 3 2" xfId="33053"/>
    <cellStyle name="Normal 10 2 5 5 4" xfId="26613"/>
    <cellStyle name="Normal 10 2 5 6" xfId="16906"/>
    <cellStyle name="Normal 10 2 5 6 2" xfId="39493"/>
    <cellStyle name="Normal 10 2 5 7" xfId="13686"/>
    <cellStyle name="Normal 10 2 5 7 2" xfId="36273"/>
    <cellStyle name="Normal 10 2 5 8" xfId="7246"/>
    <cellStyle name="Normal 10 2 5 8 2" xfId="29833"/>
    <cellStyle name="Normal 10 2 5 9" xfId="23393"/>
    <cellStyle name="Normal 10 2 6" xfId="864"/>
    <cellStyle name="Normal 10 2 6 2" xfId="2183"/>
    <cellStyle name="Normal 10 2 6 2 2" xfId="5404"/>
    <cellStyle name="Normal 10 2 6 2 2 2" xfId="21504"/>
    <cellStyle name="Normal 10 2 6 2 2 2 2" xfId="44091"/>
    <cellStyle name="Normal 10 2 6 2 2 3" xfId="11844"/>
    <cellStyle name="Normal 10 2 6 2 2 3 2" xfId="34431"/>
    <cellStyle name="Normal 10 2 6 2 2 4" xfId="27991"/>
    <cellStyle name="Normal 10 2 6 2 3" xfId="18284"/>
    <cellStyle name="Normal 10 2 6 2 3 2" xfId="40871"/>
    <cellStyle name="Normal 10 2 6 2 4" xfId="15064"/>
    <cellStyle name="Normal 10 2 6 2 4 2" xfId="37651"/>
    <cellStyle name="Normal 10 2 6 2 5" xfId="8624"/>
    <cellStyle name="Normal 10 2 6 2 5 2" xfId="31211"/>
    <cellStyle name="Normal 10 2 6 2 6" xfId="24771"/>
    <cellStyle name="Normal 10 2 6 3" xfId="4096"/>
    <cellStyle name="Normal 10 2 6 3 2" xfId="20196"/>
    <cellStyle name="Normal 10 2 6 3 2 2" xfId="42783"/>
    <cellStyle name="Normal 10 2 6 3 3" xfId="10536"/>
    <cellStyle name="Normal 10 2 6 3 3 2" xfId="33123"/>
    <cellStyle name="Normal 10 2 6 3 4" xfId="26683"/>
    <cellStyle name="Normal 10 2 6 4" xfId="16976"/>
    <cellStyle name="Normal 10 2 6 4 2" xfId="39563"/>
    <cellStyle name="Normal 10 2 6 5" xfId="13756"/>
    <cellStyle name="Normal 10 2 6 5 2" xfId="36343"/>
    <cellStyle name="Normal 10 2 6 6" xfId="7316"/>
    <cellStyle name="Normal 10 2 6 6 2" xfId="29903"/>
    <cellStyle name="Normal 10 2 6 7" xfId="23463"/>
    <cellStyle name="Normal 10 2 7" xfId="1216"/>
    <cellStyle name="Normal 10 2 7 2" xfId="2530"/>
    <cellStyle name="Normal 10 2 7 2 2" xfId="5751"/>
    <cellStyle name="Normal 10 2 7 2 2 2" xfId="21851"/>
    <cellStyle name="Normal 10 2 7 2 2 2 2" xfId="44438"/>
    <cellStyle name="Normal 10 2 7 2 2 3" xfId="12191"/>
    <cellStyle name="Normal 10 2 7 2 2 3 2" xfId="34778"/>
    <cellStyle name="Normal 10 2 7 2 2 4" xfId="28338"/>
    <cellStyle name="Normal 10 2 7 2 3" xfId="18631"/>
    <cellStyle name="Normal 10 2 7 2 3 2" xfId="41218"/>
    <cellStyle name="Normal 10 2 7 2 4" xfId="15411"/>
    <cellStyle name="Normal 10 2 7 2 4 2" xfId="37998"/>
    <cellStyle name="Normal 10 2 7 2 5" xfId="8971"/>
    <cellStyle name="Normal 10 2 7 2 5 2" xfId="31558"/>
    <cellStyle name="Normal 10 2 7 2 6" xfId="25118"/>
    <cellStyle name="Normal 10 2 7 3" xfId="4443"/>
    <cellStyle name="Normal 10 2 7 3 2" xfId="20543"/>
    <cellStyle name="Normal 10 2 7 3 2 2" xfId="43130"/>
    <cellStyle name="Normal 10 2 7 3 3" xfId="10883"/>
    <cellStyle name="Normal 10 2 7 3 3 2" xfId="33470"/>
    <cellStyle name="Normal 10 2 7 3 4" xfId="27030"/>
    <cellStyle name="Normal 10 2 7 4" xfId="17323"/>
    <cellStyle name="Normal 10 2 7 4 2" xfId="39910"/>
    <cellStyle name="Normal 10 2 7 5" xfId="14103"/>
    <cellStyle name="Normal 10 2 7 5 2" xfId="36690"/>
    <cellStyle name="Normal 10 2 7 6" xfId="7663"/>
    <cellStyle name="Normal 10 2 7 6 2" xfId="30250"/>
    <cellStyle name="Normal 10 2 7 7" xfId="23810"/>
    <cellStyle name="Normal 10 2 8" xfId="1547"/>
    <cellStyle name="Normal 10 2 8 2" xfId="4773"/>
    <cellStyle name="Normal 10 2 8 2 2" xfId="20873"/>
    <cellStyle name="Normal 10 2 8 2 2 2" xfId="43460"/>
    <cellStyle name="Normal 10 2 8 2 3" xfId="11213"/>
    <cellStyle name="Normal 10 2 8 2 3 2" xfId="33800"/>
    <cellStyle name="Normal 10 2 8 2 4" xfId="27360"/>
    <cellStyle name="Normal 10 2 8 3" xfId="17653"/>
    <cellStyle name="Normal 10 2 8 3 2" xfId="40240"/>
    <cellStyle name="Normal 10 2 8 4" xfId="14433"/>
    <cellStyle name="Normal 10 2 8 4 2" xfId="37020"/>
    <cellStyle name="Normal 10 2 8 5" xfId="7993"/>
    <cellStyle name="Normal 10 2 8 5 2" xfId="30580"/>
    <cellStyle name="Normal 10 2 8 6" xfId="24140"/>
    <cellStyle name="Normal 10 2 9" xfId="1835"/>
    <cellStyle name="Normal 10 2 9 2" xfId="5057"/>
    <cellStyle name="Normal 10 2 9 2 2" xfId="21157"/>
    <cellStyle name="Normal 10 2 9 2 2 2" xfId="43744"/>
    <cellStyle name="Normal 10 2 9 2 3" xfId="11497"/>
    <cellStyle name="Normal 10 2 9 2 3 2" xfId="34084"/>
    <cellStyle name="Normal 10 2 9 2 4" xfId="27644"/>
    <cellStyle name="Normal 10 2 9 3" xfId="17937"/>
    <cellStyle name="Normal 10 2 9 3 2" xfId="40524"/>
    <cellStyle name="Normal 10 2 9 4" xfId="14717"/>
    <cellStyle name="Normal 10 2 9 4 2" xfId="37304"/>
    <cellStyle name="Normal 10 2 9 5" xfId="8277"/>
    <cellStyle name="Normal 10 2 9 5 2" xfId="30864"/>
    <cellStyle name="Normal 10 2 9 6" xfId="24424"/>
    <cellStyle name="Normal 10 20" xfId="45344"/>
    <cellStyle name="Normal 10 3" xfId="141"/>
    <cellStyle name="Normal 10 3 10" xfId="479"/>
    <cellStyle name="Normal 10 3 10 2" xfId="3766"/>
    <cellStyle name="Normal 10 3 10 2 2" xfId="19866"/>
    <cellStyle name="Normal 10 3 10 2 2 2" xfId="42453"/>
    <cellStyle name="Normal 10 3 10 2 3" xfId="10206"/>
    <cellStyle name="Normal 10 3 10 2 3 2" xfId="32793"/>
    <cellStyle name="Normal 10 3 10 2 4" xfId="26353"/>
    <cellStyle name="Normal 10 3 10 3" xfId="16646"/>
    <cellStyle name="Normal 10 3 10 3 2" xfId="39233"/>
    <cellStyle name="Normal 10 3 10 4" xfId="13426"/>
    <cellStyle name="Normal 10 3 10 4 2" xfId="36013"/>
    <cellStyle name="Normal 10 3 10 5" xfId="6986"/>
    <cellStyle name="Normal 10 3 10 5 2" xfId="29573"/>
    <cellStyle name="Normal 10 3 10 6" xfId="23133"/>
    <cellStyle name="Normal 10 3 11" xfId="3476"/>
    <cellStyle name="Normal 10 3 11 2" xfId="19576"/>
    <cellStyle name="Normal 10 3 11 2 2" xfId="42163"/>
    <cellStyle name="Normal 10 3 11 3" xfId="9916"/>
    <cellStyle name="Normal 10 3 11 3 2" xfId="32503"/>
    <cellStyle name="Normal 10 3 11 4" xfId="26063"/>
    <cellStyle name="Normal 10 3 12" xfId="16356"/>
    <cellStyle name="Normal 10 3 12 2" xfId="38943"/>
    <cellStyle name="Normal 10 3 13" xfId="13136"/>
    <cellStyle name="Normal 10 3 13 2" xfId="35723"/>
    <cellStyle name="Normal 10 3 14" xfId="6696"/>
    <cellStyle name="Normal 10 3 14 2" xfId="29283"/>
    <cellStyle name="Normal 10 3 15" xfId="22843"/>
    <cellStyle name="Normal 10 3 2" xfId="287"/>
    <cellStyle name="Normal 10 3 2 10" xfId="16454"/>
    <cellStyle name="Normal 10 3 2 10 2" xfId="39041"/>
    <cellStyle name="Normal 10 3 2 11" xfId="13234"/>
    <cellStyle name="Normal 10 3 2 11 2" xfId="35821"/>
    <cellStyle name="Normal 10 3 2 12" xfId="6794"/>
    <cellStyle name="Normal 10 3 2 12 2" xfId="29381"/>
    <cellStyle name="Normal 10 3 2 13" xfId="22941"/>
    <cellStyle name="Normal 10 3 2 2" xfId="1005"/>
    <cellStyle name="Normal 10 3 2 2 2" xfId="2319"/>
    <cellStyle name="Normal 10 3 2 2 2 2" xfId="5540"/>
    <cellStyle name="Normal 10 3 2 2 2 2 2" xfId="21640"/>
    <cellStyle name="Normal 10 3 2 2 2 2 2 2" xfId="44227"/>
    <cellStyle name="Normal 10 3 2 2 2 2 3" xfId="11980"/>
    <cellStyle name="Normal 10 3 2 2 2 2 3 2" xfId="34567"/>
    <cellStyle name="Normal 10 3 2 2 2 2 4" xfId="28127"/>
    <cellStyle name="Normal 10 3 2 2 2 3" xfId="18420"/>
    <cellStyle name="Normal 10 3 2 2 2 3 2" xfId="41007"/>
    <cellStyle name="Normal 10 3 2 2 2 4" xfId="15200"/>
    <cellStyle name="Normal 10 3 2 2 2 4 2" xfId="37787"/>
    <cellStyle name="Normal 10 3 2 2 2 5" xfId="8760"/>
    <cellStyle name="Normal 10 3 2 2 2 5 2" xfId="31347"/>
    <cellStyle name="Normal 10 3 2 2 2 6" xfId="24907"/>
    <cellStyle name="Normal 10 3 2 2 3" xfId="4232"/>
    <cellStyle name="Normal 10 3 2 2 3 2" xfId="20332"/>
    <cellStyle name="Normal 10 3 2 2 3 2 2" xfId="42919"/>
    <cellStyle name="Normal 10 3 2 2 3 3" xfId="10672"/>
    <cellStyle name="Normal 10 3 2 2 3 3 2" xfId="33259"/>
    <cellStyle name="Normal 10 3 2 2 3 4" xfId="26819"/>
    <cellStyle name="Normal 10 3 2 2 4" xfId="17112"/>
    <cellStyle name="Normal 10 3 2 2 4 2" xfId="39699"/>
    <cellStyle name="Normal 10 3 2 2 5" xfId="13892"/>
    <cellStyle name="Normal 10 3 2 2 5 2" xfId="36479"/>
    <cellStyle name="Normal 10 3 2 2 6" xfId="7452"/>
    <cellStyle name="Normal 10 3 2 2 6 2" xfId="30039"/>
    <cellStyle name="Normal 10 3 2 2 7" xfId="23599"/>
    <cellStyle name="Normal 10 3 2 3" xfId="1352"/>
    <cellStyle name="Normal 10 3 2 3 2" xfId="2666"/>
    <cellStyle name="Normal 10 3 2 3 2 2" xfId="5887"/>
    <cellStyle name="Normal 10 3 2 3 2 2 2" xfId="21987"/>
    <cellStyle name="Normal 10 3 2 3 2 2 2 2" xfId="44574"/>
    <cellStyle name="Normal 10 3 2 3 2 2 3" xfId="12327"/>
    <cellStyle name="Normal 10 3 2 3 2 2 3 2" xfId="34914"/>
    <cellStyle name="Normal 10 3 2 3 2 2 4" xfId="28474"/>
    <cellStyle name="Normal 10 3 2 3 2 3" xfId="18767"/>
    <cellStyle name="Normal 10 3 2 3 2 3 2" xfId="41354"/>
    <cellStyle name="Normal 10 3 2 3 2 4" xfId="15547"/>
    <cellStyle name="Normal 10 3 2 3 2 4 2" xfId="38134"/>
    <cellStyle name="Normal 10 3 2 3 2 5" xfId="9107"/>
    <cellStyle name="Normal 10 3 2 3 2 5 2" xfId="31694"/>
    <cellStyle name="Normal 10 3 2 3 2 6" xfId="25254"/>
    <cellStyle name="Normal 10 3 2 3 3" xfId="4579"/>
    <cellStyle name="Normal 10 3 2 3 3 2" xfId="20679"/>
    <cellStyle name="Normal 10 3 2 3 3 2 2" xfId="43266"/>
    <cellStyle name="Normal 10 3 2 3 3 3" xfId="11019"/>
    <cellStyle name="Normal 10 3 2 3 3 3 2" xfId="33606"/>
    <cellStyle name="Normal 10 3 2 3 3 4" xfId="27166"/>
    <cellStyle name="Normal 10 3 2 3 4" xfId="17459"/>
    <cellStyle name="Normal 10 3 2 3 4 2" xfId="40046"/>
    <cellStyle name="Normal 10 3 2 3 5" xfId="14239"/>
    <cellStyle name="Normal 10 3 2 3 5 2" xfId="36826"/>
    <cellStyle name="Normal 10 3 2 3 6" xfId="7799"/>
    <cellStyle name="Normal 10 3 2 3 6 2" xfId="30386"/>
    <cellStyle name="Normal 10 3 2 3 7" xfId="23946"/>
    <cellStyle name="Normal 10 3 2 4" xfId="1548"/>
    <cellStyle name="Normal 10 3 2 4 2" xfId="4774"/>
    <cellStyle name="Normal 10 3 2 4 2 2" xfId="20874"/>
    <cellStyle name="Normal 10 3 2 4 2 2 2" xfId="43461"/>
    <cellStyle name="Normal 10 3 2 4 2 3" xfId="11214"/>
    <cellStyle name="Normal 10 3 2 4 2 3 2" xfId="33801"/>
    <cellStyle name="Normal 10 3 2 4 2 4" xfId="27361"/>
    <cellStyle name="Normal 10 3 2 4 3" xfId="17654"/>
    <cellStyle name="Normal 10 3 2 4 3 2" xfId="40241"/>
    <cellStyle name="Normal 10 3 2 4 4" xfId="14434"/>
    <cellStyle name="Normal 10 3 2 4 4 2" xfId="37021"/>
    <cellStyle name="Normal 10 3 2 4 5" xfId="7994"/>
    <cellStyle name="Normal 10 3 2 4 5 2" xfId="30581"/>
    <cellStyle name="Normal 10 3 2 4 6" xfId="24141"/>
    <cellStyle name="Normal 10 3 2 5" xfId="1971"/>
    <cellStyle name="Normal 10 3 2 5 2" xfId="5193"/>
    <cellStyle name="Normal 10 3 2 5 2 2" xfId="21293"/>
    <cellStyle name="Normal 10 3 2 5 2 2 2" xfId="43880"/>
    <cellStyle name="Normal 10 3 2 5 2 3" xfId="11633"/>
    <cellStyle name="Normal 10 3 2 5 2 3 2" xfId="34220"/>
    <cellStyle name="Normal 10 3 2 5 2 4" xfId="27780"/>
    <cellStyle name="Normal 10 3 2 5 3" xfId="18073"/>
    <cellStyle name="Normal 10 3 2 5 3 2" xfId="40660"/>
    <cellStyle name="Normal 10 3 2 5 4" xfId="14853"/>
    <cellStyle name="Normal 10 3 2 5 4 2" xfId="37440"/>
    <cellStyle name="Normal 10 3 2 5 5" xfId="8413"/>
    <cellStyle name="Normal 10 3 2 5 5 2" xfId="31000"/>
    <cellStyle name="Normal 10 3 2 5 6" xfId="24560"/>
    <cellStyle name="Normal 10 3 2 6" xfId="2994"/>
    <cellStyle name="Normal 10 3 2 6 2" xfId="6214"/>
    <cellStyle name="Normal 10 3 2 6 2 2" xfId="22314"/>
    <cellStyle name="Normal 10 3 2 6 2 2 2" xfId="44901"/>
    <cellStyle name="Normal 10 3 2 6 2 3" xfId="12654"/>
    <cellStyle name="Normal 10 3 2 6 2 3 2" xfId="35241"/>
    <cellStyle name="Normal 10 3 2 6 2 4" xfId="28801"/>
    <cellStyle name="Normal 10 3 2 6 3" xfId="19094"/>
    <cellStyle name="Normal 10 3 2 6 3 2" xfId="41681"/>
    <cellStyle name="Normal 10 3 2 6 4" xfId="15874"/>
    <cellStyle name="Normal 10 3 2 6 4 2" xfId="38461"/>
    <cellStyle name="Normal 10 3 2 6 5" xfId="9434"/>
    <cellStyle name="Normal 10 3 2 6 5 2" xfId="32021"/>
    <cellStyle name="Normal 10 3 2 6 6" xfId="25581"/>
    <cellStyle name="Normal 10 3 2 7" xfId="3284"/>
    <cellStyle name="Normal 10 3 2 7 2" xfId="6504"/>
    <cellStyle name="Normal 10 3 2 7 2 2" xfId="22604"/>
    <cellStyle name="Normal 10 3 2 7 2 2 2" xfId="45191"/>
    <cellStyle name="Normal 10 3 2 7 2 3" xfId="12944"/>
    <cellStyle name="Normal 10 3 2 7 2 3 2" xfId="35531"/>
    <cellStyle name="Normal 10 3 2 7 2 4" xfId="29091"/>
    <cellStyle name="Normal 10 3 2 7 3" xfId="19384"/>
    <cellStyle name="Normal 10 3 2 7 3 2" xfId="41971"/>
    <cellStyle name="Normal 10 3 2 7 4" xfId="16164"/>
    <cellStyle name="Normal 10 3 2 7 4 2" xfId="38751"/>
    <cellStyle name="Normal 10 3 2 7 5" xfId="9724"/>
    <cellStyle name="Normal 10 3 2 7 5 2" xfId="32311"/>
    <cellStyle name="Normal 10 3 2 7 6" xfId="25871"/>
    <cellStyle name="Normal 10 3 2 8" xfId="641"/>
    <cellStyle name="Normal 10 3 2 8 2" xfId="3885"/>
    <cellStyle name="Normal 10 3 2 8 2 2" xfId="19985"/>
    <cellStyle name="Normal 10 3 2 8 2 2 2" xfId="42572"/>
    <cellStyle name="Normal 10 3 2 8 2 3" xfId="10325"/>
    <cellStyle name="Normal 10 3 2 8 2 3 2" xfId="32912"/>
    <cellStyle name="Normal 10 3 2 8 2 4" xfId="26472"/>
    <cellStyle name="Normal 10 3 2 8 3" xfId="16765"/>
    <cellStyle name="Normal 10 3 2 8 3 2" xfId="39352"/>
    <cellStyle name="Normal 10 3 2 8 4" xfId="13545"/>
    <cellStyle name="Normal 10 3 2 8 4 2" xfId="36132"/>
    <cellStyle name="Normal 10 3 2 8 5" xfId="7105"/>
    <cellStyle name="Normal 10 3 2 8 5 2" xfId="29692"/>
    <cellStyle name="Normal 10 3 2 8 6" xfId="23252"/>
    <cellStyle name="Normal 10 3 2 9" xfId="3574"/>
    <cellStyle name="Normal 10 3 2 9 2" xfId="19674"/>
    <cellStyle name="Normal 10 3 2 9 2 2" xfId="42261"/>
    <cellStyle name="Normal 10 3 2 9 3" xfId="10014"/>
    <cellStyle name="Normal 10 3 2 9 3 2" xfId="32601"/>
    <cellStyle name="Normal 10 3 2 9 4" xfId="26161"/>
    <cellStyle name="Normal 10 3 3" xfId="382"/>
    <cellStyle name="Normal 10 3 3 10" xfId="16549"/>
    <cellStyle name="Normal 10 3 3 10 2" xfId="39136"/>
    <cellStyle name="Normal 10 3 3 11" xfId="13329"/>
    <cellStyle name="Normal 10 3 3 11 2" xfId="35916"/>
    <cellStyle name="Normal 10 3 3 12" xfId="6889"/>
    <cellStyle name="Normal 10 3 3 12 2" xfId="29476"/>
    <cellStyle name="Normal 10 3 3 13" xfId="23036"/>
    <cellStyle name="Normal 10 3 3 2" xfId="1166"/>
    <cellStyle name="Normal 10 3 3 2 2" xfId="2480"/>
    <cellStyle name="Normal 10 3 3 2 2 2" xfId="5701"/>
    <cellStyle name="Normal 10 3 3 2 2 2 2" xfId="21801"/>
    <cellStyle name="Normal 10 3 3 2 2 2 2 2" xfId="44388"/>
    <cellStyle name="Normal 10 3 3 2 2 2 3" xfId="12141"/>
    <cellStyle name="Normal 10 3 3 2 2 2 3 2" xfId="34728"/>
    <cellStyle name="Normal 10 3 3 2 2 2 4" xfId="28288"/>
    <cellStyle name="Normal 10 3 3 2 2 3" xfId="18581"/>
    <cellStyle name="Normal 10 3 3 2 2 3 2" xfId="41168"/>
    <cellStyle name="Normal 10 3 3 2 2 4" xfId="15361"/>
    <cellStyle name="Normal 10 3 3 2 2 4 2" xfId="37948"/>
    <cellStyle name="Normal 10 3 3 2 2 5" xfId="8921"/>
    <cellStyle name="Normal 10 3 3 2 2 5 2" xfId="31508"/>
    <cellStyle name="Normal 10 3 3 2 2 6" xfId="25068"/>
    <cellStyle name="Normal 10 3 3 2 3" xfId="4393"/>
    <cellStyle name="Normal 10 3 3 2 3 2" xfId="20493"/>
    <cellStyle name="Normal 10 3 3 2 3 2 2" xfId="43080"/>
    <cellStyle name="Normal 10 3 3 2 3 3" xfId="10833"/>
    <cellStyle name="Normal 10 3 3 2 3 3 2" xfId="33420"/>
    <cellStyle name="Normal 10 3 3 2 3 4" xfId="26980"/>
    <cellStyle name="Normal 10 3 3 2 4" xfId="17273"/>
    <cellStyle name="Normal 10 3 3 2 4 2" xfId="39860"/>
    <cellStyle name="Normal 10 3 3 2 5" xfId="14053"/>
    <cellStyle name="Normal 10 3 3 2 5 2" xfId="36640"/>
    <cellStyle name="Normal 10 3 3 2 6" xfId="7613"/>
    <cellStyle name="Normal 10 3 3 2 6 2" xfId="30200"/>
    <cellStyle name="Normal 10 3 3 2 7" xfId="23760"/>
    <cellStyle name="Normal 10 3 3 3" xfId="1513"/>
    <cellStyle name="Normal 10 3 3 3 2" xfId="2827"/>
    <cellStyle name="Normal 10 3 3 3 2 2" xfId="6048"/>
    <cellStyle name="Normal 10 3 3 3 2 2 2" xfId="22148"/>
    <cellStyle name="Normal 10 3 3 3 2 2 2 2" xfId="44735"/>
    <cellStyle name="Normal 10 3 3 3 2 2 3" xfId="12488"/>
    <cellStyle name="Normal 10 3 3 3 2 2 3 2" xfId="35075"/>
    <cellStyle name="Normal 10 3 3 3 2 2 4" xfId="28635"/>
    <cellStyle name="Normal 10 3 3 3 2 3" xfId="18928"/>
    <cellStyle name="Normal 10 3 3 3 2 3 2" xfId="41515"/>
    <cellStyle name="Normal 10 3 3 3 2 4" xfId="15708"/>
    <cellStyle name="Normal 10 3 3 3 2 4 2" xfId="38295"/>
    <cellStyle name="Normal 10 3 3 3 2 5" xfId="9268"/>
    <cellStyle name="Normal 10 3 3 3 2 5 2" xfId="31855"/>
    <cellStyle name="Normal 10 3 3 3 2 6" xfId="25415"/>
    <cellStyle name="Normal 10 3 3 3 3" xfId="4740"/>
    <cellStyle name="Normal 10 3 3 3 3 2" xfId="20840"/>
    <cellStyle name="Normal 10 3 3 3 3 2 2" xfId="43427"/>
    <cellStyle name="Normal 10 3 3 3 3 3" xfId="11180"/>
    <cellStyle name="Normal 10 3 3 3 3 3 2" xfId="33767"/>
    <cellStyle name="Normal 10 3 3 3 3 4" xfId="27327"/>
    <cellStyle name="Normal 10 3 3 3 4" xfId="17620"/>
    <cellStyle name="Normal 10 3 3 3 4 2" xfId="40207"/>
    <cellStyle name="Normal 10 3 3 3 5" xfId="14400"/>
    <cellStyle name="Normal 10 3 3 3 5 2" xfId="36987"/>
    <cellStyle name="Normal 10 3 3 3 6" xfId="7960"/>
    <cellStyle name="Normal 10 3 3 3 6 2" xfId="30547"/>
    <cellStyle name="Normal 10 3 3 3 7" xfId="24107"/>
    <cellStyle name="Normal 10 3 3 4" xfId="1549"/>
    <cellStyle name="Normal 10 3 3 4 2" xfId="4775"/>
    <cellStyle name="Normal 10 3 3 4 2 2" xfId="20875"/>
    <cellStyle name="Normal 10 3 3 4 2 2 2" xfId="43462"/>
    <cellStyle name="Normal 10 3 3 4 2 3" xfId="11215"/>
    <cellStyle name="Normal 10 3 3 4 2 3 2" xfId="33802"/>
    <cellStyle name="Normal 10 3 3 4 2 4" xfId="27362"/>
    <cellStyle name="Normal 10 3 3 4 3" xfId="17655"/>
    <cellStyle name="Normal 10 3 3 4 3 2" xfId="40242"/>
    <cellStyle name="Normal 10 3 3 4 4" xfId="14435"/>
    <cellStyle name="Normal 10 3 3 4 4 2" xfId="37022"/>
    <cellStyle name="Normal 10 3 3 4 5" xfId="7995"/>
    <cellStyle name="Normal 10 3 3 4 5 2" xfId="30582"/>
    <cellStyle name="Normal 10 3 3 4 6" xfId="24142"/>
    <cellStyle name="Normal 10 3 3 5" xfId="2133"/>
    <cellStyle name="Normal 10 3 3 5 2" xfId="5354"/>
    <cellStyle name="Normal 10 3 3 5 2 2" xfId="21454"/>
    <cellStyle name="Normal 10 3 3 5 2 2 2" xfId="44041"/>
    <cellStyle name="Normal 10 3 3 5 2 3" xfId="11794"/>
    <cellStyle name="Normal 10 3 3 5 2 3 2" xfId="34381"/>
    <cellStyle name="Normal 10 3 3 5 2 4" xfId="27941"/>
    <cellStyle name="Normal 10 3 3 5 3" xfId="18234"/>
    <cellStyle name="Normal 10 3 3 5 3 2" xfId="40821"/>
    <cellStyle name="Normal 10 3 3 5 4" xfId="15014"/>
    <cellStyle name="Normal 10 3 3 5 4 2" xfId="37601"/>
    <cellStyle name="Normal 10 3 3 5 5" xfId="8574"/>
    <cellStyle name="Normal 10 3 3 5 5 2" xfId="31161"/>
    <cellStyle name="Normal 10 3 3 5 6" xfId="24721"/>
    <cellStyle name="Normal 10 3 3 6" xfId="3089"/>
    <cellStyle name="Normal 10 3 3 6 2" xfId="6309"/>
    <cellStyle name="Normal 10 3 3 6 2 2" xfId="22409"/>
    <cellStyle name="Normal 10 3 3 6 2 2 2" xfId="44996"/>
    <cellStyle name="Normal 10 3 3 6 2 3" xfId="12749"/>
    <cellStyle name="Normal 10 3 3 6 2 3 2" xfId="35336"/>
    <cellStyle name="Normal 10 3 3 6 2 4" xfId="28896"/>
    <cellStyle name="Normal 10 3 3 6 3" xfId="19189"/>
    <cellStyle name="Normal 10 3 3 6 3 2" xfId="41776"/>
    <cellStyle name="Normal 10 3 3 6 4" xfId="15969"/>
    <cellStyle name="Normal 10 3 3 6 4 2" xfId="38556"/>
    <cellStyle name="Normal 10 3 3 6 5" xfId="9529"/>
    <cellStyle name="Normal 10 3 3 6 5 2" xfId="32116"/>
    <cellStyle name="Normal 10 3 3 6 6" xfId="25676"/>
    <cellStyle name="Normal 10 3 3 7" xfId="3379"/>
    <cellStyle name="Normal 10 3 3 7 2" xfId="6599"/>
    <cellStyle name="Normal 10 3 3 7 2 2" xfId="22699"/>
    <cellStyle name="Normal 10 3 3 7 2 2 2" xfId="45286"/>
    <cellStyle name="Normal 10 3 3 7 2 3" xfId="13039"/>
    <cellStyle name="Normal 10 3 3 7 2 3 2" xfId="35626"/>
    <cellStyle name="Normal 10 3 3 7 2 4" xfId="29186"/>
    <cellStyle name="Normal 10 3 3 7 3" xfId="19479"/>
    <cellStyle name="Normal 10 3 3 7 3 2" xfId="42066"/>
    <cellStyle name="Normal 10 3 3 7 4" xfId="16259"/>
    <cellStyle name="Normal 10 3 3 7 4 2" xfId="38846"/>
    <cellStyle name="Normal 10 3 3 7 5" xfId="9819"/>
    <cellStyle name="Normal 10 3 3 7 5 2" xfId="32406"/>
    <cellStyle name="Normal 10 3 3 7 6" xfId="25966"/>
    <cellStyle name="Normal 10 3 3 8" xfId="814"/>
    <cellStyle name="Normal 10 3 3 8 2" xfId="4046"/>
    <cellStyle name="Normal 10 3 3 8 2 2" xfId="20146"/>
    <cellStyle name="Normal 10 3 3 8 2 2 2" xfId="42733"/>
    <cellStyle name="Normal 10 3 3 8 2 3" xfId="10486"/>
    <cellStyle name="Normal 10 3 3 8 2 3 2" xfId="33073"/>
    <cellStyle name="Normal 10 3 3 8 2 4" xfId="26633"/>
    <cellStyle name="Normal 10 3 3 8 3" xfId="16926"/>
    <cellStyle name="Normal 10 3 3 8 3 2" xfId="39513"/>
    <cellStyle name="Normal 10 3 3 8 4" xfId="13706"/>
    <cellStyle name="Normal 10 3 3 8 4 2" xfId="36293"/>
    <cellStyle name="Normal 10 3 3 8 5" xfId="7266"/>
    <cellStyle name="Normal 10 3 3 8 5 2" xfId="29853"/>
    <cellStyle name="Normal 10 3 3 8 6" xfId="23413"/>
    <cellStyle name="Normal 10 3 3 9" xfId="3669"/>
    <cellStyle name="Normal 10 3 3 9 2" xfId="19769"/>
    <cellStyle name="Normal 10 3 3 9 2 2" xfId="42356"/>
    <cellStyle name="Normal 10 3 3 9 3" xfId="10109"/>
    <cellStyle name="Normal 10 3 3 9 3 2" xfId="32696"/>
    <cellStyle name="Normal 10 3 3 9 4" xfId="26256"/>
    <cellStyle name="Normal 10 3 4" xfId="881"/>
    <cellStyle name="Normal 10 3 4 2" xfId="2200"/>
    <cellStyle name="Normal 10 3 4 2 2" xfId="5421"/>
    <cellStyle name="Normal 10 3 4 2 2 2" xfId="21521"/>
    <cellStyle name="Normal 10 3 4 2 2 2 2" xfId="44108"/>
    <cellStyle name="Normal 10 3 4 2 2 3" xfId="11861"/>
    <cellStyle name="Normal 10 3 4 2 2 3 2" xfId="34448"/>
    <cellStyle name="Normal 10 3 4 2 2 4" xfId="28008"/>
    <cellStyle name="Normal 10 3 4 2 3" xfId="18301"/>
    <cellStyle name="Normal 10 3 4 2 3 2" xfId="40888"/>
    <cellStyle name="Normal 10 3 4 2 4" xfId="15081"/>
    <cellStyle name="Normal 10 3 4 2 4 2" xfId="37668"/>
    <cellStyle name="Normal 10 3 4 2 5" xfId="8641"/>
    <cellStyle name="Normal 10 3 4 2 5 2" xfId="31228"/>
    <cellStyle name="Normal 10 3 4 2 6" xfId="24788"/>
    <cellStyle name="Normal 10 3 4 3" xfId="4113"/>
    <cellStyle name="Normal 10 3 4 3 2" xfId="20213"/>
    <cellStyle name="Normal 10 3 4 3 2 2" xfId="42800"/>
    <cellStyle name="Normal 10 3 4 3 3" xfId="10553"/>
    <cellStyle name="Normal 10 3 4 3 3 2" xfId="33140"/>
    <cellStyle name="Normal 10 3 4 3 4" xfId="26700"/>
    <cellStyle name="Normal 10 3 4 4" xfId="16993"/>
    <cellStyle name="Normal 10 3 4 4 2" xfId="39580"/>
    <cellStyle name="Normal 10 3 4 5" xfId="13773"/>
    <cellStyle name="Normal 10 3 4 5 2" xfId="36360"/>
    <cellStyle name="Normal 10 3 4 6" xfId="7333"/>
    <cellStyle name="Normal 10 3 4 6 2" xfId="29920"/>
    <cellStyle name="Normal 10 3 4 7" xfId="23480"/>
    <cellStyle name="Normal 10 3 5" xfId="1233"/>
    <cellStyle name="Normal 10 3 5 2" xfId="2547"/>
    <cellStyle name="Normal 10 3 5 2 2" xfId="5768"/>
    <cellStyle name="Normal 10 3 5 2 2 2" xfId="21868"/>
    <cellStyle name="Normal 10 3 5 2 2 2 2" xfId="44455"/>
    <cellStyle name="Normal 10 3 5 2 2 3" xfId="12208"/>
    <cellStyle name="Normal 10 3 5 2 2 3 2" xfId="34795"/>
    <cellStyle name="Normal 10 3 5 2 2 4" xfId="28355"/>
    <cellStyle name="Normal 10 3 5 2 3" xfId="18648"/>
    <cellStyle name="Normal 10 3 5 2 3 2" xfId="41235"/>
    <cellStyle name="Normal 10 3 5 2 4" xfId="15428"/>
    <cellStyle name="Normal 10 3 5 2 4 2" xfId="38015"/>
    <cellStyle name="Normal 10 3 5 2 5" xfId="8988"/>
    <cellStyle name="Normal 10 3 5 2 5 2" xfId="31575"/>
    <cellStyle name="Normal 10 3 5 2 6" xfId="25135"/>
    <cellStyle name="Normal 10 3 5 3" xfId="4460"/>
    <cellStyle name="Normal 10 3 5 3 2" xfId="20560"/>
    <cellStyle name="Normal 10 3 5 3 2 2" xfId="43147"/>
    <cellStyle name="Normal 10 3 5 3 3" xfId="10900"/>
    <cellStyle name="Normal 10 3 5 3 3 2" xfId="33487"/>
    <cellStyle name="Normal 10 3 5 3 4" xfId="27047"/>
    <cellStyle name="Normal 10 3 5 4" xfId="17340"/>
    <cellStyle name="Normal 10 3 5 4 2" xfId="39927"/>
    <cellStyle name="Normal 10 3 5 5" xfId="14120"/>
    <cellStyle name="Normal 10 3 5 5 2" xfId="36707"/>
    <cellStyle name="Normal 10 3 5 6" xfId="7680"/>
    <cellStyle name="Normal 10 3 5 6 2" xfId="30267"/>
    <cellStyle name="Normal 10 3 5 7" xfId="23827"/>
    <cellStyle name="Normal 10 3 6" xfId="1550"/>
    <cellStyle name="Normal 10 3 6 2" xfId="4776"/>
    <cellStyle name="Normal 10 3 6 2 2" xfId="20876"/>
    <cellStyle name="Normal 10 3 6 2 2 2" xfId="43463"/>
    <cellStyle name="Normal 10 3 6 2 3" xfId="11216"/>
    <cellStyle name="Normal 10 3 6 2 3 2" xfId="33803"/>
    <cellStyle name="Normal 10 3 6 2 4" xfId="27363"/>
    <cellStyle name="Normal 10 3 6 3" xfId="17656"/>
    <cellStyle name="Normal 10 3 6 3 2" xfId="40243"/>
    <cellStyle name="Normal 10 3 6 4" xfId="14436"/>
    <cellStyle name="Normal 10 3 6 4 2" xfId="37023"/>
    <cellStyle name="Normal 10 3 6 5" xfId="7996"/>
    <cellStyle name="Normal 10 3 6 5 2" xfId="30583"/>
    <cellStyle name="Normal 10 3 6 6" xfId="24143"/>
    <cellStyle name="Normal 10 3 7" xfId="1852"/>
    <cellStyle name="Normal 10 3 7 2" xfId="5074"/>
    <cellStyle name="Normal 10 3 7 2 2" xfId="21174"/>
    <cellStyle name="Normal 10 3 7 2 2 2" xfId="43761"/>
    <cellStyle name="Normal 10 3 7 2 3" xfId="11514"/>
    <cellStyle name="Normal 10 3 7 2 3 2" xfId="34101"/>
    <cellStyle name="Normal 10 3 7 2 4" xfId="27661"/>
    <cellStyle name="Normal 10 3 7 3" xfId="17954"/>
    <cellStyle name="Normal 10 3 7 3 2" xfId="40541"/>
    <cellStyle name="Normal 10 3 7 4" xfId="14734"/>
    <cellStyle name="Normal 10 3 7 4 2" xfId="37321"/>
    <cellStyle name="Normal 10 3 7 5" xfId="8294"/>
    <cellStyle name="Normal 10 3 7 5 2" xfId="30881"/>
    <cellStyle name="Normal 10 3 7 6" xfId="24441"/>
    <cellStyle name="Normal 10 3 8" xfId="2895"/>
    <cellStyle name="Normal 10 3 8 2" xfId="6116"/>
    <cellStyle name="Normal 10 3 8 2 2" xfId="22216"/>
    <cellStyle name="Normal 10 3 8 2 2 2" xfId="44803"/>
    <cellStyle name="Normal 10 3 8 2 3" xfId="12556"/>
    <cellStyle name="Normal 10 3 8 2 3 2" xfId="35143"/>
    <cellStyle name="Normal 10 3 8 2 4" xfId="28703"/>
    <cellStyle name="Normal 10 3 8 3" xfId="18996"/>
    <cellStyle name="Normal 10 3 8 3 2" xfId="41583"/>
    <cellStyle name="Normal 10 3 8 4" xfId="15776"/>
    <cellStyle name="Normal 10 3 8 4 2" xfId="38363"/>
    <cellStyle name="Normal 10 3 8 5" xfId="9336"/>
    <cellStyle name="Normal 10 3 8 5 2" xfId="31923"/>
    <cellStyle name="Normal 10 3 8 6" xfId="25483"/>
    <cellStyle name="Normal 10 3 9" xfId="3186"/>
    <cellStyle name="Normal 10 3 9 2" xfId="6406"/>
    <cellStyle name="Normal 10 3 9 2 2" xfId="22506"/>
    <cellStyle name="Normal 10 3 9 2 2 2" xfId="45093"/>
    <cellStyle name="Normal 10 3 9 2 3" xfId="12846"/>
    <cellStyle name="Normal 10 3 9 2 3 2" xfId="35433"/>
    <cellStyle name="Normal 10 3 9 2 4" xfId="28993"/>
    <cellStyle name="Normal 10 3 9 3" xfId="19286"/>
    <cellStyle name="Normal 10 3 9 3 2" xfId="41873"/>
    <cellStyle name="Normal 10 3 9 4" xfId="16066"/>
    <cellStyle name="Normal 10 3 9 4 2" xfId="38653"/>
    <cellStyle name="Normal 10 3 9 5" xfId="9626"/>
    <cellStyle name="Normal 10 3 9 5 2" xfId="32213"/>
    <cellStyle name="Normal 10 3 9 6" xfId="25773"/>
    <cellStyle name="Normal 10 4" xfId="232"/>
    <cellStyle name="Normal 10 4 10" xfId="519"/>
    <cellStyle name="Normal 10 4 10 2" xfId="3806"/>
    <cellStyle name="Normal 10 4 10 2 2" xfId="19906"/>
    <cellStyle name="Normal 10 4 10 2 2 2" xfId="42493"/>
    <cellStyle name="Normal 10 4 10 2 3" xfId="10246"/>
    <cellStyle name="Normal 10 4 10 2 3 2" xfId="32833"/>
    <cellStyle name="Normal 10 4 10 2 4" xfId="26393"/>
    <cellStyle name="Normal 10 4 10 3" xfId="16686"/>
    <cellStyle name="Normal 10 4 10 3 2" xfId="39273"/>
    <cellStyle name="Normal 10 4 10 4" xfId="13466"/>
    <cellStyle name="Normal 10 4 10 4 2" xfId="36053"/>
    <cellStyle name="Normal 10 4 10 5" xfId="7026"/>
    <cellStyle name="Normal 10 4 10 5 2" xfId="29613"/>
    <cellStyle name="Normal 10 4 10 6" xfId="23173"/>
    <cellStyle name="Normal 10 4 11" xfId="3520"/>
    <cellStyle name="Normal 10 4 11 2" xfId="19620"/>
    <cellStyle name="Normal 10 4 11 2 2" xfId="42207"/>
    <cellStyle name="Normal 10 4 11 3" xfId="9960"/>
    <cellStyle name="Normal 10 4 11 3 2" xfId="32547"/>
    <cellStyle name="Normal 10 4 11 4" xfId="26107"/>
    <cellStyle name="Normal 10 4 12" xfId="16400"/>
    <cellStyle name="Normal 10 4 12 2" xfId="38987"/>
    <cellStyle name="Normal 10 4 13" xfId="13180"/>
    <cellStyle name="Normal 10 4 13 2" xfId="35767"/>
    <cellStyle name="Normal 10 4 14" xfId="6740"/>
    <cellStyle name="Normal 10 4 14 2" xfId="29327"/>
    <cellStyle name="Normal 10 4 15" xfId="22887"/>
    <cellStyle name="Normal 10 4 2" xfId="330"/>
    <cellStyle name="Normal 10 4 2 10" xfId="16497"/>
    <cellStyle name="Normal 10 4 2 10 2" xfId="39084"/>
    <cellStyle name="Normal 10 4 2 11" xfId="13277"/>
    <cellStyle name="Normal 10 4 2 11 2" xfId="35864"/>
    <cellStyle name="Normal 10 4 2 12" xfId="6837"/>
    <cellStyle name="Normal 10 4 2 12 2" xfId="29424"/>
    <cellStyle name="Normal 10 4 2 13" xfId="22984"/>
    <cellStyle name="Normal 10 4 2 2" xfId="1042"/>
    <cellStyle name="Normal 10 4 2 2 2" xfId="2356"/>
    <cellStyle name="Normal 10 4 2 2 2 2" xfId="5577"/>
    <cellStyle name="Normal 10 4 2 2 2 2 2" xfId="21677"/>
    <cellStyle name="Normal 10 4 2 2 2 2 2 2" xfId="44264"/>
    <cellStyle name="Normal 10 4 2 2 2 2 3" xfId="12017"/>
    <cellStyle name="Normal 10 4 2 2 2 2 3 2" xfId="34604"/>
    <cellStyle name="Normal 10 4 2 2 2 2 4" xfId="28164"/>
    <cellStyle name="Normal 10 4 2 2 2 3" xfId="18457"/>
    <cellStyle name="Normal 10 4 2 2 2 3 2" xfId="41044"/>
    <cellStyle name="Normal 10 4 2 2 2 4" xfId="15237"/>
    <cellStyle name="Normal 10 4 2 2 2 4 2" xfId="37824"/>
    <cellStyle name="Normal 10 4 2 2 2 5" xfId="8797"/>
    <cellStyle name="Normal 10 4 2 2 2 5 2" xfId="31384"/>
    <cellStyle name="Normal 10 4 2 2 2 6" xfId="24944"/>
    <cellStyle name="Normal 10 4 2 2 3" xfId="4269"/>
    <cellStyle name="Normal 10 4 2 2 3 2" xfId="20369"/>
    <cellStyle name="Normal 10 4 2 2 3 2 2" xfId="42956"/>
    <cellStyle name="Normal 10 4 2 2 3 3" xfId="10709"/>
    <cellStyle name="Normal 10 4 2 2 3 3 2" xfId="33296"/>
    <cellStyle name="Normal 10 4 2 2 3 4" xfId="26856"/>
    <cellStyle name="Normal 10 4 2 2 4" xfId="17149"/>
    <cellStyle name="Normal 10 4 2 2 4 2" xfId="39736"/>
    <cellStyle name="Normal 10 4 2 2 5" xfId="13929"/>
    <cellStyle name="Normal 10 4 2 2 5 2" xfId="36516"/>
    <cellStyle name="Normal 10 4 2 2 6" xfId="7489"/>
    <cellStyle name="Normal 10 4 2 2 6 2" xfId="30076"/>
    <cellStyle name="Normal 10 4 2 2 7" xfId="23636"/>
    <cellStyle name="Normal 10 4 2 3" xfId="1389"/>
    <cellStyle name="Normal 10 4 2 3 2" xfId="2703"/>
    <cellStyle name="Normal 10 4 2 3 2 2" xfId="5924"/>
    <cellStyle name="Normal 10 4 2 3 2 2 2" xfId="22024"/>
    <cellStyle name="Normal 10 4 2 3 2 2 2 2" xfId="44611"/>
    <cellStyle name="Normal 10 4 2 3 2 2 3" xfId="12364"/>
    <cellStyle name="Normal 10 4 2 3 2 2 3 2" xfId="34951"/>
    <cellStyle name="Normal 10 4 2 3 2 2 4" xfId="28511"/>
    <cellStyle name="Normal 10 4 2 3 2 3" xfId="18804"/>
    <cellStyle name="Normal 10 4 2 3 2 3 2" xfId="41391"/>
    <cellStyle name="Normal 10 4 2 3 2 4" xfId="15584"/>
    <cellStyle name="Normal 10 4 2 3 2 4 2" xfId="38171"/>
    <cellStyle name="Normal 10 4 2 3 2 5" xfId="9144"/>
    <cellStyle name="Normal 10 4 2 3 2 5 2" xfId="31731"/>
    <cellStyle name="Normal 10 4 2 3 2 6" xfId="25291"/>
    <cellStyle name="Normal 10 4 2 3 3" xfId="4616"/>
    <cellStyle name="Normal 10 4 2 3 3 2" xfId="20716"/>
    <cellStyle name="Normal 10 4 2 3 3 2 2" xfId="43303"/>
    <cellStyle name="Normal 10 4 2 3 3 3" xfId="11056"/>
    <cellStyle name="Normal 10 4 2 3 3 3 2" xfId="33643"/>
    <cellStyle name="Normal 10 4 2 3 3 4" xfId="27203"/>
    <cellStyle name="Normal 10 4 2 3 4" xfId="17496"/>
    <cellStyle name="Normal 10 4 2 3 4 2" xfId="40083"/>
    <cellStyle name="Normal 10 4 2 3 5" xfId="14276"/>
    <cellStyle name="Normal 10 4 2 3 5 2" xfId="36863"/>
    <cellStyle name="Normal 10 4 2 3 6" xfId="7836"/>
    <cellStyle name="Normal 10 4 2 3 6 2" xfId="30423"/>
    <cellStyle name="Normal 10 4 2 3 7" xfId="23983"/>
    <cellStyle name="Normal 10 4 2 4" xfId="1551"/>
    <cellStyle name="Normal 10 4 2 4 2" xfId="4777"/>
    <cellStyle name="Normal 10 4 2 4 2 2" xfId="20877"/>
    <cellStyle name="Normal 10 4 2 4 2 2 2" xfId="43464"/>
    <cellStyle name="Normal 10 4 2 4 2 3" xfId="11217"/>
    <cellStyle name="Normal 10 4 2 4 2 3 2" xfId="33804"/>
    <cellStyle name="Normal 10 4 2 4 2 4" xfId="27364"/>
    <cellStyle name="Normal 10 4 2 4 3" xfId="17657"/>
    <cellStyle name="Normal 10 4 2 4 3 2" xfId="40244"/>
    <cellStyle name="Normal 10 4 2 4 4" xfId="14437"/>
    <cellStyle name="Normal 10 4 2 4 4 2" xfId="37024"/>
    <cellStyle name="Normal 10 4 2 4 5" xfId="7997"/>
    <cellStyle name="Normal 10 4 2 4 5 2" xfId="30584"/>
    <cellStyle name="Normal 10 4 2 4 6" xfId="24144"/>
    <cellStyle name="Normal 10 4 2 5" xfId="2008"/>
    <cellStyle name="Normal 10 4 2 5 2" xfId="5230"/>
    <cellStyle name="Normal 10 4 2 5 2 2" xfId="21330"/>
    <cellStyle name="Normal 10 4 2 5 2 2 2" xfId="43917"/>
    <cellStyle name="Normal 10 4 2 5 2 3" xfId="11670"/>
    <cellStyle name="Normal 10 4 2 5 2 3 2" xfId="34257"/>
    <cellStyle name="Normal 10 4 2 5 2 4" xfId="27817"/>
    <cellStyle name="Normal 10 4 2 5 3" xfId="18110"/>
    <cellStyle name="Normal 10 4 2 5 3 2" xfId="40697"/>
    <cellStyle name="Normal 10 4 2 5 4" xfId="14890"/>
    <cellStyle name="Normal 10 4 2 5 4 2" xfId="37477"/>
    <cellStyle name="Normal 10 4 2 5 5" xfId="8450"/>
    <cellStyle name="Normal 10 4 2 5 5 2" xfId="31037"/>
    <cellStyle name="Normal 10 4 2 5 6" xfId="24597"/>
    <cellStyle name="Normal 10 4 2 6" xfId="3037"/>
    <cellStyle name="Normal 10 4 2 6 2" xfId="6257"/>
    <cellStyle name="Normal 10 4 2 6 2 2" xfId="22357"/>
    <cellStyle name="Normal 10 4 2 6 2 2 2" xfId="44944"/>
    <cellStyle name="Normal 10 4 2 6 2 3" xfId="12697"/>
    <cellStyle name="Normal 10 4 2 6 2 3 2" xfId="35284"/>
    <cellStyle name="Normal 10 4 2 6 2 4" xfId="28844"/>
    <cellStyle name="Normal 10 4 2 6 3" xfId="19137"/>
    <cellStyle name="Normal 10 4 2 6 3 2" xfId="41724"/>
    <cellStyle name="Normal 10 4 2 6 4" xfId="15917"/>
    <cellStyle name="Normal 10 4 2 6 4 2" xfId="38504"/>
    <cellStyle name="Normal 10 4 2 6 5" xfId="9477"/>
    <cellStyle name="Normal 10 4 2 6 5 2" xfId="32064"/>
    <cellStyle name="Normal 10 4 2 6 6" xfId="25624"/>
    <cellStyle name="Normal 10 4 2 7" xfId="3327"/>
    <cellStyle name="Normal 10 4 2 7 2" xfId="6547"/>
    <cellStyle name="Normal 10 4 2 7 2 2" xfId="22647"/>
    <cellStyle name="Normal 10 4 2 7 2 2 2" xfId="45234"/>
    <cellStyle name="Normal 10 4 2 7 2 3" xfId="12987"/>
    <cellStyle name="Normal 10 4 2 7 2 3 2" xfId="35574"/>
    <cellStyle name="Normal 10 4 2 7 2 4" xfId="29134"/>
    <cellStyle name="Normal 10 4 2 7 3" xfId="19427"/>
    <cellStyle name="Normal 10 4 2 7 3 2" xfId="42014"/>
    <cellStyle name="Normal 10 4 2 7 4" xfId="16207"/>
    <cellStyle name="Normal 10 4 2 7 4 2" xfId="38794"/>
    <cellStyle name="Normal 10 4 2 7 5" xfId="9767"/>
    <cellStyle name="Normal 10 4 2 7 5 2" xfId="32354"/>
    <cellStyle name="Normal 10 4 2 7 6" xfId="25914"/>
    <cellStyle name="Normal 10 4 2 8" xfId="678"/>
    <cellStyle name="Normal 10 4 2 8 2" xfId="3922"/>
    <cellStyle name="Normal 10 4 2 8 2 2" xfId="20022"/>
    <cellStyle name="Normal 10 4 2 8 2 2 2" xfId="42609"/>
    <cellStyle name="Normal 10 4 2 8 2 3" xfId="10362"/>
    <cellStyle name="Normal 10 4 2 8 2 3 2" xfId="32949"/>
    <cellStyle name="Normal 10 4 2 8 2 4" xfId="26509"/>
    <cellStyle name="Normal 10 4 2 8 3" xfId="16802"/>
    <cellStyle name="Normal 10 4 2 8 3 2" xfId="39389"/>
    <cellStyle name="Normal 10 4 2 8 4" xfId="13582"/>
    <cellStyle name="Normal 10 4 2 8 4 2" xfId="36169"/>
    <cellStyle name="Normal 10 4 2 8 5" xfId="7142"/>
    <cellStyle name="Normal 10 4 2 8 5 2" xfId="29729"/>
    <cellStyle name="Normal 10 4 2 8 6" xfId="23289"/>
    <cellStyle name="Normal 10 4 2 9" xfId="3617"/>
    <cellStyle name="Normal 10 4 2 9 2" xfId="19717"/>
    <cellStyle name="Normal 10 4 2 9 2 2" xfId="42304"/>
    <cellStyle name="Normal 10 4 2 9 3" xfId="10057"/>
    <cellStyle name="Normal 10 4 2 9 3 2" xfId="32644"/>
    <cellStyle name="Normal 10 4 2 9 4" xfId="26204"/>
    <cellStyle name="Normal 10 4 3" xfId="426"/>
    <cellStyle name="Normal 10 4 3 10" xfId="13373"/>
    <cellStyle name="Normal 10 4 3 10 2" xfId="35960"/>
    <cellStyle name="Normal 10 4 3 11" xfId="6933"/>
    <cellStyle name="Normal 10 4 3 11 2" xfId="29520"/>
    <cellStyle name="Normal 10 4 3 12" xfId="23080"/>
    <cellStyle name="Normal 10 4 3 2" xfId="1126"/>
    <cellStyle name="Normal 10 4 3 2 2" xfId="2440"/>
    <cellStyle name="Normal 10 4 3 2 2 2" xfId="5661"/>
    <cellStyle name="Normal 10 4 3 2 2 2 2" xfId="21761"/>
    <cellStyle name="Normal 10 4 3 2 2 2 2 2" xfId="44348"/>
    <cellStyle name="Normal 10 4 3 2 2 2 3" xfId="12101"/>
    <cellStyle name="Normal 10 4 3 2 2 2 3 2" xfId="34688"/>
    <cellStyle name="Normal 10 4 3 2 2 2 4" xfId="28248"/>
    <cellStyle name="Normal 10 4 3 2 2 3" xfId="18541"/>
    <cellStyle name="Normal 10 4 3 2 2 3 2" xfId="41128"/>
    <cellStyle name="Normal 10 4 3 2 2 4" xfId="15321"/>
    <cellStyle name="Normal 10 4 3 2 2 4 2" xfId="37908"/>
    <cellStyle name="Normal 10 4 3 2 2 5" xfId="8881"/>
    <cellStyle name="Normal 10 4 3 2 2 5 2" xfId="31468"/>
    <cellStyle name="Normal 10 4 3 2 2 6" xfId="25028"/>
    <cellStyle name="Normal 10 4 3 2 3" xfId="4353"/>
    <cellStyle name="Normal 10 4 3 2 3 2" xfId="20453"/>
    <cellStyle name="Normal 10 4 3 2 3 2 2" xfId="43040"/>
    <cellStyle name="Normal 10 4 3 2 3 3" xfId="10793"/>
    <cellStyle name="Normal 10 4 3 2 3 3 2" xfId="33380"/>
    <cellStyle name="Normal 10 4 3 2 3 4" xfId="26940"/>
    <cellStyle name="Normal 10 4 3 2 4" xfId="17233"/>
    <cellStyle name="Normal 10 4 3 2 4 2" xfId="39820"/>
    <cellStyle name="Normal 10 4 3 2 5" xfId="14013"/>
    <cellStyle name="Normal 10 4 3 2 5 2" xfId="36600"/>
    <cellStyle name="Normal 10 4 3 2 6" xfId="7573"/>
    <cellStyle name="Normal 10 4 3 2 6 2" xfId="30160"/>
    <cellStyle name="Normal 10 4 3 2 7" xfId="23720"/>
    <cellStyle name="Normal 10 4 3 3" xfId="1473"/>
    <cellStyle name="Normal 10 4 3 3 2" xfId="2787"/>
    <cellStyle name="Normal 10 4 3 3 2 2" xfId="6008"/>
    <cellStyle name="Normal 10 4 3 3 2 2 2" xfId="22108"/>
    <cellStyle name="Normal 10 4 3 3 2 2 2 2" xfId="44695"/>
    <cellStyle name="Normal 10 4 3 3 2 2 3" xfId="12448"/>
    <cellStyle name="Normal 10 4 3 3 2 2 3 2" xfId="35035"/>
    <cellStyle name="Normal 10 4 3 3 2 2 4" xfId="28595"/>
    <cellStyle name="Normal 10 4 3 3 2 3" xfId="18888"/>
    <cellStyle name="Normal 10 4 3 3 2 3 2" xfId="41475"/>
    <cellStyle name="Normal 10 4 3 3 2 4" xfId="15668"/>
    <cellStyle name="Normal 10 4 3 3 2 4 2" xfId="38255"/>
    <cellStyle name="Normal 10 4 3 3 2 5" xfId="9228"/>
    <cellStyle name="Normal 10 4 3 3 2 5 2" xfId="31815"/>
    <cellStyle name="Normal 10 4 3 3 2 6" xfId="25375"/>
    <cellStyle name="Normal 10 4 3 3 3" xfId="4700"/>
    <cellStyle name="Normal 10 4 3 3 3 2" xfId="20800"/>
    <cellStyle name="Normal 10 4 3 3 3 2 2" xfId="43387"/>
    <cellStyle name="Normal 10 4 3 3 3 3" xfId="11140"/>
    <cellStyle name="Normal 10 4 3 3 3 3 2" xfId="33727"/>
    <cellStyle name="Normal 10 4 3 3 3 4" xfId="27287"/>
    <cellStyle name="Normal 10 4 3 3 4" xfId="17580"/>
    <cellStyle name="Normal 10 4 3 3 4 2" xfId="40167"/>
    <cellStyle name="Normal 10 4 3 3 5" xfId="14360"/>
    <cellStyle name="Normal 10 4 3 3 5 2" xfId="36947"/>
    <cellStyle name="Normal 10 4 3 3 6" xfId="7920"/>
    <cellStyle name="Normal 10 4 3 3 6 2" xfId="30507"/>
    <cellStyle name="Normal 10 4 3 3 7" xfId="24067"/>
    <cellStyle name="Normal 10 4 3 4" xfId="2093"/>
    <cellStyle name="Normal 10 4 3 4 2" xfId="5314"/>
    <cellStyle name="Normal 10 4 3 4 2 2" xfId="21414"/>
    <cellStyle name="Normal 10 4 3 4 2 2 2" xfId="44001"/>
    <cellStyle name="Normal 10 4 3 4 2 3" xfId="11754"/>
    <cellStyle name="Normal 10 4 3 4 2 3 2" xfId="34341"/>
    <cellStyle name="Normal 10 4 3 4 2 4" xfId="27901"/>
    <cellStyle name="Normal 10 4 3 4 3" xfId="18194"/>
    <cellStyle name="Normal 10 4 3 4 3 2" xfId="40781"/>
    <cellStyle name="Normal 10 4 3 4 4" xfId="14974"/>
    <cellStyle name="Normal 10 4 3 4 4 2" xfId="37561"/>
    <cellStyle name="Normal 10 4 3 4 5" xfId="8534"/>
    <cellStyle name="Normal 10 4 3 4 5 2" xfId="31121"/>
    <cellStyle name="Normal 10 4 3 4 6" xfId="24681"/>
    <cellStyle name="Normal 10 4 3 5" xfId="3133"/>
    <cellStyle name="Normal 10 4 3 5 2" xfId="6353"/>
    <cellStyle name="Normal 10 4 3 5 2 2" xfId="22453"/>
    <cellStyle name="Normal 10 4 3 5 2 2 2" xfId="45040"/>
    <cellStyle name="Normal 10 4 3 5 2 3" xfId="12793"/>
    <cellStyle name="Normal 10 4 3 5 2 3 2" xfId="35380"/>
    <cellStyle name="Normal 10 4 3 5 2 4" xfId="28940"/>
    <cellStyle name="Normal 10 4 3 5 3" xfId="19233"/>
    <cellStyle name="Normal 10 4 3 5 3 2" xfId="41820"/>
    <cellStyle name="Normal 10 4 3 5 4" xfId="16013"/>
    <cellStyle name="Normal 10 4 3 5 4 2" xfId="38600"/>
    <cellStyle name="Normal 10 4 3 5 5" xfId="9573"/>
    <cellStyle name="Normal 10 4 3 5 5 2" xfId="32160"/>
    <cellStyle name="Normal 10 4 3 5 6" xfId="25720"/>
    <cellStyle name="Normal 10 4 3 6" xfId="3423"/>
    <cellStyle name="Normal 10 4 3 6 2" xfId="6643"/>
    <cellStyle name="Normal 10 4 3 6 2 2" xfId="22743"/>
    <cellStyle name="Normal 10 4 3 6 2 2 2" xfId="45330"/>
    <cellStyle name="Normal 10 4 3 6 2 3" xfId="13083"/>
    <cellStyle name="Normal 10 4 3 6 2 3 2" xfId="35670"/>
    <cellStyle name="Normal 10 4 3 6 2 4" xfId="29230"/>
    <cellStyle name="Normal 10 4 3 6 3" xfId="19523"/>
    <cellStyle name="Normal 10 4 3 6 3 2" xfId="42110"/>
    <cellStyle name="Normal 10 4 3 6 4" xfId="16303"/>
    <cellStyle name="Normal 10 4 3 6 4 2" xfId="38890"/>
    <cellStyle name="Normal 10 4 3 6 5" xfId="9863"/>
    <cellStyle name="Normal 10 4 3 6 5 2" xfId="32450"/>
    <cellStyle name="Normal 10 4 3 6 6" xfId="26010"/>
    <cellStyle name="Normal 10 4 3 7" xfId="774"/>
    <cellStyle name="Normal 10 4 3 7 2" xfId="4006"/>
    <cellStyle name="Normal 10 4 3 7 2 2" xfId="20106"/>
    <cellStyle name="Normal 10 4 3 7 2 2 2" xfId="42693"/>
    <cellStyle name="Normal 10 4 3 7 2 3" xfId="10446"/>
    <cellStyle name="Normal 10 4 3 7 2 3 2" xfId="33033"/>
    <cellStyle name="Normal 10 4 3 7 2 4" xfId="26593"/>
    <cellStyle name="Normal 10 4 3 7 3" xfId="16886"/>
    <cellStyle name="Normal 10 4 3 7 3 2" xfId="39473"/>
    <cellStyle name="Normal 10 4 3 7 4" xfId="13666"/>
    <cellStyle name="Normal 10 4 3 7 4 2" xfId="36253"/>
    <cellStyle name="Normal 10 4 3 7 5" xfId="7226"/>
    <cellStyle name="Normal 10 4 3 7 5 2" xfId="29813"/>
    <cellStyle name="Normal 10 4 3 7 6" xfId="23373"/>
    <cellStyle name="Normal 10 4 3 8" xfId="3713"/>
    <cellStyle name="Normal 10 4 3 8 2" xfId="19813"/>
    <cellStyle name="Normal 10 4 3 8 2 2" xfId="42400"/>
    <cellStyle name="Normal 10 4 3 8 3" xfId="10153"/>
    <cellStyle name="Normal 10 4 3 8 3 2" xfId="32740"/>
    <cellStyle name="Normal 10 4 3 8 4" xfId="26300"/>
    <cellStyle name="Normal 10 4 3 9" xfId="16593"/>
    <cellStyle name="Normal 10 4 3 9 2" xfId="39180"/>
    <cellStyle name="Normal 10 4 4" xfId="921"/>
    <cellStyle name="Normal 10 4 4 2" xfId="2240"/>
    <cellStyle name="Normal 10 4 4 2 2" xfId="5461"/>
    <cellStyle name="Normal 10 4 4 2 2 2" xfId="21561"/>
    <cellStyle name="Normal 10 4 4 2 2 2 2" xfId="44148"/>
    <cellStyle name="Normal 10 4 4 2 2 3" xfId="11901"/>
    <cellStyle name="Normal 10 4 4 2 2 3 2" xfId="34488"/>
    <cellStyle name="Normal 10 4 4 2 2 4" xfId="28048"/>
    <cellStyle name="Normal 10 4 4 2 3" xfId="18341"/>
    <cellStyle name="Normal 10 4 4 2 3 2" xfId="40928"/>
    <cellStyle name="Normal 10 4 4 2 4" xfId="15121"/>
    <cellStyle name="Normal 10 4 4 2 4 2" xfId="37708"/>
    <cellStyle name="Normal 10 4 4 2 5" xfId="8681"/>
    <cellStyle name="Normal 10 4 4 2 5 2" xfId="31268"/>
    <cellStyle name="Normal 10 4 4 2 6" xfId="24828"/>
    <cellStyle name="Normal 10 4 4 3" xfId="4153"/>
    <cellStyle name="Normal 10 4 4 3 2" xfId="20253"/>
    <cellStyle name="Normal 10 4 4 3 2 2" xfId="42840"/>
    <cellStyle name="Normal 10 4 4 3 3" xfId="10593"/>
    <cellStyle name="Normal 10 4 4 3 3 2" xfId="33180"/>
    <cellStyle name="Normal 10 4 4 3 4" xfId="26740"/>
    <cellStyle name="Normal 10 4 4 4" xfId="17033"/>
    <cellStyle name="Normal 10 4 4 4 2" xfId="39620"/>
    <cellStyle name="Normal 10 4 4 5" xfId="13813"/>
    <cellStyle name="Normal 10 4 4 5 2" xfId="36400"/>
    <cellStyle name="Normal 10 4 4 6" xfId="7373"/>
    <cellStyle name="Normal 10 4 4 6 2" xfId="29960"/>
    <cellStyle name="Normal 10 4 4 7" xfId="23520"/>
    <cellStyle name="Normal 10 4 5" xfId="1273"/>
    <cellStyle name="Normal 10 4 5 2" xfId="2587"/>
    <cellStyle name="Normal 10 4 5 2 2" xfId="5808"/>
    <cellStyle name="Normal 10 4 5 2 2 2" xfId="21908"/>
    <cellStyle name="Normal 10 4 5 2 2 2 2" xfId="44495"/>
    <cellStyle name="Normal 10 4 5 2 2 3" xfId="12248"/>
    <cellStyle name="Normal 10 4 5 2 2 3 2" xfId="34835"/>
    <cellStyle name="Normal 10 4 5 2 2 4" xfId="28395"/>
    <cellStyle name="Normal 10 4 5 2 3" xfId="18688"/>
    <cellStyle name="Normal 10 4 5 2 3 2" xfId="41275"/>
    <cellStyle name="Normal 10 4 5 2 4" xfId="15468"/>
    <cellStyle name="Normal 10 4 5 2 4 2" xfId="38055"/>
    <cellStyle name="Normal 10 4 5 2 5" xfId="9028"/>
    <cellStyle name="Normal 10 4 5 2 5 2" xfId="31615"/>
    <cellStyle name="Normal 10 4 5 2 6" xfId="25175"/>
    <cellStyle name="Normal 10 4 5 3" xfId="4500"/>
    <cellStyle name="Normal 10 4 5 3 2" xfId="20600"/>
    <cellStyle name="Normal 10 4 5 3 2 2" xfId="43187"/>
    <cellStyle name="Normal 10 4 5 3 3" xfId="10940"/>
    <cellStyle name="Normal 10 4 5 3 3 2" xfId="33527"/>
    <cellStyle name="Normal 10 4 5 3 4" xfId="27087"/>
    <cellStyle name="Normal 10 4 5 4" xfId="17380"/>
    <cellStyle name="Normal 10 4 5 4 2" xfId="39967"/>
    <cellStyle name="Normal 10 4 5 5" xfId="14160"/>
    <cellStyle name="Normal 10 4 5 5 2" xfId="36747"/>
    <cellStyle name="Normal 10 4 5 6" xfId="7720"/>
    <cellStyle name="Normal 10 4 5 6 2" xfId="30307"/>
    <cellStyle name="Normal 10 4 5 7" xfId="23867"/>
    <cellStyle name="Normal 10 4 6" xfId="1552"/>
    <cellStyle name="Normal 10 4 6 2" xfId="4778"/>
    <cellStyle name="Normal 10 4 6 2 2" xfId="20878"/>
    <cellStyle name="Normal 10 4 6 2 2 2" xfId="43465"/>
    <cellStyle name="Normal 10 4 6 2 3" xfId="11218"/>
    <cellStyle name="Normal 10 4 6 2 3 2" xfId="33805"/>
    <cellStyle name="Normal 10 4 6 2 4" xfId="27365"/>
    <cellStyle name="Normal 10 4 6 3" xfId="17658"/>
    <cellStyle name="Normal 10 4 6 3 2" xfId="40245"/>
    <cellStyle name="Normal 10 4 6 4" xfId="14438"/>
    <cellStyle name="Normal 10 4 6 4 2" xfId="37025"/>
    <cellStyle name="Normal 10 4 6 5" xfId="7998"/>
    <cellStyle name="Normal 10 4 6 5 2" xfId="30585"/>
    <cellStyle name="Normal 10 4 6 6" xfId="24145"/>
    <cellStyle name="Normal 10 4 7" xfId="1892"/>
    <cellStyle name="Normal 10 4 7 2" xfId="5114"/>
    <cellStyle name="Normal 10 4 7 2 2" xfId="21214"/>
    <cellStyle name="Normal 10 4 7 2 2 2" xfId="43801"/>
    <cellStyle name="Normal 10 4 7 2 3" xfId="11554"/>
    <cellStyle name="Normal 10 4 7 2 3 2" xfId="34141"/>
    <cellStyle name="Normal 10 4 7 2 4" xfId="27701"/>
    <cellStyle name="Normal 10 4 7 3" xfId="17994"/>
    <cellStyle name="Normal 10 4 7 3 2" xfId="40581"/>
    <cellStyle name="Normal 10 4 7 4" xfId="14774"/>
    <cellStyle name="Normal 10 4 7 4 2" xfId="37361"/>
    <cellStyle name="Normal 10 4 7 5" xfId="8334"/>
    <cellStyle name="Normal 10 4 7 5 2" xfId="30921"/>
    <cellStyle name="Normal 10 4 7 6" xfId="24481"/>
    <cellStyle name="Normal 10 4 8" xfId="2939"/>
    <cellStyle name="Normal 10 4 8 2" xfId="6160"/>
    <cellStyle name="Normal 10 4 8 2 2" xfId="22260"/>
    <cellStyle name="Normal 10 4 8 2 2 2" xfId="44847"/>
    <cellStyle name="Normal 10 4 8 2 3" xfId="12600"/>
    <cellStyle name="Normal 10 4 8 2 3 2" xfId="35187"/>
    <cellStyle name="Normal 10 4 8 2 4" xfId="28747"/>
    <cellStyle name="Normal 10 4 8 3" xfId="19040"/>
    <cellStyle name="Normal 10 4 8 3 2" xfId="41627"/>
    <cellStyle name="Normal 10 4 8 4" xfId="15820"/>
    <cellStyle name="Normal 10 4 8 4 2" xfId="38407"/>
    <cellStyle name="Normal 10 4 8 5" xfId="9380"/>
    <cellStyle name="Normal 10 4 8 5 2" xfId="31967"/>
    <cellStyle name="Normal 10 4 8 6" xfId="25527"/>
    <cellStyle name="Normal 10 4 9" xfId="3230"/>
    <cellStyle name="Normal 10 4 9 2" xfId="6450"/>
    <cellStyle name="Normal 10 4 9 2 2" xfId="22550"/>
    <cellStyle name="Normal 10 4 9 2 2 2" xfId="45137"/>
    <cellStyle name="Normal 10 4 9 2 3" xfId="12890"/>
    <cellStyle name="Normal 10 4 9 2 3 2" xfId="35477"/>
    <cellStyle name="Normal 10 4 9 2 4" xfId="29037"/>
    <cellStyle name="Normal 10 4 9 3" xfId="19330"/>
    <cellStyle name="Normal 10 4 9 3 2" xfId="41917"/>
    <cellStyle name="Normal 10 4 9 4" xfId="16110"/>
    <cellStyle name="Normal 10 4 9 4 2" xfId="38697"/>
    <cellStyle name="Normal 10 4 9 5" xfId="9670"/>
    <cellStyle name="Normal 10 4 9 5 2" xfId="32257"/>
    <cellStyle name="Normal 10 4 9 6" xfId="25817"/>
    <cellStyle name="Normal 10 5" xfId="265"/>
    <cellStyle name="Normal 10 5 10" xfId="16432"/>
    <cellStyle name="Normal 10 5 10 2" xfId="39019"/>
    <cellStyle name="Normal 10 5 11" xfId="13212"/>
    <cellStyle name="Normal 10 5 11 2" xfId="35799"/>
    <cellStyle name="Normal 10 5 12" xfId="6772"/>
    <cellStyle name="Normal 10 5 12 2" xfId="29359"/>
    <cellStyle name="Normal 10 5 13" xfId="22919"/>
    <cellStyle name="Normal 10 5 2" xfId="971"/>
    <cellStyle name="Normal 10 5 2 2" xfId="2289"/>
    <cellStyle name="Normal 10 5 2 2 2" xfId="5510"/>
    <cellStyle name="Normal 10 5 2 2 2 2" xfId="21610"/>
    <cellStyle name="Normal 10 5 2 2 2 2 2" xfId="44197"/>
    <cellStyle name="Normal 10 5 2 2 2 3" xfId="11950"/>
    <cellStyle name="Normal 10 5 2 2 2 3 2" xfId="34537"/>
    <cellStyle name="Normal 10 5 2 2 2 4" xfId="28097"/>
    <cellStyle name="Normal 10 5 2 2 3" xfId="18390"/>
    <cellStyle name="Normal 10 5 2 2 3 2" xfId="40977"/>
    <cellStyle name="Normal 10 5 2 2 4" xfId="15170"/>
    <cellStyle name="Normal 10 5 2 2 4 2" xfId="37757"/>
    <cellStyle name="Normal 10 5 2 2 5" xfId="8730"/>
    <cellStyle name="Normal 10 5 2 2 5 2" xfId="31317"/>
    <cellStyle name="Normal 10 5 2 2 6" xfId="24877"/>
    <cellStyle name="Normal 10 5 2 3" xfId="4202"/>
    <cellStyle name="Normal 10 5 2 3 2" xfId="20302"/>
    <cellStyle name="Normal 10 5 2 3 2 2" xfId="42889"/>
    <cellStyle name="Normal 10 5 2 3 3" xfId="10642"/>
    <cellStyle name="Normal 10 5 2 3 3 2" xfId="33229"/>
    <cellStyle name="Normal 10 5 2 3 4" xfId="26789"/>
    <cellStyle name="Normal 10 5 2 4" xfId="17082"/>
    <cellStyle name="Normal 10 5 2 4 2" xfId="39669"/>
    <cellStyle name="Normal 10 5 2 5" xfId="13862"/>
    <cellStyle name="Normal 10 5 2 5 2" xfId="36449"/>
    <cellStyle name="Normal 10 5 2 6" xfId="7422"/>
    <cellStyle name="Normal 10 5 2 6 2" xfId="30009"/>
    <cellStyle name="Normal 10 5 2 7" xfId="23569"/>
    <cellStyle name="Normal 10 5 3" xfId="1322"/>
    <cellStyle name="Normal 10 5 3 2" xfId="2636"/>
    <cellStyle name="Normal 10 5 3 2 2" xfId="5857"/>
    <cellStyle name="Normal 10 5 3 2 2 2" xfId="21957"/>
    <cellStyle name="Normal 10 5 3 2 2 2 2" xfId="44544"/>
    <cellStyle name="Normal 10 5 3 2 2 3" xfId="12297"/>
    <cellStyle name="Normal 10 5 3 2 2 3 2" xfId="34884"/>
    <cellStyle name="Normal 10 5 3 2 2 4" xfId="28444"/>
    <cellStyle name="Normal 10 5 3 2 3" xfId="18737"/>
    <cellStyle name="Normal 10 5 3 2 3 2" xfId="41324"/>
    <cellStyle name="Normal 10 5 3 2 4" xfId="15517"/>
    <cellStyle name="Normal 10 5 3 2 4 2" xfId="38104"/>
    <cellStyle name="Normal 10 5 3 2 5" xfId="9077"/>
    <cellStyle name="Normal 10 5 3 2 5 2" xfId="31664"/>
    <cellStyle name="Normal 10 5 3 2 6" xfId="25224"/>
    <cellStyle name="Normal 10 5 3 3" xfId="4549"/>
    <cellStyle name="Normal 10 5 3 3 2" xfId="20649"/>
    <cellStyle name="Normal 10 5 3 3 2 2" xfId="43236"/>
    <cellStyle name="Normal 10 5 3 3 3" xfId="10989"/>
    <cellStyle name="Normal 10 5 3 3 3 2" xfId="33576"/>
    <cellStyle name="Normal 10 5 3 3 4" xfId="27136"/>
    <cellStyle name="Normal 10 5 3 4" xfId="17429"/>
    <cellStyle name="Normal 10 5 3 4 2" xfId="40016"/>
    <cellStyle name="Normal 10 5 3 5" xfId="14209"/>
    <cellStyle name="Normal 10 5 3 5 2" xfId="36796"/>
    <cellStyle name="Normal 10 5 3 6" xfId="7769"/>
    <cellStyle name="Normal 10 5 3 6 2" xfId="30356"/>
    <cellStyle name="Normal 10 5 3 7" xfId="23916"/>
    <cellStyle name="Normal 10 5 4" xfId="1553"/>
    <cellStyle name="Normal 10 5 4 2" xfId="4779"/>
    <cellStyle name="Normal 10 5 4 2 2" xfId="20879"/>
    <cellStyle name="Normal 10 5 4 2 2 2" xfId="43466"/>
    <cellStyle name="Normal 10 5 4 2 3" xfId="11219"/>
    <cellStyle name="Normal 10 5 4 2 3 2" xfId="33806"/>
    <cellStyle name="Normal 10 5 4 2 4" xfId="27366"/>
    <cellStyle name="Normal 10 5 4 3" xfId="17659"/>
    <cellStyle name="Normal 10 5 4 3 2" xfId="40246"/>
    <cellStyle name="Normal 10 5 4 4" xfId="14439"/>
    <cellStyle name="Normal 10 5 4 4 2" xfId="37026"/>
    <cellStyle name="Normal 10 5 4 5" xfId="7999"/>
    <cellStyle name="Normal 10 5 4 5 2" xfId="30586"/>
    <cellStyle name="Normal 10 5 4 6" xfId="24146"/>
    <cellStyle name="Normal 10 5 5" xfId="1941"/>
    <cellStyle name="Normal 10 5 5 2" xfId="5163"/>
    <cellStyle name="Normal 10 5 5 2 2" xfId="21263"/>
    <cellStyle name="Normal 10 5 5 2 2 2" xfId="43850"/>
    <cellStyle name="Normal 10 5 5 2 3" xfId="11603"/>
    <cellStyle name="Normal 10 5 5 2 3 2" xfId="34190"/>
    <cellStyle name="Normal 10 5 5 2 4" xfId="27750"/>
    <cellStyle name="Normal 10 5 5 3" xfId="18043"/>
    <cellStyle name="Normal 10 5 5 3 2" xfId="40630"/>
    <cellStyle name="Normal 10 5 5 4" xfId="14823"/>
    <cellStyle name="Normal 10 5 5 4 2" xfId="37410"/>
    <cellStyle name="Normal 10 5 5 5" xfId="8383"/>
    <cellStyle name="Normal 10 5 5 5 2" xfId="30970"/>
    <cellStyle name="Normal 10 5 5 6" xfId="24530"/>
    <cellStyle name="Normal 10 5 6" xfId="2972"/>
    <cellStyle name="Normal 10 5 6 2" xfId="6192"/>
    <cellStyle name="Normal 10 5 6 2 2" xfId="22292"/>
    <cellStyle name="Normal 10 5 6 2 2 2" xfId="44879"/>
    <cellStyle name="Normal 10 5 6 2 3" xfId="12632"/>
    <cellStyle name="Normal 10 5 6 2 3 2" xfId="35219"/>
    <cellStyle name="Normal 10 5 6 2 4" xfId="28779"/>
    <cellStyle name="Normal 10 5 6 3" xfId="19072"/>
    <cellStyle name="Normal 10 5 6 3 2" xfId="41659"/>
    <cellStyle name="Normal 10 5 6 4" xfId="15852"/>
    <cellStyle name="Normal 10 5 6 4 2" xfId="38439"/>
    <cellStyle name="Normal 10 5 6 5" xfId="9412"/>
    <cellStyle name="Normal 10 5 6 5 2" xfId="31999"/>
    <cellStyle name="Normal 10 5 6 6" xfId="25559"/>
    <cellStyle name="Normal 10 5 7" xfId="3262"/>
    <cellStyle name="Normal 10 5 7 2" xfId="6482"/>
    <cellStyle name="Normal 10 5 7 2 2" xfId="22582"/>
    <cellStyle name="Normal 10 5 7 2 2 2" xfId="45169"/>
    <cellStyle name="Normal 10 5 7 2 3" xfId="12922"/>
    <cellStyle name="Normal 10 5 7 2 3 2" xfId="35509"/>
    <cellStyle name="Normal 10 5 7 2 4" xfId="29069"/>
    <cellStyle name="Normal 10 5 7 3" xfId="19362"/>
    <cellStyle name="Normal 10 5 7 3 2" xfId="41949"/>
    <cellStyle name="Normal 10 5 7 4" xfId="16142"/>
    <cellStyle name="Normal 10 5 7 4 2" xfId="38729"/>
    <cellStyle name="Normal 10 5 7 5" xfId="9702"/>
    <cellStyle name="Normal 10 5 7 5 2" xfId="32289"/>
    <cellStyle name="Normal 10 5 7 6" xfId="25849"/>
    <cellStyle name="Normal 10 5 8" xfId="586"/>
    <cellStyle name="Normal 10 5 8 2" xfId="3855"/>
    <cellStyle name="Normal 10 5 8 2 2" xfId="19955"/>
    <cellStyle name="Normal 10 5 8 2 2 2" xfId="42542"/>
    <cellStyle name="Normal 10 5 8 2 3" xfId="10295"/>
    <cellStyle name="Normal 10 5 8 2 3 2" xfId="32882"/>
    <cellStyle name="Normal 10 5 8 2 4" xfId="26442"/>
    <cellStyle name="Normal 10 5 8 3" xfId="16735"/>
    <cellStyle name="Normal 10 5 8 3 2" xfId="39322"/>
    <cellStyle name="Normal 10 5 8 4" xfId="13515"/>
    <cellStyle name="Normal 10 5 8 4 2" xfId="36102"/>
    <cellStyle name="Normal 10 5 8 5" xfId="7075"/>
    <cellStyle name="Normal 10 5 8 5 2" xfId="29662"/>
    <cellStyle name="Normal 10 5 8 6" xfId="23222"/>
    <cellStyle name="Normal 10 5 9" xfId="3552"/>
    <cellStyle name="Normal 10 5 9 2" xfId="19652"/>
    <cellStyle name="Normal 10 5 9 2 2" xfId="42239"/>
    <cellStyle name="Normal 10 5 9 3" xfId="9992"/>
    <cellStyle name="Normal 10 5 9 3 2" xfId="32579"/>
    <cellStyle name="Normal 10 5 9 4" xfId="26139"/>
    <cellStyle name="Normal 10 6" xfId="349"/>
    <cellStyle name="Normal 10 6 10" xfId="13296"/>
    <cellStyle name="Normal 10 6 10 2" xfId="35883"/>
    <cellStyle name="Normal 10 6 11" xfId="6856"/>
    <cellStyle name="Normal 10 6 11 2" xfId="29443"/>
    <cellStyle name="Normal 10 6 12" xfId="23003"/>
    <cellStyle name="Normal 10 6 2" xfId="1072"/>
    <cellStyle name="Normal 10 6 2 2" xfId="2386"/>
    <cellStyle name="Normal 10 6 2 2 2" xfId="5607"/>
    <cellStyle name="Normal 10 6 2 2 2 2" xfId="21707"/>
    <cellStyle name="Normal 10 6 2 2 2 2 2" xfId="44294"/>
    <cellStyle name="Normal 10 6 2 2 2 3" xfId="12047"/>
    <cellStyle name="Normal 10 6 2 2 2 3 2" xfId="34634"/>
    <cellStyle name="Normal 10 6 2 2 2 4" xfId="28194"/>
    <cellStyle name="Normal 10 6 2 2 3" xfId="18487"/>
    <cellStyle name="Normal 10 6 2 2 3 2" xfId="41074"/>
    <cellStyle name="Normal 10 6 2 2 4" xfId="15267"/>
    <cellStyle name="Normal 10 6 2 2 4 2" xfId="37854"/>
    <cellStyle name="Normal 10 6 2 2 5" xfId="8827"/>
    <cellStyle name="Normal 10 6 2 2 5 2" xfId="31414"/>
    <cellStyle name="Normal 10 6 2 2 6" xfId="24974"/>
    <cellStyle name="Normal 10 6 2 3" xfId="4299"/>
    <cellStyle name="Normal 10 6 2 3 2" xfId="20399"/>
    <cellStyle name="Normal 10 6 2 3 2 2" xfId="42986"/>
    <cellStyle name="Normal 10 6 2 3 3" xfId="10739"/>
    <cellStyle name="Normal 10 6 2 3 3 2" xfId="33326"/>
    <cellStyle name="Normal 10 6 2 3 4" xfId="26886"/>
    <cellStyle name="Normal 10 6 2 4" xfId="17179"/>
    <cellStyle name="Normal 10 6 2 4 2" xfId="39766"/>
    <cellStyle name="Normal 10 6 2 5" xfId="13959"/>
    <cellStyle name="Normal 10 6 2 5 2" xfId="36546"/>
    <cellStyle name="Normal 10 6 2 6" xfId="7519"/>
    <cellStyle name="Normal 10 6 2 6 2" xfId="30106"/>
    <cellStyle name="Normal 10 6 2 7" xfId="23666"/>
    <cellStyle name="Normal 10 6 3" xfId="1419"/>
    <cellStyle name="Normal 10 6 3 2" xfId="2733"/>
    <cellStyle name="Normal 10 6 3 2 2" xfId="5954"/>
    <cellStyle name="Normal 10 6 3 2 2 2" xfId="22054"/>
    <cellStyle name="Normal 10 6 3 2 2 2 2" xfId="44641"/>
    <cellStyle name="Normal 10 6 3 2 2 3" xfId="12394"/>
    <cellStyle name="Normal 10 6 3 2 2 3 2" xfId="34981"/>
    <cellStyle name="Normal 10 6 3 2 2 4" xfId="28541"/>
    <cellStyle name="Normal 10 6 3 2 3" xfId="18834"/>
    <cellStyle name="Normal 10 6 3 2 3 2" xfId="41421"/>
    <cellStyle name="Normal 10 6 3 2 4" xfId="15614"/>
    <cellStyle name="Normal 10 6 3 2 4 2" xfId="38201"/>
    <cellStyle name="Normal 10 6 3 2 5" xfId="9174"/>
    <cellStyle name="Normal 10 6 3 2 5 2" xfId="31761"/>
    <cellStyle name="Normal 10 6 3 2 6" xfId="25321"/>
    <cellStyle name="Normal 10 6 3 3" xfId="4646"/>
    <cellStyle name="Normal 10 6 3 3 2" xfId="20746"/>
    <cellStyle name="Normal 10 6 3 3 2 2" xfId="43333"/>
    <cellStyle name="Normal 10 6 3 3 3" xfId="11086"/>
    <cellStyle name="Normal 10 6 3 3 3 2" xfId="33673"/>
    <cellStyle name="Normal 10 6 3 3 4" xfId="27233"/>
    <cellStyle name="Normal 10 6 3 4" xfId="17526"/>
    <cellStyle name="Normal 10 6 3 4 2" xfId="40113"/>
    <cellStyle name="Normal 10 6 3 5" xfId="14306"/>
    <cellStyle name="Normal 10 6 3 5 2" xfId="36893"/>
    <cellStyle name="Normal 10 6 3 6" xfId="7866"/>
    <cellStyle name="Normal 10 6 3 6 2" xfId="30453"/>
    <cellStyle name="Normal 10 6 3 7" xfId="24013"/>
    <cellStyle name="Normal 10 6 4" xfId="2038"/>
    <cellStyle name="Normal 10 6 4 2" xfId="5260"/>
    <cellStyle name="Normal 10 6 4 2 2" xfId="21360"/>
    <cellStyle name="Normal 10 6 4 2 2 2" xfId="43947"/>
    <cellStyle name="Normal 10 6 4 2 3" xfId="11700"/>
    <cellStyle name="Normal 10 6 4 2 3 2" xfId="34287"/>
    <cellStyle name="Normal 10 6 4 2 4" xfId="27847"/>
    <cellStyle name="Normal 10 6 4 3" xfId="18140"/>
    <cellStyle name="Normal 10 6 4 3 2" xfId="40727"/>
    <cellStyle name="Normal 10 6 4 4" xfId="14920"/>
    <cellStyle name="Normal 10 6 4 4 2" xfId="37507"/>
    <cellStyle name="Normal 10 6 4 5" xfId="8480"/>
    <cellStyle name="Normal 10 6 4 5 2" xfId="31067"/>
    <cellStyle name="Normal 10 6 4 6" xfId="24627"/>
    <cellStyle name="Normal 10 6 5" xfId="3056"/>
    <cellStyle name="Normal 10 6 5 2" xfId="6276"/>
    <cellStyle name="Normal 10 6 5 2 2" xfId="22376"/>
    <cellStyle name="Normal 10 6 5 2 2 2" xfId="44963"/>
    <cellStyle name="Normal 10 6 5 2 3" xfId="12716"/>
    <cellStyle name="Normal 10 6 5 2 3 2" xfId="35303"/>
    <cellStyle name="Normal 10 6 5 2 4" xfId="28863"/>
    <cellStyle name="Normal 10 6 5 3" xfId="19156"/>
    <cellStyle name="Normal 10 6 5 3 2" xfId="41743"/>
    <cellStyle name="Normal 10 6 5 4" xfId="15936"/>
    <cellStyle name="Normal 10 6 5 4 2" xfId="38523"/>
    <cellStyle name="Normal 10 6 5 5" xfId="9496"/>
    <cellStyle name="Normal 10 6 5 5 2" xfId="32083"/>
    <cellStyle name="Normal 10 6 5 6" xfId="25643"/>
    <cellStyle name="Normal 10 6 6" xfId="3346"/>
    <cellStyle name="Normal 10 6 6 2" xfId="6566"/>
    <cellStyle name="Normal 10 6 6 2 2" xfId="22666"/>
    <cellStyle name="Normal 10 6 6 2 2 2" xfId="45253"/>
    <cellStyle name="Normal 10 6 6 2 3" xfId="13006"/>
    <cellStyle name="Normal 10 6 6 2 3 2" xfId="35593"/>
    <cellStyle name="Normal 10 6 6 2 4" xfId="29153"/>
    <cellStyle name="Normal 10 6 6 3" xfId="19446"/>
    <cellStyle name="Normal 10 6 6 3 2" xfId="42033"/>
    <cellStyle name="Normal 10 6 6 4" xfId="16226"/>
    <cellStyle name="Normal 10 6 6 4 2" xfId="38813"/>
    <cellStyle name="Normal 10 6 6 5" xfId="9786"/>
    <cellStyle name="Normal 10 6 6 5 2" xfId="32373"/>
    <cellStyle name="Normal 10 6 6 6" xfId="25933"/>
    <cellStyle name="Normal 10 6 7" xfId="709"/>
    <cellStyle name="Normal 10 6 7 2" xfId="3952"/>
    <cellStyle name="Normal 10 6 7 2 2" xfId="20052"/>
    <cellStyle name="Normal 10 6 7 2 2 2" xfId="42639"/>
    <cellStyle name="Normal 10 6 7 2 3" xfId="10392"/>
    <cellStyle name="Normal 10 6 7 2 3 2" xfId="32979"/>
    <cellStyle name="Normal 10 6 7 2 4" xfId="26539"/>
    <cellStyle name="Normal 10 6 7 3" xfId="16832"/>
    <cellStyle name="Normal 10 6 7 3 2" xfId="39419"/>
    <cellStyle name="Normal 10 6 7 4" xfId="13612"/>
    <cellStyle name="Normal 10 6 7 4 2" xfId="36199"/>
    <cellStyle name="Normal 10 6 7 5" xfId="7172"/>
    <cellStyle name="Normal 10 6 7 5 2" xfId="29759"/>
    <cellStyle name="Normal 10 6 7 6" xfId="23319"/>
    <cellStyle name="Normal 10 6 8" xfId="3636"/>
    <cellStyle name="Normal 10 6 8 2" xfId="19736"/>
    <cellStyle name="Normal 10 6 8 2 2" xfId="42323"/>
    <cellStyle name="Normal 10 6 8 3" xfId="10076"/>
    <cellStyle name="Normal 10 6 8 3 2" xfId="32663"/>
    <cellStyle name="Normal 10 6 8 4" xfId="26223"/>
    <cellStyle name="Normal 10 6 9" xfId="16516"/>
    <cellStyle name="Normal 10 6 9 2" xfId="39103"/>
    <cellStyle name="Normal 10 7" xfId="754"/>
    <cellStyle name="Normal 10 7 2" xfId="1106"/>
    <cellStyle name="Normal 10 7 2 2" xfId="2420"/>
    <cellStyle name="Normal 10 7 2 2 2" xfId="5641"/>
    <cellStyle name="Normal 10 7 2 2 2 2" xfId="21741"/>
    <cellStyle name="Normal 10 7 2 2 2 2 2" xfId="44328"/>
    <cellStyle name="Normal 10 7 2 2 2 3" xfId="12081"/>
    <cellStyle name="Normal 10 7 2 2 2 3 2" xfId="34668"/>
    <cellStyle name="Normal 10 7 2 2 2 4" xfId="28228"/>
    <cellStyle name="Normal 10 7 2 2 3" xfId="18521"/>
    <cellStyle name="Normal 10 7 2 2 3 2" xfId="41108"/>
    <cellStyle name="Normal 10 7 2 2 4" xfId="15301"/>
    <cellStyle name="Normal 10 7 2 2 4 2" xfId="37888"/>
    <cellStyle name="Normal 10 7 2 2 5" xfId="8861"/>
    <cellStyle name="Normal 10 7 2 2 5 2" xfId="31448"/>
    <cellStyle name="Normal 10 7 2 2 6" xfId="25008"/>
    <cellStyle name="Normal 10 7 2 3" xfId="4333"/>
    <cellStyle name="Normal 10 7 2 3 2" xfId="20433"/>
    <cellStyle name="Normal 10 7 2 3 2 2" xfId="43020"/>
    <cellStyle name="Normal 10 7 2 3 3" xfId="10773"/>
    <cellStyle name="Normal 10 7 2 3 3 2" xfId="33360"/>
    <cellStyle name="Normal 10 7 2 3 4" xfId="26920"/>
    <cellStyle name="Normal 10 7 2 4" xfId="17213"/>
    <cellStyle name="Normal 10 7 2 4 2" xfId="39800"/>
    <cellStyle name="Normal 10 7 2 5" xfId="13993"/>
    <cellStyle name="Normal 10 7 2 5 2" xfId="36580"/>
    <cellStyle name="Normal 10 7 2 6" xfId="7553"/>
    <cellStyle name="Normal 10 7 2 6 2" xfId="30140"/>
    <cellStyle name="Normal 10 7 2 7" xfId="23700"/>
    <cellStyle name="Normal 10 7 3" xfId="1453"/>
    <cellStyle name="Normal 10 7 3 2" xfId="2767"/>
    <cellStyle name="Normal 10 7 3 2 2" xfId="5988"/>
    <cellStyle name="Normal 10 7 3 2 2 2" xfId="22088"/>
    <cellStyle name="Normal 10 7 3 2 2 2 2" xfId="44675"/>
    <cellStyle name="Normal 10 7 3 2 2 3" xfId="12428"/>
    <cellStyle name="Normal 10 7 3 2 2 3 2" xfId="35015"/>
    <cellStyle name="Normal 10 7 3 2 2 4" xfId="28575"/>
    <cellStyle name="Normal 10 7 3 2 3" xfId="18868"/>
    <cellStyle name="Normal 10 7 3 2 3 2" xfId="41455"/>
    <cellStyle name="Normal 10 7 3 2 4" xfId="15648"/>
    <cellStyle name="Normal 10 7 3 2 4 2" xfId="38235"/>
    <cellStyle name="Normal 10 7 3 2 5" xfId="9208"/>
    <cellStyle name="Normal 10 7 3 2 5 2" xfId="31795"/>
    <cellStyle name="Normal 10 7 3 2 6" xfId="25355"/>
    <cellStyle name="Normal 10 7 3 3" xfId="4680"/>
    <cellStyle name="Normal 10 7 3 3 2" xfId="20780"/>
    <cellStyle name="Normal 10 7 3 3 2 2" xfId="43367"/>
    <cellStyle name="Normal 10 7 3 3 3" xfId="11120"/>
    <cellStyle name="Normal 10 7 3 3 3 2" xfId="33707"/>
    <cellStyle name="Normal 10 7 3 3 4" xfId="27267"/>
    <cellStyle name="Normal 10 7 3 4" xfId="17560"/>
    <cellStyle name="Normal 10 7 3 4 2" xfId="40147"/>
    <cellStyle name="Normal 10 7 3 5" xfId="14340"/>
    <cellStyle name="Normal 10 7 3 5 2" xfId="36927"/>
    <cellStyle name="Normal 10 7 3 6" xfId="7900"/>
    <cellStyle name="Normal 10 7 3 6 2" xfId="30487"/>
    <cellStyle name="Normal 10 7 3 7" xfId="24047"/>
    <cellStyle name="Normal 10 7 4" xfId="2073"/>
    <cellStyle name="Normal 10 7 4 2" xfId="5294"/>
    <cellStyle name="Normal 10 7 4 2 2" xfId="21394"/>
    <cellStyle name="Normal 10 7 4 2 2 2" xfId="43981"/>
    <cellStyle name="Normal 10 7 4 2 3" xfId="11734"/>
    <cellStyle name="Normal 10 7 4 2 3 2" xfId="34321"/>
    <cellStyle name="Normal 10 7 4 2 4" xfId="27881"/>
    <cellStyle name="Normal 10 7 4 3" xfId="18174"/>
    <cellStyle name="Normal 10 7 4 3 2" xfId="40761"/>
    <cellStyle name="Normal 10 7 4 4" xfId="14954"/>
    <cellStyle name="Normal 10 7 4 4 2" xfId="37541"/>
    <cellStyle name="Normal 10 7 4 5" xfId="8514"/>
    <cellStyle name="Normal 10 7 4 5 2" xfId="31101"/>
    <cellStyle name="Normal 10 7 4 6" xfId="24661"/>
    <cellStyle name="Normal 10 7 5" xfId="3986"/>
    <cellStyle name="Normal 10 7 5 2" xfId="20086"/>
    <cellStyle name="Normal 10 7 5 2 2" xfId="42673"/>
    <cellStyle name="Normal 10 7 5 3" xfId="10426"/>
    <cellStyle name="Normal 10 7 5 3 2" xfId="33013"/>
    <cellStyle name="Normal 10 7 5 4" xfId="26573"/>
    <cellStyle name="Normal 10 7 6" xfId="16866"/>
    <cellStyle name="Normal 10 7 6 2" xfId="39453"/>
    <cellStyle name="Normal 10 7 7" xfId="13646"/>
    <cellStyle name="Normal 10 7 7 2" xfId="36233"/>
    <cellStyle name="Normal 10 7 8" xfId="7206"/>
    <cellStyle name="Normal 10 7 8 2" xfId="29793"/>
    <cellStyle name="Normal 10 7 9" xfId="23353"/>
    <cellStyle name="Normal 10 8" xfId="848"/>
    <cellStyle name="Normal 10 8 2" xfId="2167"/>
    <cellStyle name="Normal 10 8 2 2" xfId="5388"/>
    <cellStyle name="Normal 10 8 2 2 2" xfId="21488"/>
    <cellStyle name="Normal 10 8 2 2 2 2" xfId="44075"/>
    <cellStyle name="Normal 10 8 2 2 3" xfId="11828"/>
    <cellStyle name="Normal 10 8 2 2 3 2" xfId="34415"/>
    <cellStyle name="Normal 10 8 2 2 4" xfId="27975"/>
    <cellStyle name="Normal 10 8 2 3" xfId="18268"/>
    <cellStyle name="Normal 10 8 2 3 2" xfId="40855"/>
    <cellStyle name="Normal 10 8 2 4" xfId="15048"/>
    <cellStyle name="Normal 10 8 2 4 2" xfId="37635"/>
    <cellStyle name="Normal 10 8 2 5" xfId="8608"/>
    <cellStyle name="Normal 10 8 2 5 2" xfId="31195"/>
    <cellStyle name="Normal 10 8 2 6" xfId="24755"/>
    <cellStyle name="Normal 10 8 3" xfId="4080"/>
    <cellStyle name="Normal 10 8 3 2" xfId="20180"/>
    <cellStyle name="Normal 10 8 3 2 2" xfId="42767"/>
    <cellStyle name="Normal 10 8 3 3" xfId="10520"/>
    <cellStyle name="Normal 10 8 3 3 2" xfId="33107"/>
    <cellStyle name="Normal 10 8 3 4" xfId="26667"/>
    <cellStyle name="Normal 10 8 4" xfId="16960"/>
    <cellStyle name="Normal 10 8 4 2" xfId="39547"/>
    <cellStyle name="Normal 10 8 5" xfId="13740"/>
    <cellStyle name="Normal 10 8 5 2" xfId="36327"/>
    <cellStyle name="Normal 10 8 6" xfId="7300"/>
    <cellStyle name="Normal 10 8 6 2" xfId="29887"/>
    <cellStyle name="Normal 10 8 7" xfId="23447"/>
    <cellStyle name="Normal 10 9" xfId="1200"/>
    <cellStyle name="Normal 10 9 2" xfId="2514"/>
    <cellStyle name="Normal 10 9 2 2" xfId="5735"/>
    <cellStyle name="Normal 10 9 2 2 2" xfId="21835"/>
    <cellStyle name="Normal 10 9 2 2 2 2" xfId="44422"/>
    <cellStyle name="Normal 10 9 2 2 3" xfId="12175"/>
    <cellStyle name="Normal 10 9 2 2 3 2" xfId="34762"/>
    <cellStyle name="Normal 10 9 2 2 4" xfId="28322"/>
    <cellStyle name="Normal 10 9 2 3" xfId="18615"/>
    <cellStyle name="Normal 10 9 2 3 2" xfId="41202"/>
    <cellStyle name="Normal 10 9 2 4" xfId="15395"/>
    <cellStyle name="Normal 10 9 2 4 2" xfId="37982"/>
    <cellStyle name="Normal 10 9 2 5" xfId="8955"/>
    <cellStyle name="Normal 10 9 2 5 2" xfId="31542"/>
    <cellStyle name="Normal 10 9 2 6" xfId="25102"/>
    <cellStyle name="Normal 10 9 3" xfId="4427"/>
    <cellStyle name="Normal 10 9 3 2" xfId="20527"/>
    <cellStyle name="Normal 10 9 3 2 2" xfId="43114"/>
    <cellStyle name="Normal 10 9 3 3" xfId="10867"/>
    <cellStyle name="Normal 10 9 3 3 2" xfId="33454"/>
    <cellStyle name="Normal 10 9 3 4" xfId="27014"/>
    <cellStyle name="Normal 10 9 4" xfId="17307"/>
    <cellStyle name="Normal 10 9 4 2" xfId="39894"/>
    <cellStyle name="Normal 10 9 5" xfId="14087"/>
    <cellStyle name="Normal 10 9 5 2" xfId="36674"/>
    <cellStyle name="Normal 10 9 6" xfId="7647"/>
    <cellStyle name="Normal 10 9 6 2" xfId="30234"/>
    <cellStyle name="Normal 10 9 7" xfId="23794"/>
    <cellStyle name="Normal 11" xfId="108"/>
    <cellStyle name="Normal 11 2" xfId="126"/>
    <cellStyle name="Normal 12" xfId="110"/>
    <cellStyle name="Normal 12 10" xfId="1554"/>
    <cellStyle name="Normal 12 10 2" xfId="4780"/>
    <cellStyle name="Normal 12 10 2 2" xfId="20880"/>
    <cellStyle name="Normal 12 10 2 2 2" xfId="43467"/>
    <cellStyle name="Normal 12 10 2 3" xfId="11220"/>
    <cellStyle name="Normal 12 10 2 3 2" xfId="33807"/>
    <cellStyle name="Normal 12 10 2 4" xfId="27367"/>
    <cellStyle name="Normal 12 10 3" xfId="17660"/>
    <cellStyle name="Normal 12 10 3 2" xfId="40247"/>
    <cellStyle name="Normal 12 10 4" xfId="14440"/>
    <cellStyle name="Normal 12 10 4 2" xfId="37027"/>
    <cellStyle name="Normal 12 10 5" xfId="8000"/>
    <cellStyle name="Normal 12 10 5 2" xfId="30587"/>
    <cellStyle name="Normal 12 10 6" xfId="24147"/>
    <cellStyle name="Normal 12 11" xfId="1823"/>
    <cellStyle name="Normal 12 11 2" xfId="5045"/>
    <cellStyle name="Normal 12 11 2 2" xfId="21145"/>
    <cellStyle name="Normal 12 11 2 2 2" xfId="43732"/>
    <cellStyle name="Normal 12 11 2 3" xfId="11485"/>
    <cellStyle name="Normal 12 11 2 3 2" xfId="34072"/>
    <cellStyle name="Normal 12 11 2 4" xfId="27632"/>
    <cellStyle name="Normal 12 11 3" xfId="17925"/>
    <cellStyle name="Normal 12 11 3 2" xfId="40512"/>
    <cellStyle name="Normal 12 11 4" xfId="14705"/>
    <cellStyle name="Normal 12 11 4 2" xfId="37292"/>
    <cellStyle name="Normal 12 11 5" xfId="8265"/>
    <cellStyle name="Normal 12 11 5 2" xfId="30852"/>
    <cellStyle name="Normal 12 11 6" xfId="24412"/>
    <cellStyle name="Normal 12 12" xfId="2866"/>
    <cellStyle name="Normal 12 12 2" xfId="6087"/>
    <cellStyle name="Normal 12 12 2 2" xfId="22187"/>
    <cellStyle name="Normal 12 12 2 2 2" xfId="44774"/>
    <cellStyle name="Normal 12 12 2 3" xfId="12527"/>
    <cellStyle name="Normal 12 12 2 3 2" xfId="35114"/>
    <cellStyle name="Normal 12 12 2 4" xfId="28674"/>
    <cellStyle name="Normal 12 12 3" xfId="18967"/>
    <cellStyle name="Normal 12 12 3 2" xfId="41554"/>
    <cellStyle name="Normal 12 12 4" xfId="15747"/>
    <cellStyle name="Normal 12 12 4 2" xfId="38334"/>
    <cellStyle name="Normal 12 12 5" xfId="9307"/>
    <cellStyle name="Normal 12 12 5 2" xfId="31894"/>
    <cellStyle name="Normal 12 12 6" xfId="25454"/>
    <cellStyle name="Normal 12 13" xfId="3157"/>
    <cellStyle name="Normal 12 13 2" xfId="6377"/>
    <cellStyle name="Normal 12 13 2 2" xfId="22477"/>
    <cellStyle name="Normal 12 13 2 2 2" xfId="45064"/>
    <cellStyle name="Normal 12 13 2 3" xfId="12817"/>
    <cellStyle name="Normal 12 13 2 3 2" xfId="35404"/>
    <cellStyle name="Normal 12 13 2 4" xfId="28964"/>
    <cellStyle name="Normal 12 13 3" xfId="19257"/>
    <cellStyle name="Normal 12 13 3 2" xfId="41844"/>
    <cellStyle name="Normal 12 13 4" xfId="16037"/>
    <cellStyle name="Normal 12 13 4 2" xfId="38624"/>
    <cellStyle name="Normal 12 13 5" xfId="9597"/>
    <cellStyle name="Normal 12 13 5 2" xfId="32184"/>
    <cellStyle name="Normal 12 13 6" xfId="25744"/>
    <cellStyle name="Normal 12 14" xfId="450"/>
    <cellStyle name="Normal 12 14 2" xfId="3737"/>
    <cellStyle name="Normal 12 14 2 2" xfId="19837"/>
    <cellStyle name="Normal 12 14 2 2 2" xfId="42424"/>
    <cellStyle name="Normal 12 14 2 3" xfId="10177"/>
    <cellStyle name="Normal 12 14 2 3 2" xfId="32764"/>
    <cellStyle name="Normal 12 14 2 4" xfId="26324"/>
    <cellStyle name="Normal 12 14 3" xfId="16617"/>
    <cellStyle name="Normal 12 14 3 2" xfId="39204"/>
    <cellStyle name="Normal 12 14 4" xfId="13397"/>
    <cellStyle name="Normal 12 14 4 2" xfId="35984"/>
    <cellStyle name="Normal 12 14 5" xfId="6957"/>
    <cellStyle name="Normal 12 14 5 2" xfId="29544"/>
    <cellStyle name="Normal 12 14 6" xfId="23104"/>
    <cellStyle name="Normal 12 15" xfId="3447"/>
    <cellStyle name="Normal 12 15 2" xfId="19547"/>
    <cellStyle name="Normal 12 15 2 2" xfId="42134"/>
    <cellStyle name="Normal 12 15 3" xfId="9887"/>
    <cellStyle name="Normal 12 15 3 2" xfId="32474"/>
    <cellStyle name="Normal 12 15 4" xfId="26034"/>
    <cellStyle name="Normal 12 16" xfId="16327"/>
    <cellStyle name="Normal 12 16 2" xfId="38914"/>
    <cellStyle name="Normal 12 17" xfId="13107"/>
    <cellStyle name="Normal 12 17 2" xfId="35694"/>
    <cellStyle name="Normal 12 18" xfId="6667"/>
    <cellStyle name="Normal 12 18 2" xfId="29254"/>
    <cellStyle name="Normal 12 19" xfId="22814"/>
    <cellStyle name="Normal 12 2" xfId="127"/>
    <cellStyle name="Normal 12 2 10" xfId="2882"/>
    <cellStyle name="Normal 12 2 10 2" xfId="6103"/>
    <cellStyle name="Normal 12 2 10 2 2" xfId="22203"/>
    <cellStyle name="Normal 12 2 10 2 2 2" xfId="44790"/>
    <cellStyle name="Normal 12 2 10 2 3" xfId="12543"/>
    <cellStyle name="Normal 12 2 10 2 3 2" xfId="35130"/>
    <cellStyle name="Normal 12 2 10 2 4" xfId="28690"/>
    <cellStyle name="Normal 12 2 10 3" xfId="18983"/>
    <cellStyle name="Normal 12 2 10 3 2" xfId="41570"/>
    <cellStyle name="Normal 12 2 10 4" xfId="15763"/>
    <cellStyle name="Normal 12 2 10 4 2" xfId="38350"/>
    <cellStyle name="Normal 12 2 10 5" xfId="9323"/>
    <cellStyle name="Normal 12 2 10 5 2" xfId="31910"/>
    <cellStyle name="Normal 12 2 10 6" xfId="25470"/>
    <cellStyle name="Normal 12 2 11" xfId="3173"/>
    <cellStyle name="Normal 12 2 11 2" xfId="6393"/>
    <cellStyle name="Normal 12 2 11 2 2" xfId="22493"/>
    <cellStyle name="Normal 12 2 11 2 2 2" xfId="45080"/>
    <cellStyle name="Normal 12 2 11 2 3" xfId="12833"/>
    <cellStyle name="Normal 12 2 11 2 3 2" xfId="35420"/>
    <cellStyle name="Normal 12 2 11 2 4" xfId="28980"/>
    <cellStyle name="Normal 12 2 11 3" xfId="19273"/>
    <cellStyle name="Normal 12 2 11 3 2" xfId="41860"/>
    <cellStyle name="Normal 12 2 11 4" xfId="16053"/>
    <cellStyle name="Normal 12 2 11 4 2" xfId="38640"/>
    <cellStyle name="Normal 12 2 11 5" xfId="9613"/>
    <cellStyle name="Normal 12 2 11 5 2" xfId="32200"/>
    <cellStyle name="Normal 12 2 11 6" xfId="25760"/>
    <cellStyle name="Normal 12 2 12" xfId="466"/>
    <cellStyle name="Normal 12 2 12 2" xfId="3753"/>
    <cellStyle name="Normal 12 2 12 2 2" xfId="19853"/>
    <cellStyle name="Normal 12 2 12 2 2 2" xfId="42440"/>
    <cellStyle name="Normal 12 2 12 2 3" xfId="10193"/>
    <cellStyle name="Normal 12 2 12 2 3 2" xfId="32780"/>
    <cellStyle name="Normal 12 2 12 2 4" xfId="26340"/>
    <cellStyle name="Normal 12 2 12 3" xfId="16633"/>
    <cellStyle name="Normal 12 2 12 3 2" xfId="39220"/>
    <cellStyle name="Normal 12 2 12 4" xfId="13413"/>
    <cellStyle name="Normal 12 2 12 4 2" xfId="36000"/>
    <cellStyle name="Normal 12 2 12 5" xfId="6973"/>
    <cellStyle name="Normal 12 2 12 5 2" xfId="29560"/>
    <cellStyle name="Normal 12 2 12 6" xfId="23120"/>
    <cellStyle name="Normal 12 2 13" xfId="3463"/>
    <cellStyle name="Normal 12 2 13 2" xfId="19563"/>
    <cellStyle name="Normal 12 2 13 2 2" xfId="42150"/>
    <cellStyle name="Normal 12 2 13 3" xfId="9903"/>
    <cellStyle name="Normal 12 2 13 3 2" xfId="32490"/>
    <cellStyle name="Normal 12 2 13 4" xfId="26050"/>
    <cellStyle name="Normal 12 2 14" xfId="16343"/>
    <cellStyle name="Normal 12 2 14 2" xfId="38930"/>
    <cellStyle name="Normal 12 2 15" xfId="13123"/>
    <cellStyle name="Normal 12 2 15 2" xfId="35710"/>
    <cellStyle name="Normal 12 2 16" xfId="6683"/>
    <cellStyle name="Normal 12 2 16 2" xfId="29270"/>
    <cellStyle name="Normal 12 2 17" xfId="22830"/>
    <cellStyle name="Normal 12 2 2" xfId="211"/>
    <cellStyle name="Normal 12 2 2 10" xfId="503"/>
    <cellStyle name="Normal 12 2 2 10 2" xfId="3790"/>
    <cellStyle name="Normal 12 2 2 10 2 2" xfId="19890"/>
    <cellStyle name="Normal 12 2 2 10 2 2 2" xfId="42477"/>
    <cellStyle name="Normal 12 2 2 10 2 3" xfId="10230"/>
    <cellStyle name="Normal 12 2 2 10 2 3 2" xfId="32817"/>
    <cellStyle name="Normal 12 2 2 10 2 4" xfId="26377"/>
    <cellStyle name="Normal 12 2 2 10 3" xfId="16670"/>
    <cellStyle name="Normal 12 2 2 10 3 2" xfId="39257"/>
    <cellStyle name="Normal 12 2 2 10 4" xfId="13450"/>
    <cellStyle name="Normal 12 2 2 10 4 2" xfId="36037"/>
    <cellStyle name="Normal 12 2 2 10 5" xfId="7010"/>
    <cellStyle name="Normal 12 2 2 10 5 2" xfId="29597"/>
    <cellStyle name="Normal 12 2 2 10 6" xfId="23157"/>
    <cellStyle name="Normal 12 2 2 11" xfId="3500"/>
    <cellStyle name="Normal 12 2 2 11 2" xfId="19600"/>
    <cellStyle name="Normal 12 2 2 11 2 2" xfId="42187"/>
    <cellStyle name="Normal 12 2 2 11 3" xfId="9940"/>
    <cellStyle name="Normal 12 2 2 11 3 2" xfId="32527"/>
    <cellStyle name="Normal 12 2 2 11 4" xfId="26087"/>
    <cellStyle name="Normal 12 2 2 12" xfId="16380"/>
    <cellStyle name="Normal 12 2 2 12 2" xfId="38967"/>
    <cellStyle name="Normal 12 2 2 13" xfId="13160"/>
    <cellStyle name="Normal 12 2 2 13 2" xfId="35747"/>
    <cellStyle name="Normal 12 2 2 14" xfId="6720"/>
    <cellStyle name="Normal 12 2 2 14 2" xfId="29307"/>
    <cellStyle name="Normal 12 2 2 15" xfId="22867"/>
    <cellStyle name="Normal 12 2 2 2" xfId="310"/>
    <cellStyle name="Normal 12 2 2 2 10" xfId="13257"/>
    <cellStyle name="Normal 12 2 2 2 10 2" xfId="35844"/>
    <cellStyle name="Normal 12 2 2 2 11" xfId="6817"/>
    <cellStyle name="Normal 12 2 2 2 11 2" xfId="29404"/>
    <cellStyle name="Normal 12 2 2 2 12" xfId="22964"/>
    <cellStyle name="Normal 12 2 2 2 2" xfId="1029"/>
    <cellStyle name="Normal 12 2 2 2 2 2" xfId="2343"/>
    <cellStyle name="Normal 12 2 2 2 2 2 2" xfId="5564"/>
    <cellStyle name="Normal 12 2 2 2 2 2 2 2" xfId="21664"/>
    <cellStyle name="Normal 12 2 2 2 2 2 2 2 2" xfId="44251"/>
    <cellStyle name="Normal 12 2 2 2 2 2 2 3" xfId="12004"/>
    <cellStyle name="Normal 12 2 2 2 2 2 2 3 2" xfId="34591"/>
    <cellStyle name="Normal 12 2 2 2 2 2 2 4" xfId="28151"/>
    <cellStyle name="Normal 12 2 2 2 2 2 3" xfId="18444"/>
    <cellStyle name="Normal 12 2 2 2 2 2 3 2" xfId="41031"/>
    <cellStyle name="Normal 12 2 2 2 2 2 4" xfId="15224"/>
    <cellStyle name="Normal 12 2 2 2 2 2 4 2" xfId="37811"/>
    <cellStyle name="Normal 12 2 2 2 2 2 5" xfId="8784"/>
    <cellStyle name="Normal 12 2 2 2 2 2 5 2" xfId="31371"/>
    <cellStyle name="Normal 12 2 2 2 2 2 6" xfId="24931"/>
    <cellStyle name="Normal 12 2 2 2 2 3" xfId="4256"/>
    <cellStyle name="Normal 12 2 2 2 2 3 2" xfId="20356"/>
    <cellStyle name="Normal 12 2 2 2 2 3 2 2" xfId="42943"/>
    <cellStyle name="Normal 12 2 2 2 2 3 3" xfId="10696"/>
    <cellStyle name="Normal 12 2 2 2 2 3 3 2" xfId="33283"/>
    <cellStyle name="Normal 12 2 2 2 2 3 4" xfId="26843"/>
    <cellStyle name="Normal 12 2 2 2 2 4" xfId="17136"/>
    <cellStyle name="Normal 12 2 2 2 2 4 2" xfId="39723"/>
    <cellStyle name="Normal 12 2 2 2 2 5" xfId="13916"/>
    <cellStyle name="Normal 12 2 2 2 2 5 2" xfId="36503"/>
    <cellStyle name="Normal 12 2 2 2 2 6" xfId="7476"/>
    <cellStyle name="Normal 12 2 2 2 2 6 2" xfId="30063"/>
    <cellStyle name="Normal 12 2 2 2 2 7" xfId="23623"/>
    <cellStyle name="Normal 12 2 2 2 3" xfId="1376"/>
    <cellStyle name="Normal 12 2 2 2 3 2" xfId="2690"/>
    <cellStyle name="Normal 12 2 2 2 3 2 2" xfId="5911"/>
    <cellStyle name="Normal 12 2 2 2 3 2 2 2" xfId="22011"/>
    <cellStyle name="Normal 12 2 2 2 3 2 2 2 2" xfId="44598"/>
    <cellStyle name="Normal 12 2 2 2 3 2 2 3" xfId="12351"/>
    <cellStyle name="Normal 12 2 2 2 3 2 2 3 2" xfId="34938"/>
    <cellStyle name="Normal 12 2 2 2 3 2 2 4" xfId="28498"/>
    <cellStyle name="Normal 12 2 2 2 3 2 3" xfId="18791"/>
    <cellStyle name="Normal 12 2 2 2 3 2 3 2" xfId="41378"/>
    <cellStyle name="Normal 12 2 2 2 3 2 4" xfId="15571"/>
    <cellStyle name="Normal 12 2 2 2 3 2 4 2" xfId="38158"/>
    <cellStyle name="Normal 12 2 2 2 3 2 5" xfId="9131"/>
    <cellStyle name="Normal 12 2 2 2 3 2 5 2" xfId="31718"/>
    <cellStyle name="Normal 12 2 2 2 3 2 6" xfId="25278"/>
    <cellStyle name="Normal 12 2 2 2 3 3" xfId="4603"/>
    <cellStyle name="Normal 12 2 2 2 3 3 2" xfId="20703"/>
    <cellStyle name="Normal 12 2 2 2 3 3 2 2" xfId="43290"/>
    <cellStyle name="Normal 12 2 2 2 3 3 3" xfId="11043"/>
    <cellStyle name="Normal 12 2 2 2 3 3 3 2" xfId="33630"/>
    <cellStyle name="Normal 12 2 2 2 3 3 4" xfId="27190"/>
    <cellStyle name="Normal 12 2 2 2 3 4" xfId="17483"/>
    <cellStyle name="Normal 12 2 2 2 3 4 2" xfId="40070"/>
    <cellStyle name="Normal 12 2 2 2 3 5" xfId="14263"/>
    <cellStyle name="Normal 12 2 2 2 3 5 2" xfId="36850"/>
    <cellStyle name="Normal 12 2 2 2 3 6" xfId="7823"/>
    <cellStyle name="Normal 12 2 2 2 3 6 2" xfId="30410"/>
    <cellStyle name="Normal 12 2 2 2 3 7" xfId="23970"/>
    <cellStyle name="Normal 12 2 2 2 4" xfId="1995"/>
    <cellStyle name="Normal 12 2 2 2 4 2" xfId="5217"/>
    <cellStyle name="Normal 12 2 2 2 4 2 2" xfId="21317"/>
    <cellStyle name="Normal 12 2 2 2 4 2 2 2" xfId="43904"/>
    <cellStyle name="Normal 12 2 2 2 4 2 3" xfId="11657"/>
    <cellStyle name="Normal 12 2 2 2 4 2 3 2" xfId="34244"/>
    <cellStyle name="Normal 12 2 2 2 4 2 4" xfId="27804"/>
    <cellStyle name="Normal 12 2 2 2 4 3" xfId="18097"/>
    <cellStyle name="Normal 12 2 2 2 4 3 2" xfId="40684"/>
    <cellStyle name="Normal 12 2 2 2 4 4" xfId="14877"/>
    <cellStyle name="Normal 12 2 2 2 4 4 2" xfId="37464"/>
    <cellStyle name="Normal 12 2 2 2 4 5" xfId="8437"/>
    <cellStyle name="Normal 12 2 2 2 4 5 2" xfId="31024"/>
    <cellStyle name="Normal 12 2 2 2 4 6" xfId="24584"/>
    <cellStyle name="Normal 12 2 2 2 5" xfId="3017"/>
    <cellStyle name="Normal 12 2 2 2 5 2" xfId="6237"/>
    <cellStyle name="Normal 12 2 2 2 5 2 2" xfId="22337"/>
    <cellStyle name="Normal 12 2 2 2 5 2 2 2" xfId="44924"/>
    <cellStyle name="Normal 12 2 2 2 5 2 3" xfId="12677"/>
    <cellStyle name="Normal 12 2 2 2 5 2 3 2" xfId="35264"/>
    <cellStyle name="Normal 12 2 2 2 5 2 4" xfId="28824"/>
    <cellStyle name="Normal 12 2 2 2 5 3" xfId="19117"/>
    <cellStyle name="Normal 12 2 2 2 5 3 2" xfId="41704"/>
    <cellStyle name="Normal 12 2 2 2 5 4" xfId="15897"/>
    <cellStyle name="Normal 12 2 2 2 5 4 2" xfId="38484"/>
    <cellStyle name="Normal 12 2 2 2 5 5" xfId="9457"/>
    <cellStyle name="Normal 12 2 2 2 5 5 2" xfId="32044"/>
    <cellStyle name="Normal 12 2 2 2 5 6" xfId="25604"/>
    <cellStyle name="Normal 12 2 2 2 6" xfId="3307"/>
    <cellStyle name="Normal 12 2 2 2 6 2" xfId="6527"/>
    <cellStyle name="Normal 12 2 2 2 6 2 2" xfId="22627"/>
    <cellStyle name="Normal 12 2 2 2 6 2 2 2" xfId="45214"/>
    <cellStyle name="Normal 12 2 2 2 6 2 3" xfId="12967"/>
    <cellStyle name="Normal 12 2 2 2 6 2 3 2" xfId="35554"/>
    <cellStyle name="Normal 12 2 2 2 6 2 4" xfId="29114"/>
    <cellStyle name="Normal 12 2 2 2 6 3" xfId="19407"/>
    <cellStyle name="Normal 12 2 2 2 6 3 2" xfId="41994"/>
    <cellStyle name="Normal 12 2 2 2 6 4" xfId="16187"/>
    <cellStyle name="Normal 12 2 2 2 6 4 2" xfId="38774"/>
    <cellStyle name="Normal 12 2 2 2 6 5" xfId="9747"/>
    <cellStyle name="Normal 12 2 2 2 6 5 2" xfId="32334"/>
    <cellStyle name="Normal 12 2 2 2 6 6" xfId="25894"/>
    <cellStyle name="Normal 12 2 2 2 7" xfId="665"/>
    <cellStyle name="Normal 12 2 2 2 7 2" xfId="3909"/>
    <cellStyle name="Normal 12 2 2 2 7 2 2" xfId="20009"/>
    <cellStyle name="Normal 12 2 2 2 7 2 2 2" xfId="42596"/>
    <cellStyle name="Normal 12 2 2 2 7 2 3" xfId="10349"/>
    <cellStyle name="Normal 12 2 2 2 7 2 3 2" xfId="32936"/>
    <cellStyle name="Normal 12 2 2 2 7 2 4" xfId="26496"/>
    <cellStyle name="Normal 12 2 2 2 7 3" xfId="16789"/>
    <cellStyle name="Normal 12 2 2 2 7 3 2" xfId="39376"/>
    <cellStyle name="Normal 12 2 2 2 7 4" xfId="13569"/>
    <cellStyle name="Normal 12 2 2 2 7 4 2" xfId="36156"/>
    <cellStyle name="Normal 12 2 2 2 7 5" xfId="7129"/>
    <cellStyle name="Normal 12 2 2 2 7 5 2" xfId="29716"/>
    <cellStyle name="Normal 12 2 2 2 7 6" xfId="23276"/>
    <cellStyle name="Normal 12 2 2 2 8" xfId="3597"/>
    <cellStyle name="Normal 12 2 2 2 8 2" xfId="19697"/>
    <cellStyle name="Normal 12 2 2 2 8 2 2" xfId="42284"/>
    <cellStyle name="Normal 12 2 2 2 8 3" xfId="10037"/>
    <cellStyle name="Normal 12 2 2 2 8 3 2" xfId="32624"/>
    <cellStyle name="Normal 12 2 2 2 8 4" xfId="26184"/>
    <cellStyle name="Normal 12 2 2 2 9" xfId="16477"/>
    <cellStyle name="Normal 12 2 2 2 9 2" xfId="39064"/>
    <cellStyle name="Normal 12 2 2 3" xfId="406"/>
    <cellStyle name="Normal 12 2 2 3 10" xfId="13353"/>
    <cellStyle name="Normal 12 2 2 3 10 2" xfId="35940"/>
    <cellStyle name="Normal 12 2 2 3 11" xfId="6913"/>
    <cellStyle name="Normal 12 2 2 3 11 2" xfId="29500"/>
    <cellStyle name="Normal 12 2 2 3 12" xfId="23060"/>
    <cellStyle name="Normal 12 2 2 3 2" xfId="1188"/>
    <cellStyle name="Normal 12 2 2 3 2 2" xfId="2502"/>
    <cellStyle name="Normal 12 2 2 3 2 2 2" xfId="5723"/>
    <cellStyle name="Normal 12 2 2 3 2 2 2 2" xfId="21823"/>
    <cellStyle name="Normal 12 2 2 3 2 2 2 2 2" xfId="44410"/>
    <cellStyle name="Normal 12 2 2 3 2 2 2 3" xfId="12163"/>
    <cellStyle name="Normal 12 2 2 3 2 2 2 3 2" xfId="34750"/>
    <cellStyle name="Normal 12 2 2 3 2 2 2 4" xfId="28310"/>
    <cellStyle name="Normal 12 2 2 3 2 2 3" xfId="18603"/>
    <cellStyle name="Normal 12 2 2 3 2 2 3 2" xfId="41190"/>
    <cellStyle name="Normal 12 2 2 3 2 2 4" xfId="15383"/>
    <cellStyle name="Normal 12 2 2 3 2 2 4 2" xfId="37970"/>
    <cellStyle name="Normal 12 2 2 3 2 2 5" xfId="8943"/>
    <cellStyle name="Normal 12 2 2 3 2 2 5 2" xfId="31530"/>
    <cellStyle name="Normal 12 2 2 3 2 2 6" xfId="25090"/>
    <cellStyle name="Normal 12 2 2 3 2 3" xfId="4415"/>
    <cellStyle name="Normal 12 2 2 3 2 3 2" xfId="20515"/>
    <cellStyle name="Normal 12 2 2 3 2 3 2 2" xfId="43102"/>
    <cellStyle name="Normal 12 2 2 3 2 3 3" xfId="10855"/>
    <cellStyle name="Normal 12 2 2 3 2 3 3 2" xfId="33442"/>
    <cellStyle name="Normal 12 2 2 3 2 3 4" xfId="27002"/>
    <cellStyle name="Normal 12 2 2 3 2 4" xfId="17295"/>
    <cellStyle name="Normal 12 2 2 3 2 4 2" xfId="39882"/>
    <cellStyle name="Normal 12 2 2 3 2 5" xfId="14075"/>
    <cellStyle name="Normal 12 2 2 3 2 5 2" xfId="36662"/>
    <cellStyle name="Normal 12 2 2 3 2 6" xfId="7635"/>
    <cellStyle name="Normal 12 2 2 3 2 6 2" xfId="30222"/>
    <cellStyle name="Normal 12 2 2 3 2 7" xfId="23782"/>
    <cellStyle name="Normal 12 2 2 3 3" xfId="1535"/>
    <cellStyle name="Normal 12 2 2 3 3 2" xfId="2849"/>
    <cellStyle name="Normal 12 2 2 3 3 2 2" xfId="6070"/>
    <cellStyle name="Normal 12 2 2 3 3 2 2 2" xfId="22170"/>
    <cellStyle name="Normal 12 2 2 3 3 2 2 2 2" xfId="44757"/>
    <cellStyle name="Normal 12 2 2 3 3 2 2 3" xfId="12510"/>
    <cellStyle name="Normal 12 2 2 3 3 2 2 3 2" xfId="35097"/>
    <cellStyle name="Normal 12 2 2 3 3 2 2 4" xfId="28657"/>
    <cellStyle name="Normal 12 2 2 3 3 2 3" xfId="18950"/>
    <cellStyle name="Normal 12 2 2 3 3 2 3 2" xfId="41537"/>
    <cellStyle name="Normal 12 2 2 3 3 2 4" xfId="15730"/>
    <cellStyle name="Normal 12 2 2 3 3 2 4 2" xfId="38317"/>
    <cellStyle name="Normal 12 2 2 3 3 2 5" xfId="9290"/>
    <cellStyle name="Normal 12 2 2 3 3 2 5 2" xfId="31877"/>
    <cellStyle name="Normal 12 2 2 3 3 2 6" xfId="25437"/>
    <cellStyle name="Normal 12 2 2 3 3 3" xfId="4762"/>
    <cellStyle name="Normal 12 2 2 3 3 3 2" xfId="20862"/>
    <cellStyle name="Normal 12 2 2 3 3 3 2 2" xfId="43449"/>
    <cellStyle name="Normal 12 2 2 3 3 3 3" xfId="11202"/>
    <cellStyle name="Normal 12 2 2 3 3 3 3 2" xfId="33789"/>
    <cellStyle name="Normal 12 2 2 3 3 3 4" xfId="27349"/>
    <cellStyle name="Normal 12 2 2 3 3 4" xfId="17642"/>
    <cellStyle name="Normal 12 2 2 3 3 4 2" xfId="40229"/>
    <cellStyle name="Normal 12 2 2 3 3 5" xfId="14422"/>
    <cellStyle name="Normal 12 2 2 3 3 5 2" xfId="37009"/>
    <cellStyle name="Normal 12 2 2 3 3 6" xfId="7982"/>
    <cellStyle name="Normal 12 2 2 3 3 6 2" xfId="30569"/>
    <cellStyle name="Normal 12 2 2 3 3 7" xfId="24129"/>
    <cellStyle name="Normal 12 2 2 3 4" xfId="2155"/>
    <cellStyle name="Normal 12 2 2 3 4 2" xfId="5376"/>
    <cellStyle name="Normal 12 2 2 3 4 2 2" xfId="21476"/>
    <cellStyle name="Normal 12 2 2 3 4 2 2 2" xfId="44063"/>
    <cellStyle name="Normal 12 2 2 3 4 2 3" xfId="11816"/>
    <cellStyle name="Normal 12 2 2 3 4 2 3 2" xfId="34403"/>
    <cellStyle name="Normal 12 2 2 3 4 2 4" xfId="27963"/>
    <cellStyle name="Normal 12 2 2 3 4 3" xfId="18256"/>
    <cellStyle name="Normal 12 2 2 3 4 3 2" xfId="40843"/>
    <cellStyle name="Normal 12 2 2 3 4 4" xfId="15036"/>
    <cellStyle name="Normal 12 2 2 3 4 4 2" xfId="37623"/>
    <cellStyle name="Normal 12 2 2 3 4 5" xfId="8596"/>
    <cellStyle name="Normal 12 2 2 3 4 5 2" xfId="31183"/>
    <cellStyle name="Normal 12 2 2 3 4 6" xfId="24743"/>
    <cellStyle name="Normal 12 2 2 3 5" xfId="3113"/>
    <cellStyle name="Normal 12 2 2 3 5 2" xfId="6333"/>
    <cellStyle name="Normal 12 2 2 3 5 2 2" xfId="22433"/>
    <cellStyle name="Normal 12 2 2 3 5 2 2 2" xfId="45020"/>
    <cellStyle name="Normal 12 2 2 3 5 2 3" xfId="12773"/>
    <cellStyle name="Normal 12 2 2 3 5 2 3 2" xfId="35360"/>
    <cellStyle name="Normal 12 2 2 3 5 2 4" xfId="28920"/>
    <cellStyle name="Normal 12 2 2 3 5 3" xfId="19213"/>
    <cellStyle name="Normal 12 2 2 3 5 3 2" xfId="41800"/>
    <cellStyle name="Normal 12 2 2 3 5 4" xfId="15993"/>
    <cellStyle name="Normal 12 2 2 3 5 4 2" xfId="38580"/>
    <cellStyle name="Normal 12 2 2 3 5 5" xfId="9553"/>
    <cellStyle name="Normal 12 2 2 3 5 5 2" xfId="32140"/>
    <cellStyle name="Normal 12 2 2 3 5 6" xfId="25700"/>
    <cellStyle name="Normal 12 2 2 3 6" xfId="3403"/>
    <cellStyle name="Normal 12 2 2 3 6 2" xfId="6623"/>
    <cellStyle name="Normal 12 2 2 3 6 2 2" xfId="22723"/>
    <cellStyle name="Normal 12 2 2 3 6 2 2 2" xfId="45310"/>
    <cellStyle name="Normal 12 2 2 3 6 2 3" xfId="13063"/>
    <cellStyle name="Normal 12 2 2 3 6 2 3 2" xfId="35650"/>
    <cellStyle name="Normal 12 2 2 3 6 2 4" xfId="29210"/>
    <cellStyle name="Normal 12 2 2 3 6 3" xfId="19503"/>
    <cellStyle name="Normal 12 2 2 3 6 3 2" xfId="42090"/>
    <cellStyle name="Normal 12 2 2 3 6 4" xfId="16283"/>
    <cellStyle name="Normal 12 2 2 3 6 4 2" xfId="38870"/>
    <cellStyle name="Normal 12 2 2 3 6 5" xfId="9843"/>
    <cellStyle name="Normal 12 2 2 3 6 5 2" xfId="32430"/>
    <cellStyle name="Normal 12 2 2 3 6 6" xfId="25990"/>
    <cellStyle name="Normal 12 2 2 3 7" xfId="836"/>
    <cellStyle name="Normal 12 2 2 3 7 2" xfId="4068"/>
    <cellStyle name="Normal 12 2 2 3 7 2 2" xfId="20168"/>
    <cellStyle name="Normal 12 2 2 3 7 2 2 2" xfId="42755"/>
    <cellStyle name="Normal 12 2 2 3 7 2 3" xfId="10508"/>
    <cellStyle name="Normal 12 2 2 3 7 2 3 2" xfId="33095"/>
    <cellStyle name="Normal 12 2 2 3 7 2 4" xfId="26655"/>
    <cellStyle name="Normal 12 2 2 3 7 3" xfId="16948"/>
    <cellStyle name="Normal 12 2 2 3 7 3 2" xfId="39535"/>
    <cellStyle name="Normal 12 2 2 3 7 4" xfId="13728"/>
    <cellStyle name="Normal 12 2 2 3 7 4 2" xfId="36315"/>
    <cellStyle name="Normal 12 2 2 3 7 5" xfId="7288"/>
    <cellStyle name="Normal 12 2 2 3 7 5 2" xfId="29875"/>
    <cellStyle name="Normal 12 2 2 3 7 6" xfId="23435"/>
    <cellStyle name="Normal 12 2 2 3 8" xfId="3693"/>
    <cellStyle name="Normal 12 2 2 3 8 2" xfId="19793"/>
    <cellStyle name="Normal 12 2 2 3 8 2 2" xfId="42380"/>
    <cellStyle name="Normal 12 2 2 3 8 3" xfId="10133"/>
    <cellStyle name="Normal 12 2 2 3 8 3 2" xfId="32720"/>
    <cellStyle name="Normal 12 2 2 3 8 4" xfId="26280"/>
    <cellStyle name="Normal 12 2 2 3 9" xfId="16573"/>
    <cellStyle name="Normal 12 2 2 3 9 2" xfId="39160"/>
    <cellStyle name="Normal 12 2 2 4" xfId="905"/>
    <cellStyle name="Normal 12 2 2 4 2" xfId="2224"/>
    <cellStyle name="Normal 12 2 2 4 2 2" xfId="5445"/>
    <cellStyle name="Normal 12 2 2 4 2 2 2" xfId="21545"/>
    <cellStyle name="Normal 12 2 2 4 2 2 2 2" xfId="44132"/>
    <cellStyle name="Normal 12 2 2 4 2 2 3" xfId="11885"/>
    <cellStyle name="Normal 12 2 2 4 2 2 3 2" xfId="34472"/>
    <cellStyle name="Normal 12 2 2 4 2 2 4" xfId="28032"/>
    <cellStyle name="Normal 12 2 2 4 2 3" xfId="18325"/>
    <cellStyle name="Normal 12 2 2 4 2 3 2" xfId="40912"/>
    <cellStyle name="Normal 12 2 2 4 2 4" xfId="15105"/>
    <cellStyle name="Normal 12 2 2 4 2 4 2" xfId="37692"/>
    <cellStyle name="Normal 12 2 2 4 2 5" xfId="8665"/>
    <cellStyle name="Normal 12 2 2 4 2 5 2" xfId="31252"/>
    <cellStyle name="Normal 12 2 2 4 2 6" xfId="24812"/>
    <cellStyle name="Normal 12 2 2 4 3" xfId="4137"/>
    <cellStyle name="Normal 12 2 2 4 3 2" xfId="20237"/>
    <cellStyle name="Normal 12 2 2 4 3 2 2" xfId="42824"/>
    <cellStyle name="Normal 12 2 2 4 3 3" xfId="10577"/>
    <cellStyle name="Normal 12 2 2 4 3 3 2" xfId="33164"/>
    <cellStyle name="Normal 12 2 2 4 3 4" xfId="26724"/>
    <cellStyle name="Normal 12 2 2 4 4" xfId="17017"/>
    <cellStyle name="Normal 12 2 2 4 4 2" xfId="39604"/>
    <cellStyle name="Normal 12 2 2 4 5" xfId="13797"/>
    <cellStyle name="Normal 12 2 2 4 5 2" xfId="36384"/>
    <cellStyle name="Normal 12 2 2 4 6" xfId="7357"/>
    <cellStyle name="Normal 12 2 2 4 6 2" xfId="29944"/>
    <cellStyle name="Normal 12 2 2 4 7" xfId="23504"/>
    <cellStyle name="Normal 12 2 2 5" xfId="1257"/>
    <cellStyle name="Normal 12 2 2 5 2" xfId="2571"/>
    <cellStyle name="Normal 12 2 2 5 2 2" xfId="5792"/>
    <cellStyle name="Normal 12 2 2 5 2 2 2" xfId="21892"/>
    <cellStyle name="Normal 12 2 2 5 2 2 2 2" xfId="44479"/>
    <cellStyle name="Normal 12 2 2 5 2 2 3" xfId="12232"/>
    <cellStyle name="Normal 12 2 2 5 2 2 3 2" xfId="34819"/>
    <cellStyle name="Normal 12 2 2 5 2 2 4" xfId="28379"/>
    <cellStyle name="Normal 12 2 2 5 2 3" xfId="18672"/>
    <cellStyle name="Normal 12 2 2 5 2 3 2" xfId="41259"/>
    <cellStyle name="Normal 12 2 2 5 2 4" xfId="15452"/>
    <cellStyle name="Normal 12 2 2 5 2 4 2" xfId="38039"/>
    <cellStyle name="Normal 12 2 2 5 2 5" xfId="9012"/>
    <cellStyle name="Normal 12 2 2 5 2 5 2" xfId="31599"/>
    <cellStyle name="Normal 12 2 2 5 2 6" xfId="25159"/>
    <cellStyle name="Normal 12 2 2 5 3" xfId="4484"/>
    <cellStyle name="Normal 12 2 2 5 3 2" xfId="20584"/>
    <cellStyle name="Normal 12 2 2 5 3 2 2" xfId="43171"/>
    <cellStyle name="Normal 12 2 2 5 3 3" xfId="10924"/>
    <cellStyle name="Normal 12 2 2 5 3 3 2" xfId="33511"/>
    <cellStyle name="Normal 12 2 2 5 3 4" xfId="27071"/>
    <cellStyle name="Normal 12 2 2 5 4" xfId="17364"/>
    <cellStyle name="Normal 12 2 2 5 4 2" xfId="39951"/>
    <cellStyle name="Normal 12 2 2 5 5" xfId="14144"/>
    <cellStyle name="Normal 12 2 2 5 5 2" xfId="36731"/>
    <cellStyle name="Normal 12 2 2 5 6" xfId="7704"/>
    <cellStyle name="Normal 12 2 2 5 6 2" xfId="30291"/>
    <cellStyle name="Normal 12 2 2 5 7" xfId="23851"/>
    <cellStyle name="Normal 12 2 2 6" xfId="1555"/>
    <cellStyle name="Normal 12 2 2 6 2" xfId="4781"/>
    <cellStyle name="Normal 12 2 2 6 2 2" xfId="20881"/>
    <cellStyle name="Normal 12 2 2 6 2 2 2" xfId="43468"/>
    <cellStyle name="Normal 12 2 2 6 2 3" xfId="11221"/>
    <cellStyle name="Normal 12 2 2 6 2 3 2" xfId="33808"/>
    <cellStyle name="Normal 12 2 2 6 2 4" xfId="27368"/>
    <cellStyle name="Normal 12 2 2 6 3" xfId="17661"/>
    <cellStyle name="Normal 12 2 2 6 3 2" xfId="40248"/>
    <cellStyle name="Normal 12 2 2 6 4" xfId="14441"/>
    <cellStyle name="Normal 12 2 2 6 4 2" xfId="37028"/>
    <cellStyle name="Normal 12 2 2 6 5" xfId="8001"/>
    <cellStyle name="Normal 12 2 2 6 5 2" xfId="30588"/>
    <cellStyle name="Normal 12 2 2 6 6" xfId="24148"/>
    <cellStyle name="Normal 12 2 2 7" xfId="1876"/>
    <cellStyle name="Normal 12 2 2 7 2" xfId="5098"/>
    <cellStyle name="Normal 12 2 2 7 2 2" xfId="21198"/>
    <cellStyle name="Normal 12 2 2 7 2 2 2" xfId="43785"/>
    <cellStyle name="Normal 12 2 2 7 2 3" xfId="11538"/>
    <cellStyle name="Normal 12 2 2 7 2 3 2" xfId="34125"/>
    <cellStyle name="Normal 12 2 2 7 2 4" xfId="27685"/>
    <cellStyle name="Normal 12 2 2 7 3" xfId="17978"/>
    <cellStyle name="Normal 12 2 2 7 3 2" xfId="40565"/>
    <cellStyle name="Normal 12 2 2 7 4" xfId="14758"/>
    <cellStyle name="Normal 12 2 2 7 4 2" xfId="37345"/>
    <cellStyle name="Normal 12 2 2 7 5" xfId="8318"/>
    <cellStyle name="Normal 12 2 2 7 5 2" xfId="30905"/>
    <cellStyle name="Normal 12 2 2 7 6" xfId="24465"/>
    <cellStyle name="Normal 12 2 2 8" xfId="2919"/>
    <cellStyle name="Normal 12 2 2 8 2" xfId="6140"/>
    <cellStyle name="Normal 12 2 2 8 2 2" xfId="22240"/>
    <cellStyle name="Normal 12 2 2 8 2 2 2" xfId="44827"/>
    <cellStyle name="Normal 12 2 2 8 2 3" xfId="12580"/>
    <cellStyle name="Normal 12 2 2 8 2 3 2" xfId="35167"/>
    <cellStyle name="Normal 12 2 2 8 2 4" xfId="28727"/>
    <cellStyle name="Normal 12 2 2 8 3" xfId="19020"/>
    <cellStyle name="Normal 12 2 2 8 3 2" xfId="41607"/>
    <cellStyle name="Normal 12 2 2 8 4" xfId="15800"/>
    <cellStyle name="Normal 12 2 2 8 4 2" xfId="38387"/>
    <cellStyle name="Normal 12 2 2 8 5" xfId="9360"/>
    <cellStyle name="Normal 12 2 2 8 5 2" xfId="31947"/>
    <cellStyle name="Normal 12 2 2 8 6" xfId="25507"/>
    <cellStyle name="Normal 12 2 2 9" xfId="3210"/>
    <cellStyle name="Normal 12 2 2 9 2" xfId="6430"/>
    <cellStyle name="Normal 12 2 2 9 2 2" xfId="22530"/>
    <cellStyle name="Normal 12 2 2 9 2 2 2" xfId="45117"/>
    <cellStyle name="Normal 12 2 2 9 2 3" xfId="12870"/>
    <cellStyle name="Normal 12 2 2 9 2 3 2" xfId="35457"/>
    <cellStyle name="Normal 12 2 2 9 2 4" xfId="29017"/>
    <cellStyle name="Normal 12 2 2 9 3" xfId="19310"/>
    <cellStyle name="Normal 12 2 2 9 3 2" xfId="41897"/>
    <cellStyle name="Normal 12 2 2 9 4" xfId="16090"/>
    <cellStyle name="Normal 12 2 2 9 4 2" xfId="38677"/>
    <cellStyle name="Normal 12 2 2 9 5" xfId="9650"/>
    <cellStyle name="Normal 12 2 2 9 5 2" xfId="32237"/>
    <cellStyle name="Normal 12 2 2 9 6" xfId="25797"/>
    <cellStyle name="Normal 12 2 3" xfId="276"/>
    <cellStyle name="Normal 12 2 3 10" xfId="3563"/>
    <cellStyle name="Normal 12 2 3 10 2" xfId="19663"/>
    <cellStyle name="Normal 12 2 3 10 2 2" xfId="42250"/>
    <cellStyle name="Normal 12 2 3 10 3" xfId="10003"/>
    <cellStyle name="Normal 12 2 3 10 3 2" xfId="32590"/>
    <cellStyle name="Normal 12 2 3 10 4" xfId="26150"/>
    <cellStyle name="Normal 12 2 3 11" xfId="16443"/>
    <cellStyle name="Normal 12 2 3 11 2" xfId="39030"/>
    <cellStyle name="Normal 12 2 3 12" xfId="13223"/>
    <cellStyle name="Normal 12 2 3 12 2" xfId="35810"/>
    <cellStyle name="Normal 12 2 3 13" xfId="6783"/>
    <cellStyle name="Normal 12 2 3 13 2" xfId="29370"/>
    <cellStyle name="Normal 12 2 3 14" xfId="22930"/>
    <cellStyle name="Normal 12 2 3 2" xfId="702"/>
    <cellStyle name="Normal 12 2 3 2 2" xfId="1066"/>
    <cellStyle name="Normal 12 2 3 2 2 2" xfId="2380"/>
    <cellStyle name="Normal 12 2 3 2 2 2 2" xfId="5601"/>
    <cellStyle name="Normal 12 2 3 2 2 2 2 2" xfId="21701"/>
    <cellStyle name="Normal 12 2 3 2 2 2 2 2 2" xfId="44288"/>
    <cellStyle name="Normal 12 2 3 2 2 2 2 3" xfId="12041"/>
    <cellStyle name="Normal 12 2 3 2 2 2 2 3 2" xfId="34628"/>
    <cellStyle name="Normal 12 2 3 2 2 2 2 4" xfId="28188"/>
    <cellStyle name="Normal 12 2 3 2 2 2 3" xfId="18481"/>
    <cellStyle name="Normal 12 2 3 2 2 2 3 2" xfId="41068"/>
    <cellStyle name="Normal 12 2 3 2 2 2 4" xfId="15261"/>
    <cellStyle name="Normal 12 2 3 2 2 2 4 2" xfId="37848"/>
    <cellStyle name="Normal 12 2 3 2 2 2 5" xfId="8821"/>
    <cellStyle name="Normal 12 2 3 2 2 2 5 2" xfId="31408"/>
    <cellStyle name="Normal 12 2 3 2 2 2 6" xfId="24968"/>
    <cellStyle name="Normal 12 2 3 2 2 3" xfId="4293"/>
    <cellStyle name="Normal 12 2 3 2 2 3 2" xfId="20393"/>
    <cellStyle name="Normal 12 2 3 2 2 3 2 2" xfId="42980"/>
    <cellStyle name="Normal 12 2 3 2 2 3 3" xfId="10733"/>
    <cellStyle name="Normal 12 2 3 2 2 3 3 2" xfId="33320"/>
    <cellStyle name="Normal 12 2 3 2 2 3 4" xfId="26880"/>
    <cellStyle name="Normal 12 2 3 2 2 4" xfId="17173"/>
    <cellStyle name="Normal 12 2 3 2 2 4 2" xfId="39760"/>
    <cellStyle name="Normal 12 2 3 2 2 5" xfId="13953"/>
    <cellStyle name="Normal 12 2 3 2 2 5 2" xfId="36540"/>
    <cellStyle name="Normal 12 2 3 2 2 6" xfId="7513"/>
    <cellStyle name="Normal 12 2 3 2 2 6 2" xfId="30100"/>
    <cellStyle name="Normal 12 2 3 2 2 7" xfId="23660"/>
    <cellStyle name="Normal 12 2 3 2 3" xfId="1413"/>
    <cellStyle name="Normal 12 2 3 2 3 2" xfId="2727"/>
    <cellStyle name="Normal 12 2 3 2 3 2 2" xfId="5948"/>
    <cellStyle name="Normal 12 2 3 2 3 2 2 2" xfId="22048"/>
    <cellStyle name="Normal 12 2 3 2 3 2 2 2 2" xfId="44635"/>
    <cellStyle name="Normal 12 2 3 2 3 2 2 3" xfId="12388"/>
    <cellStyle name="Normal 12 2 3 2 3 2 2 3 2" xfId="34975"/>
    <cellStyle name="Normal 12 2 3 2 3 2 2 4" xfId="28535"/>
    <cellStyle name="Normal 12 2 3 2 3 2 3" xfId="18828"/>
    <cellStyle name="Normal 12 2 3 2 3 2 3 2" xfId="41415"/>
    <cellStyle name="Normal 12 2 3 2 3 2 4" xfId="15608"/>
    <cellStyle name="Normal 12 2 3 2 3 2 4 2" xfId="38195"/>
    <cellStyle name="Normal 12 2 3 2 3 2 5" xfId="9168"/>
    <cellStyle name="Normal 12 2 3 2 3 2 5 2" xfId="31755"/>
    <cellStyle name="Normal 12 2 3 2 3 2 6" xfId="25315"/>
    <cellStyle name="Normal 12 2 3 2 3 3" xfId="4640"/>
    <cellStyle name="Normal 12 2 3 2 3 3 2" xfId="20740"/>
    <cellStyle name="Normal 12 2 3 2 3 3 2 2" xfId="43327"/>
    <cellStyle name="Normal 12 2 3 2 3 3 3" xfId="11080"/>
    <cellStyle name="Normal 12 2 3 2 3 3 3 2" xfId="33667"/>
    <cellStyle name="Normal 12 2 3 2 3 3 4" xfId="27227"/>
    <cellStyle name="Normal 12 2 3 2 3 4" xfId="17520"/>
    <cellStyle name="Normal 12 2 3 2 3 4 2" xfId="40107"/>
    <cellStyle name="Normal 12 2 3 2 3 5" xfId="14300"/>
    <cellStyle name="Normal 12 2 3 2 3 5 2" xfId="36887"/>
    <cellStyle name="Normal 12 2 3 2 3 6" xfId="7860"/>
    <cellStyle name="Normal 12 2 3 2 3 6 2" xfId="30447"/>
    <cellStyle name="Normal 12 2 3 2 3 7" xfId="24007"/>
    <cellStyle name="Normal 12 2 3 2 4" xfId="2032"/>
    <cellStyle name="Normal 12 2 3 2 4 2" xfId="5254"/>
    <cellStyle name="Normal 12 2 3 2 4 2 2" xfId="21354"/>
    <cellStyle name="Normal 12 2 3 2 4 2 2 2" xfId="43941"/>
    <cellStyle name="Normal 12 2 3 2 4 2 3" xfId="11694"/>
    <cellStyle name="Normal 12 2 3 2 4 2 3 2" xfId="34281"/>
    <cellStyle name="Normal 12 2 3 2 4 2 4" xfId="27841"/>
    <cellStyle name="Normal 12 2 3 2 4 3" xfId="18134"/>
    <cellStyle name="Normal 12 2 3 2 4 3 2" xfId="40721"/>
    <cellStyle name="Normal 12 2 3 2 4 4" xfId="14914"/>
    <cellStyle name="Normal 12 2 3 2 4 4 2" xfId="37501"/>
    <cellStyle name="Normal 12 2 3 2 4 5" xfId="8474"/>
    <cellStyle name="Normal 12 2 3 2 4 5 2" xfId="31061"/>
    <cellStyle name="Normal 12 2 3 2 4 6" xfId="24621"/>
    <cellStyle name="Normal 12 2 3 2 5" xfId="3946"/>
    <cellStyle name="Normal 12 2 3 2 5 2" xfId="20046"/>
    <cellStyle name="Normal 12 2 3 2 5 2 2" xfId="42633"/>
    <cellStyle name="Normal 12 2 3 2 5 3" xfId="10386"/>
    <cellStyle name="Normal 12 2 3 2 5 3 2" xfId="32973"/>
    <cellStyle name="Normal 12 2 3 2 5 4" xfId="26533"/>
    <cellStyle name="Normal 12 2 3 2 6" xfId="16826"/>
    <cellStyle name="Normal 12 2 3 2 6 2" xfId="39413"/>
    <cellStyle name="Normal 12 2 3 2 7" xfId="13606"/>
    <cellStyle name="Normal 12 2 3 2 7 2" xfId="36193"/>
    <cellStyle name="Normal 12 2 3 2 8" xfId="7166"/>
    <cellStyle name="Normal 12 2 3 2 8 2" xfId="29753"/>
    <cellStyle name="Normal 12 2 3 2 9" xfId="23313"/>
    <cellStyle name="Normal 12 2 3 3" xfId="945"/>
    <cellStyle name="Normal 12 2 3 3 2" xfId="2264"/>
    <cellStyle name="Normal 12 2 3 3 2 2" xfId="5485"/>
    <cellStyle name="Normal 12 2 3 3 2 2 2" xfId="21585"/>
    <cellStyle name="Normal 12 2 3 3 2 2 2 2" xfId="44172"/>
    <cellStyle name="Normal 12 2 3 3 2 2 3" xfId="11925"/>
    <cellStyle name="Normal 12 2 3 3 2 2 3 2" xfId="34512"/>
    <cellStyle name="Normal 12 2 3 3 2 2 4" xfId="28072"/>
    <cellStyle name="Normal 12 2 3 3 2 3" xfId="18365"/>
    <cellStyle name="Normal 12 2 3 3 2 3 2" xfId="40952"/>
    <cellStyle name="Normal 12 2 3 3 2 4" xfId="15145"/>
    <cellStyle name="Normal 12 2 3 3 2 4 2" xfId="37732"/>
    <cellStyle name="Normal 12 2 3 3 2 5" xfId="8705"/>
    <cellStyle name="Normal 12 2 3 3 2 5 2" xfId="31292"/>
    <cellStyle name="Normal 12 2 3 3 2 6" xfId="24852"/>
    <cellStyle name="Normal 12 2 3 3 3" xfId="4177"/>
    <cellStyle name="Normal 12 2 3 3 3 2" xfId="20277"/>
    <cellStyle name="Normal 12 2 3 3 3 2 2" xfId="42864"/>
    <cellStyle name="Normal 12 2 3 3 3 3" xfId="10617"/>
    <cellStyle name="Normal 12 2 3 3 3 3 2" xfId="33204"/>
    <cellStyle name="Normal 12 2 3 3 3 4" xfId="26764"/>
    <cellStyle name="Normal 12 2 3 3 4" xfId="17057"/>
    <cellStyle name="Normal 12 2 3 3 4 2" xfId="39644"/>
    <cellStyle name="Normal 12 2 3 3 5" xfId="13837"/>
    <cellStyle name="Normal 12 2 3 3 5 2" xfId="36424"/>
    <cellStyle name="Normal 12 2 3 3 6" xfId="7397"/>
    <cellStyle name="Normal 12 2 3 3 6 2" xfId="29984"/>
    <cellStyle name="Normal 12 2 3 3 7" xfId="23544"/>
    <cellStyle name="Normal 12 2 3 4" xfId="1297"/>
    <cellStyle name="Normal 12 2 3 4 2" xfId="2611"/>
    <cellStyle name="Normal 12 2 3 4 2 2" xfId="5832"/>
    <cellStyle name="Normal 12 2 3 4 2 2 2" xfId="21932"/>
    <cellStyle name="Normal 12 2 3 4 2 2 2 2" xfId="44519"/>
    <cellStyle name="Normal 12 2 3 4 2 2 3" xfId="12272"/>
    <cellStyle name="Normal 12 2 3 4 2 2 3 2" xfId="34859"/>
    <cellStyle name="Normal 12 2 3 4 2 2 4" xfId="28419"/>
    <cellStyle name="Normal 12 2 3 4 2 3" xfId="18712"/>
    <cellStyle name="Normal 12 2 3 4 2 3 2" xfId="41299"/>
    <cellStyle name="Normal 12 2 3 4 2 4" xfId="15492"/>
    <cellStyle name="Normal 12 2 3 4 2 4 2" xfId="38079"/>
    <cellStyle name="Normal 12 2 3 4 2 5" xfId="9052"/>
    <cellStyle name="Normal 12 2 3 4 2 5 2" xfId="31639"/>
    <cellStyle name="Normal 12 2 3 4 2 6" xfId="25199"/>
    <cellStyle name="Normal 12 2 3 4 3" xfId="4524"/>
    <cellStyle name="Normal 12 2 3 4 3 2" xfId="20624"/>
    <cellStyle name="Normal 12 2 3 4 3 2 2" xfId="43211"/>
    <cellStyle name="Normal 12 2 3 4 3 3" xfId="10964"/>
    <cellStyle name="Normal 12 2 3 4 3 3 2" xfId="33551"/>
    <cellStyle name="Normal 12 2 3 4 3 4" xfId="27111"/>
    <cellStyle name="Normal 12 2 3 4 4" xfId="17404"/>
    <cellStyle name="Normal 12 2 3 4 4 2" xfId="39991"/>
    <cellStyle name="Normal 12 2 3 4 5" xfId="14184"/>
    <cellStyle name="Normal 12 2 3 4 5 2" xfId="36771"/>
    <cellStyle name="Normal 12 2 3 4 6" xfId="7744"/>
    <cellStyle name="Normal 12 2 3 4 6 2" xfId="30331"/>
    <cellStyle name="Normal 12 2 3 4 7" xfId="23891"/>
    <cellStyle name="Normal 12 2 3 5" xfId="1556"/>
    <cellStyle name="Normal 12 2 3 5 2" xfId="4782"/>
    <cellStyle name="Normal 12 2 3 5 2 2" xfId="20882"/>
    <cellStyle name="Normal 12 2 3 5 2 2 2" xfId="43469"/>
    <cellStyle name="Normal 12 2 3 5 2 3" xfId="11222"/>
    <cellStyle name="Normal 12 2 3 5 2 3 2" xfId="33809"/>
    <cellStyle name="Normal 12 2 3 5 2 4" xfId="27369"/>
    <cellStyle name="Normal 12 2 3 5 3" xfId="17662"/>
    <cellStyle name="Normal 12 2 3 5 3 2" xfId="40249"/>
    <cellStyle name="Normal 12 2 3 5 4" xfId="14442"/>
    <cellStyle name="Normal 12 2 3 5 4 2" xfId="37029"/>
    <cellStyle name="Normal 12 2 3 5 5" xfId="8002"/>
    <cellStyle name="Normal 12 2 3 5 5 2" xfId="30589"/>
    <cellStyle name="Normal 12 2 3 5 6" xfId="24149"/>
    <cellStyle name="Normal 12 2 3 6" xfId="1916"/>
    <cellStyle name="Normal 12 2 3 6 2" xfId="5138"/>
    <cellStyle name="Normal 12 2 3 6 2 2" xfId="21238"/>
    <cellStyle name="Normal 12 2 3 6 2 2 2" xfId="43825"/>
    <cellStyle name="Normal 12 2 3 6 2 3" xfId="11578"/>
    <cellStyle name="Normal 12 2 3 6 2 3 2" xfId="34165"/>
    <cellStyle name="Normal 12 2 3 6 2 4" xfId="27725"/>
    <cellStyle name="Normal 12 2 3 6 3" xfId="18018"/>
    <cellStyle name="Normal 12 2 3 6 3 2" xfId="40605"/>
    <cellStyle name="Normal 12 2 3 6 4" xfId="14798"/>
    <cellStyle name="Normal 12 2 3 6 4 2" xfId="37385"/>
    <cellStyle name="Normal 12 2 3 6 5" xfId="8358"/>
    <cellStyle name="Normal 12 2 3 6 5 2" xfId="30945"/>
    <cellStyle name="Normal 12 2 3 6 6" xfId="24505"/>
    <cellStyle name="Normal 12 2 3 7" xfId="2983"/>
    <cellStyle name="Normal 12 2 3 7 2" xfId="6203"/>
    <cellStyle name="Normal 12 2 3 7 2 2" xfId="22303"/>
    <cellStyle name="Normal 12 2 3 7 2 2 2" xfId="44890"/>
    <cellStyle name="Normal 12 2 3 7 2 3" xfId="12643"/>
    <cellStyle name="Normal 12 2 3 7 2 3 2" xfId="35230"/>
    <cellStyle name="Normal 12 2 3 7 2 4" xfId="28790"/>
    <cellStyle name="Normal 12 2 3 7 3" xfId="19083"/>
    <cellStyle name="Normal 12 2 3 7 3 2" xfId="41670"/>
    <cellStyle name="Normal 12 2 3 7 4" xfId="15863"/>
    <cellStyle name="Normal 12 2 3 7 4 2" xfId="38450"/>
    <cellStyle name="Normal 12 2 3 7 5" xfId="9423"/>
    <cellStyle name="Normal 12 2 3 7 5 2" xfId="32010"/>
    <cellStyle name="Normal 12 2 3 7 6" xfId="25570"/>
    <cellStyle name="Normal 12 2 3 8" xfId="3273"/>
    <cellStyle name="Normal 12 2 3 8 2" xfId="6493"/>
    <cellStyle name="Normal 12 2 3 8 2 2" xfId="22593"/>
    <cellStyle name="Normal 12 2 3 8 2 2 2" xfId="45180"/>
    <cellStyle name="Normal 12 2 3 8 2 3" xfId="12933"/>
    <cellStyle name="Normal 12 2 3 8 2 3 2" xfId="35520"/>
    <cellStyle name="Normal 12 2 3 8 2 4" xfId="29080"/>
    <cellStyle name="Normal 12 2 3 8 3" xfId="19373"/>
    <cellStyle name="Normal 12 2 3 8 3 2" xfId="41960"/>
    <cellStyle name="Normal 12 2 3 8 4" xfId="16153"/>
    <cellStyle name="Normal 12 2 3 8 4 2" xfId="38740"/>
    <cellStyle name="Normal 12 2 3 8 5" xfId="9713"/>
    <cellStyle name="Normal 12 2 3 8 5 2" xfId="32300"/>
    <cellStyle name="Normal 12 2 3 8 6" xfId="25860"/>
    <cellStyle name="Normal 12 2 3 9" xfId="543"/>
    <cellStyle name="Normal 12 2 3 9 2" xfId="3830"/>
    <cellStyle name="Normal 12 2 3 9 2 2" xfId="19930"/>
    <cellStyle name="Normal 12 2 3 9 2 2 2" xfId="42517"/>
    <cellStyle name="Normal 12 2 3 9 2 3" xfId="10270"/>
    <cellStyle name="Normal 12 2 3 9 2 3 2" xfId="32857"/>
    <cellStyle name="Normal 12 2 3 9 2 4" xfId="26417"/>
    <cellStyle name="Normal 12 2 3 9 3" xfId="16710"/>
    <cellStyle name="Normal 12 2 3 9 3 2" xfId="39297"/>
    <cellStyle name="Normal 12 2 3 9 4" xfId="13490"/>
    <cellStyle name="Normal 12 2 3 9 4 2" xfId="36077"/>
    <cellStyle name="Normal 12 2 3 9 5" xfId="7050"/>
    <cellStyle name="Normal 12 2 3 9 5 2" xfId="29637"/>
    <cellStyle name="Normal 12 2 3 9 6" xfId="23197"/>
    <cellStyle name="Normal 12 2 4" xfId="369"/>
    <cellStyle name="Normal 12 2 4 10" xfId="13316"/>
    <cellStyle name="Normal 12 2 4 10 2" xfId="35903"/>
    <cellStyle name="Normal 12 2 4 11" xfId="6876"/>
    <cellStyle name="Normal 12 2 4 11 2" xfId="29463"/>
    <cellStyle name="Normal 12 2 4 12" xfId="23023"/>
    <cellStyle name="Normal 12 2 4 2" xfId="992"/>
    <cellStyle name="Normal 12 2 4 2 2" xfId="2306"/>
    <cellStyle name="Normal 12 2 4 2 2 2" xfId="5527"/>
    <cellStyle name="Normal 12 2 4 2 2 2 2" xfId="21627"/>
    <cellStyle name="Normal 12 2 4 2 2 2 2 2" xfId="44214"/>
    <cellStyle name="Normal 12 2 4 2 2 2 3" xfId="11967"/>
    <cellStyle name="Normal 12 2 4 2 2 2 3 2" xfId="34554"/>
    <cellStyle name="Normal 12 2 4 2 2 2 4" xfId="28114"/>
    <cellStyle name="Normal 12 2 4 2 2 3" xfId="18407"/>
    <cellStyle name="Normal 12 2 4 2 2 3 2" xfId="40994"/>
    <cellStyle name="Normal 12 2 4 2 2 4" xfId="15187"/>
    <cellStyle name="Normal 12 2 4 2 2 4 2" xfId="37774"/>
    <cellStyle name="Normal 12 2 4 2 2 5" xfId="8747"/>
    <cellStyle name="Normal 12 2 4 2 2 5 2" xfId="31334"/>
    <cellStyle name="Normal 12 2 4 2 2 6" xfId="24894"/>
    <cellStyle name="Normal 12 2 4 2 3" xfId="4219"/>
    <cellStyle name="Normal 12 2 4 2 3 2" xfId="20319"/>
    <cellStyle name="Normal 12 2 4 2 3 2 2" xfId="42906"/>
    <cellStyle name="Normal 12 2 4 2 3 3" xfId="10659"/>
    <cellStyle name="Normal 12 2 4 2 3 3 2" xfId="33246"/>
    <cellStyle name="Normal 12 2 4 2 3 4" xfId="26806"/>
    <cellStyle name="Normal 12 2 4 2 4" xfId="17099"/>
    <cellStyle name="Normal 12 2 4 2 4 2" xfId="39686"/>
    <cellStyle name="Normal 12 2 4 2 5" xfId="13879"/>
    <cellStyle name="Normal 12 2 4 2 5 2" xfId="36466"/>
    <cellStyle name="Normal 12 2 4 2 6" xfId="7439"/>
    <cellStyle name="Normal 12 2 4 2 6 2" xfId="30026"/>
    <cellStyle name="Normal 12 2 4 2 7" xfId="23586"/>
    <cellStyle name="Normal 12 2 4 3" xfId="1339"/>
    <cellStyle name="Normal 12 2 4 3 2" xfId="2653"/>
    <cellStyle name="Normal 12 2 4 3 2 2" xfId="5874"/>
    <cellStyle name="Normal 12 2 4 3 2 2 2" xfId="21974"/>
    <cellStyle name="Normal 12 2 4 3 2 2 2 2" xfId="44561"/>
    <cellStyle name="Normal 12 2 4 3 2 2 3" xfId="12314"/>
    <cellStyle name="Normal 12 2 4 3 2 2 3 2" xfId="34901"/>
    <cellStyle name="Normal 12 2 4 3 2 2 4" xfId="28461"/>
    <cellStyle name="Normal 12 2 4 3 2 3" xfId="18754"/>
    <cellStyle name="Normal 12 2 4 3 2 3 2" xfId="41341"/>
    <cellStyle name="Normal 12 2 4 3 2 4" xfId="15534"/>
    <cellStyle name="Normal 12 2 4 3 2 4 2" xfId="38121"/>
    <cellStyle name="Normal 12 2 4 3 2 5" xfId="9094"/>
    <cellStyle name="Normal 12 2 4 3 2 5 2" xfId="31681"/>
    <cellStyle name="Normal 12 2 4 3 2 6" xfId="25241"/>
    <cellStyle name="Normal 12 2 4 3 3" xfId="4566"/>
    <cellStyle name="Normal 12 2 4 3 3 2" xfId="20666"/>
    <cellStyle name="Normal 12 2 4 3 3 2 2" xfId="43253"/>
    <cellStyle name="Normal 12 2 4 3 3 3" xfId="11006"/>
    <cellStyle name="Normal 12 2 4 3 3 3 2" xfId="33593"/>
    <cellStyle name="Normal 12 2 4 3 3 4" xfId="27153"/>
    <cellStyle name="Normal 12 2 4 3 4" xfId="17446"/>
    <cellStyle name="Normal 12 2 4 3 4 2" xfId="40033"/>
    <cellStyle name="Normal 12 2 4 3 5" xfId="14226"/>
    <cellStyle name="Normal 12 2 4 3 5 2" xfId="36813"/>
    <cellStyle name="Normal 12 2 4 3 6" xfId="7786"/>
    <cellStyle name="Normal 12 2 4 3 6 2" xfId="30373"/>
    <cellStyle name="Normal 12 2 4 3 7" xfId="23933"/>
    <cellStyle name="Normal 12 2 4 4" xfId="1958"/>
    <cellStyle name="Normal 12 2 4 4 2" xfId="5180"/>
    <cellStyle name="Normal 12 2 4 4 2 2" xfId="21280"/>
    <cellStyle name="Normal 12 2 4 4 2 2 2" xfId="43867"/>
    <cellStyle name="Normal 12 2 4 4 2 3" xfId="11620"/>
    <cellStyle name="Normal 12 2 4 4 2 3 2" xfId="34207"/>
    <cellStyle name="Normal 12 2 4 4 2 4" xfId="27767"/>
    <cellStyle name="Normal 12 2 4 4 3" xfId="18060"/>
    <cellStyle name="Normal 12 2 4 4 3 2" xfId="40647"/>
    <cellStyle name="Normal 12 2 4 4 4" xfId="14840"/>
    <cellStyle name="Normal 12 2 4 4 4 2" xfId="37427"/>
    <cellStyle name="Normal 12 2 4 4 5" xfId="8400"/>
    <cellStyle name="Normal 12 2 4 4 5 2" xfId="30987"/>
    <cellStyle name="Normal 12 2 4 4 6" xfId="24547"/>
    <cellStyle name="Normal 12 2 4 5" xfId="3076"/>
    <cellStyle name="Normal 12 2 4 5 2" xfId="6296"/>
    <cellStyle name="Normal 12 2 4 5 2 2" xfId="22396"/>
    <cellStyle name="Normal 12 2 4 5 2 2 2" xfId="44983"/>
    <cellStyle name="Normal 12 2 4 5 2 3" xfId="12736"/>
    <cellStyle name="Normal 12 2 4 5 2 3 2" xfId="35323"/>
    <cellStyle name="Normal 12 2 4 5 2 4" xfId="28883"/>
    <cellStyle name="Normal 12 2 4 5 3" xfId="19176"/>
    <cellStyle name="Normal 12 2 4 5 3 2" xfId="41763"/>
    <cellStyle name="Normal 12 2 4 5 4" xfId="15956"/>
    <cellStyle name="Normal 12 2 4 5 4 2" xfId="38543"/>
    <cellStyle name="Normal 12 2 4 5 5" xfId="9516"/>
    <cellStyle name="Normal 12 2 4 5 5 2" xfId="32103"/>
    <cellStyle name="Normal 12 2 4 5 6" xfId="25663"/>
    <cellStyle name="Normal 12 2 4 6" xfId="3366"/>
    <cellStyle name="Normal 12 2 4 6 2" xfId="6586"/>
    <cellStyle name="Normal 12 2 4 6 2 2" xfId="22686"/>
    <cellStyle name="Normal 12 2 4 6 2 2 2" xfId="45273"/>
    <cellStyle name="Normal 12 2 4 6 2 3" xfId="13026"/>
    <cellStyle name="Normal 12 2 4 6 2 3 2" xfId="35613"/>
    <cellStyle name="Normal 12 2 4 6 2 4" xfId="29173"/>
    <cellStyle name="Normal 12 2 4 6 3" xfId="19466"/>
    <cellStyle name="Normal 12 2 4 6 3 2" xfId="42053"/>
    <cellStyle name="Normal 12 2 4 6 4" xfId="16246"/>
    <cellStyle name="Normal 12 2 4 6 4 2" xfId="38833"/>
    <cellStyle name="Normal 12 2 4 6 5" xfId="9806"/>
    <cellStyle name="Normal 12 2 4 6 5 2" xfId="32393"/>
    <cellStyle name="Normal 12 2 4 6 6" xfId="25953"/>
    <cellStyle name="Normal 12 2 4 7" xfId="628"/>
    <cellStyle name="Normal 12 2 4 7 2" xfId="3872"/>
    <cellStyle name="Normal 12 2 4 7 2 2" xfId="19972"/>
    <cellStyle name="Normal 12 2 4 7 2 2 2" xfId="42559"/>
    <cellStyle name="Normal 12 2 4 7 2 3" xfId="10312"/>
    <cellStyle name="Normal 12 2 4 7 2 3 2" xfId="32899"/>
    <cellStyle name="Normal 12 2 4 7 2 4" xfId="26459"/>
    <cellStyle name="Normal 12 2 4 7 3" xfId="16752"/>
    <cellStyle name="Normal 12 2 4 7 3 2" xfId="39339"/>
    <cellStyle name="Normal 12 2 4 7 4" xfId="13532"/>
    <cellStyle name="Normal 12 2 4 7 4 2" xfId="36119"/>
    <cellStyle name="Normal 12 2 4 7 5" xfId="7092"/>
    <cellStyle name="Normal 12 2 4 7 5 2" xfId="29679"/>
    <cellStyle name="Normal 12 2 4 7 6" xfId="23239"/>
    <cellStyle name="Normal 12 2 4 8" xfId="3656"/>
    <cellStyle name="Normal 12 2 4 8 2" xfId="19756"/>
    <cellStyle name="Normal 12 2 4 8 2 2" xfId="42343"/>
    <cellStyle name="Normal 12 2 4 8 3" xfId="10096"/>
    <cellStyle name="Normal 12 2 4 8 3 2" xfId="32683"/>
    <cellStyle name="Normal 12 2 4 8 4" xfId="26243"/>
    <cellStyle name="Normal 12 2 4 9" xfId="16536"/>
    <cellStyle name="Normal 12 2 4 9 2" xfId="39123"/>
    <cellStyle name="Normal 12 2 5" xfId="798"/>
    <cellStyle name="Normal 12 2 5 2" xfId="1150"/>
    <cellStyle name="Normal 12 2 5 2 2" xfId="2464"/>
    <cellStyle name="Normal 12 2 5 2 2 2" xfId="5685"/>
    <cellStyle name="Normal 12 2 5 2 2 2 2" xfId="21785"/>
    <cellStyle name="Normal 12 2 5 2 2 2 2 2" xfId="44372"/>
    <cellStyle name="Normal 12 2 5 2 2 2 3" xfId="12125"/>
    <cellStyle name="Normal 12 2 5 2 2 2 3 2" xfId="34712"/>
    <cellStyle name="Normal 12 2 5 2 2 2 4" xfId="28272"/>
    <cellStyle name="Normal 12 2 5 2 2 3" xfId="18565"/>
    <cellStyle name="Normal 12 2 5 2 2 3 2" xfId="41152"/>
    <cellStyle name="Normal 12 2 5 2 2 4" xfId="15345"/>
    <cellStyle name="Normal 12 2 5 2 2 4 2" xfId="37932"/>
    <cellStyle name="Normal 12 2 5 2 2 5" xfId="8905"/>
    <cellStyle name="Normal 12 2 5 2 2 5 2" xfId="31492"/>
    <cellStyle name="Normal 12 2 5 2 2 6" xfId="25052"/>
    <cellStyle name="Normal 12 2 5 2 3" xfId="4377"/>
    <cellStyle name="Normal 12 2 5 2 3 2" xfId="20477"/>
    <cellStyle name="Normal 12 2 5 2 3 2 2" xfId="43064"/>
    <cellStyle name="Normal 12 2 5 2 3 3" xfId="10817"/>
    <cellStyle name="Normal 12 2 5 2 3 3 2" xfId="33404"/>
    <cellStyle name="Normal 12 2 5 2 3 4" xfId="26964"/>
    <cellStyle name="Normal 12 2 5 2 4" xfId="17257"/>
    <cellStyle name="Normal 12 2 5 2 4 2" xfId="39844"/>
    <cellStyle name="Normal 12 2 5 2 5" xfId="14037"/>
    <cellStyle name="Normal 12 2 5 2 5 2" xfId="36624"/>
    <cellStyle name="Normal 12 2 5 2 6" xfId="7597"/>
    <cellStyle name="Normal 12 2 5 2 6 2" xfId="30184"/>
    <cellStyle name="Normal 12 2 5 2 7" xfId="23744"/>
    <cellStyle name="Normal 12 2 5 3" xfId="1497"/>
    <cellStyle name="Normal 12 2 5 3 2" xfId="2811"/>
    <cellStyle name="Normal 12 2 5 3 2 2" xfId="6032"/>
    <cellStyle name="Normal 12 2 5 3 2 2 2" xfId="22132"/>
    <cellStyle name="Normal 12 2 5 3 2 2 2 2" xfId="44719"/>
    <cellStyle name="Normal 12 2 5 3 2 2 3" xfId="12472"/>
    <cellStyle name="Normal 12 2 5 3 2 2 3 2" xfId="35059"/>
    <cellStyle name="Normal 12 2 5 3 2 2 4" xfId="28619"/>
    <cellStyle name="Normal 12 2 5 3 2 3" xfId="18912"/>
    <cellStyle name="Normal 12 2 5 3 2 3 2" xfId="41499"/>
    <cellStyle name="Normal 12 2 5 3 2 4" xfId="15692"/>
    <cellStyle name="Normal 12 2 5 3 2 4 2" xfId="38279"/>
    <cellStyle name="Normal 12 2 5 3 2 5" xfId="9252"/>
    <cellStyle name="Normal 12 2 5 3 2 5 2" xfId="31839"/>
    <cellStyle name="Normal 12 2 5 3 2 6" xfId="25399"/>
    <cellStyle name="Normal 12 2 5 3 3" xfId="4724"/>
    <cellStyle name="Normal 12 2 5 3 3 2" xfId="20824"/>
    <cellStyle name="Normal 12 2 5 3 3 2 2" xfId="43411"/>
    <cellStyle name="Normal 12 2 5 3 3 3" xfId="11164"/>
    <cellStyle name="Normal 12 2 5 3 3 3 2" xfId="33751"/>
    <cellStyle name="Normal 12 2 5 3 3 4" xfId="27311"/>
    <cellStyle name="Normal 12 2 5 3 4" xfId="17604"/>
    <cellStyle name="Normal 12 2 5 3 4 2" xfId="40191"/>
    <cellStyle name="Normal 12 2 5 3 5" xfId="14384"/>
    <cellStyle name="Normal 12 2 5 3 5 2" xfId="36971"/>
    <cellStyle name="Normal 12 2 5 3 6" xfId="7944"/>
    <cellStyle name="Normal 12 2 5 3 6 2" xfId="30531"/>
    <cellStyle name="Normal 12 2 5 3 7" xfId="24091"/>
    <cellStyle name="Normal 12 2 5 4" xfId="2117"/>
    <cellStyle name="Normal 12 2 5 4 2" xfId="5338"/>
    <cellStyle name="Normal 12 2 5 4 2 2" xfId="21438"/>
    <cellStyle name="Normal 12 2 5 4 2 2 2" xfId="44025"/>
    <cellStyle name="Normal 12 2 5 4 2 3" xfId="11778"/>
    <cellStyle name="Normal 12 2 5 4 2 3 2" xfId="34365"/>
    <cellStyle name="Normal 12 2 5 4 2 4" xfId="27925"/>
    <cellStyle name="Normal 12 2 5 4 3" xfId="18218"/>
    <cellStyle name="Normal 12 2 5 4 3 2" xfId="40805"/>
    <cellStyle name="Normal 12 2 5 4 4" xfId="14998"/>
    <cellStyle name="Normal 12 2 5 4 4 2" xfId="37585"/>
    <cellStyle name="Normal 12 2 5 4 5" xfId="8558"/>
    <cellStyle name="Normal 12 2 5 4 5 2" xfId="31145"/>
    <cellStyle name="Normal 12 2 5 4 6" xfId="24705"/>
    <cellStyle name="Normal 12 2 5 5" xfId="4030"/>
    <cellStyle name="Normal 12 2 5 5 2" xfId="20130"/>
    <cellStyle name="Normal 12 2 5 5 2 2" xfId="42717"/>
    <cellStyle name="Normal 12 2 5 5 3" xfId="10470"/>
    <cellStyle name="Normal 12 2 5 5 3 2" xfId="33057"/>
    <cellStyle name="Normal 12 2 5 5 4" xfId="26617"/>
    <cellStyle name="Normal 12 2 5 6" xfId="16910"/>
    <cellStyle name="Normal 12 2 5 6 2" xfId="39497"/>
    <cellStyle name="Normal 12 2 5 7" xfId="13690"/>
    <cellStyle name="Normal 12 2 5 7 2" xfId="36277"/>
    <cellStyle name="Normal 12 2 5 8" xfId="7250"/>
    <cellStyle name="Normal 12 2 5 8 2" xfId="29837"/>
    <cellStyle name="Normal 12 2 5 9" xfId="23397"/>
    <cellStyle name="Normal 12 2 6" xfId="868"/>
    <cellStyle name="Normal 12 2 6 2" xfId="2187"/>
    <cellStyle name="Normal 12 2 6 2 2" xfId="5408"/>
    <cellStyle name="Normal 12 2 6 2 2 2" xfId="21508"/>
    <cellStyle name="Normal 12 2 6 2 2 2 2" xfId="44095"/>
    <cellStyle name="Normal 12 2 6 2 2 3" xfId="11848"/>
    <cellStyle name="Normal 12 2 6 2 2 3 2" xfId="34435"/>
    <cellStyle name="Normal 12 2 6 2 2 4" xfId="27995"/>
    <cellStyle name="Normal 12 2 6 2 3" xfId="18288"/>
    <cellStyle name="Normal 12 2 6 2 3 2" xfId="40875"/>
    <cellStyle name="Normal 12 2 6 2 4" xfId="15068"/>
    <cellStyle name="Normal 12 2 6 2 4 2" xfId="37655"/>
    <cellStyle name="Normal 12 2 6 2 5" xfId="8628"/>
    <cellStyle name="Normal 12 2 6 2 5 2" xfId="31215"/>
    <cellStyle name="Normal 12 2 6 2 6" xfId="24775"/>
    <cellStyle name="Normal 12 2 6 3" xfId="4100"/>
    <cellStyle name="Normal 12 2 6 3 2" xfId="20200"/>
    <cellStyle name="Normal 12 2 6 3 2 2" xfId="42787"/>
    <cellStyle name="Normal 12 2 6 3 3" xfId="10540"/>
    <cellStyle name="Normal 12 2 6 3 3 2" xfId="33127"/>
    <cellStyle name="Normal 12 2 6 3 4" xfId="26687"/>
    <cellStyle name="Normal 12 2 6 4" xfId="16980"/>
    <cellStyle name="Normal 12 2 6 4 2" xfId="39567"/>
    <cellStyle name="Normal 12 2 6 5" xfId="13760"/>
    <cellStyle name="Normal 12 2 6 5 2" xfId="36347"/>
    <cellStyle name="Normal 12 2 6 6" xfId="7320"/>
    <cellStyle name="Normal 12 2 6 6 2" xfId="29907"/>
    <cellStyle name="Normal 12 2 6 7" xfId="23467"/>
    <cellStyle name="Normal 12 2 7" xfId="1220"/>
    <cellStyle name="Normal 12 2 7 2" xfId="2534"/>
    <cellStyle name="Normal 12 2 7 2 2" xfId="5755"/>
    <cellStyle name="Normal 12 2 7 2 2 2" xfId="21855"/>
    <cellStyle name="Normal 12 2 7 2 2 2 2" xfId="44442"/>
    <cellStyle name="Normal 12 2 7 2 2 3" xfId="12195"/>
    <cellStyle name="Normal 12 2 7 2 2 3 2" xfId="34782"/>
    <cellStyle name="Normal 12 2 7 2 2 4" xfId="28342"/>
    <cellStyle name="Normal 12 2 7 2 3" xfId="18635"/>
    <cellStyle name="Normal 12 2 7 2 3 2" xfId="41222"/>
    <cellStyle name="Normal 12 2 7 2 4" xfId="15415"/>
    <cellStyle name="Normal 12 2 7 2 4 2" xfId="38002"/>
    <cellStyle name="Normal 12 2 7 2 5" xfId="8975"/>
    <cellStyle name="Normal 12 2 7 2 5 2" xfId="31562"/>
    <cellStyle name="Normal 12 2 7 2 6" xfId="25122"/>
    <cellStyle name="Normal 12 2 7 3" xfId="4447"/>
    <cellStyle name="Normal 12 2 7 3 2" xfId="20547"/>
    <cellStyle name="Normal 12 2 7 3 2 2" xfId="43134"/>
    <cellStyle name="Normal 12 2 7 3 3" xfId="10887"/>
    <cellStyle name="Normal 12 2 7 3 3 2" xfId="33474"/>
    <cellStyle name="Normal 12 2 7 3 4" xfId="27034"/>
    <cellStyle name="Normal 12 2 7 4" xfId="17327"/>
    <cellStyle name="Normal 12 2 7 4 2" xfId="39914"/>
    <cellStyle name="Normal 12 2 7 5" xfId="14107"/>
    <cellStyle name="Normal 12 2 7 5 2" xfId="36694"/>
    <cellStyle name="Normal 12 2 7 6" xfId="7667"/>
    <cellStyle name="Normal 12 2 7 6 2" xfId="30254"/>
    <cellStyle name="Normal 12 2 7 7" xfId="23814"/>
    <cellStyle name="Normal 12 2 8" xfId="1557"/>
    <cellStyle name="Normal 12 2 8 2" xfId="4783"/>
    <cellStyle name="Normal 12 2 8 2 2" xfId="20883"/>
    <cellStyle name="Normal 12 2 8 2 2 2" xfId="43470"/>
    <cellStyle name="Normal 12 2 8 2 3" xfId="11223"/>
    <cellStyle name="Normal 12 2 8 2 3 2" xfId="33810"/>
    <cellStyle name="Normal 12 2 8 2 4" xfId="27370"/>
    <cellStyle name="Normal 12 2 8 3" xfId="17663"/>
    <cellStyle name="Normal 12 2 8 3 2" xfId="40250"/>
    <cellStyle name="Normal 12 2 8 4" xfId="14443"/>
    <cellStyle name="Normal 12 2 8 4 2" xfId="37030"/>
    <cellStyle name="Normal 12 2 8 5" xfId="8003"/>
    <cellStyle name="Normal 12 2 8 5 2" xfId="30590"/>
    <cellStyle name="Normal 12 2 8 6" xfId="24150"/>
    <cellStyle name="Normal 12 2 9" xfId="1839"/>
    <cellStyle name="Normal 12 2 9 2" xfId="5061"/>
    <cellStyle name="Normal 12 2 9 2 2" xfId="21161"/>
    <cellStyle name="Normal 12 2 9 2 2 2" xfId="43748"/>
    <cellStyle name="Normal 12 2 9 2 3" xfId="11501"/>
    <cellStyle name="Normal 12 2 9 2 3 2" xfId="34088"/>
    <cellStyle name="Normal 12 2 9 2 4" xfId="27648"/>
    <cellStyle name="Normal 12 2 9 3" xfId="17941"/>
    <cellStyle name="Normal 12 2 9 3 2" xfId="40528"/>
    <cellStyle name="Normal 12 2 9 4" xfId="14721"/>
    <cellStyle name="Normal 12 2 9 4 2" xfId="37308"/>
    <cellStyle name="Normal 12 2 9 5" xfId="8281"/>
    <cellStyle name="Normal 12 2 9 5 2" xfId="30868"/>
    <cellStyle name="Normal 12 2 9 6" xfId="24428"/>
    <cellStyle name="Normal 12 3" xfId="145"/>
    <cellStyle name="Normal 12 3 10" xfId="483"/>
    <cellStyle name="Normal 12 3 10 2" xfId="3770"/>
    <cellStyle name="Normal 12 3 10 2 2" xfId="19870"/>
    <cellStyle name="Normal 12 3 10 2 2 2" xfId="42457"/>
    <cellStyle name="Normal 12 3 10 2 3" xfId="10210"/>
    <cellStyle name="Normal 12 3 10 2 3 2" xfId="32797"/>
    <cellStyle name="Normal 12 3 10 2 4" xfId="26357"/>
    <cellStyle name="Normal 12 3 10 3" xfId="16650"/>
    <cellStyle name="Normal 12 3 10 3 2" xfId="39237"/>
    <cellStyle name="Normal 12 3 10 4" xfId="13430"/>
    <cellStyle name="Normal 12 3 10 4 2" xfId="36017"/>
    <cellStyle name="Normal 12 3 10 5" xfId="6990"/>
    <cellStyle name="Normal 12 3 10 5 2" xfId="29577"/>
    <cellStyle name="Normal 12 3 10 6" xfId="23137"/>
    <cellStyle name="Normal 12 3 11" xfId="3480"/>
    <cellStyle name="Normal 12 3 11 2" xfId="19580"/>
    <cellStyle name="Normal 12 3 11 2 2" xfId="42167"/>
    <cellStyle name="Normal 12 3 11 3" xfId="9920"/>
    <cellStyle name="Normal 12 3 11 3 2" xfId="32507"/>
    <cellStyle name="Normal 12 3 11 4" xfId="26067"/>
    <cellStyle name="Normal 12 3 12" xfId="16360"/>
    <cellStyle name="Normal 12 3 12 2" xfId="38947"/>
    <cellStyle name="Normal 12 3 13" xfId="13140"/>
    <cellStyle name="Normal 12 3 13 2" xfId="35727"/>
    <cellStyle name="Normal 12 3 14" xfId="6700"/>
    <cellStyle name="Normal 12 3 14 2" xfId="29287"/>
    <cellStyle name="Normal 12 3 15" xfId="22847"/>
    <cellStyle name="Normal 12 3 2" xfId="291"/>
    <cellStyle name="Normal 12 3 2 10" xfId="13238"/>
    <cellStyle name="Normal 12 3 2 10 2" xfId="35825"/>
    <cellStyle name="Normal 12 3 2 11" xfId="6798"/>
    <cellStyle name="Normal 12 3 2 11 2" xfId="29385"/>
    <cellStyle name="Normal 12 3 2 12" xfId="22945"/>
    <cellStyle name="Normal 12 3 2 2" xfId="1009"/>
    <cellStyle name="Normal 12 3 2 2 2" xfId="2323"/>
    <cellStyle name="Normal 12 3 2 2 2 2" xfId="5544"/>
    <cellStyle name="Normal 12 3 2 2 2 2 2" xfId="21644"/>
    <cellStyle name="Normal 12 3 2 2 2 2 2 2" xfId="44231"/>
    <cellStyle name="Normal 12 3 2 2 2 2 3" xfId="11984"/>
    <cellStyle name="Normal 12 3 2 2 2 2 3 2" xfId="34571"/>
    <cellStyle name="Normal 12 3 2 2 2 2 4" xfId="28131"/>
    <cellStyle name="Normal 12 3 2 2 2 3" xfId="18424"/>
    <cellStyle name="Normal 12 3 2 2 2 3 2" xfId="41011"/>
    <cellStyle name="Normal 12 3 2 2 2 4" xfId="15204"/>
    <cellStyle name="Normal 12 3 2 2 2 4 2" xfId="37791"/>
    <cellStyle name="Normal 12 3 2 2 2 5" xfId="8764"/>
    <cellStyle name="Normal 12 3 2 2 2 5 2" xfId="31351"/>
    <cellStyle name="Normal 12 3 2 2 2 6" xfId="24911"/>
    <cellStyle name="Normal 12 3 2 2 3" xfId="4236"/>
    <cellStyle name="Normal 12 3 2 2 3 2" xfId="20336"/>
    <cellStyle name="Normal 12 3 2 2 3 2 2" xfId="42923"/>
    <cellStyle name="Normal 12 3 2 2 3 3" xfId="10676"/>
    <cellStyle name="Normal 12 3 2 2 3 3 2" xfId="33263"/>
    <cellStyle name="Normal 12 3 2 2 3 4" xfId="26823"/>
    <cellStyle name="Normal 12 3 2 2 4" xfId="17116"/>
    <cellStyle name="Normal 12 3 2 2 4 2" xfId="39703"/>
    <cellStyle name="Normal 12 3 2 2 5" xfId="13896"/>
    <cellStyle name="Normal 12 3 2 2 5 2" xfId="36483"/>
    <cellStyle name="Normal 12 3 2 2 6" xfId="7456"/>
    <cellStyle name="Normal 12 3 2 2 6 2" xfId="30043"/>
    <cellStyle name="Normal 12 3 2 2 7" xfId="23603"/>
    <cellStyle name="Normal 12 3 2 3" xfId="1356"/>
    <cellStyle name="Normal 12 3 2 3 2" xfId="2670"/>
    <cellStyle name="Normal 12 3 2 3 2 2" xfId="5891"/>
    <cellStyle name="Normal 12 3 2 3 2 2 2" xfId="21991"/>
    <cellStyle name="Normal 12 3 2 3 2 2 2 2" xfId="44578"/>
    <cellStyle name="Normal 12 3 2 3 2 2 3" xfId="12331"/>
    <cellStyle name="Normal 12 3 2 3 2 2 3 2" xfId="34918"/>
    <cellStyle name="Normal 12 3 2 3 2 2 4" xfId="28478"/>
    <cellStyle name="Normal 12 3 2 3 2 3" xfId="18771"/>
    <cellStyle name="Normal 12 3 2 3 2 3 2" xfId="41358"/>
    <cellStyle name="Normal 12 3 2 3 2 4" xfId="15551"/>
    <cellStyle name="Normal 12 3 2 3 2 4 2" xfId="38138"/>
    <cellStyle name="Normal 12 3 2 3 2 5" xfId="9111"/>
    <cellStyle name="Normal 12 3 2 3 2 5 2" xfId="31698"/>
    <cellStyle name="Normal 12 3 2 3 2 6" xfId="25258"/>
    <cellStyle name="Normal 12 3 2 3 3" xfId="4583"/>
    <cellStyle name="Normal 12 3 2 3 3 2" xfId="20683"/>
    <cellStyle name="Normal 12 3 2 3 3 2 2" xfId="43270"/>
    <cellStyle name="Normal 12 3 2 3 3 3" xfId="11023"/>
    <cellStyle name="Normal 12 3 2 3 3 3 2" xfId="33610"/>
    <cellStyle name="Normal 12 3 2 3 3 4" xfId="27170"/>
    <cellStyle name="Normal 12 3 2 3 4" xfId="17463"/>
    <cellStyle name="Normal 12 3 2 3 4 2" xfId="40050"/>
    <cellStyle name="Normal 12 3 2 3 5" xfId="14243"/>
    <cellStyle name="Normal 12 3 2 3 5 2" xfId="36830"/>
    <cellStyle name="Normal 12 3 2 3 6" xfId="7803"/>
    <cellStyle name="Normal 12 3 2 3 6 2" xfId="30390"/>
    <cellStyle name="Normal 12 3 2 3 7" xfId="23950"/>
    <cellStyle name="Normal 12 3 2 4" xfId="1975"/>
    <cellStyle name="Normal 12 3 2 4 2" xfId="5197"/>
    <cellStyle name="Normal 12 3 2 4 2 2" xfId="21297"/>
    <cellStyle name="Normal 12 3 2 4 2 2 2" xfId="43884"/>
    <cellStyle name="Normal 12 3 2 4 2 3" xfId="11637"/>
    <cellStyle name="Normal 12 3 2 4 2 3 2" xfId="34224"/>
    <cellStyle name="Normal 12 3 2 4 2 4" xfId="27784"/>
    <cellStyle name="Normal 12 3 2 4 3" xfId="18077"/>
    <cellStyle name="Normal 12 3 2 4 3 2" xfId="40664"/>
    <cellStyle name="Normal 12 3 2 4 4" xfId="14857"/>
    <cellStyle name="Normal 12 3 2 4 4 2" xfId="37444"/>
    <cellStyle name="Normal 12 3 2 4 5" xfId="8417"/>
    <cellStyle name="Normal 12 3 2 4 5 2" xfId="31004"/>
    <cellStyle name="Normal 12 3 2 4 6" xfId="24564"/>
    <cellStyle name="Normal 12 3 2 5" xfId="2998"/>
    <cellStyle name="Normal 12 3 2 5 2" xfId="6218"/>
    <cellStyle name="Normal 12 3 2 5 2 2" xfId="22318"/>
    <cellStyle name="Normal 12 3 2 5 2 2 2" xfId="44905"/>
    <cellStyle name="Normal 12 3 2 5 2 3" xfId="12658"/>
    <cellStyle name="Normal 12 3 2 5 2 3 2" xfId="35245"/>
    <cellStyle name="Normal 12 3 2 5 2 4" xfId="28805"/>
    <cellStyle name="Normal 12 3 2 5 3" xfId="19098"/>
    <cellStyle name="Normal 12 3 2 5 3 2" xfId="41685"/>
    <cellStyle name="Normal 12 3 2 5 4" xfId="15878"/>
    <cellStyle name="Normal 12 3 2 5 4 2" xfId="38465"/>
    <cellStyle name="Normal 12 3 2 5 5" xfId="9438"/>
    <cellStyle name="Normal 12 3 2 5 5 2" xfId="32025"/>
    <cellStyle name="Normal 12 3 2 5 6" xfId="25585"/>
    <cellStyle name="Normal 12 3 2 6" xfId="3288"/>
    <cellStyle name="Normal 12 3 2 6 2" xfId="6508"/>
    <cellStyle name="Normal 12 3 2 6 2 2" xfId="22608"/>
    <cellStyle name="Normal 12 3 2 6 2 2 2" xfId="45195"/>
    <cellStyle name="Normal 12 3 2 6 2 3" xfId="12948"/>
    <cellStyle name="Normal 12 3 2 6 2 3 2" xfId="35535"/>
    <cellStyle name="Normal 12 3 2 6 2 4" xfId="29095"/>
    <cellStyle name="Normal 12 3 2 6 3" xfId="19388"/>
    <cellStyle name="Normal 12 3 2 6 3 2" xfId="41975"/>
    <cellStyle name="Normal 12 3 2 6 4" xfId="16168"/>
    <cellStyle name="Normal 12 3 2 6 4 2" xfId="38755"/>
    <cellStyle name="Normal 12 3 2 6 5" xfId="9728"/>
    <cellStyle name="Normal 12 3 2 6 5 2" xfId="32315"/>
    <cellStyle name="Normal 12 3 2 6 6" xfId="25875"/>
    <cellStyle name="Normal 12 3 2 7" xfId="645"/>
    <cellStyle name="Normal 12 3 2 7 2" xfId="3889"/>
    <cellStyle name="Normal 12 3 2 7 2 2" xfId="19989"/>
    <cellStyle name="Normal 12 3 2 7 2 2 2" xfId="42576"/>
    <cellStyle name="Normal 12 3 2 7 2 3" xfId="10329"/>
    <cellStyle name="Normal 12 3 2 7 2 3 2" xfId="32916"/>
    <cellStyle name="Normal 12 3 2 7 2 4" xfId="26476"/>
    <cellStyle name="Normal 12 3 2 7 3" xfId="16769"/>
    <cellStyle name="Normal 12 3 2 7 3 2" xfId="39356"/>
    <cellStyle name="Normal 12 3 2 7 4" xfId="13549"/>
    <cellStyle name="Normal 12 3 2 7 4 2" xfId="36136"/>
    <cellStyle name="Normal 12 3 2 7 5" xfId="7109"/>
    <cellStyle name="Normal 12 3 2 7 5 2" xfId="29696"/>
    <cellStyle name="Normal 12 3 2 7 6" xfId="23256"/>
    <cellStyle name="Normal 12 3 2 8" xfId="3578"/>
    <cellStyle name="Normal 12 3 2 8 2" xfId="19678"/>
    <cellStyle name="Normal 12 3 2 8 2 2" xfId="42265"/>
    <cellStyle name="Normal 12 3 2 8 3" xfId="10018"/>
    <cellStyle name="Normal 12 3 2 8 3 2" xfId="32605"/>
    <cellStyle name="Normal 12 3 2 8 4" xfId="26165"/>
    <cellStyle name="Normal 12 3 2 9" xfId="16458"/>
    <cellStyle name="Normal 12 3 2 9 2" xfId="39045"/>
    <cellStyle name="Normal 12 3 3" xfId="386"/>
    <cellStyle name="Normal 12 3 3 10" xfId="13333"/>
    <cellStyle name="Normal 12 3 3 10 2" xfId="35920"/>
    <cellStyle name="Normal 12 3 3 11" xfId="6893"/>
    <cellStyle name="Normal 12 3 3 11 2" xfId="29480"/>
    <cellStyle name="Normal 12 3 3 12" xfId="23040"/>
    <cellStyle name="Normal 12 3 3 2" xfId="1170"/>
    <cellStyle name="Normal 12 3 3 2 2" xfId="2484"/>
    <cellStyle name="Normal 12 3 3 2 2 2" xfId="5705"/>
    <cellStyle name="Normal 12 3 3 2 2 2 2" xfId="21805"/>
    <cellStyle name="Normal 12 3 3 2 2 2 2 2" xfId="44392"/>
    <cellStyle name="Normal 12 3 3 2 2 2 3" xfId="12145"/>
    <cellStyle name="Normal 12 3 3 2 2 2 3 2" xfId="34732"/>
    <cellStyle name="Normal 12 3 3 2 2 2 4" xfId="28292"/>
    <cellStyle name="Normal 12 3 3 2 2 3" xfId="18585"/>
    <cellStyle name="Normal 12 3 3 2 2 3 2" xfId="41172"/>
    <cellStyle name="Normal 12 3 3 2 2 4" xfId="15365"/>
    <cellStyle name="Normal 12 3 3 2 2 4 2" xfId="37952"/>
    <cellStyle name="Normal 12 3 3 2 2 5" xfId="8925"/>
    <cellStyle name="Normal 12 3 3 2 2 5 2" xfId="31512"/>
    <cellStyle name="Normal 12 3 3 2 2 6" xfId="25072"/>
    <cellStyle name="Normal 12 3 3 2 3" xfId="4397"/>
    <cellStyle name="Normal 12 3 3 2 3 2" xfId="20497"/>
    <cellStyle name="Normal 12 3 3 2 3 2 2" xfId="43084"/>
    <cellStyle name="Normal 12 3 3 2 3 3" xfId="10837"/>
    <cellStyle name="Normal 12 3 3 2 3 3 2" xfId="33424"/>
    <cellStyle name="Normal 12 3 3 2 3 4" xfId="26984"/>
    <cellStyle name="Normal 12 3 3 2 4" xfId="17277"/>
    <cellStyle name="Normal 12 3 3 2 4 2" xfId="39864"/>
    <cellStyle name="Normal 12 3 3 2 5" xfId="14057"/>
    <cellStyle name="Normal 12 3 3 2 5 2" xfId="36644"/>
    <cellStyle name="Normal 12 3 3 2 6" xfId="7617"/>
    <cellStyle name="Normal 12 3 3 2 6 2" xfId="30204"/>
    <cellStyle name="Normal 12 3 3 2 7" xfId="23764"/>
    <cellStyle name="Normal 12 3 3 3" xfId="1517"/>
    <cellStyle name="Normal 12 3 3 3 2" xfId="2831"/>
    <cellStyle name="Normal 12 3 3 3 2 2" xfId="6052"/>
    <cellStyle name="Normal 12 3 3 3 2 2 2" xfId="22152"/>
    <cellStyle name="Normal 12 3 3 3 2 2 2 2" xfId="44739"/>
    <cellStyle name="Normal 12 3 3 3 2 2 3" xfId="12492"/>
    <cellStyle name="Normal 12 3 3 3 2 2 3 2" xfId="35079"/>
    <cellStyle name="Normal 12 3 3 3 2 2 4" xfId="28639"/>
    <cellStyle name="Normal 12 3 3 3 2 3" xfId="18932"/>
    <cellStyle name="Normal 12 3 3 3 2 3 2" xfId="41519"/>
    <cellStyle name="Normal 12 3 3 3 2 4" xfId="15712"/>
    <cellStyle name="Normal 12 3 3 3 2 4 2" xfId="38299"/>
    <cellStyle name="Normal 12 3 3 3 2 5" xfId="9272"/>
    <cellStyle name="Normal 12 3 3 3 2 5 2" xfId="31859"/>
    <cellStyle name="Normal 12 3 3 3 2 6" xfId="25419"/>
    <cellStyle name="Normal 12 3 3 3 3" xfId="4744"/>
    <cellStyle name="Normal 12 3 3 3 3 2" xfId="20844"/>
    <cellStyle name="Normal 12 3 3 3 3 2 2" xfId="43431"/>
    <cellStyle name="Normal 12 3 3 3 3 3" xfId="11184"/>
    <cellStyle name="Normal 12 3 3 3 3 3 2" xfId="33771"/>
    <cellStyle name="Normal 12 3 3 3 3 4" xfId="27331"/>
    <cellStyle name="Normal 12 3 3 3 4" xfId="17624"/>
    <cellStyle name="Normal 12 3 3 3 4 2" xfId="40211"/>
    <cellStyle name="Normal 12 3 3 3 5" xfId="14404"/>
    <cellStyle name="Normal 12 3 3 3 5 2" xfId="36991"/>
    <cellStyle name="Normal 12 3 3 3 6" xfId="7964"/>
    <cellStyle name="Normal 12 3 3 3 6 2" xfId="30551"/>
    <cellStyle name="Normal 12 3 3 3 7" xfId="24111"/>
    <cellStyle name="Normal 12 3 3 4" xfId="2137"/>
    <cellStyle name="Normal 12 3 3 4 2" xfId="5358"/>
    <cellStyle name="Normal 12 3 3 4 2 2" xfId="21458"/>
    <cellStyle name="Normal 12 3 3 4 2 2 2" xfId="44045"/>
    <cellStyle name="Normal 12 3 3 4 2 3" xfId="11798"/>
    <cellStyle name="Normal 12 3 3 4 2 3 2" xfId="34385"/>
    <cellStyle name="Normal 12 3 3 4 2 4" xfId="27945"/>
    <cellStyle name="Normal 12 3 3 4 3" xfId="18238"/>
    <cellStyle name="Normal 12 3 3 4 3 2" xfId="40825"/>
    <cellStyle name="Normal 12 3 3 4 4" xfId="15018"/>
    <cellStyle name="Normal 12 3 3 4 4 2" xfId="37605"/>
    <cellStyle name="Normal 12 3 3 4 5" xfId="8578"/>
    <cellStyle name="Normal 12 3 3 4 5 2" xfId="31165"/>
    <cellStyle name="Normal 12 3 3 4 6" xfId="24725"/>
    <cellStyle name="Normal 12 3 3 5" xfId="3093"/>
    <cellStyle name="Normal 12 3 3 5 2" xfId="6313"/>
    <cellStyle name="Normal 12 3 3 5 2 2" xfId="22413"/>
    <cellStyle name="Normal 12 3 3 5 2 2 2" xfId="45000"/>
    <cellStyle name="Normal 12 3 3 5 2 3" xfId="12753"/>
    <cellStyle name="Normal 12 3 3 5 2 3 2" xfId="35340"/>
    <cellStyle name="Normal 12 3 3 5 2 4" xfId="28900"/>
    <cellStyle name="Normal 12 3 3 5 3" xfId="19193"/>
    <cellStyle name="Normal 12 3 3 5 3 2" xfId="41780"/>
    <cellStyle name="Normal 12 3 3 5 4" xfId="15973"/>
    <cellStyle name="Normal 12 3 3 5 4 2" xfId="38560"/>
    <cellStyle name="Normal 12 3 3 5 5" xfId="9533"/>
    <cellStyle name="Normal 12 3 3 5 5 2" xfId="32120"/>
    <cellStyle name="Normal 12 3 3 5 6" xfId="25680"/>
    <cellStyle name="Normal 12 3 3 6" xfId="3383"/>
    <cellStyle name="Normal 12 3 3 6 2" xfId="6603"/>
    <cellStyle name="Normal 12 3 3 6 2 2" xfId="22703"/>
    <cellStyle name="Normal 12 3 3 6 2 2 2" xfId="45290"/>
    <cellStyle name="Normal 12 3 3 6 2 3" xfId="13043"/>
    <cellStyle name="Normal 12 3 3 6 2 3 2" xfId="35630"/>
    <cellStyle name="Normal 12 3 3 6 2 4" xfId="29190"/>
    <cellStyle name="Normal 12 3 3 6 3" xfId="19483"/>
    <cellStyle name="Normal 12 3 3 6 3 2" xfId="42070"/>
    <cellStyle name="Normal 12 3 3 6 4" xfId="16263"/>
    <cellStyle name="Normal 12 3 3 6 4 2" xfId="38850"/>
    <cellStyle name="Normal 12 3 3 6 5" xfId="9823"/>
    <cellStyle name="Normal 12 3 3 6 5 2" xfId="32410"/>
    <cellStyle name="Normal 12 3 3 6 6" xfId="25970"/>
    <cellStyle name="Normal 12 3 3 7" xfId="818"/>
    <cellStyle name="Normal 12 3 3 7 2" xfId="4050"/>
    <cellStyle name="Normal 12 3 3 7 2 2" xfId="20150"/>
    <cellStyle name="Normal 12 3 3 7 2 2 2" xfId="42737"/>
    <cellStyle name="Normal 12 3 3 7 2 3" xfId="10490"/>
    <cellStyle name="Normal 12 3 3 7 2 3 2" xfId="33077"/>
    <cellStyle name="Normal 12 3 3 7 2 4" xfId="26637"/>
    <cellStyle name="Normal 12 3 3 7 3" xfId="16930"/>
    <cellStyle name="Normal 12 3 3 7 3 2" xfId="39517"/>
    <cellStyle name="Normal 12 3 3 7 4" xfId="13710"/>
    <cellStyle name="Normal 12 3 3 7 4 2" xfId="36297"/>
    <cellStyle name="Normal 12 3 3 7 5" xfId="7270"/>
    <cellStyle name="Normal 12 3 3 7 5 2" xfId="29857"/>
    <cellStyle name="Normal 12 3 3 7 6" xfId="23417"/>
    <cellStyle name="Normal 12 3 3 8" xfId="3673"/>
    <cellStyle name="Normal 12 3 3 8 2" xfId="19773"/>
    <cellStyle name="Normal 12 3 3 8 2 2" xfId="42360"/>
    <cellStyle name="Normal 12 3 3 8 3" xfId="10113"/>
    <cellStyle name="Normal 12 3 3 8 3 2" xfId="32700"/>
    <cellStyle name="Normal 12 3 3 8 4" xfId="26260"/>
    <cellStyle name="Normal 12 3 3 9" xfId="16553"/>
    <cellStyle name="Normal 12 3 3 9 2" xfId="39140"/>
    <cellStyle name="Normal 12 3 4" xfId="885"/>
    <cellStyle name="Normal 12 3 4 2" xfId="2204"/>
    <cellStyle name="Normal 12 3 4 2 2" xfId="5425"/>
    <cellStyle name="Normal 12 3 4 2 2 2" xfId="21525"/>
    <cellStyle name="Normal 12 3 4 2 2 2 2" xfId="44112"/>
    <cellStyle name="Normal 12 3 4 2 2 3" xfId="11865"/>
    <cellStyle name="Normal 12 3 4 2 2 3 2" xfId="34452"/>
    <cellStyle name="Normal 12 3 4 2 2 4" xfId="28012"/>
    <cellStyle name="Normal 12 3 4 2 3" xfId="18305"/>
    <cellStyle name="Normal 12 3 4 2 3 2" xfId="40892"/>
    <cellStyle name="Normal 12 3 4 2 4" xfId="15085"/>
    <cellStyle name="Normal 12 3 4 2 4 2" xfId="37672"/>
    <cellStyle name="Normal 12 3 4 2 5" xfId="8645"/>
    <cellStyle name="Normal 12 3 4 2 5 2" xfId="31232"/>
    <cellStyle name="Normal 12 3 4 2 6" xfId="24792"/>
    <cellStyle name="Normal 12 3 4 3" xfId="4117"/>
    <cellStyle name="Normal 12 3 4 3 2" xfId="20217"/>
    <cellStyle name="Normal 12 3 4 3 2 2" xfId="42804"/>
    <cellStyle name="Normal 12 3 4 3 3" xfId="10557"/>
    <cellStyle name="Normal 12 3 4 3 3 2" xfId="33144"/>
    <cellStyle name="Normal 12 3 4 3 4" xfId="26704"/>
    <cellStyle name="Normal 12 3 4 4" xfId="16997"/>
    <cellStyle name="Normal 12 3 4 4 2" xfId="39584"/>
    <cellStyle name="Normal 12 3 4 5" xfId="13777"/>
    <cellStyle name="Normal 12 3 4 5 2" xfId="36364"/>
    <cellStyle name="Normal 12 3 4 6" xfId="7337"/>
    <cellStyle name="Normal 12 3 4 6 2" xfId="29924"/>
    <cellStyle name="Normal 12 3 4 7" xfId="23484"/>
    <cellStyle name="Normal 12 3 5" xfId="1237"/>
    <cellStyle name="Normal 12 3 5 2" xfId="2551"/>
    <cellStyle name="Normal 12 3 5 2 2" xfId="5772"/>
    <cellStyle name="Normal 12 3 5 2 2 2" xfId="21872"/>
    <cellStyle name="Normal 12 3 5 2 2 2 2" xfId="44459"/>
    <cellStyle name="Normal 12 3 5 2 2 3" xfId="12212"/>
    <cellStyle name="Normal 12 3 5 2 2 3 2" xfId="34799"/>
    <cellStyle name="Normal 12 3 5 2 2 4" xfId="28359"/>
    <cellStyle name="Normal 12 3 5 2 3" xfId="18652"/>
    <cellStyle name="Normal 12 3 5 2 3 2" xfId="41239"/>
    <cellStyle name="Normal 12 3 5 2 4" xfId="15432"/>
    <cellStyle name="Normal 12 3 5 2 4 2" xfId="38019"/>
    <cellStyle name="Normal 12 3 5 2 5" xfId="8992"/>
    <cellStyle name="Normal 12 3 5 2 5 2" xfId="31579"/>
    <cellStyle name="Normal 12 3 5 2 6" xfId="25139"/>
    <cellStyle name="Normal 12 3 5 3" xfId="4464"/>
    <cellStyle name="Normal 12 3 5 3 2" xfId="20564"/>
    <cellStyle name="Normal 12 3 5 3 2 2" xfId="43151"/>
    <cellStyle name="Normal 12 3 5 3 3" xfId="10904"/>
    <cellStyle name="Normal 12 3 5 3 3 2" xfId="33491"/>
    <cellStyle name="Normal 12 3 5 3 4" xfId="27051"/>
    <cellStyle name="Normal 12 3 5 4" xfId="17344"/>
    <cellStyle name="Normal 12 3 5 4 2" xfId="39931"/>
    <cellStyle name="Normal 12 3 5 5" xfId="14124"/>
    <cellStyle name="Normal 12 3 5 5 2" xfId="36711"/>
    <cellStyle name="Normal 12 3 5 6" xfId="7684"/>
    <cellStyle name="Normal 12 3 5 6 2" xfId="30271"/>
    <cellStyle name="Normal 12 3 5 7" xfId="23831"/>
    <cellStyle name="Normal 12 3 6" xfId="1558"/>
    <cellStyle name="Normal 12 3 6 2" xfId="4784"/>
    <cellStyle name="Normal 12 3 6 2 2" xfId="20884"/>
    <cellStyle name="Normal 12 3 6 2 2 2" xfId="43471"/>
    <cellStyle name="Normal 12 3 6 2 3" xfId="11224"/>
    <cellStyle name="Normal 12 3 6 2 3 2" xfId="33811"/>
    <cellStyle name="Normal 12 3 6 2 4" xfId="27371"/>
    <cellStyle name="Normal 12 3 6 3" xfId="17664"/>
    <cellStyle name="Normal 12 3 6 3 2" xfId="40251"/>
    <cellStyle name="Normal 12 3 6 4" xfId="14444"/>
    <cellStyle name="Normal 12 3 6 4 2" xfId="37031"/>
    <cellStyle name="Normal 12 3 6 5" xfId="8004"/>
    <cellStyle name="Normal 12 3 6 5 2" xfId="30591"/>
    <cellStyle name="Normal 12 3 6 6" xfId="24151"/>
    <cellStyle name="Normal 12 3 7" xfId="1856"/>
    <cellStyle name="Normal 12 3 7 2" xfId="5078"/>
    <cellStyle name="Normal 12 3 7 2 2" xfId="21178"/>
    <cellStyle name="Normal 12 3 7 2 2 2" xfId="43765"/>
    <cellStyle name="Normal 12 3 7 2 3" xfId="11518"/>
    <cellStyle name="Normal 12 3 7 2 3 2" xfId="34105"/>
    <cellStyle name="Normal 12 3 7 2 4" xfId="27665"/>
    <cellStyle name="Normal 12 3 7 3" xfId="17958"/>
    <cellStyle name="Normal 12 3 7 3 2" xfId="40545"/>
    <cellStyle name="Normal 12 3 7 4" xfId="14738"/>
    <cellStyle name="Normal 12 3 7 4 2" xfId="37325"/>
    <cellStyle name="Normal 12 3 7 5" xfId="8298"/>
    <cellStyle name="Normal 12 3 7 5 2" xfId="30885"/>
    <cellStyle name="Normal 12 3 7 6" xfId="24445"/>
    <cellStyle name="Normal 12 3 8" xfId="2899"/>
    <cellStyle name="Normal 12 3 8 2" xfId="6120"/>
    <cellStyle name="Normal 12 3 8 2 2" xfId="22220"/>
    <cellStyle name="Normal 12 3 8 2 2 2" xfId="44807"/>
    <cellStyle name="Normal 12 3 8 2 3" xfId="12560"/>
    <cellStyle name="Normal 12 3 8 2 3 2" xfId="35147"/>
    <cellStyle name="Normal 12 3 8 2 4" xfId="28707"/>
    <cellStyle name="Normal 12 3 8 3" xfId="19000"/>
    <cellStyle name="Normal 12 3 8 3 2" xfId="41587"/>
    <cellStyle name="Normal 12 3 8 4" xfId="15780"/>
    <cellStyle name="Normal 12 3 8 4 2" xfId="38367"/>
    <cellStyle name="Normal 12 3 8 5" xfId="9340"/>
    <cellStyle name="Normal 12 3 8 5 2" xfId="31927"/>
    <cellStyle name="Normal 12 3 8 6" xfId="25487"/>
    <cellStyle name="Normal 12 3 9" xfId="3190"/>
    <cellStyle name="Normal 12 3 9 2" xfId="6410"/>
    <cellStyle name="Normal 12 3 9 2 2" xfId="22510"/>
    <cellStyle name="Normal 12 3 9 2 2 2" xfId="45097"/>
    <cellStyle name="Normal 12 3 9 2 3" xfId="12850"/>
    <cellStyle name="Normal 12 3 9 2 3 2" xfId="35437"/>
    <cellStyle name="Normal 12 3 9 2 4" xfId="28997"/>
    <cellStyle name="Normal 12 3 9 3" xfId="19290"/>
    <cellStyle name="Normal 12 3 9 3 2" xfId="41877"/>
    <cellStyle name="Normal 12 3 9 4" xfId="16070"/>
    <cellStyle name="Normal 12 3 9 4 2" xfId="38657"/>
    <cellStyle name="Normal 12 3 9 5" xfId="9630"/>
    <cellStyle name="Normal 12 3 9 5 2" xfId="32217"/>
    <cellStyle name="Normal 12 3 9 6" xfId="25777"/>
    <cellStyle name="Normal 12 4" xfId="236"/>
    <cellStyle name="Normal 12 4 10" xfId="523"/>
    <cellStyle name="Normal 12 4 10 2" xfId="3810"/>
    <cellStyle name="Normal 12 4 10 2 2" xfId="19910"/>
    <cellStyle name="Normal 12 4 10 2 2 2" xfId="42497"/>
    <cellStyle name="Normal 12 4 10 2 3" xfId="10250"/>
    <cellStyle name="Normal 12 4 10 2 3 2" xfId="32837"/>
    <cellStyle name="Normal 12 4 10 2 4" xfId="26397"/>
    <cellStyle name="Normal 12 4 10 3" xfId="16690"/>
    <cellStyle name="Normal 12 4 10 3 2" xfId="39277"/>
    <cellStyle name="Normal 12 4 10 4" xfId="13470"/>
    <cellStyle name="Normal 12 4 10 4 2" xfId="36057"/>
    <cellStyle name="Normal 12 4 10 5" xfId="7030"/>
    <cellStyle name="Normal 12 4 10 5 2" xfId="29617"/>
    <cellStyle name="Normal 12 4 10 6" xfId="23177"/>
    <cellStyle name="Normal 12 4 11" xfId="3524"/>
    <cellStyle name="Normal 12 4 11 2" xfId="19624"/>
    <cellStyle name="Normal 12 4 11 2 2" xfId="42211"/>
    <cellStyle name="Normal 12 4 11 3" xfId="9964"/>
    <cellStyle name="Normal 12 4 11 3 2" xfId="32551"/>
    <cellStyle name="Normal 12 4 11 4" xfId="26111"/>
    <cellStyle name="Normal 12 4 12" xfId="16404"/>
    <cellStyle name="Normal 12 4 12 2" xfId="38991"/>
    <cellStyle name="Normal 12 4 13" xfId="13184"/>
    <cellStyle name="Normal 12 4 13 2" xfId="35771"/>
    <cellStyle name="Normal 12 4 14" xfId="6744"/>
    <cellStyle name="Normal 12 4 14 2" xfId="29331"/>
    <cellStyle name="Normal 12 4 15" xfId="22891"/>
    <cellStyle name="Normal 12 4 2" xfId="334"/>
    <cellStyle name="Normal 12 4 2 10" xfId="13281"/>
    <cellStyle name="Normal 12 4 2 10 2" xfId="35868"/>
    <cellStyle name="Normal 12 4 2 11" xfId="6841"/>
    <cellStyle name="Normal 12 4 2 11 2" xfId="29428"/>
    <cellStyle name="Normal 12 4 2 12" xfId="22988"/>
    <cellStyle name="Normal 12 4 2 2" xfId="1046"/>
    <cellStyle name="Normal 12 4 2 2 2" xfId="2360"/>
    <cellStyle name="Normal 12 4 2 2 2 2" xfId="5581"/>
    <cellStyle name="Normal 12 4 2 2 2 2 2" xfId="21681"/>
    <cellStyle name="Normal 12 4 2 2 2 2 2 2" xfId="44268"/>
    <cellStyle name="Normal 12 4 2 2 2 2 3" xfId="12021"/>
    <cellStyle name="Normal 12 4 2 2 2 2 3 2" xfId="34608"/>
    <cellStyle name="Normal 12 4 2 2 2 2 4" xfId="28168"/>
    <cellStyle name="Normal 12 4 2 2 2 3" xfId="18461"/>
    <cellStyle name="Normal 12 4 2 2 2 3 2" xfId="41048"/>
    <cellStyle name="Normal 12 4 2 2 2 4" xfId="15241"/>
    <cellStyle name="Normal 12 4 2 2 2 4 2" xfId="37828"/>
    <cellStyle name="Normal 12 4 2 2 2 5" xfId="8801"/>
    <cellStyle name="Normal 12 4 2 2 2 5 2" xfId="31388"/>
    <cellStyle name="Normal 12 4 2 2 2 6" xfId="24948"/>
    <cellStyle name="Normal 12 4 2 2 3" xfId="4273"/>
    <cellStyle name="Normal 12 4 2 2 3 2" xfId="20373"/>
    <cellStyle name="Normal 12 4 2 2 3 2 2" xfId="42960"/>
    <cellStyle name="Normal 12 4 2 2 3 3" xfId="10713"/>
    <cellStyle name="Normal 12 4 2 2 3 3 2" xfId="33300"/>
    <cellStyle name="Normal 12 4 2 2 3 4" xfId="26860"/>
    <cellStyle name="Normal 12 4 2 2 4" xfId="17153"/>
    <cellStyle name="Normal 12 4 2 2 4 2" xfId="39740"/>
    <cellStyle name="Normal 12 4 2 2 5" xfId="13933"/>
    <cellStyle name="Normal 12 4 2 2 5 2" xfId="36520"/>
    <cellStyle name="Normal 12 4 2 2 6" xfId="7493"/>
    <cellStyle name="Normal 12 4 2 2 6 2" xfId="30080"/>
    <cellStyle name="Normal 12 4 2 2 7" xfId="23640"/>
    <cellStyle name="Normal 12 4 2 3" xfId="1393"/>
    <cellStyle name="Normal 12 4 2 3 2" xfId="2707"/>
    <cellStyle name="Normal 12 4 2 3 2 2" xfId="5928"/>
    <cellStyle name="Normal 12 4 2 3 2 2 2" xfId="22028"/>
    <cellStyle name="Normal 12 4 2 3 2 2 2 2" xfId="44615"/>
    <cellStyle name="Normal 12 4 2 3 2 2 3" xfId="12368"/>
    <cellStyle name="Normal 12 4 2 3 2 2 3 2" xfId="34955"/>
    <cellStyle name="Normal 12 4 2 3 2 2 4" xfId="28515"/>
    <cellStyle name="Normal 12 4 2 3 2 3" xfId="18808"/>
    <cellStyle name="Normal 12 4 2 3 2 3 2" xfId="41395"/>
    <cellStyle name="Normal 12 4 2 3 2 4" xfId="15588"/>
    <cellStyle name="Normal 12 4 2 3 2 4 2" xfId="38175"/>
    <cellStyle name="Normal 12 4 2 3 2 5" xfId="9148"/>
    <cellStyle name="Normal 12 4 2 3 2 5 2" xfId="31735"/>
    <cellStyle name="Normal 12 4 2 3 2 6" xfId="25295"/>
    <cellStyle name="Normal 12 4 2 3 3" xfId="4620"/>
    <cellStyle name="Normal 12 4 2 3 3 2" xfId="20720"/>
    <cellStyle name="Normal 12 4 2 3 3 2 2" xfId="43307"/>
    <cellStyle name="Normal 12 4 2 3 3 3" xfId="11060"/>
    <cellStyle name="Normal 12 4 2 3 3 3 2" xfId="33647"/>
    <cellStyle name="Normal 12 4 2 3 3 4" xfId="27207"/>
    <cellStyle name="Normal 12 4 2 3 4" xfId="17500"/>
    <cellStyle name="Normal 12 4 2 3 4 2" xfId="40087"/>
    <cellStyle name="Normal 12 4 2 3 5" xfId="14280"/>
    <cellStyle name="Normal 12 4 2 3 5 2" xfId="36867"/>
    <cellStyle name="Normal 12 4 2 3 6" xfId="7840"/>
    <cellStyle name="Normal 12 4 2 3 6 2" xfId="30427"/>
    <cellStyle name="Normal 12 4 2 3 7" xfId="23987"/>
    <cellStyle name="Normal 12 4 2 4" xfId="2012"/>
    <cellStyle name="Normal 12 4 2 4 2" xfId="5234"/>
    <cellStyle name="Normal 12 4 2 4 2 2" xfId="21334"/>
    <cellStyle name="Normal 12 4 2 4 2 2 2" xfId="43921"/>
    <cellStyle name="Normal 12 4 2 4 2 3" xfId="11674"/>
    <cellStyle name="Normal 12 4 2 4 2 3 2" xfId="34261"/>
    <cellStyle name="Normal 12 4 2 4 2 4" xfId="27821"/>
    <cellStyle name="Normal 12 4 2 4 3" xfId="18114"/>
    <cellStyle name="Normal 12 4 2 4 3 2" xfId="40701"/>
    <cellStyle name="Normal 12 4 2 4 4" xfId="14894"/>
    <cellStyle name="Normal 12 4 2 4 4 2" xfId="37481"/>
    <cellStyle name="Normal 12 4 2 4 5" xfId="8454"/>
    <cellStyle name="Normal 12 4 2 4 5 2" xfId="31041"/>
    <cellStyle name="Normal 12 4 2 4 6" xfId="24601"/>
    <cellStyle name="Normal 12 4 2 5" xfId="3041"/>
    <cellStyle name="Normal 12 4 2 5 2" xfId="6261"/>
    <cellStyle name="Normal 12 4 2 5 2 2" xfId="22361"/>
    <cellStyle name="Normal 12 4 2 5 2 2 2" xfId="44948"/>
    <cellStyle name="Normal 12 4 2 5 2 3" xfId="12701"/>
    <cellStyle name="Normal 12 4 2 5 2 3 2" xfId="35288"/>
    <cellStyle name="Normal 12 4 2 5 2 4" xfId="28848"/>
    <cellStyle name="Normal 12 4 2 5 3" xfId="19141"/>
    <cellStyle name="Normal 12 4 2 5 3 2" xfId="41728"/>
    <cellStyle name="Normal 12 4 2 5 4" xfId="15921"/>
    <cellStyle name="Normal 12 4 2 5 4 2" xfId="38508"/>
    <cellStyle name="Normal 12 4 2 5 5" xfId="9481"/>
    <cellStyle name="Normal 12 4 2 5 5 2" xfId="32068"/>
    <cellStyle name="Normal 12 4 2 5 6" xfId="25628"/>
    <cellStyle name="Normal 12 4 2 6" xfId="3331"/>
    <cellStyle name="Normal 12 4 2 6 2" xfId="6551"/>
    <cellStyle name="Normal 12 4 2 6 2 2" xfId="22651"/>
    <cellStyle name="Normal 12 4 2 6 2 2 2" xfId="45238"/>
    <cellStyle name="Normal 12 4 2 6 2 3" xfId="12991"/>
    <cellStyle name="Normal 12 4 2 6 2 3 2" xfId="35578"/>
    <cellStyle name="Normal 12 4 2 6 2 4" xfId="29138"/>
    <cellStyle name="Normal 12 4 2 6 3" xfId="19431"/>
    <cellStyle name="Normal 12 4 2 6 3 2" xfId="42018"/>
    <cellStyle name="Normal 12 4 2 6 4" xfId="16211"/>
    <cellStyle name="Normal 12 4 2 6 4 2" xfId="38798"/>
    <cellStyle name="Normal 12 4 2 6 5" xfId="9771"/>
    <cellStyle name="Normal 12 4 2 6 5 2" xfId="32358"/>
    <cellStyle name="Normal 12 4 2 6 6" xfId="25918"/>
    <cellStyle name="Normal 12 4 2 7" xfId="682"/>
    <cellStyle name="Normal 12 4 2 7 2" xfId="3926"/>
    <cellStyle name="Normal 12 4 2 7 2 2" xfId="20026"/>
    <cellStyle name="Normal 12 4 2 7 2 2 2" xfId="42613"/>
    <cellStyle name="Normal 12 4 2 7 2 3" xfId="10366"/>
    <cellStyle name="Normal 12 4 2 7 2 3 2" xfId="32953"/>
    <cellStyle name="Normal 12 4 2 7 2 4" xfId="26513"/>
    <cellStyle name="Normal 12 4 2 7 3" xfId="16806"/>
    <cellStyle name="Normal 12 4 2 7 3 2" xfId="39393"/>
    <cellStyle name="Normal 12 4 2 7 4" xfId="13586"/>
    <cellStyle name="Normal 12 4 2 7 4 2" xfId="36173"/>
    <cellStyle name="Normal 12 4 2 7 5" xfId="7146"/>
    <cellStyle name="Normal 12 4 2 7 5 2" xfId="29733"/>
    <cellStyle name="Normal 12 4 2 7 6" xfId="23293"/>
    <cellStyle name="Normal 12 4 2 8" xfId="3621"/>
    <cellStyle name="Normal 12 4 2 8 2" xfId="19721"/>
    <cellStyle name="Normal 12 4 2 8 2 2" xfId="42308"/>
    <cellStyle name="Normal 12 4 2 8 3" xfId="10061"/>
    <cellStyle name="Normal 12 4 2 8 3 2" xfId="32648"/>
    <cellStyle name="Normal 12 4 2 8 4" xfId="26208"/>
    <cellStyle name="Normal 12 4 2 9" xfId="16501"/>
    <cellStyle name="Normal 12 4 2 9 2" xfId="39088"/>
    <cellStyle name="Normal 12 4 3" xfId="430"/>
    <cellStyle name="Normal 12 4 3 10" xfId="13377"/>
    <cellStyle name="Normal 12 4 3 10 2" xfId="35964"/>
    <cellStyle name="Normal 12 4 3 11" xfId="6937"/>
    <cellStyle name="Normal 12 4 3 11 2" xfId="29524"/>
    <cellStyle name="Normal 12 4 3 12" xfId="23084"/>
    <cellStyle name="Normal 12 4 3 2" xfId="1130"/>
    <cellStyle name="Normal 12 4 3 2 2" xfId="2444"/>
    <cellStyle name="Normal 12 4 3 2 2 2" xfId="5665"/>
    <cellStyle name="Normal 12 4 3 2 2 2 2" xfId="21765"/>
    <cellStyle name="Normal 12 4 3 2 2 2 2 2" xfId="44352"/>
    <cellStyle name="Normal 12 4 3 2 2 2 3" xfId="12105"/>
    <cellStyle name="Normal 12 4 3 2 2 2 3 2" xfId="34692"/>
    <cellStyle name="Normal 12 4 3 2 2 2 4" xfId="28252"/>
    <cellStyle name="Normal 12 4 3 2 2 3" xfId="18545"/>
    <cellStyle name="Normal 12 4 3 2 2 3 2" xfId="41132"/>
    <cellStyle name="Normal 12 4 3 2 2 4" xfId="15325"/>
    <cellStyle name="Normal 12 4 3 2 2 4 2" xfId="37912"/>
    <cellStyle name="Normal 12 4 3 2 2 5" xfId="8885"/>
    <cellStyle name="Normal 12 4 3 2 2 5 2" xfId="31472"/>
    <cellStyle name="Normal 12 4 3 2 2 6" xfId="25032"/>
    <cellStyle name="Normal 12 4 3 2 3" xfId="4357"/>
    <cellStyle name="Normal 12 4 3 2 3 2" xfId="20457"/>
    <cellStyle name="Normal 12 4 3 2 3 2 2" xfId="43044"/>
    <cellStyle name="Normal 12 4 3 2 3 3" xfId="10797"/>
    <cellStyle name="Normal 12 4 3 2 3 3 2" xfId="33384"/>
    <cellStyle name="Normal 12 4 3 2 3 4" xfId="26944"/>
    <cellStyle name="Normal 12 4 3 2 4" xfId="17237"/>
    <cellStyle name="Normal 12 4 3 2 4 2" xfId="39824"/>
    <cellStyle name="Normal 12 4 3 2 5" xfId="14017"/>
    <cellStyle name="Normal 12 4 3 2 5 2" xfId="36604"/>
    <cellStyle name="Normal 12 4 3 2 6" xfId="7577"/>
    <cellStyle name="Normal 12 4 3 2 6 2" xfId="30164"/>
    <cellStyle name="Normal 12 4 3 2 7" xfId="23724"/>
    <cellStyle name="Normal 12 4 3 3" xfId="1477"/>
    <cellStyle name="Normal 12 4 3 3 2" xfId="2791"/>
    <cellStyle name="Normal 12 4 3 3 2 2" xfId="6012"/>
    <cellStyle name="Normal 12 4 3 3 2 2 2" xfId="22112"/>
    <cellStyle name="Normal 12 4 3 3 2 2 2 2" xfId="44699"/>
    <cellStyle name="Normal 12 4 3 3 2 2 3" xfId="12452"/>
    <cellStyle name="Normal 12 4 3 3 2 2 3 2" xfId="35039"/>
    <cellStyle name="Normal 12 4 3 3 2 2 4" xfId="28599"/>
    <cellStyle name="Normal 12 4 3 3 2 3" xfId="18892"/>
    <cellStyle name="Normal 12 4 3 3 2 3 2" xfId="41479"/>
    <cellStyle name="Normal 12 4 3 3 2 4" xfId="15672"/>
    <cellStyle name="Normal 12 4 3 3 2 4 2" xfId="38259"/>
    <cellStyle name="Normal 12 4 3 3 2 5" xfId="9232"/>
    <cellStyle name="Normal 12 4 3 3 2 5 2" xfId="31819"/>
    <cellStyle name="Normal 12 4 3 3 2 6" xfId="25379"/>
    <cellStyle name="Normal 12 4 3 3 3" xfId="4704"/>
    <cellStyle name="Normal 12 4 3 3 3 2" xfId="20804"/>
    <cellStyle name="Normal 12 4 3 3 3 2 2" xfId="43391"/>
    <cellStyle name="Normal 12 4 3 3 3 3" xfId="11144"/>
    <cellStyle name="Normal 12 4 3 3 3 3 2" xfId="33731"/>
    <cellStyle name="Normal 12 4 3 3 3 4" xfId="27291"/>
    <cellStyle name="Normal 12 4 3 3 4" xfId="17584"/>
    <cellStyle name="Normal 12 4 3 3 4 2" xfId="40171"/>
    <cellStyle name="Normal 12 4 3 3 5" xfId="14364"/>
    <cellStyle name="Normal 12 4 3 3 5 2" xfId="36951"/>
    <cellStyle name="Normal 12 4 3 3 6" xfId="7924"/>
    <cellStyle name="Normal 12 4 3 3 6 2" xfId="30511"/>
    <cellStyle name="Normal 12 4 3 3 7" xfId="24071"/>
    <cellStyle name="Normal 12 4 3 4" xfId="2097"/>
    <cellStyle name="Normal 12 4 3 4 2" xfId="5318"/>
    <cellStyle name="Normal 12 4 3 4 2 2" xfId="21418"/>
    <cellStyle name="Normal 12 4 3 4 2 2 2" xfId="44005"/>
    <cellStyle name="Normal 12 4 3 4 2 3" xfId="11758"/>
    <cellStyle name="Normal 12 4 3 4 2 3 2" xfId="34345"/>
    <cellStyle name="Normal 12 4 3 4 2 4" xfId="27905"/>
    <cellStyle name="Normal 12 4 3 4 3" xfId="18198"/>
    <cellStyle name="Normal 12 4 3 4 3 2" xfId="40785"/>
    <cellStyle name="Normal 12 4 3 4 4" xfId="14978"/>
    <cellStyle name="Normal 12 4 3 4 4 2" xfId="37565"/>
    <cellStyle name="Normal 12 4 3 4 5" xfId="8538"/>
    <cellStyle name="Normal 12 4 3 4 5 2" xfId="31125"/>
    <cellStyle name="Normal 12 4 3 4 6" xfId="24685"/>
    <cellStyle name="Normal 12 4 3 5" xfId="3137"/>
    <cellStyle name="Normal 12 4 3 5 2" xfId="6357"/>
    <cellStyle name="Normal 12 4 3 5 2 2" xfId="22457"/>
    <cellStyle name="Normal 12 4 3 5 2 2 2" xfId="45044"/>
    <cellStyle name="Normal 12 4 3 5 2 3" xfId="12797"/>
    <cellStyle name="Normal 12 4 3 5 2 3 2" xfId="35384"/>
    <cellStyle name="Normal 12 4 3 5 2 4" xfId="28944"/>
    <cellStyle name="Normal 12 4 3 5 3" xfId="19237"/>
    <cellStyle name="Normal 12 4 3 5 3 2" xfId="41824"/>
    <cellStyle name="Normal 12 4 3 5 4" xfId="16017"/>
    <cellStyle name="Normal 12 4 3 5 4 2" xfId="38604"/>
    <cellStyle name="Normal 12 4 3 5 5" xfId="9577"/>
    <cellStyle name="Normal 12 4 3 5 5 2" xfId="32164"/>
    <cellStyle name="Normal 12 4 3 5 6" xfId="25724"/>
    <cellStyle name="Normal 12 4 3 6" xfId="3427"/>
    <cellStyle name="Normal 12 4 3 6 2" xfId="6647"/>
    <cellStyle name="Normal 12 4 3 6 2 2" xfId="22747"/>
    <cellStyle name="Normal 12 4 3 6 2 2 2" xfId="45334"/>
    <cellStyle name="Normal 12 4 3 6 2 3" xfId="13087"/>
    <cellStyle name="Normal 12 4 3 6 2 3 2" xfId="35674"/>
    <cellStyle name="Normal 12 4 3 6 2 4" xfId="29234"/>
    <cellStyle name="Normal 12 4 3 6 3" xfId="19527"/>
    <cellStyle name="Normal 12 4 3 6 3 2" xfId="42114"/>
    <cellStyle name="Normal 12 4 3 6 4" xfId="16307"/>
    <cellStyle name="Normal 12 4 3 6 4 2" xfId="38894"/>
    <cellStyle name="Normal 12 4 3 6 5" xfId="9867"/>
    <cellStyle name="Normal 12 4 3 6 5 2" xfId="32454"/>
    <cellStyle name="Normal 12 4 3 6 6" xfId="26014"/>
    <cellStyle name="Normal 12 4 3 7" xfId="778"/>
    <cellStyle name="Normal 12 4 3 7 2" xfId="4010"/>
    <cellStyle name="Normal 12 4 3 7 2 2" xfId="20110"/>
    <cellStyle name="Normal 12 4 3 7 2 2 2" xfId="42697"/>
    <cellStyle name="Normal 12 4 3 7 2 3" xfId="10450"/>
    <cellStyle name="Normal 12 4 3 7 2 3 2" xfId="33037"/>
    <cellStyle name="Normal 12 4 3 7 2 4" xfId="26597"/>
    <cellStyle name="Normal 12 4 3 7 3" xfId="16890"/>
    <cellStyle name="Normal 12 4 3 7 3 2" xfId="39477"/>
    <cellStyle name="Normal 12 4 3 7 4" xfId="13670"/>
    <cellStyle name="Normal 12 4 3 7 4 2" xfId="36257"/>
    <cellStyle name="Normal 12 4 3 7 5" xfId="7230"/>
    <cellStyle name="Normal 12 4 3 7 5 2" xfId="29817"/>
    <cellStyle name="Normal 12 4 3 7 6" xfId="23377"/>
    <cellStyle name="Normal 12 4 3 8" xfId="3717"/>
    <cellStyle name="Normal 12 4 3 8 2" xfId="19817"/>
    <cellStyle name="Normal 12 4 3 8 2 2" xfId="42404"/>
    <cellStyle name="Normal 12 4 3 8 3" xfId="10157"/>
    <cellStyle name="Normal 12 4 3 8 3 2" xfId="32744"/>
    <cellStyle name="Normal 12 4 3 8 4" xfId="26304"/>
    <cellStyle name="Normal 12 4 3 9" xfId="16597"/>
    <cellStyle name="Normal 12 4 3 9 2" xfId="39184"/>
    <cellStyle name="Normal 12 4 4" xfId="925"/>
    <cellStyle name="Normal 12 4 4 2" xfId="2244"/>
    <cellStyle name="Normal 12 4 4 2 2" xfId="5465"/>
    <cellStyle name="Normal 12 4 4 2 2 2" xfId="21565"/>
    <cellStyle name="Normal 12 4 4 2 2 2 2" xfId="44152"/>
    <cellStyle name="Normal 12 4 4 2 2 3" xfId="11905"/>
    <cellStyle name="Normal 12 4 4 2 2 3 2" xfId="34492"/>
    <cellStyle name="Normal 12 4 4 2 2 4" xfId="28052"/>
    <cellStyle name="Normal 12 4 4 2 3" xfId="18345"/>
    <cellStyle name="Normal 12 4 4 2 3 2" xfId="40932"/>
    <cellStyle name="Normal 12 4 4 2 4" xfId="15125"/>
    <cellStyle name="Normal 12 4 4 2 4 2" xfId="37712"/>
    <cellStyle name="Normal 12 4 4 2 5" xfId="8685"/>
    <cellStyle name="Normal 12 4 4 2 5 2" xfId="31272"/>
    <cellStyle name="Normal 12 4 4 2 6" xfId="24832"/>
    <cellStyle name="Normal 12 4 4 3" xfId="4157"/>
    <cellStyle name="Normal 12 4 4 3 2" xfId="20257"/>
    <cellStyle name="Normal 12 4 4 3 2 2" xfId="42844"/>
    <cellStyle name="Normal 12 4 4 3 3" xfId="10597"/>
    <cellStyle name="Normal 12 4 4 3 3 2" xfId="33184"/>
    <cellStyle name="Normal 12 4 4 3 4" xfId="26744"/>
    <cellStyle name="Normal 12 4 4 4" xfId="17037"/>
    <cellStyle name="Normal 12 4 4 4 2" xfId="39624"/>
    <cellStyle name="Normal 12 4 4 5" xfId="13817"/>
    <cellStyle name="Normal 12 4 4 5 2" xfId="36404"/>
    <cellStyle name="Normal 12 4 4 6" xfId="7377"/>
    <cellStyle name="Normal 12 4 4 6 2" xfId="29964"/>
    <cellStyle name="Normal 12 4 4 7" xfId="23524"/>
    <cellStyle name="Normal 12 4 5" xfId="1277"/>
    <cellStyle name="Normal 12 4 5 2" xfId="2591"/>
    <cellStyle name="Normal 12 4 5 2 2" xfId="5812"/>
    <cellStyle name="Normal 12 4 5 2 2 2" xfId="21912"/>
    <cellStyle name="Normal 12 4 5 2 2 2 2" xfId="44499"/>
    <cellStyle name="Normal 12 4 5 2 2 3" xfId="12252"/>
    <cellStyle name="Normal 12 4 5 2 2 3 2" xfId="34839"/>
    <cellStyle name="Normal 12 4 5 2 2 4" xfId="28399"/>
    <cellStyle name="Normal 12 4 5 2 3" xfId="18692"/>
    <cellStyle name="Normal 12 4 5 2 3 2" xfId="41279"/>
    <cellStyle name="Normal 12 4 5 2 4" xfId="15472"/>
    <cellStyle name="Normal 12 4 5 2 4 2" xfId="38059"/>
    <cellStyle name="Normal 12 4 5 2 5" xfId="9032"/>
    <cellStyle name="Normal 12 4 5 2 5 2" xfId="31619"/>
    <cellStyle name="Normal 12 4 5 2 6" xfId="25179"/>
    <cellStyle name="Normal 12 4 5 3" xfId="4504"/>
    <cellStyle name="Normal 12 4 5 3 2" xfId="20604"/>
    <cellStyle name="Normal 12 4 5 3 2 2" xfId="43191"/>
    <cellStyle name="Normal 12 4 5 3 3" xfId="10944"/>
    <cellStyle name="Normal 12 4 5 3 3 2" xfId="33531"/>
    <cellStyle name="Normal 12 4 5 3 4" xfId="27091"/>
    <cellStyle name="Normal 12 4 5 4" xfId="17384"/>
    <cellStyle name="Normal 12 4 5 4 2" xfId="39971"/>
    <cellStyle name="Normal 12 4 5 5" xfId="14164"/>
    <cellStyle name="Normal 12 4 5 5 2" xfId="36751"/>
    <cellStyle name="Normal 12 4 5 6" xfId="7724"/>
    <cellStyle name="Normal 12 4 5 6 2" xfId="30311"/>
    <cellStyle name="Normal 12 4 5 7" xfId="23871"/>
    <cellStyle name="Normal 12 4 6" xfId="1559"/>
    <cellStyle name="Normal 12 4 6 2" xfId="4785"/>
    <cellStyle name="Normal 12 4 6 2 2" xfId="20885"/>
    <cellStyle name="Normal 12 4 6 2 2 2" xfId="43472"/>
    <cellStyle name="Normal 12 4 6 2 3" xfId="11225"/>
    <cellStyle name="Normal 12 4 6 2 3 2" xfId="33812"/>
    <cellStyle name="Normal 12 4 6 2 4" xfId="27372"/>
    <cellStyle name="Normal 12 4 6 3" xfId="17665"/>
    <cellStyle name="Normal 12 4 6 3 2" xfId="40252"/>
    <cellStyle name="Normal 12 4 6 4" xfId="14445"/>
    <cellStyle name="Normal 12 4 6 4 2" xfId="37032"/>
    <cellStyle name="Normal 12 4 6 5" xfId="8005"/>
    <cellStyle name="Normal 12 4 6 5 2" xfId="30592"/>
    <cellStyle name="Normal 12 4 6 6" xfId="24152"/>
    <cellStyle name="Normal 12 4 7" xfId="1896"/>
    <cellStyle name="Normal 12 4 7 2" xfId="5118"/>
    <cellStyle name="Normal 12 4 7 2 2" xfId="21218"/>
    <cellStyle name="Normal 12 4 7 2 2 2" xfId="43805"/>
    <cellStyle name="Normal 12 4 7 2 3" xfId="11558"/>
    <cellStyle name="Normal 12 4 7 2 3 2" xfId="34145"/>
    <cellStyle name="Normal 12 4 7 2 4" xfId="27705"/>
    <cellStyle name="Normal 12 4 7 3" xfId="17998"/>
    <cellStyle name="Normal 12 4 7 3 2" xfId="40585"/>
    <cellStyle name="Normal 12 4 7 4" xfId="14778"/>
    <cellStyle name="Normal 12 4 7 4 2" xfId="37365"/>
    <cellStyle name="Normal 12 4 7 5" xfId="8338"/>
    <cellStyle name="Normal 12 4 7 5 2" xfId="30925"/>
    <cellStyle name="Normal 12 4 7 6" xfId="24485"/>
    <cellStyle name="Normal 12 4 8" xfId="2943"/>
    <cellStyle name="Normal 12 4 8 2" xfId="6164"/>
    <cellStyle name="Normal 12 4 8 2 2" xfId="22264"/>
    <cellStyle name="Normal 12 4 8 2 2 2" xfId="44851"/>
    <cellStyle name="Normal 12 4 8 2 3" xfId="12604"/>
    <cellStyle name="Normal 12 4 8 2 3 2" xfId="35191"/>
    <cellStyle name="Normal 12 4 8 2 4" xfId="28751"/>
    <cellStyle name="Normal 12 4 8 3" xfId="19044"/>
    <cellStyle name="Normal 12 4 8 3 2" xfId="41631"/>
    <cellStyle name="Normal 12 4 8 4" xfId="15824"/>
    <cellStyle name="Normal 12 4 8 4 2" xfId="38411"/>
    <cellStyle name="Normal 12 4 8 5" xfId="9384"/>
    <cellStyle name="Normal 12 4 8 5 2" xfId="31971"/>
    <cellStyle name="Normal 12 4 8 6" xfId="25531"/>
    <cellStyle name="Normal 12 4 9" xfId="3234"/>
    <cellStyle name="Normal 12 4 9 2" xfId="6454"/>
    <cellStyle name="Normal 12 4 9 2 2" xfId="22554"/>
    <cellStyle name="Normal 12 4 9 2 2 2" xfId="45141"/>
    <cellStyle name="Normal 12 4 9 2 3" xfId="12894"/>
    <cellStyle name="Normal 12 4 9 2 3 2" xfId="35481"/>
    <cellStyle name="Normal 12 4 9 2 4" xfId="29041"/>
    <cellStyle name="Normal 12 4 9 3" xfId="19334"/>
    <cellStyle name="Normal 12 4 9 3 2" xfId="41921"/>
    <cellStyle name="Normal 12 4 9 4" xfId="16114"/>
    <cellStyle name="Normal 12 4 9 4 2" xfId="38701"/>
    <cellStyle name="Normal 12 4 9 5" xfId="9674"/>
    <cellStyle name="Normal 12 4 9 5 2" xfId="32261"/>
    <cellStyle name="Normal 12 4 9 6" xfId="25821"/>
    <cellStyle name="Normal 12 5" xfId="254"/>
    <cellStyle name="Normal 12 5 2" xfId="975"/>
    <cellStyle name="Normal 12 5 2 2" xfId="2293"/>
    <cellStyle name="Normal 12 5 2 2 2" xfId="5514"/>
    <cellStyle name="Normal 12 5 2 2 2 2" xfId="21614"/>
    <cellStyle name="Normal 12 5 2 2 2 2 2" xfId="44201"/>
    <cellStyle name="Normal 12 5 2 2 2 3" xfId="11954"/>
    <cellStyle name="Normal 12 5 2 2 2 3 2" xfId="34541"/>
    <cellStyle name="Normal 12 5 2 2 2 4" xfId="28101"/>
    <cellStyle name="Normal 12 5 2 2 3" xfId="18394"/>
    <cellStyle name="Normal 12 5 2 2 3 2" xfId="40981"/>
    <cellStyle name="Normal 12 5 2 2 4" xfId="15174"/>
    <cellStyle name="Normal 12 5 2 2 4 2" xfId="37761"/>
    <cellStyle name="Normal 12 5 2 2 5" xfId="8734"/>
    <cellStyle name="Normal 12 5 2 2 5 2" xfId="31321"/>
    <cellStyle name="Normal 12 5 2 2 6" xfId="24881"/>
    <cellStyle name="Normal 12 5 2 3" xfId="4206"/>
    <cellStyle name="Normal 12 5 2 3 2" xfId="20306"/>
    <cellStyle name="Normal 12 5 2 3 2 2" xfId="42893"/>
    <cellStyle name="Normal 12 5 2 3 3" xfId="10646"/>
    <cellStyle name="Normal 12 5 2 3 3 2" xfId="33233"/>
    <cellStyle name="Normal 12 5 2 3 4" xfId="26793"/>
    <cellStyle name="Normal 12 5 2 4" xfId="17086"/>
    <cellStyle name="Normal 12 5 2 4 2" xfId="39673"/>
    <cellStyle name="Normal 12 5 2 5" xfId="13866"/>
    <cellStyle name="Normal 12 5 2 5 2" xfId="36453"/>
    <cellStyle name="Normal 12 5 2 6" xfId="7426"/>
    <cellStyle name="Normal 12 5 2 6 2" xfId="30013"/>
    <cellStyle name="Normal 12 5 2 7" xfId="23573"/>
    <cellStyle name="Normal 12 5 3" xfId="1326"/>
    <cellStyle name="Normal 12 5 3 2" xfId="2640"/>
    <cellStyle name="Normal 12 5 3 2 2" xfId="5861"/>
    <cellStyle name="Normal 12 5 3 2 2 2" xfId="21961"/>
    <cellStyle name="Normal 12 5 3 2 2 2 2" xfId="44548"/>
    <cellStyle name="Normal 12 5 3 2 2 3" xfId="12301"/>
    <cellStyle name="Normal 12 5 3 2 2 3 2" xfId="34888"/>
    <cellStyle name="Normal 12 5 3 2 2 4" xfId="28448"/>
    <cellStyle name="Normal 12 5 3 2 3" xfId="18741"/>
    <cellStyle name="Normal 12 5 3 2 3 2" xfId="41328"/>
    <cellStyle name="Normal 12 5 3 2 4" xfId="15521"/>
    <cellStyle name="Normal 12 5 3 2 4 2" xfId="38108"/>
    <cellStyle name="Normal 12 5 3 2 5" xfId="9081"/>
    <cellStyle name="Normal 12 5 3 2 5 2" xfId="31668"/>
    <cellStyle name="Normal 12 5 3 2 6" xfId="25228"/>
    <cellStyle name="Normal 12 5 3 3" xfId="4553"/>
    <cellStyle name="Normal 12 5 3 3 2" xfId="20653"/>
    <cellStyle name="Normal 12 5 3 3 2 2" xfId="43240"/>
    <cellStyle name="Normal 12 5 3 3 3" xfId="10993"/>
    <cellStyle name="Normal 12 5 3 3 3 2" xfId="33580"/>
    <cellStyle name="Normal 12 5 3 3 4" xfId="27140"/>
    <cellStyle name="Normal 12 5 3 4" xfId="17433"/>
    <cellStyle name="Normal 12 5 3 4 2" xfId="40020"/>
    <cellStyle name="Normal 12 5 3 5" xfId="14213"/>
    <cellStyle name="Normal 12 5 3 5 2" xfId="36800"/>
    <cellStyle name="Normal 12 5 3 6" xfId="7773"/>
    <cellStyle name="Normal 12 5 3 6 2" xfId="30360"/>
    <cellStyle name="Normal 12 5 3 7" xfId="23920"/>
    <cellStyle name="Normal 12 5 4" xfId="1560"/>
    <cellStyle name="Normal 12 5 4 2" xfId="4786"/>
    <cellStyle name="Normal 12 5 4 2 2" xfId="20886"/>
    <cellStyle name="Normal 12 5 4 2 2 2" xfId="43473"/>
    <cellStyle name="Normal 12 5 4 2 3" xfId="11226"/>
    <cellStyle name="Normal 12 5 4 2 3 2" xfId="33813"/>
    <cellStyle name="Normal 12 5 4 2 4" xfId="27373"/>
    <cellStyle name="Normal 12 5 4 3" xfId="17666"/>
    <cellStyle name="Normal 12 5 4 3 2" xfId="40253"/>
    <cellStyle name="Normal 12 5 4 4" xfId="14446"/>
    <cellStyle name="Normal 12 5 4 4 2" xfId="37033"/>
    <cellStyle name="Normal 12 5 4 5" xfId="8006"/>
    <cellStyle name="Normal 12 5 4 5 2" xfId="30593"/>
    <cellStyle name="Normal 12 5 4 6" xfId="24153"/>
    <cellStyle name="Normal 12 5 5" xfId="1945"/>
    <cellStyle name="Normal 12 5 5 2" xfId="5167"/>
    <cellStyle name="Normal 12 5 5 2 2" xfId="21267"/>
    <cellStyle name="Normal 12 5 5 2 2 2" xfId="43854"/>
    <cellStyle name="Normal 12 5 5 2 3" xfId="11607"/>
    <cellStyle name="Normal 12 5 5 2 3 2" xfId="34194"/>
    <cellStyle name="Normal 12 5 5 2 4" xfId="27754"/>
    <cellStyle name="Normal 12 5 5 3" xfId="18047"/>
    <cellStyle name="Normal 12 5 5 3 2" xfId="40634"/>
    <cellStyle name="Normal 12 5 5 4" xfId="14827"/>
    <cellStyle name="Normal 12 5 5 4 2" xfId="37414"/>
    <cellStyle name="Normal 12 5 5 5" xfId="8387"/>
    <cellStyle name="Normal 12 5 5 5 2" xfId="30974"/>
    <cellStyle name="Normal 12 5 5 6" xfId="24534"/>
    <cellStyle name="Normal 12 5 6" xfId="2961"/>
    <cellStyle name="Normal 12 5 7" xfId="590"/>
    <cellStyle name="Normal 12 5 7 2" xfId="3859"/>
    <cellStyle name="Normal 12 5 7 2 2" xfId="19959"/>
    <cellStyle name="Normal 12 5 7 2 2 2" xfId="42546"/>
    <cellStyle name="Normal 12 5 7 2 3" xfId="10299"/>
    <cellStyle name="Normal 12 5 7 2 3 2" xfId="32886"/>
    <cellStyle name="Normal 12 5 7 2 4" xfId="26446"/>
    <cellStyle name="Normal 12 5 7 3" xfId="16739"/>
    <cellStyle name="Normal 12 5 7 3 2" xfId="39326"/>
    <cellStyle name="Normal 12 5 7 4" xfId="13519"/>
    <cellStyle name="Normal 12 5 7 4 2" xfId="36106"/>
    <cellStyle name="Normal 12 5 7 5" xfId="7079"/>
    <cellStyle name="Normal 12 5 7 5 2" xfId="29666"/>
    <cellStyle name="Normal 12 5 7 6" xfId="23226"/>
    <cellStyle name="Normal 12 6" xfId="271"/>
    <cellStyle name="Normal 12 6 10" xfId="13218"/>
    <cellStyle name="Normal 12 6 10 2" xfId="35805"/>
    <cellStyle name="Normal 12 6 11" xfId="6778"/>
    <cellStyle name="Normal 12 6 11 2" xfId="29365"/>
    <cellStyle name="Normal 12 6 12" xfId="22925"/>
    <cellStyle name="Normal 12 6 2" xfId="1090"/>
    <cellStyle name="Normal 12 6 2 2" xfId="2404"/>
    <cellStyle name="Normal 12 6 2 2 2" xfId="5625"/>
    <cellStyle name="Normal 12 6 2 2 2 2" xfId="21725"/>
    <cellStyle name="Normal 12 6 2 2 2 2 2" xfId="44312"/>
    <cellStyle name="Normal 12 6 2 2 2 3" xfId="12065"/>
    <cellStyle name="Normal 12 6 2 2 2 3 2" xfId="34652"/>
    <cellStyle name="Normal 12 6 2 2 2 4" xfId="28212"/>
    <cellStyle name="Normal 12 6 2 2 3" xfId="18505"/>
    <cellStyle name="Normal 12 6 2 2 3 2" xfId="41092"/>
    <cellStyle name="Normal 12 6 2 2 4" xfId="15285"/>
    <cellStyle name="Normal 12 6 2 2 4 2" xfId="37872"/>
    <cellStyle name="Normal 12 6 2 2 5" xfId="8845"/>
    <cellStyle name="Normal 12 6 2 2 5 2" xfId="31432"/>
    <cellStyle name="Normal 12 6 2 2 6" xfId="24992"/>
    <cellStyle name="Normal 12 6 2 3" xfId="4317"/>
    <cellStyle name="Normal 12 6 2 3 2" xfId="20417"/>
    <cellStyle name="Normal 12 6 2 3 2 2" xfId="43004"/>
    <cellStyle name="Normal 12 6 2 3 3" xfId="10757"/>
    <cellStyle name="Normal 12 6 2 3 3 2" xfId="33344"/>
    <cellStyle name="Normal 12 6 2 3 4" xfId="26904"/>
    <cellStyle name="Normal 12 6 2 4" xfId="17197"/>
    <cellStyle name="Normal 12 6 2 4 2" xfId="39784"/>
    <cellStyle name="Normal 12 6 2 5" xfId="13977"/>
    <cellStyle name="Normal 12 6 2 5 2" xfId="36564"/>
    <cellStyle name="Normal 12 6 2 6" xfId="7537"/>
    <cellStyle name="Normal 12 6 2 6 2" xfId="30124"/>
    <cellStyle name="Normal 12 6 2 7" xfId="23684"/>
    <cellStyle name="Normal 12 6 3" xfId="1437"/>
    <cellStyle name="Normal 12 6 3 2" xfId="2751"/>
    <cellStyle name="Normal 12 6 3 2 2" xfId="5972"/>
    <cellStyle name="Normal 12 6 3 2 2 2" xfId="22072"/>
    <cellStyle name="Normal 12 6 3 2 2 2 2" xfId="44659"/>
    <cellStyle name="Normal 12 6 3 2 2 3" xfId="12412"/>
    <cellStyle name="Normal 12 6 3 2 2 3 2" xfId="34999"/>
    <cellStyle name="Normal 12 6 3 2 2 4" xfId="28559"/>
    <cellStyle name="Normal 12 6 3 2 3" xfId="18852"/>
    <cellStyle name="Normal 12 6 3 2 3 2" xfId="41439"/>
    <cellStyle name="Normal 12 6 3 2 4" xfId="15632"/>
    <cellStyle name="Normal 12 6 3 2 4 2" xfId="38219"/>
    <cellStyle name="Normal 12 6 3 2 5" xfId="9192"/>
    <cellStyle name="Normal 12 6 3 2 5 2" xfId="31779"/>
    <cellStyle name="Normal 12 6 3 2 6" xfId="25339"/>
    <cellStyle name="Normal 12 6 3 3" xfId="4664"/>
    <cellStyle name="Normal 12 6 3 3 2" xfId="20764"/>
    <cellStyle name="Normal 12 6 3 3 2 2" xfId="43351"/>
    <cellStyle name="Normal 12 6 3 3 3" xfId="11104"/>
    <cellStyle name="Normal 12 6 3 3 3 2" xfId="33691"/>
    <cellStyle name="Normal 12 6 3 3 4" xfId="27251"/>
    <cellStyle name="Normal 12 6 3 4" xfId="17544"/>
    <cellStyle name="Normal 12 6 3 4 2" xfId="40131"/>
    <cellStyle name="Normal 12 6 3 5" xfId="14324"/>
    <cellStyle name="Normal 12 6 3 5 2" xfId="36911"/>
    <cellStyle name="Normal 12 6 3 6" xfId="7884"/>
    <cellStyle name="Normal 12 6 3 6 2" xfId="30471"/>
    <cellStyle name="Normal 12 6 3 7" xfId="24031"/>
    <cellStyle name="Normal 12 6 4" xfId="2057"/>
    <cellStyle name="Normal 12 6 4 2" xfId="5278"/>
    <cellStyle name="Normal 12 6 4 2 2" xfId="21378"/>
    <cellStyle name="Normal 12 6 4 2 2 2" xfId="43965"/>
    <cellStyle name="Normal 12 6 4 2 3" xfId="11718"/>
    <cellStyle name="Normal 12 6 4 2 3 2" xfId="34305"/>
    <cellStyle name="Normal 12 6 4 2 4" xfId="27865"/>
    <cellStyle name="Normal 12 6 4 3" xfId="18158"/>
    <cellStyle name="Normal 12 6 4 3 2" xfId="40745"/>
    <cellStyle name="Normal 12 6 4 4" xfId="14938"/>
    <cellStyle name="Normal 12 6 4 4 2" xfId="37525"/>
    <cellStyle name="Normal 12 6 4 5" xfId="8498"/>
    <cellStyle name="Normal 12 6 4 5 2" xfId="31085"/>
    <cellStyle name="Normal 12 6 4 6" xfId="24645"/>
    <cellStyle name="Normal 12 6 5" xfId="2978"/>
    <cellStyle name="Normal 12 6 5 2" xfId="6198"/>
    <cellStyle name="Normal 12 6 5 2 2" xfId="22298"/>
    <cellStyle name="Normal 12 6 5 2 2 2" xfId="44885"/>
    <cellStyle name="Normal 12 6 5 2 3" xfId="12638"/>
    <cellStyle name="Normal 12 6 5 2 3 2" xfId="35225"/>
    <cellStyle name="Normal 12 6 5 2 4" xfId="28785"/>
    <cellStyle name="Normal 12 6 5 3" xfId="19078"/>
    <cellStyle name="Normal 12 6 5 3 2" xfId="41665"/>
    <cellStyle name="Normal 12 6 5 4" xfId="15858"/>
    <cellStyle name="Normal 12 6 5 4 2" xfId="38445"/>
    <cellStyle name="Normal 12 6 5 5" xfId="9418"/>
    <cellStyle name="Normal 12 6 5 5 2" xfId="32005"/>
    <cellStyle name="Normal 12 6 5 6" xfId="25565"/>
    <cellStyle name="Normal 12 6 6" xfId="3268"/>
    <cellStyle name="Normal 12 6 6 2" xfId="6488"/>
    <cellStyle name="Normal 12 6 6 2 2" xfId="22588"/>
    <cellStyle name="Normal 12 6 6 2 2 2" xfId="45175"/>
    <cellStyle name="Normal 12 6 6 2 3" xfId="12928"/>
    <cellStyle name="Normal 12 6 6 2 3 2" xfId="35515"/>
    <cellStyle name="Normal 12 6 6 2 4" xfId="29075"/>
    <cellStyle name="Normal 12 6 6 3" xfId="19368"/>
    <cellStyle name="Normal 12 6 6 3 2" xfId="41955"/>
    <cellStyle name="Normal 12 6 6 4" xfId="16148"/>
    <cellStyle name="Normal 12 6 6 4 2" xfId="38735"/>
    <cellStyle name="Normal 12 6 6 5" xfId="9708"/>
    <cellStyle name="Normal 12 6 6 5 2" xfId="32295"/>
    <cellStyle name="Normal 12 6 6 6" xfId="25855"/>
    <cellStyle name="Normal 12 6 7" xfId="738"/>
    <cellStyle name="Normal 12 6 7 2" xfId="3970"/>
    <cellStyle name="Normal 12 6 7 2 2" xfId="20070"/>
    <cellStyle name="Normal 12 6 7 2 2 2" xfId="42657"/>
    <cellStyle name="Normal 12 6 7 2 3" xfId="10410"/>
    <cellStyle name="Normal 12 6 7 2 3 2" xfId="32997"/>
    <cellStyle name="Normal 12 6 7 2 4" xfId="26557"/>
    <cellStyle name="Normal 12 6 7 3" xfId="16850"/>
    <cellStyle name="Normal 12 6 7 3 2" xfId="39437"/>
    <cellStyle name="Normal 12 6 7 4" xfId="13630"/>
    <cellStyle name="Normal 12 6 7 4 2" xfId="36217"/>
    <cellStyle name="Normal 12 6 7 5" xfId="7190"/>
    <cellStyle name="Normal 12 6 7 5 2" xfId="29777"/>
    <cellStyle name="Normal 12 6 7 6" xfId="23337"/>
    <cellStyle name="Normal 12 6 8" xfId="3558"/>
    <cellStyle name="Normal 12 6 8 2" xfId="19658"/>
    <cellStyle name="Normal 12 6 8 2 2" xfId="42245"/>
    <cellStyle name="Normal 12 6 8 3" xfId="9998"/>
    <cellStyle name="Normal 12 6 8 3 2" xfId="32585"/>
    <cellStyle name="Normal 12 6 8 4" xfId="26145"/>
    <cellStyle name="Normal 12 6 9" xfId="16438"/>
    <cellStyle name="Normal 12 6 9 2" xfId="39025"/>
    <cellStyle name="Normal 12 7" xfId="353"/>
    <cellStyle name="Normal 12 7 10" xfId="13300"/>
    <cellStyle name="Normal 12 7 10 2" xfId="35887"/>
    <cellStyle name="Normal 12 7 11" xfId="6860"/>
    <cellStyle name="Normal 12 7 11 2" xfId="29447"/>
    <cellStyle name="Normal 12 7 12" xfId="23007"/>
    <cellStyle name="Normal 12 7 2" xfId="1110"/>
    <cellStyle name="Normal 12 7 2 2" xfId="2424"/>
    <cellStyle name="Normal 12 7 2 2 2" xfId="5645"/>
    <cellStyle name="Normal 12 7 2 2 2 2" xfId="21745"/>
    <cellStyle name="Normal 12 7 2 2 2 2 2" xfId="44332"/>
    <cellStyle name="Normal 12 7 2 2 2 3" xfId="12085"/>
    <cellStyle name="Normal 12 7 2 2 2 3 2" xfId="34672"/>
    <cellStyle name="Normal 12 7 2 2 2 4" xfId="28232"/>
    <cellStyle name="Normal 12 7 2 2 3" xfId="18525"/>
    <cellStyle name="Normal 12 7 2 2 3 2" xfId="41112"/>
    <cellStyle name="Normal 12 7 2 2 4" xfId="15305"/>
    <cellStyle name="Normal 12 7 2 2 4 2" xfId="37892"/>
    <cellStyle name="Normal 12 7 2 2 5" xfId="8865"/>
    <cellStyle name="Normal 12 7 2 2 5 2" xfId="31452"/>
    <cellStyle name="Normal 12 7 2 2 6" xfId="25012"/>
    <cellStyle name="Normal 12 7 2 3" xfId="4337"/>
    <cellStyle name="Normal 12 7 2 3 2" xfId="20437"/>
    <cellStyle name="Normal 12 7 2 3 2 2" xfId="43024"/>
    <cellStyle name="Normal 12 7 2 3 3" xfId="10777"/>
    <cellStyle name="Normal 12 7 2 3 3 2" xfId="33364"/>
    <cellStyle name="Normal 12 7 2 3 4" xfId="26924"/>
    <cellStyle name="Normal 12 7 2 4" xfId="17217"/>
    <cellStyle name="Normal 12 7 2 4 2" xfId="39804"/>
    <cellStyle name="Normal 12 7 2 5" xfId="13997"/>
    <cellStyle name="Normal 12 7 2 5 2" xfId="36584"/>
    <cellStyle name="Normal 12 7 2 6" xfId="7557"/>
    <cellStyle name="Normal 12 7 2 6 2" xfId="30144"/>
    <cellStyle name="Normal 12 7 2 7" xfId="23704"/>
    <cellStyle name="Normal 12 7 3" xfId="1457"/>
    <cellStyle name="Normal 12 7 3 2" xfId="2771"/>
    <cellStyle name="Normal 12 7 3 2 2" xfId="5992"/>
    <cellStyle name="Normal 12 7 3 2 2 2" xfId="22092"/>
    <cellStyle name="Normal 12 7 3 2 2 2 2" xfId="44679"/>
    <cellStyle name="Normal 12 7 3 2 2 3" xfId="12432"/>
    <cellStyle name="Normal 12 7 3 2 2 3 2" xfId="35019"/>
    <cellStyle name="Normal 12 7 3 2 2 4" xfId="28579"/>
    <cellStyle name="Normal 12 7 3 2 3" xfId="18872"/>
    <cellStyle name="Normal 12 7 3 2 3 2" xfId="41459"/>
    <cellStyle name="Normal 12 7 3 2 4" xfId="15652"/>
    <cellStyle name="Normal 12 7 3 2 4 2" xfId="38239"/>
    <cellStyle name="Normal 12 7 3 2 5" xfId="9212"/>
    <cellStyle name="Normal 12 7 3 2 5 2" xfId="31799"/>
    <cellStyle name="Normal 12 7 3 2 6" xfId="25359"/>
    <cellStyle name="Normal 12 7 3 3" xfId="4684"/>
    <cellStyle name="Normal 12 7 3 3 2" xfId="20784"/>
    <cellStyle name="Normal 12 7 3 3 2 2" xfId="43371"/>
    <cellStyle name="Normal 12 7 3 3 3" xfId="11124"/>
    <cellStyle name="Normal 12 7 3 3 3 2" xfId="33711"/>
    <cellStyle name="Normal 12 7 3 3 4" xfId="27271"/>
    <cellStyle name="Normal 12 7 3 4" xfId="17564"/>
    <cellStyle name="Normal 12 7 3 4 2" xfId="40151"/>
    <cellStyle name="Normal 12 7 3 5" xfId="14344"/>
    <cellStyle name="Normal 12 7 3 5 2" xfId="36931"/>
    <cellStyle name="Normal 12 7 3 6" xfId="7904"/>
    <cellStyle name="Normal 12 7 3 6 2" xfId="30491"/>
    <cellStyle name="Normal 12 7 3 7" xfId="24051"/>
    <cellStyle name="Normal 12 7 4" xfId="2077"/>
    <cellStyle name="Normal 12 7 4 2" xfId="5298"/>
    <cellStyle name="Normal 12 7 4 2 2" xfId="21398"/>
    <cellStyle name="Normal 12 7 4 2 2 2" xfId="43985"/>
    <cellStyle name="Normal 12 7 4 2 3" xfId="11738"/>
    <cellStyle name="Normal 12 7 4 2 3 2" xfId="34325"/>
    <cellStyle name="Normal 12 7 4 2 4" xfId="27885"/>
    <cellStyle name="Normal 12 7 4 3" xfId="18178"/>
    <cellStyle name="Normal 12 7 4 3 2" xfId="40765"/>
    <cellStyle name="Normal 12 7 4 4" xfId="14958"/>
    <cellStyle name="Normal 12 7 4 4 2" xfId="37545"/>
    <cellStyle name="Normal 12 7 4 5" xfId="8518"/>
    <cellStyle name="Normal 12 7 4 5 2" xfId="31105"/>
    <cellStyle name="Normal 12 7 4 6" xfId="24665"/>
    <cellStyle name="Normal 12 7 5" xfId="3060"/>
    <cellStyle name="Normal 12 7 5 2" xfId="6280"/>
    <cellStyle name="Normal 12 7 5 2 2" xfId="22380"/>
    <cellStyle name="Normal 12 7 5 2 2 2" xfId="44967"/>
    <cellStyle name="Normal 12 7 5 2 3" xfId="12720"/>
    <cellStyle name="Normal 12 7 5 2 3 2" xfId="35307"/>
    <cellStyle name="Normal 12 7 5 2 4" xfId="28867"/>
    <cellStyle name="Normal 12 7 5 3" xfId="19160"/>
    <cellStyle name="Normal 12 7 5 3 2" xfId="41747"/>
    <cellStyle name="Normal 12 7 5 4" xfId="15940"/>
    <cellStyle name="Normal 12 7 5 4 2" xfId="38527"/>
    <cellStyle name="Normal 12 7 5 5" xfId="9500"/>
    <cellStyle name="Normal 12 7 5 5 2" xfId="32087"/>
    <cellStyle name="Normal 12 7 5 6" xfId="25647"/>
    <cellStyle name="Normal 12 7 6" xfId="3350"/>
    <cellStyle name="Normal 12 7 6 2" xfId="6570"/>
    <cellStyle name="Normal 12 7 6 2 2" xfId="22670"/>
    <cellStyle name="Normal 12 7 6 2 2 2" xfId="45257"/>
    <cellStyle name="Normal 12 7 6 2 3" xfId="13010"/>
    <cellStyle name="Normal 12 7 6 2 3 2" xfId="35597"/>
    <cellStyle name="Normal 12 7 6 2 4" xfId="29157"/>
    <cellStyle name="Normal 12 7 6 3" xfId="19450"/>
    <cellStyle name="Normal 12 7 6 3 2" xfId="42037"/>
    <cellStyle name="Normal 12 7 6 4" xfId="16230"/>
    <cellStyle name="Normal 12 7 6 4 2" xfId="38817"/>
    <cellStyle name="Normal 12 7 6 5" xfId="9790"/>
    <cellStyle name="Normal 12 7 6 5 2" xfId="32377"/>
    <cellStyle name="Normal 12 7 6 6" xfId="25937"/>
    <cellStyle name="Normal 12 7 7" xfId="758"/>
    <cellStyle name="Normal 12 7 7 2" xfId="3990"/>
    <cellStyle name="Normal 12 7 7 2 2" xfId="20090"/>
    <cellStyle name="Normal 12 7 7 2 2 2" xfId="42677"/>
    <cellStyle name="Normal 12 7 7 2 3" xfId="10430"/>
    <cellStyle name="Normal 12 7 7 2 3 2" xfId="33017"/>
    <cellStyle name="Normal 12 7 7 2 4" xfId="26577"/>
    <cellStyle name="Normal 12 7 7 3" xfId="16870"/>
    <cellStyle name="Normal 12 7 7 3 2" xfId="39457"/>
    <cellStyle name="Normal 12 7 7 4" xfId="13650"/>
    <cellStyle name="Normal 12 7 7 4 2" xfId="36237"/>
    <cellStyle name="Normal 12 7 7 5" xfId="7210"/>
    <cellStyle name="Normal 12 7 7 5 2" xfId="29797"/>
    <cellStyle name="Normal 12 7 7 6" xfId="23357"/>
    <cellStyle name="Normal 12 7 8" xfId="3640"/>
    <cellStyle name="Normal 12 7 8 2" xfId="19740"/>
    <cellStyle name="Normal 12 7 8 2 2" xfId="42327"/>
    <cellStyle name="Normal 12 7 8 3" xfId="10080"/>
    <cellStyle name="Normal 12 7 8 3 2" xfId="32667"/>
    <cellStyle name="Normal 12 7 8 4" xfId="26227"/>
    <cellStyle name="Normal 12 7 9" xfId="16520"/>
    <cellStyle name="Normal 12 7 9 2" xfId="39107"/>
    <cellStyle name="Normal 12 8" xfId="852"/>
    <cellStyle name="Normal 12 8 2" xfId="2171"/>
    <cellStyle name="Normal 12 8 2 2" xfId="5392"/>
    <cellStyle name="Normal 12 8 2 2 2" xfId="21492"/>
    <cellStyle name="Normal 12 8 2 2 2 2" xfId="44079"/>
    <cellStyle name="Normal 12 8 2 2 3" xfId="11832"/>
    <cellStyle name="Normal 12 8 2 2 3 2" xfId="34419"/>
    <cellStyle name="Normal 12 8 2 2 4" xfId="27979"/>
    <cellStyle name="Normal 12 8 2 3" xfId="18272"/>
    <cellStyle name="Normal 12 8 2 3 2" xfId="40859"/>
    <cellStyle name="Normal 12 8 2 4" xfId="15052"/>
    <cellStyle name="Normal 12 8 2 4 2" xfId="37639"/>
    <cellStyle name="Normal 12 8 2 5" xfId="8612"/>
    <cellStyle name="Normal 12 8 2 5 2" xfId="31199"/>
    <cellStyle name="Normal 12 8 2 6" xfId="24759"/>
    <cellStyle name="Normal 12 8 3" xfId="4084"/>
    <cellStyle name="Normal 12 8 3 2" xfId="20184"/>
    <cellStyle name="Normal 12 8 3 2 2" xfId="42771"/>
    <cellStyle name="Normal 12 8 3 3" xfId="10524"/>
    <cellStyle name="Normal 12 8 3 3 2" xfId="33111"/>
    <cellStyle name="Normal 12 8 3 4" xfId="26671"/>
    <cellStyle name="Normal 12 8 4" xfId="16964"/>
    <cellStyle name="Normal 12 8 4 2" xfId="39551"/>
    <cellStyle name="Normal 12 8 5" xfId="13744"/>
    <cellStyle name="Normal 12 8 5 2" xfId="36331"/>
    <cellStyle name="Normal 12 8 6" xfId="7304"/>
    <cellStyle name="Normal 12 8 6 2" xfId="29891"/>
    <cellStyle name="Normal 12 8 7" xfId="23451"/>
    <cellStyle name="Normal 12 9" xfId="1204"/>
    <cellStyle name="Normal 12 9 2" xfId="2518"/>
    <cellStyle name="Normal 12 9 2 2" xfId="5739"/>
    <cellStyle name="Normal 12 9 2 2 2" xfId="21839"/>
    <cellStyle name="Normal 12 9 2 2 2 2" xfId="44426"/>
    <cellStyle name="Normal 12 9 2 2 3" xfId="12179"/>
    <cellStyle name="Normal 12 9 2 2 3 2" xfId="34766"/>
    <cellStyle name="Normal 12 9 2 2 4" xfId="28326"/>
    <cellStyle name="Normal 12 9 2 3" xfId="18619"/>
    <cellStyle name="Normal 12 9 2 3 2" xfId="41206"/>
    <cellStyle name="Normal 12 9 2 4" xfId="15399"/>
    <cellStyle name="Normal 12 9 2 4 2" xfId="37986"/>
    <cellStyle name="Normal 12 9 2 5" xfId="8959"/>
    <cellStyle name="Normal 12 9 2 5 2" xfId="31546"/>
    <cellStyle name="Normal 12 9 2 6" xfId="25106"/>
    <cellStyle name="Normal 12 9 3" xfId="4431"/>
    <cellStyle name="Normal 12 9 3 2" xfId="20531"/>
    <cellStyle name="Normal 12 9 3 2 2" xfId="43118"/>
    <cellStyle name="Normal 12 9 3 3" xfId="10871"/>
    <cellStyle name="Normal 12 9 3 3 2" xfId="33458"/>
    <cellStyle name="Normal 12 9 3 4" xfId="27018"/>
    <cellStyle name="Normal 12 9 4" xfId="17311"/>
    <cellStyle name="Normal 12 9 4 2" xfId="39898"/>
    <cellStyle name="Normal 12 9 5" xfId="14091"/>
    <cellStyle name="Normal 12 9 5 2" xfId="36678"/>
    <cellStyle name="Normal 12 9 6" xfId="7651"/>
    <cellStyle name="Normal 12 9 6 2" xfId="30238"/>
    <cellStyle name="Normal 12 9 7" xfId="23798"/>
    <cellStyle name="Normal 13" xfId="111"/>
    <cellStyle name="Normal 13 10" xfId="1561"/>
    <cellStyle name="Normal 13 10 2" xfId="4787"/>
    <cellStyle name="Normal 13 10 2 2" xfId="20887"/>
    <cellStyle name="Normal 13 10 2 2 2" xfId="43474"/>
    <cellStyle name="Normal 13 10 2 3" xfId="11227"/>
    <cellStyle name="Normal 13 10 2 3 2" xfId="33814"/>
    <cellStyle name="Normal 13 10 2 4" xfId="27374"/>
    <cellStyle name="Normal 13 10 3" xfId="17667"/>
    <cellStyle name="Normal 13 10 3 2" xfId="40254"/>
    <cellStyle name="Normal 13 10 4" xfId="14447"/>
    <cellStyle name="Normal 13 10 4 2" xfId="37034"/>
    <cellStyle name="Normal 13 10 5" xfId="8007"/>
    <cellStyle name="Normal 13 10 5 2" xfId="30594"/>
    <cellStyle name="Normal 13 10 6" xfId="24154"/>
    <cellStyle name="Normal 13 11" xfId="1824"/>
    <cellStyle name="Normal 13 11 2" xfId="5046"/>
    <cellStyle name="Normal 13 11 2 2" xfId="21146"/>
    <cellStyle name="Normal 13 11 2 2 2" xfId="43733"/>
    <cellStyle name="Normal 13 11 2 3" xfId="11486"/>
    <cellStyle name="Normal 13 11 2 3 2" xfId="34073"/>
    <cellStyle name="Normal 13 11 2 4" xfId="27633"/>
    <cellStyle name="Normal 13 11 3" xfId="17926"/>
    <cellStyle name="Normal 13 11 3 2" xfId="40513"/>
    <cellStyle name="Normal 13 11 4" xfId="14706"/>
    <cellStyle name="Normal 13 11 4 2" xfId="37293"/>
    <cellStyle name="Normal 13 11 5" xfId="8266"/>
    <cellStyle name="Normal 13 11 5 2" xfId="30853"/>
    <cellStyle name="Normal 13 11 6" xfId="24413"/>
    <cellStyle name="Normal 13 12" xfId="2867"/>
    <cellStyle name="Normal 13 12 2" xfId="6088"/>
    <cellStyle name="Normal 13 12 2 2" xfId="22188"/>
    <cellStyle name="Normal 13 12 2 2 2" xfId="44775"/>
    <cellStyle name="Normal 13 12 2 3" xfId="12528"/>
    <cellStyle name="Normal 13 12 2 3 2" xfId="35115"/>
    <cellStyle name="Normal 13 12 2 4" xfId="28675"/>
    <cellStyle name="Normal 13 12 3" xfId="18968"/>
    <cellStyle name="Normal 13 12 3 2" xfId="41555"/>
    <cellStyle name="Normal 13 12 4" xfId="15748"/>
    <cellStyle name="Normal 13 12 4 2" xfId="38335"/>
    <cellStyle name="Normal 13 12 5" xfId="9308"/>
    <cellStyle name="Normal 13 12 5 2" xfId="31895"/>
    <cellStyle name="Normal 13 12 6" xfId="25455"/>
    <cellStyle name="Normal 13 13" xfId="3158"/>
    <cellStyle name="Normal 13 13 2" xfId="6378"/>
    <cellStyle name="Normal 13 13 2 2" xfId="22478"/>
    <cellStyle name="Normal 13 13 2 2 2" xfId="45065"/>
    <cellStyle name="Normal 13 13 2 3" xfId="12818"/>
    <cellStyle name="Normal 13 13 2 3 2" xfId="35405"/>
    <cellStyle name="Normal 13 13 2 4" xfId="28965"/>
    <cellStyle name="Normal 13 13 3" xfId="19258"/>
    <cellStyle name="Normal 13 13 3 2" xfId="41845"/>
    <cellStyle name="Normal 13 13 4" xfId="16038"/>
    <cellStyle name="Normal 13 13 4 2" xfId="38625"/>
    <cellStyle name="Normal 13 13 5" xfId="9598"/>
    <cellStyle name="Normal 13 13 5 2" xfId="32185"/>
    <cellStyle name="Normal 13 13 6" xfId="25745"/>
    <cellStyle name="Normal 13 14" xfId="451"/>
    <cellStyle name="Normal 13 14 2" xfId="3738"/>
    <cellStyle name="Normal 13 14 2 2" xfId="19838"/>
    <cellStyle name="Normal 13 14 2 2 2" xfId="42425"/>
    <cellStyle name="Normal 13 14 2 3" xfId="10178"/>
    <cellStyle name="Normal 13 14 2 3 2" xfId="32765"/>
    <cellStyle name="Normal 13 14 2 4" xfId="26325"/>
    <cellStyle name="Normal 13 14 3" xfId="16618"/>
    <cellStyle name="Normal 13 14 3 2" xfId="39205"/>
    <cellStyle name="Normal 13 14 4" xfId="13398"/>
    <cellStyle name="Normal 13 14 4 2" xfId="35985"/>
    <cellStyle name="Normal 13 14 5" xfId="6958"/>
    <cellStyle name="Normal 13 14 5 2" xfId="29545"/>
    <cellStyle name="Normal 13 14 6" xfId="23105"/>
    <cellStyle name="Normal 13 15" xfId="3448"/>
    <cellStyle name="Normal 13 15 2" xfId="19548"/>
    <cellStyle name="Normal 13 15 2 2" xfId="42135"/>
    <cellStyle name="Normal 13 15 3" xfId="9888"/>
    <cellStyle name="Normal 13 15 3 2" xfId="32475"/>
    <cellStyle name="Normal 13 15 4" xfId="26035"/>
    <cellStyle name="Normal 13 16" xfId="16328"/>
    <cellStyle name="Normal 13 16 2" xfId="38915"/>
    <cellStyle name="Normal 13 17" xfId="13108"/>
    <cellStyle name="Normal 13 17 2" xfId="35695"/>
    <cellStyle name="Normal 13 18" xfId="6668"/>
    <cellStyle name="Normal 13 18 2" xfId="29255"/>
    <cellStyle name="Normal 13 19" xfId="22815"/>
    <cellStyle name="Normal 13 2" xfId="128"/>
    <cellStyle name="Normal 13 2 10" xfId="2883"/>
    <cellStyle name="Normal 13 2 10 2" xfId="6104"/>
    <cellStyle name="Normal 13 2 10 2 2" xfId="22204"/>
    <cellStyle name="Normal 13 2 10 2 2 2" xfId="44791"/>
    <cellStyle name="Normal 13 2 10 2 3" xfId="12544"/>
    <cellStyle name="Normal 13 2 10 2 3 2" xfId="35131"/>
    <cellStyle name="Normal 13 2 10 2 4" xfId="28691"/>
    <cellStyle name="Normal 13 2 10 3" xfId="18984"/>
    <cellStyle name="Normal 13 2 10 3 2" xfId="41571"/>
    <cellStyle name="Normal 13 2 10 4" xfId="15764"/>
    <cellStyle name="Normal 13 2 10 4 2" xfId="38351"/>
    <cellStyle name="Normal 13 2 10 5" xfId="9324"/>
    <cellStyle name="Normal 13 2 10 5 2" xfId="31911"/>
    <cellStyle name="Normal 13 2 10 6" xfId="25471"/>
    <cellStyle name="Normal 13 2 11" xfId="3174"/>
    <cellStyle name="Normal 13 2 11 2" xfId="6394"/>
    <cellStyle name="Normal 13 2 11 2 2" xfId="22494"/>
    <cellStyle name="Normal 13 2 11 2 2 2" xfId="45081"/>
    <cellStyle name="Normal 13 2 11 2 3" xfId="12834"/>
    <cellStyle name="Normal 13 2 11 2 3 2" xfId="35421"/>
    <cellStyle name="Normal 13 2 11 2 4" xfId="28981"/>
    <cellStyle name="Normal 13 2 11 3" xfId="19274"/>
    <cellStyle name="Normal 13 2 11 3 2" xfId="41861"/>
    <cellStyle name="Normal 13 2 11 4" xfId="16054"/>
    <cellStyle name="Normal 13 2 11 4 2" xfId="38641"/>
    <cellStyle name="Normal 13 2 11 5" xfId="9614"/>
    <cellStyle name="Normal 13 2 11 5 2" xfId="32201"/>
    <cellStyle name="Normal 13 2 11 6" xfId="25761"/>
    <cellStyle name="Normal 13 2 12" xfId="467"/>
    <cellStyle name="Normal 13 2 12 2" xfId="3754"/>
    <cellStyle name="Normal 13 2 12 2 2" xfId="19854"/>
    <cellStyle name="Normal 13 2 12 2 2 2" xfId="42441"/>
    <cellStyle name="Normal 13 2 12 2 3" xfId="10194"/>
    <cellStyle name="Normal 13 2 12 2 3 2" xfId="32781"/>
    <cellStyle name="Normal 13 2 12 2 4" xfId="26341"/>
    <cellStyle name="Normal 13 2 12 3" xfId="16634"/>
    <cellStyle name="Normal 13 2 12 3 2" xfId="39221"/>
    <cellStyle name="Normal 13 2 12 4" xfId="13414"/>
    <cellStyle name="Normal 13 2 12 4 2" xfId="36001"/>
    <cellStyle name="Normal 13 2 12 5" xfId="6974"/>
    <cellStyle name="Normal 13 2 12 5 2" xfId="29561"/>
    <cellStyle name="Normal 13 2 12 6" xfId="23121"/>
    <cellStyle name="Normal 13 2 13" xfId="3464"/>
    <cellStyle name="Normal 13 2 13 2" xfId="19564"/>
    <cellStyle name="Normal 13 2 13 2 2" xfId="42151"/>
    <cellStyle name="Normal 13 2 13 3" xfId="9904"/>
    <cellStyle name="Normal 13 2 13 3 2" xfId="32491"/>
    <cellStyle name="Normal 13 2 13 4" xfId="26051"/>
    <cellStyle name="Normal 13 2 14" xfId="16344"/>
    <cellStyle name="Normal 13 2 14 2" xfId="38931"/>
    <cellStyle name="Normal 13 2 15" xfId="13124"/>
    <cellStyle name="Normal 13 2 15 2" xfId="35711"/>
    <cellStyle name="Normal 13 2 16" xfId="6684"/>
    <cellStyle name="Normal 13 2 16 2" xfId="29271"/>
    <cellStyle name="Normal 13 2 17" xfId="22831"/>
    <cellStyle name="Normal 13 2 2" xfId="212"/>
    <cellStyle name="Normal 13 2 2 10" xfId="504"/>
    <cellStyle name="Normal 13 2 2 10 2" xfId="3791"/>
    <cellStyle name="Normal 13 2 2 10 2 2" xfId="19891"/>
    <cellStyle name="Normal 13 2 2 10 2 2 2" xfId="42478"/>
    <cellStyle name="Normal 13 2 2 10 2 3" xfId="10231"/>
    <cellStyle name="Normal 13 2 2 10 2 3 2" xfId="32818"/>
    <cellStyle name="Normal 13 2 2 10 2 4" xfId="26378"/>
    <cellStyle name="Normal 13 2 2 10 3" xfId="16671"/>
    <cellStyle name="Normal 13 2 2 10 3 2" xfId="39258"/>
    <cellStyle name="Normal 13 2 2 10 4" xfId="13451"/>
    <cellStyle name="Normal 13 2 2 10 4 2" xfId="36038"/>
    <cellStyle name="Normal 13 2 2 10 5" xfId="7011"/>
    <cellStyle name="Normal 13 2 2 10 5 2" xfId="29598"/>
    <cellStyle name="Normal 13 2 2 10 6" xfId="23158"/>
    <cellStyle name="Normal 13 2 2 11" xfId="3501"/>
    <cellStyle name="Normal 13 2 2 11 2" xfId="19601"/>
    <cellStyle name="Normal 13 2 2 11 2 2" xfId="42188"/>
    <cellStyle name="Normal 13 2 2 11 3" xfId="9941"/>
    <cellStyle name="Normal 13 2 2 11 3 2" xfId="32528"/>
    <cellStyle name="Normal 13 2 2 11 4" xfId="26088"/>
    <cellStyle name="Normal 13 2 2 12" xfId="16381"/>
    <cellStyle name="Normal 13 2 2 12 2" xfId="38968"/>
    <cellStyle name="Normal 13 2 2 13" xfId="13161"/>
    <cellStyle name="Normal 13 2 2 13 2" xfId="35748"/>
    <cellStyle name="Normal 13 2 2 14" xfId="6721"/>
    <cellStyle name="Normal 13 2 2 14 2" xfId="29308"/>
    <cellStyle name="Normal 13 2 2 15" xfId="22868"/>
    <cellStyle name="Normal 13 2 2 2" xfId="311"/>
    <cellStyle name="Normal 13 2 2 2 10" xfId="13258"/>
    <cellStyle name="Normal 13 2 2 2 10 2" xfId="35845"/>
    <cellStyle name="Normal 13 2 2 2 11" xfId="6818"/>
    <cellStyle name="Normal 13 2 2 2 11 2" xfId="29405"/>
    <cellStyle name="Normal 13 2 2 2 12" xfId="22965"/>
    <cellStyle name="Normal 13 2 2 2 2" xfId="1030"/>
    <cellStyle name="Normal 13 2 2 2 2 2" xfId="2344"/>
    <cellStyle name="Normal 13 2 2 2 2 2 2" xfId="5565"/>
    <cellStyle name="Normal 13 2 2 2 2 2 2 2" xfId="21665"/>
    <cellStyle name="Normal 13 2 2 2 2 2 2 2 2" xfId="44252"/>
    <cellStyle name="Normal 13 2 2 2 2 2 2 3" xfId="12005"/>
    <cellStyle name="Normal 13 2 2 2 2 2 2 3 2" xfId="34592"/>
    <cellStyle name="Normal 13 2 2 2 2 2 2 4" xfId="28152"/>
    <cellStyle name="Normal 13 2 2 2 2 2 3" xfId="18445"/>
    <cellStyle name="Normal 13 2 2 2 2 2 3 2" xfId="41032"/>
    <cellStyle name="Normal 13 2 2 2 2 2 4" xfId="15225"/>
    <cellStyle name="Normal 13 2 2 2 2 2 4 2" xfId="37812"/>
    <cellStyle name="Normal 13 2 2 2 2 2 5" xfId="8785"/>
    <cellStyle name="Normal 13 2 2 2 2 2 5 2" xfId="31372"/>
    <cellStyle name="Normal 13 2 2 2 2 2 6" xfId="24932"/>
    <cellStyle name="Normal 13 2 2 2 2 3" xfId="4257"/>
    <cellStyle name="Normal 13 2 2 2 2 3 2" xfId="20357"/>
    <cellStyle name="Normal 13 2 2 2 2 3 2 2" xfId="42944"/>
    <cellStyle name="Normal 13 2 2 2 2 3 3" xfId="10697"/>
    <cellStyle name="Normal 13 2 2 2 2 3 3 2" xfId="33284"/>
    <cellStyle name="Normal 13 2 2 2 2 3 4" xfId="26844"/>
    <cellStyle name="Normal 13 2 2 2 2 4" xfId="17137"/>
    <cellStyle name="Normal 13 2 2 2 2 4 2" xfId="39724"/>
    <cellStyle name="Normal 13 2 2 2 2 5" xfId="13917"/>
    <cellStyle name="Normal 13 2 2 2 2 5 2" xfId="36504"/>
    <cellStyle name="Normal 13 2 2 2 2 6" xfId="7477"/>
    <cellStyle name="Normal 13 2 2 2 2 6 2" xfId="30064"/>
    <cellStyle name="Normal 13 2 2 2 2 7" xfId="23624"/>
    <cellStyle name="Normal 13 2 2 2 3" xfId="1377"/>
    <cellStyle name="Normal 13 2 2 2 3 2" xfId="2691"/>
    <cellStyle name="Normal 13 2 2 2 3 2 2" xfId="5912"/>
    <cellStyle name="Normal 13 2 2 2 3 2 2 2" xfId="22012"/>
    <cellStyle name="Normal 13 2 2 2 3 2 2 2 2" xfId="44599"/>
    <cellStyle name="Normal 13 2 2 2 3 2 2 3" xfId="12352"/>
    <cellStyle name="Normal 13 2 2 2 3 2 2 3 2" xfId="34939"/>
    <cellStyle name="Normal 13 2 2 2 3 2 2 4" xfId="28499"/>
    <cellStyle name="Normal 13 2 2 2 3 2 3" xfId="18792"/>
    <cellStyle name="Normal 13 2 2 2 3 2 3 2" xfId="41379"/>
    <cellStyle name="Normal 13 2 2 2 3 2 4" xfId="15572"/>
    <cellStyle name="Normal 13 2 2 2 3 2 4 2" xfId="38159"/>
    <cellStyle name="Normal 13 2 2 2 3 2 5" xfId="9132"/>
    <cellStyle name="Normal 13 2 2 2 3 2 5 2" xfId="31719"/>
    <cellStyle name="Normal 13 2 2 2 3 2 6" xfId="25279"/>
    <cellStyle name="Normal 13 2 2 2 3 3" xfId="4604"/>
    <cellStyle name="Normal 13 2 2 2 3 3 2" xfId="20704"/>
    <cellStyle name="Normal 13 2 2 2 3 3 2 2" xfId="43291"/>
    <cellStyle name="Normal 13 2 2 2 3 3 3" xfId="11044"/>
    <cellStyle name="Normal 13 2 2 2 3 3 3 2" xfId="33631"/>
    <cellStyle name="Normal 13 2 2 2 3 3 4" xfId="27191"/>
    <cellStyle name="Normal 13 2 2 2 3 4" xfId="17484"/>
    <cellStyle name="Normal 13 2 2 2 3 4 2" xfId="40071"/>
    <cellStyle name="Normal 13 2 2 2 3 5" xfId="14264"/>
    <cellStyle name="Normal 13 2 2 2 3 5 2" xfId="36851"/>
    <cellStyle name="Normal 13 2 2 2 3 6" xfId="7824"/>
    <cellStyle name="Normal 13 2 2 2 3 6 2" xfId="30411"/>
    <cellStyle name="Normal 13 2 2 2 3 7" xfId="23971"/>
    <cellStyle name="Normal 13 2 2 2 4" xfId="1996"/>
    <cellStyle name="Normal 13 2 2 2 4 2" xfId="5218"/>
    <cellStyle name="Normal 13 2 2 2 4 2 2" xfId="21318"/>
    <cellStyle name="Normal 13 2 2 2 4 2 2 2" xfId="43905"/>
    <cellStyle name="Normal 13 2 2 2 4 2 3" xfId="11658"/>
    <cellStyle name="Normal 13 2 2 2 4 2 3 2" xfId="34245"/>
    <cellStyle name="Normal 13 2 2 2 4 2 4" xfId="27805"/>
    <cellStyle name="Normal 13 2 2 2 4 3" xfId="18098"/>
    <cellStyle name="Normal 13 2 2 2 4 3 2" xfId="40685"/>
    <cellStyle name="Normal 13 2 2 2 4 4" xfId="14878"/>
    <cellStyle name="Normal 13 2 2 2 4 4 2" xfId="37465"/>
    <cellStyle name="Normal 13 2 2 2 4 5" xfId="8438"/>
    <cellStyle name="Normal 13 2 2 2 4 5 2" xfId="31025"/>
    <cellStyle name="Normal 13 2 2 2 4 6" xfId="24585"/>
    <cellStyle name="Normal 13 2 2 2 5" xfId="3018"/>
    <cellStyle name="Normal 13 2 2 2 5 2" xfId="6238"/>
    <cellStyle name="Normal 13 2 2 2 5 2 2" xfId="22338"/>
    <cellStyle name="Normal 13 2 2 2 5 2 2 2" xfId="44925"/>
    <cellStyle name="Normal 13 2 2 2 5 2 3" xfId="12678"/>
    <cellStyle name="Normal 13 2 2 2 5 2 3 2" xfId="35265"/>
    <cellStyle name="Normal 13 2 2 2 5 2 4" xfId="28825"/>
    <cellStyle name="Normal 13 2 2 2 5 3" xfId="19118"/>
    <cellStyle name="Normal 13 2 2 2 5 3 2" xfId="41705"/>
    <cellStyle name="Normal 13 2 2 2 5 4" xfId="15898"/>
    <cellStyle name="Normal 13 2 2 2 5 4 2" xfId="38485"/>
    <cellStyle name="Normal 13 2 2 2 5 5" xfId="9458"/>
    <cellStyle name="Normal 13 2 2 2 5 5 2" xfId="32045"/>
    <cellStyle name="Normal 13 2 2 2 5 6" xfId="25605"/>
    <cellStyle name="Normal 13 2 2 2 6" xfId="3308"/>
    <cellStyle name="Normal 13 2 2 2 6 2" xfId="6528"/>
    <cellStyle name="Normal 13 2 2 2 6 2 2" xfId="22628"/>
    <cellStyle name="Normal 13 2 2 2 6 2 2 2" xfId="45215"/>
    <cellStyle name="Normal 13 2 2 2 6 2 3" xfId="12968"/>
    <cellStyle name="Normal 13 2 2 2 6 2 3 2" xfId="35555"/>
    <cellStyle name="Normal 13 2 2 2 6 2 4" xfId="29115"/>
    <cellStyle name="Normal 13 2 2 2 6 3" xfId="19408"/>
    <cellStyle name="Normal 13 2 2 2 6 3 2" xfId="41995"/>
    <cellStyle name="Normal 13 2 2 2 6 4" xfId="16188"/>
    <cellStyle name="Normal 13 2 2 2 6 4 2" xfId="38775"/>
    <cellStyle name="Normal 13 2 2 2 6 5" xfId="9748"/>
    <cellStyle name="Normal 13 2 2 2 6 5 2" xfId="32335"/>
    <cellStyle name="Normal 13 2 2 2 6 6" xfId="25895"/>
    <cellStyle name="Normal 13 2 2 2 7" xfId="666"/>
    <cellStyle name="Normal 13 2 2 2 7 2" xfId="3910"/>
    <cellStyle name="Normal 13 2 2 2 7 2 2" xfId="20010"/>
    <cellStyle name="Normal 13 2 2 2 7 2 2 2" xfId="42597"/>
    <cellStyle name="Normal 13 2 2 2 7 2 3" xfId="10350"/>
    <cellStyle name="Normal 13 2 2 2 7 2 3 2" xfId="32937"/>
    <cellStyle name="Normal 13 2 2 2 7 2 4" xfId="26497"/>
    <cellStyle name="Normal 13 2 2 2 7 3" xfId="16790"/>
    <cellStyle name="Normal 13 2 2 2 7 3 2" xfId="39377"/>
    <cellStyle name="Normal 13 2 2 2 7 4" xfId="13570"/>
    <cellStyle name="Normal 13 2 2 2 7 4 2" xfId="36157"/>
    <cellStyle name="Normal 13 2 2 2 7 5" xfId="7130"/>
    <cellStyle name="Normal 13 2 2 2 7 5 2" xfId="29717"/>
    <cellStyle name="Normal 13 2 2 2 7 6" xfId="23277"/>
    <cellStyle name="Normal 13 2 2 2 8" xfId="3598"/>
    <cellStyle name="Normal 13 2 2 2 8 2" xfId="19698"/>
    <cellStyle name="Normal 13 2 2 2 8 2 2" xfId="42285"/>
    <cellStyle name="Normal 13 2 2 2 8 3" xfId="10038"/>
    <cellStyle name="Normal 13 2 2 2 8 3 2" xfId="32625"/>
    <cellStyle name="Normal 13 2 2 2 8 4" xfId="26185"/>
    <cellStyle name="Normal 13 2 2 2 9" xfId="16478"/>
    <cellStyle name="Normal 13 2 2 2 9 2" xfId="39065"/>
    <cellStyle name="Normal 13 2 2 3" xfId="407"/>
    <cellStyle name="Normal 13 2 2 3 10" xfId="13354"/>
    <cellStyle name="Normal 13 2 2 3 10 2" xfId="35941"/>
    <cellStyle name="Normal 13 2 2 3 11" xfId="6914"/>
    <cellStyle name="Normal 13 2 2 3 11 2" xfId="29501"/>
    <cellStyle name="Normal 13 2 2 3 12" xfId="23061"/>
    <cellStyle name="Normal 13 2 2 3 2" xfId="1189"/>
    <cellStyle name="Normal 13 2 2 3 2 2" xfId="2503"/>
    <cellStyle name="Normal 13 2 2 3 2 2 2" xfId="5724"/>
    <cellStyle name="Normal 13 2 2 3 2 2 2 2" xfId="21824"/>
    <cellStyle name="Normal 13 2 2 3 2 2 2 2 2" xfId="44411"/>
    <cellStyle name="Normal 13 2 2 3 2 2 2 3" xfId="12164"/>
    <cellStyle name="Normal 13 2 2 3 2 2 2 3 2" xfId="34751"/>
    <cellStyle name="Normal 13 2 2 3 2 2 2 4" xfId="28311"/>
    <cellStyle name="Normal 13 2 2 3 2 2 3" xfId="18604"/>
    <cellStyle name="Normal 13 2 2 3 2 2 3 2" xfId="41191"/>
    <cellStyle name="Normal 13 2 2 3 2 2 4" xfId="15384"/>
    <cellStyle name="Normal 13 2 2 3 2 2 4 2" xfId="37971"/>
    <cellStyle name="Normal 13 2 2 3 2 2 5" xfId="8944"/>
    <cellStyle name="Normal 13 2 2 3 2 2 5 2" xfId="31531"/>
    <cellStyle name="Normal 13 2 2 3 2 2 6" xfId="25091"/>
    <cellStyle name="Normal 13 2 2 3 2 3" xfId="4416"/>
    <cellStyle name="Normal 13 2 2 3 2 3 2" xfId="20516"/>
    <cellStyle name="Normal 13 2 2 3 2 3 2 2" xfId="43103"/>
    <cellStyle name="Normal 13 2 2 3 2 3 3" xfId="10856"/>
    <cellStyle name="Normal 13 2 2 3 2 3 3 2" xfId="33443"/>
    <cellStyle name="Normal 13 2 2 3 2 3 4" xfId="27003"/>
    <cellStyle name="Normal 13 2 2 3 2 4" xfId="17296"/>
    <cellStyle name="Normal 13 2 2 3 2 4 2" xfId="39883"/>
    <cellStyle name="Normal 13 2 2 3 2 5" xfId="14076"/>
    <cellStyle name="Normal 13 2 2 3 2 5 2" xfId="36663"/>
    <cellStyle name="Normal 13 2 2 3 2 6" xfId="7636"/>
    <cellStyle name="Normal 13 2 2 3 2 6 2" xfId="30223"/>
    <cellStyle name="Normal 13 2 2 3 2 7" xfId="23783"/>
    <cellStyle name="Normal 13 2 2 3 3" xfId="1536"/>
    <cellStyle name="Normal 13 2 2 3 3 2" xfId="2850"/>
    <cellStyle name="Normal 13 2 2 3 3 2 2" xfId="6071"/>
    <cellStyle name="Normal 13 2 2 3 3 2 2 2" xfId="22171"/>
    <cellStyle name="Normal 13 2 2 3 3 2 2 2 2" xfId="44758"/>
    <cellStyle name="Normal 13 2 2 3 3 2 2 3" xfId="12511"/>
    <cellStyle name="Normal 13 2 2 3 3 2 2 3 2" xfId="35098"/>
    <cellStyle name="Normal 13 2 2 3 3 2 2 4" xfId="28658"/>
    <cellStyle name="Normal 13 2 2 3 3 2 3" xfId="18951"/>
    <cellStyle name="Normal 13 2 2 3 3 2 3 2" xfId="41538"/>
    <cellStyle name="Normal 13 2 2 3 3 2 4" xfId="15731"/>
    <cellStyle name="Normal 13 2 2 3 3 2 4 2" xfId="38318"/>
    <cellStyle name="Normal 13 2 2 3 3 2 5" xfId="9291"/>
    <cellStyle name="Normal 13 2 2 3 3 2 5 2" xfId="31878"/>
    <cellStyle name="Normal 13 2 2 3 3 2 6" xfId="25438"/>
    <cellStyle name="Normal 13 2 2 3 3 3" xfId="4763"/>
    <cellStyle name="Normal 13 2 2 3 3 3 2" xfId="20863"/>
    <cellStyle name="Normal 13 2 2 3 3 3 2 2" xfId="43450"/>
    <cellStyle name="Normal 13 2 2 3 3 3 3" xfId="11203"/>
    <cellStyle name="Normal 13 2 2 3 3 3 3 2" xfId="33790"/>
    <cellStyle name="Normal 13 2 2 3 3 3 4" xfId="27350"/>
    <cellStyle name="Normal 13 2 2 3 3 4" xfId="17643"/>
    <cellStyle name="Normal 13 2 2 3 3 4 2" xfId="40230"/>
    <cellStyle name="Normal 13 2 2 3 3 5" xfId="14423"/>
    <cellStyle name="Normal 13 2 2 3 3 5 2" xfId="37010"/>
    <cellStyle name="Normal 13 2 2 3 3 6" xfId="7983"/>
    <cellStyle name="Normal 13 2 2 3 3 6 2" xfId="30570"/>
    <cellStyle name="Normal 13 2 2 3 3 7" xfId="24130"/>
    <cellStyle name="Normal 13 2 2 3 4" xfId="2156"/>
    <cellStyle name="Normal 13 2 2 3 4 2" xfId="5377"/>
    <cellStyle name="Normal 13 2 2 3 4 2 2" xfId="21477"/>
    <cellStyle name="Normal 13 2 2 3 4 2 2 2" xfId="44064"/>
    <cellStyle name="Normal 13 2 2 3 4 2 3" xfId="11817"/>
    <cellStyle name="Normal 13 2 2 3 4 2 3 2" xfId="34404"/>
    <cellStyle name="Normal 13 2 2 3 4 2 4" xfId="27964"/>
    <cellStyle name="Normal 13 2 2 3 4 3" xfId="18257"/>
    <cellStyle name="Normal 13 2 2 3 4 3 2" xfId="40844"/>
    <cellStyle name="Normal 13 2 2 3 4 4" xfId="15037"/>
    <cellStyle name="Normal 13 2 2 3 4 4 2" xfId="37624"/>
    <cellStyle name="Normal 13 2 2 3 4 5" xfId="8597"/>
    <cellStyle name="Normal 13 2 2 3 4 5 2" xfId="31184"/>
    <cellStyle name="Normal 13 2 2 3 4 6" xfId="24744"/>
    <cellStyle name="Normal 13 2 2 3 5" xfId="3114"/>
    <cellStyle name="Normal 13 2 2 3 5 2" xfId="6334"/>
    <cellStyle name="Normal 13 2 2 3 5 2 2" xfId="22434"/>
    <cellStyle name="Normal 13 2 2 3 5 2 2 2" xfId="45021"/>
    <cellStyle name="Normal 13 2 2 3 5 2 3" xfId="12774"/>
    <cellStyle name="Normal 13 2 2 3 5 2 3 2" xfId="35361"/>
    <cellStyle name="Normal 13 2 2 3 5 2 4" xfId="28921"/>
    <cellStyle name="Normal 13 2 2 3 5 3" xfId="19214"/>
    <cellStyle name="Normal 13 2 2 3 5 3 2" xfId="41801"/>
    <cellStyle name="Normal 13 2 2 3 5 4" xfId="15994"/>
    <cellStyle name="Normal 13 2 2 3 5 4 2" xfId="38581"/>
    <cellStyle name="Normal 13 2 2 3 5 5" xfId="9554"/>
    <cellStyle name="Normal 13 2 2 3 5 5 2" xfId="32141"/>
    <cellStyle name="Normal 13 2 2 3 5 6" xfId="25701"/>
    <cellStyle name="Normal 13 2 2 3 6" xfId="3404"/>
    <cellStyle name="Normal 13 2 2 3 6 2" xfId="6624"/>
    <cellStyle name="Normal 13 2 2 3 6 2 2" xfId="22724"/>
    <cellStyle name="Normal 13 2 2 3 6 2 2 2" xfId="45311"/>
    <cellStyle name="Normal 13 2 2 3 6 2 3" xfId="13064"/>
    <cellStyle name="Normal 13 2 2 3 6 2 3 2" xfId="35651"/>
    <cellStyle name="Normal 13 2 2 3 6 2 4" xfId="29211"/>
    <cellStyle name="Normal 13 2 2 3 6 3" xfId="19504"/>
    <cellStyle name="Normal 13 2 2 3 6 3 2" xfId="42091"/>
    <cellStyle name="Normal 13 2 2 3 6 4" xfId="16284"/>
    <cellStyle name="Normal 13 2 2 3 6 4 2" xfId="38871"/>
    <cellStyle name="Normal 13 2 2 3 6 5" xfId="9844"/>
    <cellStyle name="Normal 13 2 2 3 6 5 2" xfId="32431"/>
    <cellStyle name="Normal 13 2 2 3 6 6" xfId="25991"/>
    <cellStyle name="Normal 13 2 2 3 7" xfId="837"/>
    <cellStyle name="Normal 13 2 2 3 7 2" xfId="4069"/>
    <cellStyle name="Normal 13 2 2 3 7 2 2" xfId="20169"/>
    <cellStyle name="Normal 13 2 2 3 7 2 2 2" xfId="42756"/>
    <cellStyle name="Normal 13 2 2 3 7 2 3" xfId="10509"/>
    <cellStyle name="Normal 13 2 2 3 7 2 3 2" xfId="33096"/>
    <cellStyle name="Normal 13 2 2 3 7 2 4" xfId="26656"/>
    <cellStyle name="Normal 13 2 2 3 7 3" xfId="16949"/>
    <cellStyle name="Normal 13 2 2 3 7 3 2" xfId="39536"/>
    <cellStyle name="Normal 13 2 2 3 7 4" xfId="13729"/>
    <cellStyle name="Normal 13 2 2 3 7 4 2" xfId="36316"/>
    <cellStyle name="Normal 13 2 2 3 7 5" xfId="7289"/>
    <cellStyle name="Normal 13 2 2 3 7 5 2" xfId="29876"/>
    <cellStyle name="Normal 13 2 2 3 7 6" xfId="23436"/>
    <cellStyle name="Normal 13 2 2 3 8" xfId="3694"/>
    <cellStyle name="Normal 13 2 2 3 8 2" xfId="19794"/>
    <cellStyle name="Normal 13 2 2 3 8 2 2" xfId="42381"/>
    <cellStyle name="Normal 13 2 2 3 8 3" xfId="10134"/>
    <cellStyle name="Normal 13 2 2 3 8 3 2" xfId="32721"/>
    <cellStyle name="Normal 13 2 2 3 8 4" xfId="26281"/>
    <cellStyle name="Normal 13 2 2 3 9" xfId="16574"/>
    <cellStyle name="Normal 13 2 2 3 9 2" xfId="39161"/>
    <cellStyle name="Normal 13 2 2 4" xfId="906"/>
    <cellStyle name="Normal 13 2 2 4 2" xfId="2225"/>
    <cellStyle name="Normal 13 2 2 4 2 2" xfId="5446"/>
    <cellStyle name="Normal 13 2 2 4 2 2 2" xfId="21546"/>
    <cellStyle name="Normal 13 2 2 4 2 2 2 2" xfId="44133"/>
    <cellStyle name="Normal 13 2 2 4 2 2 3" xfId="11886"/>
    <cellStyle name="Normal 13 2 2 4 2 2 3 2" xfId="34473"/>
    <cellStyle name="Normal 13 2 2 4 2 2 4" xfId="28033"/>
    <cellStyle name="Normal 13 2 2 4 2 3" xfId="18326"/>
    <cellStyle name="Normal 13 2 2 4 2 3 2" xfId="40913"/>
    <cellStyle name="Normal 13 2 2 4 2 4" xfId="15106"/>
    <cellStyle name="Normal 13 2 2 4 2 4 2" xfId="37693"/>
    <cellStyle name="Normal 13 2 2 4 2 5" xfId="8666"/>
    <cellStyle name="Normal 13 2 2 4 2 5 2" xfId="31253"/>
    <cellStyle name="Normal 13 2 2 4 2 6" xfId="24813"/>
    <cellStyle name="Normal 13 2 2 4 3" xfId="4138"/>
    <cellStyle name="Normal 13 2 2 4 3 2" xfId="20238"/>
    <cellStyle name="Normal 13 2 2 4 3 2 2" xfId="42825"/>
    <cellStyle name="Normal 13 2 2 4 3 3" xfId="10578"/>
    <cellStyle name="Normal 13 2 2 4 3 3 2" xfId="33165"/>
    <cellStyle name="Normal 13 2 2 4 3 4" xfId="26725"/>
    <cellStyle name="Normal 13 2 2 4 4" xfId="17018"/>
    <cellStyle name="Normal 13 2 2 4 4 2" xfId="39605"/>
    <cellStyle name="Normal 13 2 2 4 5" xfId="13798"/>
    <cellStyle name="Normal 13 2 2 4 5 2" xfId="36385"/>
    <cellStyle name="Normal 13 2 2 4 6" xfId="7358"/>
    <cellStyle name="Normal 13 2 2 4 6 2" xfId="29945"/>
    <cellStyle name="Normal 13 2 2 4 7" xfId="23505"/>
    <cellStyle name="Normal 13 2 2 5" xfId="1258"/>
    <cellStyle name="Normal 13 2 2 5 2" xfId="2572"/>
    <cellStyle name="Normal 13 2 2 5 2 2" xfId="5793"/>
    <cellStyle name="Normal 13 2 2 5 2 2 2" xfId="21893"/>
    <cellStyle name="Normal 13 2 2 5 2 2 2 2" xfId="44480"/>
    <cellStyle name="Normal 13 2 2 5 2 2 3" xfId="12233"/>
    <cellStyle name="Normal 13 2 2 5 2 2 3 2" xfId="34820"/>
    <cellStyle name="Normal 13 2 2 5 2 2 4" xfId="28380"/>
    <cellStyle name="Normal 13 2 2 5 2 3" xfId="18673"/>
    <cellStyle name="Normal 13 2 2 5 2 3 2" xfId="41260"/>
    <cellStyle name="Normal 13 2 2 5 2 4" xfId="15453"/>
    <cellStyle name="Normal 13 2 2 5 2 4 2" xfId="38040"/>
    <cellStyle name="Normal 13 2 2 5 2 5" xfId="9013"/>
    <cellStyle name="Normal 13 2 2 5 2 5 2" xfId="31600"/>
    <cellStyle name="Normal 13 2 2 5 2 6" xfId="25160"/>
    <cellStyle name="Normal 13 2 2 5 3" xfId="4485"/>
    <cellStyle name="Normal 13 2 2 5 3 2" xfId="20585"/>
    <cellStyle name="Normal 13 2 2 5 3 2 2" xfId="43172"/>
    <cellStyle name="Normal 13 2 2 5 3 3" xfId="10925"/>
    <cellStyle name="Normal 13 2 2 5 3 3 2" xfId="33512"/>
    <cellStyle name="Normal 13 2 2 5 3 4" xfId="27072"/>
    <cellStyle name="Normal 13 2 2 5 4" xfId="17365"/>
    <cellStyle name="Normal 13 2 2 5 4 2" xfId="39952"/>
    <cellStyle name="Normal 13 2 2 5 5" xfId="14145"/>
    <cellStyle name="Normal 13 2 2 5 5 2" xfId="36732"/>
    <cellStyle name="Normal 13 2 2 5 6" xfId="7705"/>
    <cellStyle name="Normal 13 2 2 5 6 2" xfId="30292"/>
    <cellStyle name="Normal 13 2 2 5 7" xfId="23852"/>
    <cellStyle name="Normal 13 2 2 6" xfId="1562"/>
    <cellStyle name="Normal 13 2 2 6 2" xfId="4788"/>
    <cellStyle name="Normal 13 2 2 6 2 2" xfId="20888"/>
    <cellStyle name="Normal 13 2 2 6 2 2 2" xfId="43475"/>
    <cellStyle name="Normal 13 2 2 6 2 3" xfId="11228"/>
    <cellStyle name="Normal 13 2 2 6 2 3 2" xfId="33815"/>
    <cellStyle name="Normal 13 2 2 6 2 4" xfId="27375"/>
    <cellStyle name="Normal 13 2 2 6 3" xfId="17668"/>
    <cellStyle name="Normal 13 2 2 6 3 2" xfId="40255"/>
    <cellStyle name="Normal 13 2 2 6 4" xfId="14448"/>
    <cellStyle name="Normal 13 2 2 6 4 2" xfId="37035"/>
    <cellStyle name="Normal 13 2 2 6 5" xfId="8008"/>
    <cellStyle name="Normal 13 2 2 6 5 2" xfId="30595"/>
    <cellStyle name="Normal 13 2 2 6 6" xfId="24155"/>
    <cellStyle name="Normal 13 2 2 7" xfId="1877"/>
    <cellStyle name="Normal 13 2 2 7 2" xfId="5099"/>
    <cellStyle name="Normal 13 2 2 7 2 2" xfId="21199"/>
    <cellStyle name="Normal 13 2 2 7 2 2 2" xfId="43786"/>
    <cellStyle name="Normal 13 2 2 7 2 3" xfId="11539"/>
    <cellStyle name="Normal 13 2 2 7 2 3 2" xfId="34126"/>
    <cellStyle name="Normal 13 2 2 7 2 4" xfId="27686"/>
    <cellStyle name="Normal 13 2 2 7 3" xfId="17979"/>
    <cellStyle name="Normal 13 2 2 7 3 2" xfId="40566"/>
    <cellStyle name="Normal 13 2 2 7 4" xfId="14759"/>
    <cellStyle name="Normal 13 2 2 7 4 2" xfId="37346"/>
    <cellStyle name="Normal 13 2 2 7 5" xfId="8319"/>
    <cellStyle name="Normal 13 2 2 7 5 2" xfId="30906"/>
    <cellStyle name="Normal 13 2 2 7 6" xfId="24466"/>
    <cellStyle name="Normal 13 2 2 8" xfId="2920"/>
    <cellStyle name="Normal 13 2 2 8 2" xfId="6141"/>
    <cellStyle name="Normal 13 2 2 8 2 2" xfId="22241"/>
    <cellStyle name="Normal 13 2 2 8 2 2 2" xfId="44828"/>
    <cellStyle name="Normal 13 2 2 8 2 3" xfId="12581"/>
    <cellStyle name="Normal 13 2 2 8 2 3 2" xfId="35168"/>
    <cellStyle name="Normal 13 2 2 8 2 4" xfId="28728"/>
    <cellStyle name="Normal 13 2 2 8 3" xfId="19021"/>
    <cellStyle name="Normal 13 2 2 8 3 2" xfId="41608"/>
    <cellStyle name="Normal 13 2 2 8 4" xfId="15801"/>
    <cellStyle name="Normal 13 2 2 8 4 2" xfId="38388"/>
    <cellStyle name="Normal 13 2 2 8 5" xfId="9361"/>
    <cellStyle name="Normal 13 2 2 8 5 2" xfId="31948"/>
    <cellStyle name="Normal 13 2 2 8 6" xfId="25508"/>
    <cellStyle name="Normal 13 2 2 9" xfId="3211"/>
    <cellStyle name="Normal 13 2 2 9 2" xfId="6431"/>
    <cellStyle name="Normal 13 2 2 9 2 2" xfId="22531"/>
    <cellStyle name="Normal 13 2 2 9 2 2 2" xfId="45118"/>
    <cellStyle name="Normal 13 2 2 9 2 3" xfId="12871"/>
    <cellStyle name="Normal 13 2 2 9 2 3 2" xfId="35458"/>
    <cellStyle name="Normal 13 2 2 9 2 4" xfId="29018"/>
    <cellStyle name="Normal 13 2 2 9 3" xfId="19311"/>
    <cellStyle name="Normal 13 2 2 9 3 2" xfId="41898"/>
    <cellStyle name="Normal 13 2 2 9 4" xfId="16091"/>
    <cellStyle name="Normal 13 2 2 9 4 2" xfId="38678"/>
    <cellStyle name="Normal 13 2 2 9 5" xfId="9651"/>
    <cellStyle name="Normal 13 2 2 9 5 2" xfId="32238"/>
    <cellStyle name="Normal 13 2 2 9 6" xfId="25798"/>
    <cellStyle name="Normal 13 2 3" xfId="277"/>
    <cellStyle name="Normal 13 2 3 10" xfId="3564"/>
    <cellStyle name="Normal 13 2 3 10 2" xfId="19664"/>
    <cellStyle name="Normal 13 2 3 10 2 2" xfId="42251"/>
    <cellStyle name="Normal 13 2 3 10 3" xfId="10004"/>
    <cellStyle name="Normal 13 2 3 10 3 2" xfId="32591"/>
    <cellStyle name="Normal 13 2 3 10 4" xfId="26151"/>
    <cellStyle name="Normal 13 2 3 11" xfId="16444"/>
    <cellStyle name="Normal 13 2 3 11 2" xfId="39031"/>
    <cellStyle name="Normal 13 2 3 12" xfId="13224"/>
    <cellStyle name="Normal 13 2 3 12 2" xfId="35811"/>
    <cellStyle name="Normal 13 2 3 13" xfId="6784"/>
    <cellStyle name="Normal 13 2 3 13 2" xfId="29371"/>
    <cellStyle name="Normal 13 2 3 14" xfId="22931"/>
    <cellStyle name="Normal 13 2 3 2" xfId="703"/>
    <cellStyle name="Normal 13 2 3 2 2" xfId="1067"/>
    <cellStyle name="Normal 13 2 3 2 2 2" xfId="2381"/>
    <cellStyle name="Normal 13 2 3 2 2 2 2" xfId="5602"/>
    <cellStyle name="Normal 13 2 3 2 2 2 2 2" xfId="21702"/>
    <cellStyle name="Normal 13 2 3 2 2 2 2 2 2" xfId="44289"/>
    <cellStyle name="Normal 13 2 3 2 2 2 2 3" xfId="12042"/>
    <cellStyle name="Normal 13 2 3 2 2 2 2 3 2" xfId="34629"/>
    <cellStyle name="Normal 13 2 3 2 2 2 2 4" xfId="28189"/>
    <cellStyle name="Normal 13 2 3 2 2 2 3" xfId="18482"/>
    <cellStyle name="Normal 13 2 3 2 2 2 3 2" xfId="41069"/>
    <cellStyle name="Normal 13 2 3 2 2 2 4" xfId="15262"/>
    <cellStyle name="Normal 13 2 3 2 2 2 4 2" xfId="37849"/>
    <cellStyle name="Normal 13 2 3 2 2 2 5" xfId="8822"/>
    <cellStyle name="Normal 13 2 3 2 2 2 5 2" xfId="31409"/>
    <cellStyle name="Normal 13 2 3 2 2 2 6" xfId="24969"/>
    <cellStyle name="Normal 13 2 3 2 2 3" xfId="4294"/>
    <cellStyle name="Normal 13 2 3 2 2 3 2" xfId="20394"/>
    <cellStyle name="Normal 13 2 3 2 2 3 2 2" xfId="42981"/>
    <cellStyle name="Normal 13 2 3 2 2 3 3" xfId="10734"/>
    <cellStyle name="Normal 13 2 3 2 2 3 3 2" xfId="33321"/>
    <cellStyle name="Normal 13 2 3 2 2 3 4" xfId="26881"/>
    <cellStyle name="Normal 13 2 3 2 2 4" xfId="17174"/>
    <cellStyle name="Normal 13 2 3 2 2 4 2" xfId="39761"/>
    <cellStyle name="Normal 13 2 3 2 2 5" xfId="13954"/>
    <cellStyle name="Normal 13 2 3 2 2 5 2" xfId="36541"/>
    <cellStyle name="Normal 13 2 3 2 2 6" xfId="7514"/>
    <cellStyle name="Normal 13 2 3 2 2 6 2" xfId="30101"/>
    <cellStyle name="Normal 13 2 3 2 2 7" xfId="23661"/>
    <cellStyle name="Normal 13 2 3 2 3" xfId="1414"/>
    <cellStyle name="Normal 13 2 3 2 3 2" xfId="2728"/>
    <cellStyle name="Normal 13 2 3 2 3 2 2" xfId="5949"/>
    <cellStyle name="Normal 13 2 3 2 3 2 2 2" xfId="22049"/>
    <cellStyle name="Normal 13 2 3 2 3 2 2 2 2" xfId="44636"/>
    <cellStyle name="Normal 13 2 3 2 3 2 2 3" xfId="12389"/>
    <cellStyle name="Normal 13 2 3 2 3 2 2 3 2" xfId="34976"/>
    <cellStyle name="Normal 13 2 3 2 3 2 2 4" xfId="28536"/>
    <cellStyle name="Normal 13 2 3 2 3 2 3" xfId="18829"/>
    <cellStyle name="Normal 13 2 3 2 3 2 3 2" xfId="41416"/>
    <cellStyle name="Normal 13 2 3 2 3 2 4" xfId="15609"/>
    <cellStyle name="Normal 13 2 3 2 3 2 4 2" xfId="38196"/>
    <cellStyle name="Normal 13 2 3 2 3 2 5" xfId="9169"/>
    <cellStyle name="Normal 13 2 3 2 3 2 5 2" xfId="31756"/>
    <cellStyle name="Normal 13 2 3 2 3 2 6" xfId="25316"/>
    <cellStyle name="Normal 13 2 3 2 3 3" xfId="4641"/>
    <cellStyle name="Normal 13 2 3 2 3 3 2" xfId="20741"/>
    <cellStyle name="Normal 13 2 3 2 3 3 2 2" xfId="43328"/>
    <cellStyle name="Normal 13 2 3 2 3 3 3" xfId="11081"/>
    <cellStyle name="Normal 13 2 3 2 3 3 3 2" xfId="33668"/>
    <cellStyle name="Normal 13 2 3 2 3 3 4" xfId="27228"/>
    <cellStyle name="Normal 13 2 3 2 3 4" xfId="17521"/>
    <cellStyle name="Normal 13 2 3 2 3 4 2" xfId="40108"/>
    <cellStyle name="Normal 13 2 3 2 3 5" xfId="14301"/>
    <cellStyle name="Normal 13 2 3 2 3 5 2" xfId="36888"/>
    <cellStyle name="Normal 13 2 3 2 3 6" xfId="7861"/>
    <cellStyle name="Normal 13 2 3 2 3 6 2" xfId="30448"/>
    <cellStyle name="Normal 13 2 3 2 3 7" xfId="24008"/>
    <cellStyle name="Normal 13 2 3 2 4" xfId="2033"/>
    <cellStyle name="Normal 13 2 3 2 4 2" xfId="5255"/>
    <cellStyle name="Normal 13 2 3 2 4 2 2" xfId="21355"/>
    <cellStyle name="Normal 13 2 3 2 4 2 2 2" xfId="43942"/>
    <cellStyle name="Normal 13 2 3 2 4 2 3" xfId="11695"/>
    <cellStyle name="Normal 13 2 3 2 4 2 3 2" xfId="34282"/>
    <cellStyle name="Normal 13 2 3 2 4 2 4" xfId="27842"/>
    <cellStyle name="Normal 13 2 3 2 4 3" xfId="18135"/>
    <cellStyle name="Normal 13 2 3 2 4 3 2" xfId="40722"/>
    <cellStyle name="Normal 13 2 3 2 4 4" xfId="14915"/>
    <cellStyle name="Normal 13 2 3 2 4 4 2" xfId="37502"/>
    <cellStyle name="Normal 13 2 3 2 4 5" xfId="8475"/>
    <cellStyle name="Normal 13 2 3 2 4 5 2" xfId="31062"/>
    <cellStyle name="Normal 13 2 3 2 4 6" xfId="24622"/>
    <cellStyle name="Normal 13 2 3 2 5" xfId="3947"/>
    <cellStyle name="Normal 13 2 3 2 5 2" xfId="20047"/>
    <cellStyle name="Normal 13 2 3 2 5 2 2" xfId="42634"/>
    <cellStyle name="Normal 13 2 3 2 5 3" xfId="10387"/>
    <cellStyle name="Normal 13 2 3 2 5 3 2" xfId="32974"/>
    <cellStyle name="Normal 13 2 3 2 5 4" xfId="26534"/>
    <cellStyle name="Normal 13 2 3 2 6" xfId="16827"/>
    <cellStyle name="Normal 13 2 3 2 6 2" xfId="39414"/>
    <cellStyle name="Normal 13 2 3 2 7" xfId="13607"/>
    <cellStyle name="Normal 13 2 3 2 7 2" xfId="36194"/>
    <cellStyle name="Normal 13 2 3 2 8" xfId="7167"/>
    <cellStyle name="Normal 13 2 3 2 8 2" xfId="29754"/>
    <cellStyle name="Normal 13 2 3 2 9" xfId="23314"/>
    <cellStyle name="Normal 13 2 3 3" xfId="946"/>
    <cellStyle name="Normal 13 2 3 3 2" xfId="2265"/>
    <cellStyle name="Normal 13 2 3 3 2 2" xfId="5486"/>
    <cellStyle name="Normal 13 2 3 3 2 2 2" xfId="21586"/>
    <cellStyle name="Normal 13 2 3 3 2 2 2 2" xfId="44173"/>
    <cellStyle name="Normal 13 2 3 3 2 2 3" xfId="11926"/>
    <cellStyle name="Normal 13 2 3 3 2 2 3 2" xfId="34513"/>
    <cellStyle name="Normal 13 2 3 3 2 2 4" xfId="28073"/>
    <cellStyle name="Normal 13 2 3 3 2 3" xfId="18366"/>
    <cellStyle name="Normal 13 2 3 3 2 3 2" xfId="40953"/>
    <cellStyle name="Normal 13 2 3 3 2 4" xfId="15146"/>
    <cellStyle name="Normal 13 2 3 3 2 4 2" xfId="37733"/>
    <cellStyle name="Normal 13 2 3 3 2 5" xfId="8706"/>
    <cellStyle name="Normal 13 2 3 3 2 5 2" xfId="31293"/>
    <cellStyle name="Normal 13 2 3 3 2 6" xfId="24853"/>
    <cellStyle name="Normal 13 2 3 3 3" xfId="4178"/>
    <cellStyle name="Normal 13 2 3 3 3 2" xfId="20278"/>
    <cellStyle name="Normal 13 2 3 3 3 2 2" xfId="42865"/>
    <cellStyle name="Normal 13 2 3 3 3 3" xfId="10618"/>
    <cellStyle name="Normal 13 2 3 3 3 3 2" xfId="33205"/>
    <cellStyle name="Normal 13 2 3 3 3 4" xfId="26765"/>
    <cellStyle name="Normal 13 2 3 3 4" xfId="17058"/>
    <cellStyle name="Normal 13 2 3 3 4 2" xfId="39645"/>
    <cellStyle name="Normal 13 2 3 3 5" xfId="13838"/>
    <cellStyle name="Normal 13 2 3 3 5 2" xfId="36425"/>
    <cellStyle name="Normal 13 2 3 3 6" xfId="7398"/>
    <cellStyle name="Normal 13 2 3 3 6 2" xfId="29985"/>
    <cellStyle name="Normal 13 2 3 3 7" xfId="23545"/>
    <cellStyle name="Normal 13 2 3 4" xfId="1298"/>
    <cellStyle name="Normal 13 2 3 4 2" xfId="2612"/>
    <cellStyle name="Normal 13 2 3 4 2 2" xfId="5833"/>
    <cellStyle name="Normal 13 2 3 4 2 2 2" xfId="21933"/>
    <cellStyle name="Normal 13 2 3 4 2 2 2 2" xfId="44520"/>
    <cellStyle name="Normal 13 2 3 4 2 2 3" xfId="12273"/>
    <cellStyle name="Normal 13 2 3 4 2 2 3 2" xfId="34860"/>
    <cellStyle name="Normal 13 2 3 4 2 2 4" xfId="28420"/>
    <cellStyle name="Normal 13 2 3 4 2 3" xfId="18713"/>
    <cellStyle name="Normal 13 2 3 4 2 3 2" xfId="41300"/>
    <cellStyle name="Normal 13 2 3 4 2 4" xfId="15493"/>
    <cellStyle name="Normal 13 2 3 4 2 4 2" xfId="38080"/>
    <cellStyle name="Normal 13 2 3 4 2 5" xfId="9053"/>
    <cellStyle name="Normal 13 2 3 4 2 5 2" xfId="31640"/>
    <cellStyle name="Normal 13 2 3 4 2 6" xfId="25200"/>
    <cellStyle name="Normal 13 2 3 4 3" xfId="4525"/>
    <cellStyle name="Normal 13 2 3 4 3 2" xfId="20625"/>
    <cellStyle name="Normal 13 2 3 4 3 2 2" xfId="43212"/>
    <cellStyle name="Normal 13 2 3 4 3 3" xfId="10965"/>
    <cellStyle name="Normal 13 2 3 4 3 3 2" xfId="33552"/>
    <cellStyle name="Normal 13 2 3 4 3 4" xfId="27112"/>
    <cellStyle name="Normal 13 2 3 4 4" xfId="17405"/>
    <cellStyle name="Normal 13 2 3 4 4 2" xfId="39992"/>
    <cellStyle name="Normal 13 2 3 4 5" xfId="14185"/>
    <cellStyle name="Normal 13 2 3 4 5 2" xfId="36772"/>
    <cellStyle name="Normal 13 2 3 4 6" xfId="7745"/>
    <cellStyle name="Normal 13 2 3 4 6 2" xfId="30332"/>
    <cellStyle name="Normal 13 2 3 4 7" xfId="23892"/>
    <cellStyle name="Normal 13 2 3 5" xfId="1563"/>
    <cellStyle name="Normal 13 2 3 5 2" xfId="4789"/>
    <cellStyle name="Normal 13 2 3 5 2 2" xfId="20889"/>
    <cellStyle name="Normal 13 2 3 5 2 2 2" xfId="43476"/>
    <cellStyle name="Normal 13 2 3 5 2 3" xfId="11229"/>
    <cellStyle name="Normal 13 2 3 5 2 3 2" xfId="33816"/>
    <cellStyle name="Normal 13 2 3 5 2 4" xfId="27376"/>
    <cellStyle name="Normal 13 2 3 5 3" xfId="17669"/>
    <cellStyle name="Normal 13 2 3 5 3 2" xfId="40256"/>
    <cellStyle name="Normal 13 2 3 5 4" xfId="14449"/>
    <cellStyle name="Normal 13 2 3 5 4 2" xfId="37036"/>
    <cellStyle name="Normal 13 2 3 5 5" xfId="8009"/>
    <cellStyle name="Normal 13 2 3 5 5 2" xfId="30596"/>
    <cellStyle name="Normal 13 2 3 5 6" xfId="24156"/>
    <cellStyle name="Normal 13 2 3 6" xfId="1917"/>
    <cellStyle name="Normal 13 2 3 6 2" xfId="5139"/>
    <cellStyle name="Normal 13 2 3 6 2 2" xfId="21239"/>
    <cellStyle name="Normal 13 2 3 6 2 2 2" xfId="43826"/>
    <cellStyle name="Normal 13 2 3 6 2 3" xfId="11579"/>
    <cellStyle name="Normal 13 2 3 6 2 3 2" xfId="34166"/>
    <cellStyle name="Normal 13 2 3 6 2 4" xfId="27726"/>
    <cellStyle name="Normal 13 2 3 6 3" xfId="18019"/>
    <cellStyle name="Normal 13 2 3 6 3 2" xfId="40606"/>
    <cellStyle name="Normal 13 2 3 6 4" xfId="14799"/>
    <cellStyle name="Normal 13 2 3 6 4 2" xfId="37386"/>
    <cellStyle name="Normal 13 2 3 6 5" xfId="8359"/>
    <cellStyle name="Normal 13 2 3 6 5 2" xfId="30946"/>
    <cellStyle name="Normal 13 2 3 6 6" xfId="24506"/>
    <cellStyle name="Normal 13 2 3 7" xfId="2984"/>
    <cellStyle name="Normal 13 2 3 7 2" xfId="6204"/>
    <cellStyle name="Normal 13 2 3 7 2 2" xfId="22304"/>
    <cellStyle name="Normal 13 2 3 7 2 2 2" xfId="44891"/>
    <cellStyle name="Normal 13 2 3 7 2 3" xfId="12644"/>
    <cellStyle name="Normal 13 2 3 7 2 3 2" xfId="35231"/>
    <cellStyle name="Normal 13 2 3 7 2 4" xfId="28791"/>
    <cellStyle name="Normal 13 2 3 7 3" xfId="19084"/>
    <cellStyle name="Normal 13 2 3 7 3 2" xfId="41671"/>
    <cellStyle name="Normal 13 2 3 7 4" xfId="15864"/>
    <cellStyle name="Normal 13 2 3 7 4 2" xfId="38451"/>
    <cellStyle name="Normal 13 2 3 7 5" xfId="9424"/>
    <cellStyle name="Normal 13 2 3 7 5 2" xfId="32011"/>
    <cellStyle name="Normal 13 2 3 7 6" xfId="25571"/>
    <cellStyle name="Normal 13 2 3 8" xfId="3274"/>
    <cellStyle name="Normal 13 2 3 8 2" xfId="6494"/>
    <cellStyle name="Normal 13 2 3 8 2 2" xfId="22594"/>
    <cellStyle name="Normal 13 2 3 8 2 2 2" xfId="45181"/>
    <cellStyle name="Normal 13 2 3 8 2 3" xfId="12934"/>
    <cellStyle name="Normal 13 2 3 8 2 3 2" xfId="35521"/>
    <cellStyle name="Normal 13 2 3 8 2 4" xfId="29081"/>
    <cellStyle name="Normal 13 2 3 8 3" xfId="19374"/>
    <cellStyle name="Normal 13 2 3 8 3 2" xfId="41961"/>
    <cellStyle name="Normal 13 2 3 8 4" xfId="16154"/>
    <cellStyle name="Normal 13 2 3 8 4 2" xfId="38741"/>
    <cellStyle name="Normal 13 2 3 8 5" xfId="9714"/>
    <cellStyle name="Normal 13 2 3 8 5 2" xfId="32301"/>
    <cellStyle name="Normal 13 2 3 8 6" xfId="25861"/>
    <cellStyle name="Normal 13 2 3 9" xfId="544"/>
    <cellStyle name="Normal 13 2 3 9 2" xfId="3831"/>
    <cellStyle name="Normal 13 2 3 9 2 2" xfId="19931"/>
    <cellStyle name="Normal 13 2 3 9 2 2 2" xfId="42518"/>
    <cellStyle name="Normal 13 2 3 9 2 3" xfId="10271"/>
    <cellStyle name="Normal 13 2 3 9 2 3 2" xfId="32858"/>
    <cellStyle name="Normal 13 2 3 9 2 4" xfId="26418"/>
    <cellStyle name="Normal 13 2 3 9 3" xfId="16711"/>
    <cellStyle name="Normal 13 2 3 9 3 2" xfId="39298"/>
    <cellStyle name="Normal 13 2 3 9 4" xfId="13491"/>
    <cellStyle name="Normal 13 2 3 9 4 2" xfId="36078"/>
    <cellStyle name="Normal 13 2 3 9 5" xfId="7051"/>
    <cellStyle name="Normal 13 2 3 9 5 2" xfId="29638"/>
    <cellStyle name="Normal 13 2 3 9 6" xfId="23198"/>
    <cellStyle name="Normal 13 2 4" xfId="370"/>
    <cellStyle name="Normal 13 2 4 10" xfId="13317"/>
    <cellStyle name="Normal 13 2 4 10 2" xfId="35904"/>
    <cellStyle name="Normal 13 2 4 11" xfId="6877"/>
    <cellStyle name="Normal 13 2 4 11 2" xfId="29464"/>
    <cellStyle name="Normal 13 2 4 12" xfId="23024"/>
    <cellStyle name="Normal 13 2 4 2" xfId="993"/>
    <cellStyle name="Normal 13 2 4 2 2" xfId="2307"/>
    <cellStyle name="Normal 13 2 4 2 2 2" xfId="5528"/>
    <cellStyle name="Normal 13 2 4 2 2 2 2" xfId="21628"/>
    <cellStyle name="Normal 13 2 4 2 2 2 2 2" xfId="44215"/>
    <cellStyle name="Normal 13 2 4 2 2 2 3" xfId="11968"/>
    <cellStyle name="Normal 13 2 4 2 2 2 3 2" xfId="34555"/>
    <cellStyle name="Normal 13 2 4 2 2 2 4" xfId="28115"/>
    <cellStyle name="Normal 13 2 4 2 2 3" xfId="18408"/>
    <cellStyle name="Normal 13 2 4 2 2 3 2" xfId="40995"/>
    <cellStyle name="Normal 13 2 4 2 2 4" xfId="15188"/>
    <cellStyle name="Normal 13 2 4 2 2 4 2" xfId="37775"/>
    <cellStyle name="Normal 13 2 4 2 2 5" xfId="8748"/>
    <cellStyle name="Normal 13 2 4 2 2 5 2" xfId="31335"/>
    <cellStyle name="Normal 13 2 4 2 2 6" xfId="24895"/>
    <cellStyle name="Normal 13 2 4 2 3" xfId="4220"/>
    <cellStyle name="Normal 13 2 4 2 3 2" xfId="20320"/>
    <cellStyle name="Normal 13 2 4 2 3 2 2" xfId="42907"/>
    <cellStyle name="Normal 13 2 4 2 3 3" xfId="10660"/>
    <cellStyle name="Normal 13 2 4 2 3 3 2" xfId="33247"/>
    <cellStyle name="Normal 13 2 4 2 3 4" xfId="26807"/>
    <cellStyle name="Normal 13 2 4 2 4" xfId="17100"/>
    <cellStyle name="Normal 13 2 4 2 4 2" xfId="39687"/>
    <cellStyle name="Normal 13 2 4 2 5" xfId="13880"/>
    <cellStyle name="Normal 13 2 4 2 5 2" xfId="36467"/>
    <cellStyle name="Normal 13 2 4 2 6" xfId="7440"/>
    <cellStyle name="Normal 13 2 4 2 6 2" xfId="30027"/>
    <cellStyle name="Normal 13 2 4 2 7" xfId="23587"/>
    <cellStyle name="Normal 13 2 4 3" xfId="1340"/>
    <cellStyle name="Normal 13 2 4 3 2" xfId="2654"/>
    <cellStyle name="Normal 13 2 4 3 2 2" xfId="5875"/>
    <cellStyle name="Normal 13 2 4 3 2 2 2" xfId="21975"/>
    <cellStyle name="Normal 13 2 4 3 2 2 2 2" xfId="44562"/>
    <cellStyle name="Normal 13 2 4 3 2 2 3" xfId="12315"/>
    <cellStyle name="Normal 13 2 4 3 2 2 3 2" xfId="34902"/>
    <cellStyle name="Normal 13 2 4 3 2 2 4" xfId="28462"/>
    <cellStyle name="Normal 13 2 4 3 2 3" xfId="18755"/>
    <cellStyle name="Normal 13 2 4 3 2 3 2" xfId="41342"/>
    <cellStyle name="Normal 13 2 4 3 2 4" xfId="15535"/>
    <cellStyle name="Normal 13 2 4 3 2 4 2" xfId="38122"/>
    <cellStyle name="Normal 13 2 4 3 2 5" xfId="9095"/>
    <cellStyle name="Normal 13 2 4 3 2 5 2" xfId="31682"/>
    <cellStyle name="Normal 13 2 4 3 2 6" xfId="25242"/>
    <cellStyle name="Normal 13 2 4 3 3" xfId="4567"/>
    <cellStyle name="Normal 13 2 4 3 3 2" xfId="20667"/>
    <cellStyle name="Normal 13 2 4 3 3 2 2" xfId="43254"/>
    <cellStyle name="Normal 13 2 4 3 3 3" xfId="11007"/>
    <cellStyle name="Normal 13 2 4 3 3 3 2" xfId="33594"/>
    <cellStyle name="Normal 13 2 4 3 3 4" xfId="27154"/>
    <cellStyle name="Normal 13 2 4 3 4" xfId="17447"/>
    <cellStyle name="Normal 13 2 4 3 4 2" xfId="40034"/>
    <cellStyle name="Normal 13 2 4 3 5" xfId="14227"/>
    <cellStyle name="Normal 13 2 4 3 5 2" xfId="36814"/>
    <cellStyle name="Normal 13 2 4 3 6" xfId="7787"/>
    <cellStyle name="Normal 13 2 4 3 6 2" xfId="30374"/>
    <cellStyle name="Normal 13 2 4 3 7" xfId="23934"/>
    <cellStyle name="Normal 13 2 4 4" xfId="1959"/>
    <cellStyle name="Normal 13 2 4 4 2" xfId="5181"/>
    <cellStyle name="Normal 13 2 4 4 2 2" xfId="21281"/>
    <cellStyle name="Normal 13 2 4 4 2 2 2" xfId="43868"/>
    <cellStyle name="Normal 13 2 4 4 2 3" xfId="11621"/>
    <cellStyle name="Normal 13 2 4 4 2 3 2" xfId="34208"/>
    <cellStyle name="Normal 13 2 4 4 2 4" xfId="27768"/>
    <cellStyle name="Normal 13 2 4 4 3" xfId="18061"/>
    <cellStyle name="Normal 13 2 4 4 3 2" xfId="40648"/>
    <cellStyle name="Normal 13 2 4 4 4" xfId="14841"/>
    <cellStyle name="Normal 13 2 4 4 4 2" xfId="37428"/>
    <cellStyle name="Normal 13 2 4 4 5" xfId="8401"/>
    <cellStyle name="Normal 13 2 4 4 5 2" xfId="30988"/>
    <cellStyle name="Normal 13 2 4 4 6" xfId="24548"/>
    <cellStyle name="Normal 13 2 4 5" xfId="3077"/>
    <cellStyle name="Normal 13 2 4 5 2" xfId="6297"/>
    <cellStyle name="Normal 13 2 4 5 2 2" xfId="22397"/>
    <cellStyle name="Normal 13 2 4 5 2 2 2" xfId="44984"/>
    <cellStyle name="Normal 13 2 4 5 2 3" xfId="12737"/>
    <cellStyle name="Normal 13 2 4 5 2 3 2" xfId="35324"/>
    <cellStyle name="Normal 13 2 4 5 2 4" xfId="28884"/>
    <cellStyle name="Normal 13 2 4 5 3" xfId="19177"/>
    <cellStyle name="Normal 13 2 4 5 3 2" xfId="41764"/>
    <cellStyle name="Normal 13 2 4 5 4" xfId="15957"/>
    <cellStyle name="Normal 13 2 4 5 4 2" xfId="38544"/>
    <cellStyle name="Normal 13 2 4 5 5" xfId="9517"/>
    <cellStyle name="Normal 13 2 4 5 5 2" xfId="32104"/>
    <cellStyle name="Normal 13 2 4 5 6" xfId="25664"/>
    <cellStyle name="Normal 13 2 4 6" xfId="3367"/>
    <cellStyle name="Normal 13 2 4 6 2" xfId="6587"/>
    <cellStyle name="Normal 13 2 4 6 2 2" xfId="22687"/>
    <cellStyle name="Normal 13 2 4 6 2 2 2" xfId="45274"/>
    <cellStyle name="Normal 13 2 4 6 2 3" xfId="13027"/>
    <cellStyle name="Normal 13 2 4 6 2 3 2" xfId="35614"/>
    <cellStyle name="Normal 13 2 4 6 2 4" xfId="29174"/>
    <cellStyle name="Normal 13 2 4 6 3" xfId="19467"/>
    <cellStyle name="Normal 13 2 4 6 3 2" xfId="42054"/>
    <cellStyle name="Normal 13 2 4 6 4" xfId="16247"/>
    <cellStyle name="Normal 13 2 4 6 4 2" xfId="38834"/>
    <cellStyle name="Normal 13 2 4 6 5" xfId="9807"/>
    <cellStyle name="Normal 13 2 4 6 5 2" xfId="32394"/>
    <cellStyle name="Normal 13 2 4 6 6" xfId="25954"/>
    <cellStyle name="Normal 13 2 4 7" xfId="629"/>
    <cellStyle name="Normal 13 2 4 7 2" xfId="3873"/>
    <cellStyle name="Normal 13 2 4 7 2 2" xfId="19973"/>
    <cellStyle name="Normal 13 2 4 7 2 2 2" xfId="42560"/>
    <cellStyle name="Normal 13 2 4 7 2 3" xfId="10313"/>
    <cellStyle name="Normal 13 2 4 7 2 3 2" xfId="32900"/>
    <cellStyle name="Normal 13 2 4 7 2 4" xfId="26460"/>
    <cellStyle name="Normal 13 2 4 7 3" xfId="16753"/>
    <cellStyle name="Normal 13 2 4 7 3 2" xfId="39340"/>
    <cellStyle name="Normal 13 2 4 7 4" xfId="13533"/>
    <cellStyle name="Normal 13 2 4 7 4 2" xfId="36120"/>
    <cellStyle name="Normal 13 2 4 7 5" xfId="7093"/>
    <cellStyle name="Normal 13 2 4 7 5 2" xfId="29680"/>
    <cellStyle name="Normal 13 2 4 7 6" xfId="23240"/>
    <cellStyle name="Normal 13 2 4 8" xfId="3657"/>
    <cellStyle name="Normal 13 2 4 8 2" xfId="19757"/>
    <cellStyle name="Normal 13 2 4 8 2 2" xfId="42344"/>
    <cellStyle name="Normal 13 2 4 8 3" xfId="10097"/>
    <cellStyle name="Normal 13 2 4 8 3 2" xfId="32684"/>
    <cellStyle name="Normal 13 2 4 8 4" xfId="26244"/>
    <cellStyle name="Normal 13 2 4 9" xfId="16537"/>
    <cellStyle name="Normal 13 2 4 9 2" xfId="39124"/>
    <cellStyle name="Normal 13 2 5" xfId="799"/>
    <cellStyle name="Normal 13 2 5 2" xfId="1151"/>
    <cellStyle name="Normal 13 2 5 2 2" xfId="2465"/>
    <cellStyle name="Normal 13 2 5 2 2 2" xfId="5686"/>
    <cellStyle name="Normal 13 2 5 2 2 2 2" xfId="21786"/>
    <cellStyle name="Normal 13 2 5 2 2 2 2 2" xfId="44373"/>
    <cellStyle name="Normal 13 2 5 2 2 2 3" xfId="12126"/>
    <cellStyle name="Normal 13 2 5 2 2 2 3 2" xfId="34713"/>
    <cellStyle name="Normal 13 2 5 2 2 2 4" xfId="28273"/>
    <cellStyle name="Normal 13 2 5 2 2 3" xfId="18566"/>
    <cellStyle name="Normal 13 2 5 2 2 3 2" xfId="41153"/>
    <cellStyle name="Normal 13 2 5 2 2 4" xfId="15346"/>
    <cellStyle name="Normal 13 2 5 2 2 4 2" xfId="37933"/>
    <cellStyle name="Normal 13 2 5 2 2 5" xfId="8906"/>
    <cellStyle name="Normal 13 2 5 2 2 5 2" xfId="31493"/>
    <cellStyle name="Normal 13 2 5 2 2 6" xfId="25053"/>
    <cellStyle name="Normal 13 2 5 2 3" xfId="4378"/>
    <cellStyle name="Normal 13 2 5 2 3 2" xfId="20478"/>
    <cellStyle name="Normal 13 2 5 2 3 2 2" xfId="43065"/>
    <cellStyle name="Normal 13 2 5 2 3 3" xfId="10818"/>
    <cellStyle name="Normal 13 2 5 2 3 3 2" xfId="33405"/>
    <cellStyle name="Normal 13 2 5 2 3 4" xfId="26965"/>
    <cellStyle name="Normal 13 2 5 2 4" xfId="17258"/>
    <cellStyle name="Normal 13 2 5 2 4 2" xfId="39845"/>
    <cellStyle name="Normal 13 2 5 2 5" xfId="14038"/>
    <cellStyle name="Normal 13 2 5 2 5 2" xfId="36625"/>
    <cellStyle name="Normal 13 2 5 2 6" xfId="7598"/>
    <cellStyle name="Normal 13 2 5 2 6 2" xfId="30185"/>
    <cellStyle name="Normal 13 2 5 2 7" xfId="23745"/>
    <cellStyle name="Normal 13 2 5 3" xfId="1498"/>
    <cellStyle name="Normal 13 2 5 3 2" xfId="2812"/>
    <cellStyle name="Normal 13 2 5 3 2 2" xfId="6033"/>
    <cellStyle name="Normal 13 2 5 3 2 2 2" xfId="22133"/>
    <cellStyle name="Normal 13 2 5 3 2 2 2 2" xfId="44720"/>
    <cellStyle name="Normal 13 2 5 3 2 2 3" xfId="12473"/>
    <cellStyle name="Normal 13 2 5 3 2 2 3 2" xfId="35060"/>
    <cellStyle name="Normal 13 2 5 3 2 2 4" xfId="28620"/>
    <cellStyle name="Normal 13 2 5 3 2 3" xfId="18913"/>
    <cellStyle name="Normal 13 2 5 3 2 3 2" xfId="41500"/>
    <cellStyle name="Normal 13 2 5 3 2 4" xfId="15693"/>
    <cellStyle name="Normal 13 2 5 3 2 4 2" xfId="38280"/>
    <cellStyle name="Normal 13 2 5 3 2 5" xfId="9253"/>
    <cellStyle name="Normal 13 2 5 3 2 5 2" xfId="31840"/>
    <cellStyle name="Normal 13 2 5 3 2 6" xfId="25400"/>
    <cellStyle name="Normal 13 2 5 3 3" xfId="4725"/>
    <cellStyle name="Normal 13 2 5 3 3 2" xfId="20825"/>
    <cellStyle name="Normal 13 2 5 3 3 2 2" xfId="43412"/>
    <cellStyle name="Normal 13 2 5 3 3 3" xfId="11165"/>
    <cellStyle name="Normal 13 2 5 3 3 3 2" xfId="33752"/>
    <cellStyle name="Normal 13 2 5 3 3 4" xfId="27312"/>
    <cellStyle name="Normal 13 2 5 3 4" xfId="17605"/>
    <cellStyle name="Normal 13 2 5 3 4 2" xfId="40192"/>
    <cellStyle name="Normal 13 2 5 3 5" xfId="14385"/>
    <cellStyle name="Normal 13 2 5 3 5 2" xfId="36972"/>
    <cellStyle name="Normal 13 2 5 3 6" xfId="7945"/>
    <cellStyle name="Normal 13 2 5 3 6 2" xfId="30532"/>
    <cellStyle name="Normal 13 2 5 3 7" xfId="24092"/>
    <cellStyle name="Normal 13 2 5 4" xfId="2118"/>
    <cellStyle name="Normal 13 2 5 4 2" xfId="5339"/>
    <cellStyle name="Normal 13 2 5 4 2 2" xfId="21439"/>
    <cellStyle name="Normal 13 2 5 4 2 2 2" xfId="44026"/>
    <cellStyle name="Normal 13 2 5 4 2 3" xfId="11779"/>
    <cellStyle name="Normal 13 2 5 4 2 3 2" xfId="34366"/>
    <cellStyle name="Normal 13 2 5 4 2 4" xfId="27926"/>
    <cellStyle name="Normal 13 2 5 4 3" xfId="18219"/>
    <cellStyle name="Normal 13 2 5 4 3 2" xfId="40806"/>
    <cellStyle name="Normal 13 2 5 4 4" xfId="14999"/>
    <cellStyle name="Normal 13 2 5 4 4 2" xfId="37586"/>
    <cellStyle name="Normal 13 2 5 4 5" xfId="8559"/>
    <cellStyle name="Normal 13 2 5 4 5 2" xfId="31146"/>
    <cellStyle name="Normal 13 2 5 4 6" xfId="24706"/>
    <cellStyle name="Normal 13 2 5 5" xfId="4031"/>
    <cellStyle name="Normal 13 2 5 5 2" xfId="20131"/>
    <cellStyle name="Normal 13 2 5 5 2 2" xfId="42718"/>
    <cellStyle name="Normal 13 2 5 5 3" xfId="10471"/>
    <cellStyle name="Normal 13 2 5 5 3 2" xfId="33058"/>
    <cellStyle name="Normal 13 2 5 5 4" xfId="26618"/>
    <cellStyle name="Normal 13 2 5 6" xfId="16911"/>
    <cellStyle name="Normal 13 2 5 6 2" xfId="39498"/>
    <cellStyle name="Normal 13 2 5 7" xfId="13691"/>
    <cellStyle name="Normal 13 2 5 7 2" xfId="36278"/>
    <cellStyle name="Normal 13 2 5 8" xfId="7251"/>
    <cellStyle name="Normal 13 2 5 8 2" xfId="29838"/>
    <cellStyle name="Normal 13 2 5 9" xfId="23398"/>
    <cellStyle name="Normal 13 2 6" xfId="869"/>
    <cellStyle name="Normal 13 2 6 2" xfId="2188"/>
    <cellStyle name="Normal 13 2 6 2 2" xfId="5409"/>
    <cellStyle name="Normal 13 2 6 2 2 2" xfId="21509"/>
    <cellStyle name="Normal 13 2 6 2 2 2 2" xfId="44096"/>
    <cellStyle name="Normal 13 2 6 2 2 3" xfId="11849"/>
    <cellStyle name="Normal 13 2 6 2 2 3 2" xfId="34436"/>
    <cellStyle name="Normal 13 2 6 2 2 4" xfId="27996"/>
    <cellStyle name="Normal 13 2 6 2 3" xfId="18289"/>
    <cellStyle name="Normal 13 2 6 2 3 2" xfId="40876"/>
    <cellStyle name="Normal 13 2 6 2 4" xfId="15069"/>
    <cellStyle name="Normal 13 2 6 2 4 2" xfId="37656"/>
    <cellStyle name="Normal 13 2 6 2 5" xfId="8629"/>
    <cellStyle name="Normal 13 2 6 2 5 2" xfId="31216"/>
    <cellStyle name="Normal 13 2 6 2 6" xfId="24776"/>
    <cellStyle name="Normal 13 2 6 3" xfId="4101"/>
    <cellStyle name="Normal 13 2 6 3 2" xfId="20201"/>
    <cellStyle name="Normal 13 2 6 3 2 2" xfId="42788"/>
    <cellStyle name="Normal 13 2 6 3 3" xfId="10541"/>
    <cellStyle name="Normal 13 2 6 3 3 2" xfId="33128"/>
    <cellStyle name="Normal 13 2 6 3 4" xfId="26688"/>
    <cellStyle name="Normal 13 2 6 4" xfId="16981"/>
    <cellStyle name="Normal 13 2 6 4 2" xfId="39568"/>
    <cellStyle name="Normal 13 2 6 5" xfId="13761"/>
    <cellStyle name="Normal 13 2 6 5 2" xfId="36348"/>
    <cellStyle name="Normal 13 2 6 6" xfId="7321"/>
    <cellStyle name="Normal 13 2 6 6 2" xfId="29908"/>
    <cellStyle name="Normal 13 2 6 7" xfId="23468"/>
    <cellStyle name="Normal 13 2 7" xfId="1221"/>
    <cellStyle name="Normal 13 2 7 2" xfId="2535"/>
    <cellStyle name="Normal 13 2 7 2 2" xfId="5756"/>
    <cellStyle name="Normal 13 2 7 2 2 2" xfId="21856"/>
    <cellStyle name="Normal 13 2 7 2 2 2 2" xfId="44443"/>
    <cellStyle name="Normal 13 2 7 2 2 3" xfId="12196"/>
    <cellStyle name="Normal 13 2 7 2 2 3 2" xfId="34783"/>
    <cellStyle name="Normal 13 2 7 2 2 4" xfId="28343"/>
    <cellStyle name="Normal 13 2 7 2 3" xfId="18636"/>
    <cellStyle name="Normal 13 2 7 2 3 2" xfId="41223"/>
    <cellStyle name="Normal 13 2 7 2 4" xfId="15416"/>
    <cellStyle name="Normal 13 2 7 2 4 2" xfId="38003"/>
    <cellStyle name="Normal 13 2 7 2 5" xfId="8976"/>
    <cellStyle name="Normal 13 2 7 2 5 2" xfId="31563"/>
    <cellStyle name="Normal 13 2 7 2 6" xfId="25123"/>
    <cellStyle name="Normal 13 2 7 3" xfId="4448"/>
    <cellStyle name="Normal 13 2 7 3 2" xfId="20548"/>
    <cellStyle name="Normal 13 2 7 3 2 2" xfId="43135"/>
    <cellStyle name="Normal 13 2 7 3 3" xfId="10888"/>
    <cellStyle name="Normal 13 2 7 3 3 2" xfId="33475"/>
    <cellStyle name="Normal 13 2 7 3 4" xfId="27035"/>
    <cellStyle name="Normal 13 2 7 4" xfId="17328"/>
    <cellStyle name="Normal 13 2 7 4 2" xfId="39915"/>
    <cellStyle name="Normal 13 2 7 5" xfId="14108"/>
    <cellStyle name="Normal 13 2 7 5 2" xfId="36695"/>
    <cellStyle name="Normal 13 2 7 6" xfId="7668"/>
    <cellStyle name="Normal 13 2 7 6 2" xfId="30255"/>
    <cellStyle name="Normal 13 2 7 7" xfId="23815"/>
    <cellStyle name="Normal 13 2 8" xfId="1564"/>
    <cellStyle name="Normal 13 2 8 2" xfId="4790"/>
    <cellStyle name="Normal 13 2 8 2 2" xfId="20890"/>
    <cellStyle name="Normal 13 2 8 2 2 2" xfId="43477"/>
    <cellStyle name="Normal 13 2 8 2 3" xfId="11230"/>
    <cellStyle name="Normal 13 2 8 2 3 2" xfId="33817"/>
    <cellStyle name="Normal 13 2 8 2 4" xfId="27377"/>
    <cellStyle name="Normal 13 2 8 3" xfId="17670"/>
    <cellStyle name="Normal 13 2 8 3 2" xfId="40257"/>
    <cellStyle name="Normal 13 2 8 4" xfId="14450"/>
    <cellStyle name="Normal 13 2 8 4 2" xfId="37037"/>
    <cellStyle name="Normal 13 2 8 5" xfId="8010"/>
    <cellStyle name="Normal 13 2 8 5 2" xfId="30597"/>
    <cellStyle name="Normal 13 2 8 6" xfId="24157"/>
    <cellStyle name="Normal 13 2 9" xfId="1840"/>
    <cellStyle name="Normal 13 2 9 2" xfId="5062"/>
    <cellStyle name="Normal 13 2 9 2 2" xfId="21162"/>
    <cellStyle name="Normal 13 2 9 2 2 2" xfId="43749"/>
    <cellStyle name="Normal 13 2 9 2 3" xfId="11502"/>
    <cellStyle name="Normal 13 2 9 2 3 2" xfId="34089"/>
    <cellStyle name="Normal 13 2 9 2 4" xfId="27649"/>
    <cellStyle name="Normal 13 2 9 3" xfId="17942"/>
    <cellStyle name="Normal 13 2 9 3 2" xfId="40529"/>
    <cellStyle name="Normal 13 2 9 4" xfId="14722"/>
    <cellStyle name="Normal 13 2 9 4 2" xfId="37309"/>
    <cellStyle name="Normal 13 2 9 5" xfId="8282"/>
    <cellStyle name="Normal 13 2 9 5 2" xfId="30869"/>
    <cellStyle name="Normal 13 2 9 6" xfId="24429"/>
    <cellStyle name="Normal 13 3" xfId="146"/>
    <cellStyle name="Normal 13 3 10" xfId="484"/>
    <cellStyle name="Normal 13 3 10 2" xfId="3771"/>
    <cellStyle name="Normal 13 3 10 2 2" xfId="19871"/>
    <cellStyle name="Normal 13 3 10 2 2 2" xfId="42458"/>
    <cellStyle name="Normal 13 3 10 2 3" xfId="10211"/>
    <cellStyle name="Normal 13 3 10 2 3 2" xfId="32798"/>
    <cellStyle name="Normal 13 3 10 2 4" xfId="26358"/>
    <cellStyle name="Normal 13 3 10 3" xfId="16651"/>
    <cellStyle name="Normal 13 3 10 3 2" xfId="39238"/>
    <cellStyle name="Normal 13 3 10 4" xfId="13431"/>
    <cellStyle name="Normal 13 3 10 4 2" xfId="36018"/>
    <cellStyle name="Normal 13 3 10 5" xfId="6991"/>
    <cellStyle name="Normal 13 3 10 5 2" xfId="29578"/>
    <cellStyle name="Normal 13 3 10 6" xfId="23138"/>
    <cellStyle name="Normal 13 3 11" xfId="3481"/>
    <cellStyle name="Normal 13 3 11 2" xfId="19581"/>
    <cellStyle name="Normal 13 3 11 2 2" xfId="42168"/>
    <cellStyle name="Normal 13 3 11 3" xfId="9921"/>
    <cellStyle name="Normal 13 3 11 3 2" xfId="32508"/>
    <cellStyle name="Normal 13 3 11 4" xfId="26068"/>
    <cellStyle name="Normal 13 3 12" xfId="16361"/>
    <cellStyle name="Normal 13 3 12 2" xfId="38948"/>
    <cellStyle name="Normal 13 3 13" xfId="13141"/>
    <cellStyle name="Normal 13 3 13 2" xfId="35728"/>
    <cellStyle name="Normal 13 3 14" xfId="6701"/>
    <cellStyle name="Normal 13 3 14 2" xfId="29288"/>
    <cellStyle name="Normal 13 3 15" xfId="22848"/>
    <cellStyle name="Normal 13 3 2" xfId="292"/>
    <cellStyle name="Normal 13 3 2 10" xfId="13239"/>
    <cellStyle name="Normal 13 3 2 10 2" xfId="35826"/>
    <cellStyle name="Normal 13 3 2 11" xfId="6799"/>
    <cellStyle name="Normal 13 3 2 11 2" xfId="29386"/>
    <cellStyle name="Normal 13 3 2 12" xfId="22946"/>
    <cellStyle name="Normal 13 3 2 2" xfId="1010"/>
    <cellStyle name="Normal 13 3 2 2 2" xfId="2324"/>
    <cellStyle name="Normal 13 3 2 2 2 2" xfId="5545"/>
    <cellStyle name="Normal 13 3 2 2 2 2 2" xfId="21645"/>
    <cellStyle name="Normal 13 3 2 2 2 2 2 2" xfId="44232"/>
    <cellStyle name="Normal 13 3 2 2 2 2 3" xfId="11985"/>
    <cellStyle name="Normal 13 3 2 2 2 2 3 2" xfId="34572"/>
    <cellStyle name="Normal 13 3 2 2 2 2 4" xfId="28132"/>
    <cellStyle name="Normal 13 3 2 2 2 3" xfId="18425"/>
    <cellStyle name="Normal 13 3 2 2 2 3 2" xfId="41012"/>
    <cellStyle name="Normal 13 3 2 2 2 4" xfId="15205"/>
    <cellStyle name="Normal 13 3 2 2 2 4 2" xfId="37792"/>
    <cellStyle name="Normal 13 3 2 2 2 5" xfId="8765"/>
    <cellStyle name="Normal 13 3 2 2 2 5 2" xfId="31352"/>
    <cellStyle name="Normal 13 3 2 2 2 6" xfId="24912"/>
    <cellStyle name="Normal 13 3 2 2 3" xfId="4237"/>
    <cellStyle name="Normal 13 3 2 2 3 2" xfId="20337"/>
    <cellStyle name="Normal 13 3 2 2 3 2 2" xfId="42924"/>
    <cellStyle name="Normal 13 3 2 2 3 3" xfId="10677"/>
    <cellStyle name="Normal 13 3 2 2 3 3 2" xfId="33264"/>
    <cellStyle name="Normal 13 3 2 2 3 4" xfId="26824"/>
    <cellStyle name="Normal 13 3 2 2 4" xfId="17117"/>
    <cellStyle name="Normal 13 3 2 2 4 2" xfId="39704"/>
    <cellStyle name="Normal 13 3 2 2 5" xfId="13897"/>
    <cellStyle name="Normal 13 3 2 2 5 2" xfId="36484"/>
    <cellStyle name="Normal 13 3 2 2 6" xfId="7457"/>
    <cellStyle name="Normal 13 3 2 2 6 2" xfId="30044"/>
    <cellStyle name="Normal 13 3 2 2 7" xfId="23604"/>
    <cellStyle name="Normal 13 3 2 3" xfId="1357"/>
    <cellStyle name="Normal 13 3 2 3 2" xfId="2671"/>
    <cellStyle name="Normal 13 3 2 3 2 2" xfId="5892"/>
    <cellStyle name="Normal 13 3 2 3 2 2 2" xfId="21992"/>
    <cellStyle name="Normal 13 3 2 3 2 2 2 2" xfId="44579"/>
    <cellStyle name="Normal 13 3 2 3 2 2 3" xfId="12332"/>
    <cellStyle name="Normal 13 3 2 3 2 2 3 2" xfId="34919"/>
    <cellStyle name="Normal 13 3 2 3 2 2 4" xfId="28479"/>
    <cellStyle name="Normal 13 3 2 3 2 3" xfId="18772"/>
    <cellStyle name="Normal 13 3 2 3 2 3 2" xfId="41359"/>
    <cellStyle name="Normal 13 3 2 3 2 4" xfId="15552"/>
    <cellStyle name="Normal 13 3 2 3 2 4 2" xfId="38139"/>
    <cellStyle name="Normal 13 3 2 3 2 5" xfId="9112"/>
    <cellStyle name="Normal 13 3 2 3 2 5 2" xfId="31699"/>
    <cellStyle name="Normal 13 3 2 3 2 6" xfId="25259"/>
    <cellStyle name="Normal 13 3 2 3 3" xfId="4584"/>
    <cellStyle name="Normal 13 3 2 3 3 2" xfId="20684"/>
    <cellStyle name="Normal 13 3 2 3 3 2 2" xfId="43271"/>
    <cellStyle name="Normal 13 3 2 3 3 3" xfId="11024"/>
    <cellStyle name="Normal 13 3 2 3 3 3 2" xfId="33611"/>
    <cellStyle name="Normal 13 3 2 3 3 4" xfId="27171"/>
    <cellStyle name="Normal 13 3 2 3 4" xfId="17464"/>
    <cellStyle name="Normal 13 3 2 3 4 2" xfId="40051"/>
    <cellStyle name="Normal 13 3 2 3 5" xfId="14244"/>
    <cellStyle name="Normal 13 3 2 3 5 2" xfId="36831"/>
    <cellStyle name="Normal 13 3 2 3 6" xfId="7804"/>
    <cellStyle name="Normal 13 3 2 3 6 2" xfId="30391"/>
    <cellStyle name="Normal 13 3 2 3 7" xfId="23951"/>
    <cellStyle name="Normal 13 3 2 4" xfId="1976"/>
    <cellStyle name="Normal 13 3 2 4 2" xfId="5198"/>
    <cellStyle name="Normal 13 3 2 4 2 2" xfId="21298"/>
    <cellStyle name="Normal 13 3 2 4 2 2 2" xfId="43885"/>
    <cellStyle name="Normal 13 3 2 4 2 3" xfId="11638"/>
    <cellStyle name="Normal 13 3 2 4 2 3 2" xfId="34225"/>
    <cellStyle name="Normal 13 3 2 4 2 4" xfId="27785"/>
    <cellStyle name="Normal 13 3 2 4 3" xfId="18078"/>
    <cellStyle name="Normal 13 3 2 4 3 2" xfId="40665"/>
    <cellStyle name="Normal 13 3 2 4 4" xfId="14858"/>
    <cellStyle name="Normal 13 3 2 4 4 2" xfId="37445"/>
    <cellStyle name="Normal 13 3 2 4 5" xfId="8418"/>
    <cellStyle name="Normal 13 3 2 4 5 2" xfId="31005"/>
    <cellStyle name="Normal 13 3 2 4 6" xfId="24565"/>
    <cellStyle name="Normal 13 3 2 5" xfId="2999"/>
    <cellStyle name="Normal 13 3 2 5 2" xfId="6219"/>
    <cellStyle name="Normal 13 3 2 5 2 2" xfId="22319"/>
    <cellStyle name="Normal 13 3 2 5 2 2 2" xfId="44906"/>
    <cellStyle name="Normal 13 3 2 5 2 3" xfId="12659"/>
    <cellStyle name="Normal 13 3 2 5 2 3 2" xfId="35246"/>
    <cellStyle name="Normal 13 3 2 5 2 4" xfId="28806"/>
    <cellStyle name="Normal 13 3 2 5 3" xfId="19099"/>
    <cellStyle name="Normal 13 3 2 5 3 2" xfId="41686"/>
    <cellStyle name="Normal 13 3 2 5 4" xfId="15879"/>
    <cellStyle name="Normal 13 3 2 5 4 2" xfId="38466"/>
    <cellStyle name="Normal 13 3 2 5 5" xfId="9439"/>
    <cellStyle name="Normal 13 3 2 5 5 2" xfId="32026"/>
    <cellStyle name="Normal 13 3 2 5 6" xfId="25586"/>
    <cellStyle name="Normal 13 3 2 6" xfId="3289"/>
    <cellStyle name="Normal 13 3 2 6 2" xfId="6509"/>
    <cellStyle name="Normal 13 3 2 6 2 2" xfId="22609"/>
    <cellStyle name="Normal 13 3 2 6 2 2 2" xfId="45196"/>
    <cellStyle name="Normal 13 3 2 6 2 3" xfId="12949"/>
    <cellStyle name="Normal 13 3 2 6 2 3 2" xfId="35536"/>
    <cellStyle name="Normal 13 3 2 6 2 4" xfId="29096"/>
    <cellStyle name="Normal 13 3 2 6 3" xfId="19389"/>
    <cellStyle name="Normal 13 3 2 6 3 2" xfId="41976"/>
    <cellStyle name="Normal 13 3 2 6 4" xfId="16169"/>
    <cellStyle name="Normal 13 3 2 6 4 2" xfId="38756"/>
    <cellStyle name="Normal 13 3 2 6 5" xfId="9729"/>
    <cellStyle name="Normal 13 3 2 6 5 2" xfId="32316"/>
    <cellStyle name="Normal 13 3 2 6 6" xfId="25876"/>
    <cellStyle name="Normal 13 3 2 7" xfId="646"/>
    <cellStyle name="Normal 13 3 2 7 2" xfId="3890"/>
    <cellStyle name="Normal 13 3 2 7 2 2" xfId="19990"/>
    <cellStyle name="Normal 13 3 2 7 2 2 2" xfId="42577"/>
    <cellStyle name="Normal 13 3 2 7 2 3" xfId="10330"/>
    <cellStyle name="Normal 13 3 2 7 2 3 2" xfId="32917"/>
    <cellStyle name="Normal 13 3 2 7 2 4" xfId="26477"/>
    <cellStyle name="Normal 13 3 2 7 3" xfId="16770"/>
    <cellStyle name="Normal 13 3 2 7 3 2" xfId="39357"/>
    <cellStyle name="Normal 13 3 2 7 4" xfId="13550"/>
    <cellStyle name="Normal 13 3 2 7 4 2" xfId="36137"/>
    <cellStyle name="Normal 13 3 2 7 5" xfId="7110"/>
    <cellStyle name="Normal 13 3 2 7 5 2" xfId="29697"/>
    <cellStyle name="Normal 13 3 2 7 6" xfId="23257"/>
    <cellStyle name="Normal 13 3 2 8" xfId="3579"/>
    <cellStyle name="Normal 13 3 2 8 2" xfId="19679"/>
    <cellStyle name="Normal 13 3 2 8 2 2" xfId="42266"/>
    <cellStyle name="Normal 13 3 2 8 3" xfId="10019"/>
    <cellStyle name="Normal 13 3 2 8 3 2" xfId="32606"/>
    <cellStyle name="Normal 13 3 2 8 4" xfId="26166"/>
    <cellStyle name="Normal 13 3 2 9" xfId="16459"/>
    <cellStyle name="Normal 13 3 2 9 2" xfId="39046"/>
    <cellStyle name="Normal 13 3 3" xfId="387"/>
    <cellStyle name="Normal 13 3 3 10" xfId="13334"/>
    <cellStyle name="Normal 13 3 3 10 2" xfId="35921"/>
    <cellStyle name="Normal 13 3 3 11" xfId="6894"/>
    <cellStyle name="Normal 13 3 3 11 2" xfId="29481"/>
    <cellStyle name="Normal 13 3 3 12" xfId="23041"/>
    <cellStyle name="Normal 13 3 3 2" xfId="1171"/>
    <cellStyle name="Normal 13 3 3 2 2" xfId="2485"/>
    <cellStyle name="Normal 13 3 3 2 2 2" xfId="5706"/>
    <cellStyle name="Normal 13 3 3 2 2 2 2" xfId="21806"/>
    <cellStyle name="Normal 13 3 3 2 2 2 2 2" xfId="44393"/>
    <cellStyle name="Normal 13 3 3 2 2 2 3" xfId="12146"/>
    <cellStyle name="Normal 13 3 3 2 2 2 3 2" xfId="34733"/>
    <cellStyle name="Normal 13 3 3 2 2 2 4" xfId="28293"/>
    <cellStyle name="Normal 13 3 3 2 2 3" xfId="18586"/>
    <cellStyle name="Normal 13 3 3 2 2 3 2" xfId="41173"/>
    <cellStyle name="Normal 13 3 3 2 2 4" xfId="15366"/>
    <cellStyle name="Normal 13 3 3 2 2 4 2" xfId="37953"/>
    <cellStyle name="Normal 13 3 3 2 2 5" xfId="8926"/>
    <cellStyle name="Normal 13 3 3 2 2 5 2" xfId="31513"/>
    <cellStyle name="Normal 13 3 3 2 2 6" xfId="25073"/>
    <cellStyle name="Normal 13 3 3 2 3" xfId="4398"/>
    <cellStyle name="Normal 13 3 3 2 3 2" xfId="20498"/>
    <cellStyle name="Normal 13 3 3 2 3 2 2" xfId="43085"/>
    <cellStyle name="Normal 13 3 3 2 3 3" xfId="10838"/>
    <cellStyle name="Normal 13 3 3 2 3 3 2" xfId="33425"/>
    <cellStyle name="Normal 13 3 3 2 3 4" xfId="26985"/>
    <cellStyle name="Normal 13 3 3 2 4" xfId="17278"/>
    <cellStyle name="Normal 13 3 3 2 4 2" xfId="39865"/>
    <cellStyle name="Normal 13 3 3 2 5" xfId="14058"/>
    <cellStyle name="Normal 13 3 3 2 5 2" xfId="36645"/>
    <cellStyle name="Normal 13 3 3 2 6" xfId="7618"/>
    <cellStyle name="Normal 13 3 3 2 6 2" xfId="30205"/>
    <cellStyle name="Normal 13 3 3 2 7" xfId="23765"/>
    <cellStyle name="Normal 13 3 3 3" xfId="1518"/>
    <cellStyle name="Normal 13 3 3 3 2" xfId="2832"/>
    <cellStyle name="Normal 13 3 3 3 2 2" xfId="6053"/>
    <cellStyle name="Normal 13 3 3 3 2 2 2" xfId="22153"/>
    <cellStyle name="Normal 13 3 3 3 2 2 2 2" xfId="44740"/>
    <cellStyle name="Normal 13 3 3 3 2 2 3" xfId="12493"/>
    <cellStyle name="Normal 13 3 3 3 2 2 3 2" xfId="35080"/>
    <cellStyle name="Normal 13 3 3 3 2 2 4" xfId="28640"/>
    <cellStyle name="Normal 13 3 3 3 2 3" xfId="18933"/>
    <cellStyle name="Normal 13 3 3 3 2 3 2" xfId="41520"/>
    <cellStyle name="Normal 13 3 3 3 2 4" xfId="15713"/>
    <cellStyle name="Normal 13 3 3 3 2 4 2" xfId="38300"/>
    <cellStyle name="Normal 13 3 3 3 2 5" xfId="9273"/>
    <cellStyle name="Normal 13 3 3 3 2 5 2" xfId="31860"/>
    <cellStyle name="Normal 13 3 3 3 2 6" xfId="25420"/>
    <cellStyle name="Normal 13 3 3 3 3" xfId="4745"/>
    <cellStyle name="Normal 13 3 3 3 3 2" xfId="20845"/>
    <cellStyle name="Normal 13 3 3 3 3 2 2" xfId="43432"/>
    <cellStyle name="Normal 13 3 3 3 3 3" xfId="11185"/>
    <cellStyle name="Normal 13 3 3 3 3 3 2" xfId="33772"/>
    <cellStyle name="Normal 13 3 3 3 3 4" xfId="27332"/>
    <cellStyle name="Normal 13 3 3 3 4" xfId="17625"/>
    <cellStyle name="Normal 13 3 3 3 4 2" xfId="40212"/>
    <cellStyle name="Normal 13 3 3 3 5" xfId="14405"/>
    <cellStyle name="Normal 13 3 3 3 5 2" xfId="36992"/>
    <cellStyle name="Normal 13 3 3 3 6" xfId="7965"/>
    <cellStyle name="Normal 13 3 3 3 6 2" xfId="30552"/>
    <cellStyle name="Normal 13 3 3 3 7" xfId="24112"/>
    <cellStyle name="Normal 13 3 3 4" xfId="2138"/>
    <cellStyle name="Normal 13 3 3 4 2" xfId="5359"/>
    <cellStyle name="Normal 13 3 3 4 2 2" xfId="21459"/>
    <cellStyle name="Normal 13 3 3 4 2 2 2" xfId="44046"/>
    <cellStyle name="Normal 13 3 3 4 2 3" xfId="11799"/>
    <cellStyle name="Normal 13 3 3 4 2 3 2" xfId="34386"/>
    <cellStyle name="Normal 13 3 3 4 2 4" xfId="27946"/>
    <cellStyle name="Normal 13 3 3 4 3" xfId="18239"/>
    <cellStyle name="Normal 13 3 3 4 3 2" xfId="40826"/>
    <cellStyle name="Normal 13 3 3 4 4" xfId="15019"/>
    <cellStyle name="Normal 13 3 3 4 4 2" xfId="37606"/>
    <cellStyle name="Normal 13 3 3 4 5" xfId="8579"/>
    <cellStyle name="Normal 13 3 3 4 5 2" xfId="31166"/>
    <cellStyle name="Normal 13 3 3 4 6" xfId="24726"/>
    <cellStyle name="Normal 13 3 3 5" xfId="3094"/>
    <cellStyle name="Normal 13 3 3 5 2" xfId="6314"/>
    <cellStyle name="Normal 13 3 3 5 2 2" xfId="22414"/>
    <cellStyle name="Normal 13 3 3 5 2 2 2" xfId="45001"/>
    <cellStyle name="Normal 13 3 3 5 2 3" xfId="12754"/>
    <cellStyle name="Normal 13 3 3 5 2 3 2" xfId="35341"/>
    <cellStyle name="Normal 13 3 3 5 2 4" xfId="28901"/>
    <cellStyle name="Normal 13 3 3 5 3" xfId="19194"/>
    <cellStyle name="Normal 13 3 3 5 3 2" xfId="41781"/>
    <cellStyle name="Normal 13 3 3 5 4" xfId="15974"/>
    <cellStyle name="Normal 13 3 3 5 4 2" xfId="38561"/>
    <cellStyle name="Normal 13 3 3 5 5" xfId="9534"/>
    <cellStyle name="Normal 13 3 3 5 5 2" xfId="32121"/>
    <cellStyle name="Normal 13 3 3 5 6" xfId="25681"/>
    <cellStyle name="Normal 13 3 3 6" xfId="3384"/>
    <cellStyle name="Normal 13 3 3 6 2" xfId="6604"/>
    <cellStyle name="Normal 13 3 3 6 2 2" xfId="22704"/>
    <cellStyle name="Normal 13 3 3 6 2 2 2" xfId="45291"/>
    <cellStyle name="Normal 13 3 3 6 2 3" xfId="13044"/>
    <cellStyle name="Normal 13 3 3 6 2 3 2" xfId="35631"/>
    <cellStyle name="Normal 13 3 3 6 2 4" xfId="29191"/>
    <cellStyle name="Normal 13 3 3 6 3" xfId="19484"/>
    <cellStyle name="Normal 13 3 3 6 3 2" xfId="42071"/>
    <cellStyle name="Normal 13 3 3 6 4" xfId="16264"/>
    <cellStyle name="Normal 13 3 3 6 4 2" xfId="38851"/>
    <cellStyle name="Normal 13 3 3 6 5" xfId="9824"/>
    <cellStyle name="Normal 13 3 3 6 5 2" xfId="32411"/>
    <cellStyle name="Normal 13 3 3 6 6" xfId="25971"/>
    <cellStyle name="Normal 13 3 3 7" xfId="819"/>
    <cellStyle name="Normal 13 3 3 7 2" xfId="4051"/>
    <cellStyle name="Normal 13 3 3 7 2 2" xfId="20151"/>
    <cellStyle name="Normal 13 3 3 7 2 2 2" xfId="42738"/>
    <cellStyle name="Normal 13 3 3 7 2 3" xfId="10491"/>
    <cellStyle name="Normal 13 3 3 7 2 3 2" xfId="33078"/>
    <cellStyle name="Normal 13 3 3 7 2 4" xfId="26638"/>
    <cellStyle name="Normal 13 3 3 7 3" xfId="16931"/>
    <cellStyle name="Normal 13 3 3 7 3 2" xfId="39518"/>
    <cellStyle name="Normal 13 3 3 7 4" xfId="13711"/>
    <cellStyle name="Normal 13 3 3 7 4 2" xfId="36298"/>
    <cellStyle name="Normal 13 3 3 7 5" xfId="7271"/>
    <cellStyle name="Normal 13 3 3 7 5 2" xfId="29858"/>
    <cellStyle name="Normal 13 3 3 7 6" xfId="23418"/>
    <cellStyle name="Normal 13 3 3 8" xfId="3674"/>
    <cellStyle name="Normal 13 3 3 8 2" xfId="19774"/>
    <cellStyle name="Normal 13 3 3 8 2 2" xfId="42361"/>
    <cellStyle name="Normal 13 3 3 8 3" xfId="10114"/>
    <cellStyle name="Normal 13 3 3 8 3 2" xfId="32701"/>
    <cellStyle name="Normal 13 3 3 8 4" xfId="26261"/>
    <cellStyle name="Normal 13 3 3 9" xfId="16554"/>
    <cellStyle name="Normal 13 3 3 9 2" xfId="39141"/>
    <cellStyle name="Normal 13 3 4" xfId="886"/>
    <cellStyle name="Normal 13 3 4 2" xfId="2205"/>
    <cellStyle name="Normal 13 3 4 2 2" xfId="5426"/>
    <cellStyle name="Normal 13 3 4 2 2 2" xfId="21526"/>
    <cellStyle name="Normal 13 3 4 2 2 2 2" xfId="44113"/>
    <cellStyle name="Normal 13 3 4 2 2 3" xfId="11866"/>
    <cellStyle name="Normal 13 3 4 2 2 3 2" xfId="34453"/>
    <cellStyle name="Normal 13 3 4 2 2 4" xfId="28013"/>
    <cellStyle name="Normal 13 3 4 2 3" xfId="18306"/>
    <cellStyle name="Normal 13 3 4 2 3 2" xfId="40893"/>
    <cellStyle name="Normal 13 3 4 2 4" xfId="15086"/>
    <cellStyle name="Normal 13 3 4 2 4 2" xfId="37673"/>
    <cellStyle name="Normal 13 3 4 2 5" xfId="8646"/>
    <cellStyle name="Normal 13 3 4 2 5 2" xfId="31233"/>
    <cellStyle name="Normal 13 3 4 2 6" xfId="24793"/>
    <cellStyle name="Normal 13 3 4 3" xfId="4118"/>
    <cellStyle name="Normal 13 3 4 3 2" xfId="20218"/>
    <cellStyle name="Normal 13 3 4 3 2 2" xfId="42805"/>
    <cellStyle name="Normal 13 3 4 3 3" xfId="10558"/>
    <cellStyle name="Normal 13 3 4 3 3 2" xfId="33145"/>
    <cellStyle name="Normal 13 3 4 3 4" xfId="26705"/>
    <cellStyle name="Normal 13 3 4 4" xfId="16998"/>
    <cellStyle name="Normal 13 3 4 4 2" xfId="39585"/>
    <cellStyle name="Normal 13 3 4 5" xfId="13778"/>
    <cellStyle name="Normal 13 3 4 5 2" xfId="36365"/>
    <cellStyle name="Normal 13 3 4 6" xfId="7338"/>
    <cellStyle name="Normal 13 3 4 6 2" xfId="29925"/>
    <cellStyle name="Normal 13 3 4 7" xfId="23485"/>
    <cellStyle name="Normal 13 3 5" xfId="1238"/>
    <cellStyle name="Normal 13 3 5 2" xfId="2552"/>
    <cellStyle name="Normal 13 3 5 2 2" xfId="5773"/>
    <cellStyle name="Normal 13 3 5 2 2 2" xfId="21873"/>
    <cellStyle name="Normal 13 3 5 2 2 2 2" xfId="44460"/>
    <cellStyle name="Normal 13 3 5 2 2 3" xfId="12213"/>
    <cellStyle name="Normal 13 3 5 2 2 3 2" xfId="34800"/>
    <cellStyle name="Normal 13 3 5 2 2 4" xfId="28360"/>
    <cellStyle name="Normal 13 3 5 2 3" xfId="18653"/>
    <cellStyle name="Normal 13 3 5 2 3 2" xfId="41240"/>
    <cellStyle name="Normal 13 3 5 2 4" xfId="15433"/>
    <cellStyle name="Normal 13 3 5 2 4 2" xfId="38020"/>
    <cellStyle name="Normal 13 3 5 2 5" xfId="8993"/>
    <cellStyle name="Normal 13 3 5 2 5 2" xfId="31580"/>
    <cellStyle name="Normal 13 3 5 2 6" xfId="25140"/>
    <cellStyle name="Normal 13 3 5 3" xfId="4465"/>
    <cellStyle name="Normal 13 3 5 3 2" xfId="20565"/>
    <cellStyle name="Normal 13 3 5 3 2 2" xfId="43152"/>
    <cellStyle name="Normal 13 3 5 3 3" xfId="10905"/>
    <cellStyle name="Normal 13 3 5 3 3 2" xfId="33492"/>
    <cellStyle name="Normal 13 3 5 3 4" xfId="27052"/>
    <cellStyle name="Normal 13 3 5 4" xfId="17345"/>
    <cellStyle name="Normal 13 3 5 4 2" xfId="39932"/>
    <cellStyle name="Normal 13 3 5 5" xfId="14125"/>
    <cellStyle name="Normal 13 3 5 5 2" xfId="36712"/>
    <cellStyle name="Normal 13 3 5 6" xfId="7685"/>
    <cellStyle name="Normal 13 3 5 6 2" xfId="30272"/>
    <cellStyle name="Normal 13 3 5 7" xfId="23832"/>
    <cellStyle name="Normal 13 3 6" xfId="1565"/>
    <cellStyle name="Normal 13 3 6 2" xfId="4791"/>
    <cellStyle name="Normal 13 3 6 2 2" xfId="20891"/>
    <cellStyle name="Normal 13 3 6 2 2 2" xfId="43478"/>
    <cellStyle name="Normal 13 3 6 2 3" xfId="11231"/>
    <cellStyle name="Normal 13 3 6 2 3 2" xfId="33818"/>
    <cellStyle name="Normal 13 3 6 2 4" xfId="27378"/>
    <cellStyle name="Normal 13 3 6 3" xfId="17671"/>
    <cellStyle name="Normal 13 3 6 3 2" xfId="40258"/>
    <cellStyle name="Normal 13 3 6 4" xfId="14451"/>
    <cellStyle name="Normal 13 3 6 4 2" xfId="37038"/>
    <cellStyle name="Normal 13 3 6 5" xfId="8011"/>
    <cellStyle name="Normal 13 3 6 5 2" xfId="30598"/>
    <cellStyle name="Normal 13 3 6 6" xfId="24158"/>
    <cellStyle name="Normal 13 3 7" xfId="1857"/>
    <cellStyle name="Normal 13 3 7 2" xfId="5079"/>
    <cellStyle name="Normal 13 3 7 2 2" xfId="21179"/>
    <cellStyle name="Normal 13 3 7 2 2 2" xfId="43766"/>
    <cellStyle name="Normal 13 3 7 2 3" xfId="11519"/>
    <cellStyle name="Normal 13 3 7 2 3 2" xfId="34106"/>
    <cellStyle name="Normal 13 3 7 2 4" xfId="27666"/>
    <cellStyle name="Normal 13 3 7 3" xfId="17959"/>
    <cellStyle name="Normal 13 3 7 3 2" xfId="40546"/>
    <cellStyle name="Normal 13 3 7 4" xfId="14739"/>
    <cellStyle name="Normal 13 3 7 4 2" xfId="37326"/>
    <cellStyle name="Normal 13 3 7 5" xfId="8299"/>
    <cellStyle name="Normal 13 3 7 5 2" xfId="30886"/>
    <cellStyle name="Normal 13 3 7 6" xfId="24446"/>
    <cellStyle name="Normal 13 3 8" xfId="2900"/>
    <cellStyle name="Normal 13 3 8 2" xfId="6121"/>
    <cellStyle name="Normal 13 3 8 2 2" xfId="22221"/>
    <cellStyle name="Normal 13 3 8 2 2 2" xfId="44808"/>
    <cellStyle name="Normal 13 3 8 2 3" xfId="12561"/>
    <cellStyle name="Normal 13 3 8 2 3 2" xfId="35148"/>
    <cellStyle name="Normal 13 3 8 2 4" xfId="28708"/>
    <cellStyle name="Normal 13 3 8 3" xfId="19001"/>
    <cellStyle name="Normal 13 3 8 3 2" xfId="41588"/>
    <cellStyle name="Normal 13 3 8 4" xfId="15781"/>
    <cellStyle name="Normal 13 3 8 4 2" xfId="38368"/>
    <cellStyle name="Normal 13 3 8 5" xfId="9341"/>
    <cellStyle name="Normal 13 3 8 5 2" xfId="31928"/>
    <cellStyle name="Normal 13 3 8 6" xfId="25488"/>
    <cellStyle name="Normal 13 3 9" xfId="3191"/>
    <cellStyle name="Normal 13 3 9 2" xfId="6411"/>
    <cellStyle name="Normal 13 3 9 2 2" xfId="22511"/>
    <cellStyle name="Normal 13 3 9 2 2 2" xfId="45098"/>
    <cellStyle name="Normal 13 3 9 2 3" xfId="12851"/>
    <cellStyle name="Normal 13 3 9 2 3 2" xfId="35438"/>
    <cellStyle name="Normal 13 3 9 2 4" xfId="28998"/>
    <cellStyle name="Normal 13 3 9 3" xfId="19291"/>
    <cellStyle name="Normal 13 3 9 3 2" xfId="41878"/>
    <cellStyle name="Normal 13 3 9 4" xfId="16071"/>
    <cellStyle name="Normal 13 3 9 4 2" xfId="38658"/>
    <cellStyle name="Normal 13 3 9 5" xfId="9631"/>
    <cellStyle name="Normal 13 3 9 5 2" xfId="32218"/>
    <cellStyle name="Normal 13 3 9 6" xfId="25778"/>
    <cellStyle name="Normal 13 4" xfId="237"/>
    <cellStyle name="Normal 13 4 10" xfId="524"/>
    <cellStyle name="Normal 13 4 10 2" xfId="3811"/>
    <cellStyle name="Normal 13 4 10 2 2" xfId="19911"/>
    <cellStyle name="Normal 13 4 10 2 2 2" xfId="42498"/>
    <cellStyle name="Normal 13 4 10 2 3" xfId="10251"/>
    <cellStyle name="Normal 13 4 10 2 3 2" xfId="32838"/>
    <cellStyle name="Normal 13 4 10 2 4" xfId="26398"/>
    <cellStyle name="Normal 13 4 10 3" xfId="16691"/>
    <cellStyle name="Normal 13 4 10 3 2" xfId="39278"/>
    <cellStyle name="Normal 13 4 10 4" xfId="13471"/>
    <cellStyle name="Normal 13 4 10 4 2" xfId="36058"/>
    <cellStyle name="Normal 13 4 10 5" xfId="7031"/>
    <cellStyle name="Normal 13 4 10 5 2" xfId="29618"/>
    <cellStyle name="Normal 13 4 10 6" xfId="23178"/>
    <cellStyle name="Normal 13 4 11" xfId="3525"/>
    <cellStyle name="Normal 13 4 11 2" xfId="19625"/>
    <cellStyle name="Normal 13 4 11 2 2" xfId="42212"/>
    <cellStyle name="Normal 13 4 11 3" xfId="9965"/>
    <cellStyle name="Normal 13 4 11 3 2" xfId="32552"/>
    <cellStyle name="Normal 13 4 11 4" xfId="26112"/>
    <cellStyle name="Normal 13 4 12" xfId="16405"/>
    <cellStyle name="Normal 13 4 12 2" xfId="38992"/>
    <cellStyle name="Normal 13 4 13" xfId="13185"/>
    <cellStyle name="Normal 13 4 13 2" xfId="35772"/>
    <cellStyle name="Normal 13 4 14" xfId="6745"/>
    <cellStyle name="Normal 13 4 14 2" xfId="29332"/>
    <cellStyle name="Normal 13 4 15" xfId="22892"/>
    <cellStyle name="Normal 13 4 2" xfId="335"/>
    <cellStyle name="Normal 13 4 2 10" xfId="13282"/>
    <cellStyle name="Normal 13 4 2 10 2" xfId="35869"/>
    <cellStyle name="Normal 13 4 2 11" xfId="6842"/>
    <cellStyle name="Normal 13 4 2 11 2" xfId="29429"/>
    <cellStyle name="Normal 13 4 2 12" xfId="22989"/>
    <cellStyle name="Normal 13 4 2 2" xfId="1047"/>
    <cellStyle name="Normal 13 4 2 2 2" xfId="2361"/>
    <cellStyle name="Normal 13 4 2 2 2 2" xfId="5582"/>
    <cellStyle name="Normal 13 4 2 2 2 2 2" xfId="21682"/>
    <cellStyle name="Normal 13 4 2 2 2 2 2 2" xfId="44269"/>
    <cellStyle name="Normal 13 4 2 2 2 2 3" xfId="12022"/>
    <cellStyle name="Normal 13 4 2 2 2 2 3 2" xfId="34609"/>
    <cellStyle name="Normal 13 4 2 2 2 2 4" xfId="28169"/>
    <cellStyle name="Normal 13 4 2 2 2 3" xfId="18462"/>
    <cellStyle name="Normal 13 4 2 2 2 3 2" xfId="41049"/>
    <cellStyle name="Normal 13 4 2 2 2 4" xfId="15242"/>
    <cellStyle name="Normal 13 4 2 2 2 4 2" xfId="37829"/>
    <cellStyle name="Normal 13 4 2 2 2 5" xfId="8802"/>
    <cellStyle name="Normal 13 4 2 2 2 5 2" xfId="31389"/>
    <cellStyle name="Normal 13 4 2 2 2 6" xfId="24949"/>
    <cellStyle name="Normal 13 4 2 2 3" xfId="4274"/>
    <cellStyle name="Normal 13 4 2 2 3 2" xfId="20374"/>
    <cellStyle name="Normal 13 4 2 2 3 2 2" xfId="42961"/>
    <cellStyle name="Normal 13 4 2 2 3 3" xfId="10714"/>
    <cellStyle name="Normal 13 4 2 2 3 3 2" xfId="33301"/>
    <cellStyle name="Normal 13 4 2 2 3 4" xfId="26861"/>
    <cellStyle name="Normal 13 4 2 2 4" xfId="17154"/>
    <cellStyle name="Normal 13 4 2 2 4 2" xfId="39741"/>
    <cellStyle name="Normal 13 4 2 2 5" xfId="13934"/>
    <cellStyle name="Normal 13 4 2 2 5 2" xfId="36521"/>
    <cellStyle name="Normal 13 4 2 2 6" xfId="7494"/>
    <cellStyle name="Normal 13 4 2 2 6 2" xfId="30081"/>
    <cellStyle name="Normal 13 4 2 2 7" xfId="23641"/>
    <cellStyle name="Normal 13 4 2 3" xfId="1394"/>
    <cellStyle name="Normal 13 4 2 3 2" xfId="2708"/>
    <cellStyle name="Normal 13 4 2 3 2 2" xfId="5929"/>
    <cellStyle name="Normal 13 4 2 3 2 2 2" xfId="22029"/>
    <cellStyle name="Normal 13 4 2 3 2 2 2 2" xfId="44616"/>
    <cellStyle name="Normal 13 4 2 3 2 2 3" xfId="12369"/>
    <cellStyle name="Normal 13 4 2 3 2 2 3 2" xfId="34956"/>
    <cellStyle name="Normal 13 4 2 3 2 2 4" xfId="28516"/>
    <cellStyle name="Normal 13 4 2 3 2 3" xfId="18809"/>
    <cellStyle name="Normal 13 4 2 3 2 3 2" xfId="41396"/>
    <cellStyle name="Normal 13 4 2 3 2 4" xfId="15589"/>
    <cellStyle name="Normal 13 4 2 3 2 4 2" xfId="38176"/>
    <cellStyle name="Normal 13 4 2 3 2 5" xfId="9149"/>
    <cellStyle name="Normal 13 4 2 3 2 5 2" xfId="31736"/>
    <cellStyle name="Normal 13 4 2 3 2 6" xfId="25296"/>
    <cellStyle name="Normal 13 4 2 3 3" xfId="4621"/>
    <cellStyle name="Normal 13 4 2 3 3 2" xfId="20721"/>
    <cellStyle name="Normal 13 4 2 3 3 2 2" xfId="43308"/>
    <cellStyle name="Normal 13 4 2 3 3 3" xfId="11061"/>
    <cellStyle name="Normal 13 4 2 3 3 3 2" xfId="33648"/>
    <cellStyle name="Normal 13 4 2 3 3 4" xfId="27208"/>
    <cellStyle name="Normal 13 4 2 3 4" xfId="17501"/>
    <cellStyle name="Normal 13 4 2 3 4 2" xfId="40088"/>
    <cellStyle name="Normal 13 4 2 3 5" xfId="14281"/>
    <cellStyle name="Normal 13 4 2 3 5 2" xfId="36868"/>
    <cellStyle name="Normal 13 4 2 3 6" xfId="7841"/>
    <cellStyle name="Normal 13 4 2 3 6 2" xfId="30428"/>
    <cellStyle name="Normal 13 4 2 3 7" xfId="23988"/>
    <cellStyle name="Normal 13 4 2 4" xfId="2013"/>
    <cellStyle name="Normal 13 4 2 4 2" xfId="5235"/>
    <cellStyle name="Normal 13 4 2 4 2 2" xfId="21335"/>
    <cellStyle name="Normal 13 4 2 4 2 2 2" xfId="43922"/>
    <cellStyle name="Normal 13 4 2 4 2 3" xfId="11675"/>
    <cellStyle name="Normal 13 4 2 4 2 3 2" xfId="34262"/>
    <cellStyle name="Normal 13 4 2 4 2 4" xfId="27822"/>
    <cellStyle name="Normal 13 4 2 4 3" xfId="18115"/>
    <cellStyle name="Normal 13 4 2 4 3 2" xfId="40702"/>
    <cellStyle name="Normal 13 4 2 4 4" xfId="14895"/>
    <cellStyle name="Normal 13 4 2 4 4 2" xfId="37482"/>
    <cellStyle name="Normal 13 4 2 4 5" xfId="8455"/>
    <cellStyle name="Normal 13 4 2 4 5 2" xfId="31042"/>
    <cellStyle name="Normal 13 4 2 4 6" xfId="24602"/>
    <cellStyle name="Normal 13 4 2 5" xfId="3042"/>
    <cellStyle name="Normal 13 4 2 5 2" xfId="6262"/>
    <cellStyle name="Normal 13 4 2 5 2 2" xfId="22362"/>
    <cellStyle name="Normal 13 4 2 5 2 2 2" xfId="44949"/>
    <cellStyle name="Normal 13 4 2 5 2 3" xfId="12702"/>
    <cellStyle name="Normal 13 4 2 5 2 3 2" xfId="35289"/>
    <cellStyle name="Normal 13 4 2 5 2 4" xfId="28849"/>
    <cellStyle name="Normal 13 4 2 5 3" xfId="19142"/>
    <cellStyle name="Normal 13 4 2 5 3 2" xfId="41729"/>
    <cellStyle name="Normal 13 4 2 5 4" xfId="15922"/>
    <cellStyle name="Normal 13 4 2 5 4 2" xfId="38509"/>
    <cellStyle name="Normal 13 4 2 5 5" xfId="9482"/>
    <cellStyle name="Normal 13 4 2 5 5 2" xfId="32069"/>
    <cellStyle name="Normal 13 4 2 5 6" xfId="25629"/>
    <cellStyle name="Normal 13 4 2 6" xfId="3332"/>
    <cellStyle name="Normal 13 4 2 6 2" xfId="6552"/>
    <cellStyle name="Normal 13 4 2 6 2 2" xfId="22652"/>
    <cellStyle name="Normal 13 4 2 6 2 2 2" xfId="45239"/>
    <cellStyle name="Normal 13 4 2 6 2 3" xfId="12992"/>
    <cellStyle name="Normal 13 4 2 6 2 3 2" xfId="35579"/>
    <cellStyle name="Normal 13 4 2 6 2 4" xfId="29139"/>
    <cellStyle name="Normal 13 4 2 6 3" xfId="19432"/>
    <cellStyle name="Normal 13 4 2 6 3 2" xfId="42019"/>
    <cellStyle name="Normal 13 4 2 6 4" xfId="16212"/>
    <cellStyle name="Normal 13 4 2 6 4 2" xfId="38799"/>
    <cellStyle name="Normal 13 4 2 6 5" xfId="9772"/>
    <cellStyle name="Normal 13 4 2 6 5 2" xfId="32359"/>
    <cellStyle name="Normal 13 4 2 6 6" xfId="25919"/>
    <cellStyle name="Normal 13 4 2 7" xfId="683"/>
    <cellStyle name="Normal 13 4 2 7 2" xfId="3927"/>
    <cellStyle name="Normal 13 4 2 7 2 2" xfId="20027"/>
    <cellStyle name="Normal 13 4 2 7 2 2 2" xfId="42614"/>
    <cellStyle name="Normal 13 4 2 7 2 3" xfId="10367"/>
    <cellStyle name="Normal 13 4 2 7 2 3 2" xfId="32954"/>
    <cellStyle name="Normal 13 4 2 7 2 4" xfId="26514"/>
    <cellStyle name="Normal 13 4 2 7 3" xfId="16807"/>
    <cellStyle name="Normal 13 4 2 7 3 2" xfId="39394"/>
    <cellStyle name="Normal 13 4 2 7 4" xfId="13587"/>
    <cellStyle name="Normal 13 4 2 7 4 2" xfId="36174"/>
    <cellStyle name="Normal 13 4 2 7 5" xfId="7147"/>
    <cellStyle name="Normal 13 4 2 7 5 2" xfId="29734"/>
    <cellStyle name="Normal 13 4 2 7 6" xfId="23294"/>
    <cellStyle name="Normal 13 4 2 8" xfId="3622"/>
    <cellStyle name="Normal 13 4 2 8 2" xfId="19722"/>
    <cellStyle name="Normal 13 4 2 8 2 2" xfId="42309"/>
    <cellStyle name="Normal 13 4 2 8 3" xfId="10062"/>
    <cellStyle name="Normal 13 4 2 8 3 2" xfId="32649"/>
    <cellStyle name="Normal 13 4 2 8 4" xfId="26209"/>
    <cellStyle name="Normal 13 4 2 9" xfId="16502"/>
    <cellStyle name="Normal 13 4 2 9 2" xfId="39089"/>
    <cellStyle name="Normal 13 4 3" xfId="431"/>
    <cellStyle name="Normal 13 4 3 10" xfId="13378"/>
    <cellStyle name="Normal 13 4 3 10 2" xfId="35965"/>
    <cellStyle name="Normal 13 4 3 11" xfId="6938"/>
    <cellStyle name="Normal 13 4 3 11 2" xfId="29525"/>
    <cellStyle name="Normal 13 4 3 12" xfId="23085"/>
    <cellStyle name="Normal 13 4 3 2" xfId="1131"/>
    <cellStyle name="Normal 13 4 3 2 2" xfId="2445"/>
    <cellStyle name="Normal 13 4 3 2 2 2" xfId="5666"/>
    <cellStyle name="Normal 13 4 3 2 2 2 2" xfId="21766"/>
    <cellStyle name="Normal 13 4 3 2 2 2 2 2" xfId="44353"/>
    <cellStyle name="Normal 13 4 3 2 2 2 3" xfId="12106"/>
    <cellStyle name="Normal 13 4 3 2 2 2 3 2" xfId="34693"/>
    <cellStyle name="Normal 13 4 3 2 2 2 4" xfId="28253"/>
    <cellStyle name="Normal 13 4 3 2 2 3" xfId="18546"/>
    <cellStyle name="Normal 13 4 3 2 2 3 2" xfId="41133"/>
    <cellStyle name="Normal 13 4 3 2 2 4" xfId="15326"/>
    <cellStyle name="Normal 13 4 3 2 2 4 2" xfId="37913"/>
    <cellStyle name="Normal 13 4 3 2 2 5" xfId="8886"/>
    <cellStyle name="Normal 13 4 3 2 2 5 2" xfId="31473"/>
    <cellStyle name="Normal 13 4 3 2 2 6" xfId="25033"/>
    <cellStyle name="Normal 13 4 3 2 3" xfId="4358"/>
    <cellStyle name="Normal 13 4 3 2 3 2" xfId="20458"/>
    <cellStyle name="Normal 13 4 3 2 3 2 2" xfId="43045"/>
    <cellStyle name="Normal 13 4 3 2 3 3" xfId="10798"/>
    <cellStyle name="Normal 13 4 3 2 3 3 2" xfId="33385"/>
    <cellStyle name="Normal 13 4 3 2 3 4" xfId="26945"/>
    <cellStyle name="Normal 13 4 3 2 4" xfId="17238"/>
    <cellStyle name="Normal 13 4 3 2 4 2" xfId="39825"/>
    <cellStyle name="Normal 13 4 3 2 5" xfId="14018"/>
    <cellStyle name="Normal 13 4 3 2 5 2" xfId="36605"/>
    <cellStyle name="Normal 13 4 3 2 6" xfId="7578"/>
    <cellStyle name="Normal 13 4 3 2 6 2" xfId="30165"/>
    <cellStyle name="Normal 13 4 3 2 7" xfId="23725"/>
    <cellStyle name="Normal 13 4 3 3" xfId="1478"/>
    <cellStyle name="Normal 13 4 3 3 2" xfId="2792"/>
    <cellStyle name="Normal 13 4 3 3 2 2" xfId="6013"/>
    <cellStyle name="Normal 13 4 3 3 2 2 2" xfId="22113"/>
    <cellStyle name="Normal 13 4 3 3 2 2 2 2" xfId="44700"/>
    <cellStyle name="Normal 13 4 3 3 2 2 3" xfId="12453"/>
    <cellStyle name="Normal 13 4 3 3 2 2 3 2" xfId="35040"/>
    <cellStyle name="Normal 13 4 3 3 2 2 4" xfId="28600"/>
    <cellStyle name="Normal 13 4 3 3 2 3" xfId="18893"/>
    <cellStyle name="Normal 13 4 3 3 2 3 2" xfId="41480"/>
    <cellStyle name="Normal 13 4 3 3 2 4" xfId="15673"/>
    <cellStyle name="Normal 13 4 3 3 2 4 2" xfId="38260"/>
    <cellStyle name="Normal 13 4 3 3 2 5" xfId="9233"/>
    <cellStyle name="Normal 13 4 3 3 2 5 2" xfId="31820"/>
    <cellStyle name="Normal 13 4 3 3 2 6" xfId="25380"/>
    <cellStyle name="Normal 13 4 3 3 3" xfId="4705"/>
    <cellStyle name="Normal 13 4 3 3 3 2" xfId="20805"/>
    <cellStyle name="Normal 13 4 3 3 3 2 2" xfId="43392"/>
    <cellStyle name="Normal 13 4 3 3 3 3" xfId="11145"/>
    <cellStyle name="Normal 13 4 3 3 3 3 2" xfId="33732"/>
    <cellStyle name="Normal 13 4 3 3 3 4" xfId="27292"/>
    <cellStyle name="Normal 13 4 3 3 4" xfId="17585"/>
    <cellStyle name="Normal 13 4 3 3 4 2" xfId="40172"/>
    <cellStyle name="Normal 13 4 3 3 5" xfId="14365"/>
    <cellStyle name="Normal 13 4 3 3 5 2" xfId="36952"/>
    <cellStyle name="Normal 13 4 3 3 6" xfId="7925"/>
    <cellStyle name="Normal 13 4 3 3 6 2" xfId="30512"/>
    <cellStyle name="Normal 13 4 3 3 7" xfId="24072"/>
    <cellStyle name="Normal 13 4 3 4" xfId="2098"/>
    <cellStyle name="Normal 13 4 3 4 2" xfId="5319"/>
    <cellStyle name="Normal 13 4 3 4 2 2" xfId="21419"/>
    <cellStyle name="Normal 13 4 3 4 2 2 2" xfId="44006"/>
    <cellStyle name="Normal 13 4 3 4 2 3" xfId="11759"/>
    <cellStyle name="Normal 13 4 3 4 2 3 2" xfId="34346"/>
    <cellStyle name="Normal 13 4 3 4 2 4" xfId="27906"/>
    <cellStyle name="Normal 13 4 3 4 3" xfId="18199"/>
    <cellStyle name="Normal 13 4 3 4 3 2" xfId="40786"/>
    <cellStyle name="Normal 13 4 3 4 4" xfId="14979"/>
    <cellStyle name="Normal 13 4 3 4 4 2" xfId="37566"/>
    <cellStyle name="Normal 13 4 3 4 5" xfId="8539"/>
    <cellStyle name="Normal 13 4 3 4 5 2" xfId="31126"/>
    <cellStyle name="Normal 13 4 3 4 6" xfId="24686"/>
    <cellStyle name="Normal 13 4 3 5" xfId="3138"/>
    <cellStyle name="Normal 13 4 3 5 2" xfId="6358"/>
    <cellStyle name="Normal 13 4 3 5 2 2" xfId="22458"/>
    <cellStyle name="Normal 13 4 3 5 2 2 2" xfId="45045"/>
    <cellStyle name="Normal 13 4 3 5 2 3" xfId="12798"/>
    <cellStyle name="Normal 13 4 3 5 2 3 2" xfId="35385"/>
    <cellStyle name="Normal 13 4 3 5 2 4" xfId="28945"/>
    <cellStyle name="Normal 13 4 3 5 3" xfId="19238"/>
    <cellStyle name="Normal 13 4 3 5 3 2" xfId="41825"/>
    <cellStyle name="Normal 13 4 3 5 4" xfId="16018"/>
    <cellStyle name="Normal 13 4 3 5 4 2" xfId="38605"/>
    <cellStyle name="Normal 13 4 3 5 5" xfId="9578"/>
    <cellStyle name="Normal 13 4 3 5 5 2" xfId="32165"/>
    <cellStyle name="Normal 13 4 3 5 6" xfId="25725"/>
    <cellStyle name="Normal 13 4 3 6" xfId="3428"/>
    <cellStyle name="Normal 13 4 3 6 2" xfId="6648"/>
    <cellStyle name="Normal 13 4 3 6 2 2" xfId="22748"/>
    <cellStyle name="Normal 13 4 3 6 2 2 2" xfId="45335"/>
    <cellStyle name="Normal 13 4 3 6 2 3" xfId="13088"/>
    <cellStyle name="Normal 13 4 3 6 2 3 2" xfId="35675"/>
    <cellStyle name="Normal 13 4 3 6 2 4" xfId="29235"/>
    <cellStyle name="Normal 13 4 3 6 3" xfId="19528"/>
    <cellStyle name="Normal 13 4 3 6 3 2" xfId="42115"/>
    <cellStyle name="Normal 13 4 3 6 4" xfId="16308"/>
    <cellStyle name="Normal 13 4 3 6 4 2" xfId="38895"/>
    <cellStyle name="Normal 13 4 3 6 5" xfId="9868"/>
    <cellStyle name="Normal 13 4 3 6 5 2" xfId="32455"/>
    <cellStyle name="Normal 13 4 3 6 6" xfId="26015"/>
    <cellStyle name="Normal 13 4 3 7" xfId="779"/>
    <cellStyle name="Normal 13 4 3 7 2" xfId="4011"/>
    <cellStyle name="Normal 13 4 3 7 2 2" xfId="20111"/>
    <cellStyle name="Normal 13 4 3 7 2 2 2" xfId="42698"/>
    <cellStyle name="Normal 13 4 3 7 2 3" xfId="10451"/>
    <cellStyle name="Normal 13 4 3 7 2 3 2" xfId="33038"/>
    <cellStyle name="Normal 13 4 3 7 2 4" xfId="26598"/>
    <cellStyle name="Normal 13 4 3 7 3" xfId="16891"/>
    <cellStyle name="Normal 13 4 3 7 3 2" xfId="39478"/>
    <cellStyle name="Normal 13 4 3 7 4" xfId="13671"/>
    <cellStyle name="Normal 13 4 3 7 4 2" xfId="36258"/>
    <cellStyle name="Normal 13 4 3 7 5" xfId="7231"/>
    <cellStyle name="Normal 13 4 3 7 5 2" xfId="29818"/>
    <cellStyle name="Normal 13 4 3 7 6" xfId="23378"/>
    <cellStyle name="Normal 13 4 3 8" xfId="3718"/>
    <cellStyle name="Normal 13 4 3 8 2" xfId="19818"/>
    <cellStyle name="Normal 13 4 3 8 2 2" xfId="42405"/>
    <cellStyle name="Normal 13 4 3 8 3" xfId="10158"/>
    <cellStyle name="Normal 13 4 3 8 3 2" xfId="32745"/>
    <cellStyle name="Normal 13 4 3 8 4" xfId="26305"/>
    <cellStyle name="Normal 13 4 3 9" xfId="16598"/>
    <cellStyle name="Normal 13 4 3 9 2" xfId="39185"/>
    <cellStyle name="Normal 13 4 4" xfId="926"/>
    <cellStyle name="Normal 13 4 4 2" xfId="2245"/>
    <cellStyle name="Normal 13 4 4 2 2" xfId="5466"/>
    <cellStyle name="Normal 13 4 4 2 2 2" xfId="21566"/>
    <cellStyle name="Normal 13 4 4 2 2 2 2" xfId="44153"/>
    <cellStyle name="Normal 13 4 4 2 2 3" xfId="11906"/>
    <cellStyle name="Normal 13 4 4 2 2 3 2" xfId="34493"/>
    <cellStyle name="Normal 13 4 4 2 2 4" xfId="28053"/>
    <cellStyle name="Normal 13 4 4 2 3" xfId="18346"/>
    <cellStyle name="Normal 13 4 4 2 3 2" xfId="40933"/>
    <cellStyle name="Normal 13 4 4 2 4" xfId="15126"/>
    <cellStyle name="Normal 13 4 4 2 4 2" xfId="37713"/>
    <cellStyle name="Normal 13 4 4 2 5" xfId="8686"/>
    <cellStyle name="Normal 13 4 4 2 5 2" xfId="31273"/>
    <cellStyle name="Normal 13 4 4 2 6" xfId="24833"/>
    <cellStyle name="Normal 13 4 4 3" xfId="4158"/>
    <cellStyle name="Normal 13 4 4 3 2" xfId="20258"/>
    <cellStyle name="Normal 13 4 4 3 2 2" xfId="42845"/>
    <cellStyle name="Normal 13 4 4 3 3" xfId="10598"/>
    <cellStyle name="Normal 13 4 4 3 3 2" xfId="33185"/>
    <cellStyle name="Normal 13 4 4 3 4" xfId="26745"/>
    <cellStyle name="Normal 13 4 4 4" xfId="17038"/>
    <cellStyle name="Normal 13 4 4 4 2" xfId="39625"/>
    <cellStyle name="Normal 13 4 4 5" xfId="13818"/>
    <cellStyle name="Normal 13 4 4 5 2" xfId="36405"/>
    <cellStyle name="Normal 13 4 4 6" xfId="7378"/>
    <cellStyle name="Normal 13 4 4 6 2" xfId="29965"/>
    <cellStyle name="Normal 13 4 4 7" xfId="23525"/>
    <cellStyle name="Normal 13 4 5" xfId="1278"/>
    <cellStyle name="Normal 13 4 5 2" xfId="2592"/>
    <cellStyle name="Normal 13 4 5 2 2" xfId="5813"/>
    <cellStyle name="Normal 13 4 5 2 2 2" xfId="21913"/>
    <cellStyle name="Normal 13 4 5 2 2 2 2" xfId="44500"/>
    <cellStyle name="Normal 13 4 5 2 2 3" xfId="12253"/>
    <cellStyle name="Normal 13 4 5 2 2 3 2" xfId="34840"/>
    <cellStyle name="Normal 13 4 5 2 2 4" xfId="28400"/>
    <cellStyle name="Normal 13 4 5 2 3" xfId="18693"/>
    <cellStyle name="Normal 13 4 5 2 3 2" xfId="41280"/>
    <cellStyle name="Normal 13 4 5 2 4" xfId="15473"/>
    <cellStyle name="Normal 13 4 5 2 4 2" xfId="38060"/>
    <cellStyle name="Normal 13 4 5 2 5" xfId="9033"/>
    <cellStyle name="Normal 13 4 5 2 5 2" xfId="31620"/>
    <cellStyle name="Normal 13 4 5 2 6" xfId="25180"/>
    <cellStyle name="Normal 13 4 5 3" xfId="4505"/>
    <cellStyle name="Normal 13 4 5 3 2" xfId="20605"/>
    <cellStyle name="Normal 13 4 5 3 2 2" xfId="43192"/>
    <cellStyle name="Normal 13 4 5 3 3" xfId="10945"/>
    <cellStyle name="Normal 13 4 5 3 3 2" xfId="33532"/>
    <cellStyle name="Normal 13 4 5 3 4" xfId="27092"/>
    <cellStyle name="Normal 13 4 5 4" xfId="17385"/>
    <cellStyle name="Normal 13 4 5 4 2" xfId="39972"/>
    <cellStyle name="Normal 13 4 5 5" xfId="14165"/>
    <cellStyle name="Normal 13 4 5 5 2" xfId="36752"/>
    <cellStyle name="Normal 13 4 5 6" xfId="7725"/>
    <cellStyle name="Normal 13 4 5 6 2" xfId="30312"/>
    <cellStyle name="Normal 13 4 5 7" xfId="23872"/>
    <cellStyle name="Normal 13 4 6" xfId="1566"/>
    <cellStyle name="Normal 13 4 6 2" xfId="4792"/>
    <cellStyle name="Normal 13 4 6 2 2" xfId="20892"/>
    <cellStyle name="Normal 13 4 6 2 2 2" xfId="43479"/>
    <cellStyle name="Normal 13 4 6 2 3" xfId="11232"/>
    <cellStyle name="Normal 13 4 6 2 3 2" xfId="33819"/>
    <cellStyle name="Normal 13 4 6 2 4" xfId="27379"/>
    <cellStyle name="Normal 13 4 6 3" xfId="17672"/>
    <cellStyle name="Normal 13 4 6 3 2" xfId="40259"/>
    <cellStyle name="Normal 13 4 6 4" xfId="14452"/>
    <cellStyle name="Normal 13 4 6 4 2" xfId="37039"/>
    <cellStyle name="Normal 13 4 6 5" xfId="8012"/>
    <cellStyle name="Normal 13 4 6 5 2" xfId="30599"/>
    <cellStyle name="Normal 13 4 6 6" xfId="24159"/>
    <cellStyle name="Normal 13 4 7" xfId="1897"/>
    <cellStyle name="Normal 13 4 7 2" xfId="5119"/>
    <cellStyle name="Normal 13 4 7 2 2" xfId="21219"/>
    <cellStyle name="Normal 13 4 7 2 2 2" xfId="43806"/>
    <cellStyle name="Normal 13 4 7 2 3" xfId="11559"/>
    <cellStyle name="Normal 13 4 7 2 3 2" xfId="34146"/>
    <cellStyle name="Normal 13 4 7 2 4" xfId="27706"/>
    <cellStyle name="Normal 13 4 7 3" xfId="17999"/>
    <cellStyle name="Normal 13 4 7 3 2" xfId="40586"/>
    <cellStyle name="Normal 13 4 7 4" xfId="14779"/>
    <cellStyle name="Normal 13 4 7 4 2" xfId="37366"/>
    <cellStyle name="Normal 13 4 7 5" xfId="8339"/>
    <cellStyle name="Normal 13 4 7 5 2" xfId="30926"/>
    <cellStyle name="Normal 13 4 7 6" xfId="24486"/>
    <cellStyle name="Normal 13 4 8" xfId="2944"/>
    <cellStyle name="Normal 13 4 8 2" xfId="6165"/>
    <cellStyle name="Normal 13 4 8 2 2" xfId="22265"/>
    <cellStyle name="Normal 13 4 8 2 2 2" xfId="44852"/>
    <cellStyle name="Normal 13 4 8 2 3" xfId="12605"/>
    <cellStyle name="Normal 13 4 8 2 3 2" xfId="35192"/>
    <cellStyle name="Normal 13 4 8 2 4" xfId="28752"/>
    <cellStyle name="Normal 13 4 8 3" xfId="19045"/>
    <cellStyle name="Normal 13 4 8 3 2" xfId="41632"/>
    <cellStyle name="Normal 13 4 8 4" xfId="15825"/>
    <cellStyle name="Normal 13 4 8 4 2" xfId="38412"/>
    <cellStyle name="Normal 13 4 8 5" xfId="9385"/>
    <cellStyle name="Normal 13 4 8 5 2" xfId="31972"/>
    <cellStyle name="Normal 13 4 8 6" xfId="25532"/>
    <cellStyle name="Normal 13 4 9" xfId="3235"/>
    <cellStyle name="Normal 13 4 9 2" xfId="6455"/>
    <cellStyle name="Normal 13 4 9 2 2" xfId="22555"/>
    <cellStyle name="Normal 13 4 9 2 2 2" xfId="45142"/>
    <cellStyle name="Normal 13 4 9 2 3" xfId="12895"/>
    <cellStyle name="Normal 13 4 9 2 3 2" xfId="35482"/>
    <cellStyle name="Normal 13 4 9 2 4" xfId="29042"/>
    <cellStyle name="Normal 13 4 9 3" xfId="19335"/>
    <cellStyle name="Normal 13 4 9 3 2" xfId="41922"/>
    <cellStyle name="Normal 13 4 9 4" xfId="16115"/>
    <cellStyle name="Normal 13 4 9 4 2" xfId="38702"/>
    <cellStyle name="Normal 13 4 9 5" xfId="9675"/>
    <cellStyle name="Normal 13 4 9 5 2" xfId="32262"/>
    <cellStyle name="Normal 13 4 9 6" xfId="25822"/>
    <cellStyle name="Normal 13 5" xfId="272"/>
    <cellStyle name="Normal 13 5 10" xfId="16439"/>
    <cellStyle name="Normal 13 5 10 2" xfId="39026"/>
    <cellStyle name="Normal 13 5 11" xfId="13219"/>
    <cellStyle name="Normal 13 5 11 2" xfId="35806"/>
    <cellStyle name="Normal 13 5 12" xfId="6779"/>
    <cellStyle name="Normal 13 5 12 2" xfId="29366"/>
    <cellStyle name="Normal 13 5 13" xfId="22926"/>
    <cellStyle name="Normal 13 5 2" xfId="976"/>
    <cellStyle name="Normal 13 5 2 2" xfId="2294"/>
    <cellStyle name="Normal 13 5 2 2 2" xfId="5515"/>
    <cellStyle name="Normal 13 5 2 2 2 2" xfId="21615"/>
    <cellStyle name="Normal 13 5 2 2 2 2 2" xfId="44202"/>
    <cellStyle name="Normal 13 5 2 2 2 3" xfId="11955"/>
    <cellStyle name="Normal 13 5 2 2 2 3 2" xfId="34542"/>
    <cellStyle name="Normal 13 5 2 2 2 4" xfId="28102"/>
    <cellStyle name="Normal 13 5 2 2 3" xfId="18395"/>
    <cellStyle name="Normal 13 5 2 2 3 2" xfId="40982"/>
    <cellStyle name="Normal 13 5 2 2 4" xfId="15175"/>
    <cellStyle name="Normal 13 5 2 2 4 2" xfId="37762"/>
    <cellStyle name="Normal 13 5 2 2 5" xfId="8735"/>
    <cellStyle name="Normal 13 5 2 2 5 2" xfId="31322"/>
    <cellStyle name="Normal 13 5 2 2 6" xfId="24882"/>
    <cellStyle name="Normal 13 5 2 3" xfId="4207"/>
    <cellStyle name="Normal 13 5 2 3 2" xfId="20307"/>
    <cellStyle name="Normal 13 5 2 3 2 2" xfId="42894"/>
    <cellStyle name="Normal 13 5 2 3 3" xfId="10647"/>
    <cellStyle name="Normal 13 5 2 3 3 2" xfId="33234"/>
    <cellStyle name="Normal 13 5 2 3 4" xfId="26794"/>
    <cellStyle name="Normal 13 5 2 4" xfId="17087"/>
    <cellStyle name="Normal 13 5 2 4 2" xfId="39674"/>
    <cellStyle name="Normal 13 5 2 5" xfId="13867"/>
    <cellStyle name="Normal 13 5 2 5 2" xfId="36454"/>
    <cellStyle name="Normal 13 5 2 6" xfId="7427"/>
    <cellStyle name="Normal 13 5 2 6 2" xfId="30014"/>
    <cellStyle name="Normal 13 5 2 7" xfId="23574"/>
    <cellStyle name="Normal 13 5 3" xfId="1327"/>
    <cellStyle name="Normal 13 5 3 2" xfId="2641"/>
    <cellStyle name="Normal 13 5 3 2 2" xfId="5862"/>
    <cellStyle name="Normal 13 5 3 2 2 2" xfId="21962"/>
    <cellStyle name="Normal 13 5 3 2 2 2 2" xfId="44549"/>
    <cellStyle name="Normal 13 5 3 2 2 3" xfId="12302"/>
    <cellStyle name="Normal 13 5 3 2 2 3 2" xfId="34889"/>
    <cellStyle name="Normal 13 5 3 2 2 4" xfId="28449"/>
    <cellStyle name="Normal 13 5 3 2 3" xfId="18742"/>
    <cellStyle name="Normal 13 5 3 2 3 2" xfId="41329"/>
    <cellStyle name="Normal 13 5 3 2 4" xfId="15522"/>
    <cellStyle name="Normal 13 5 3 2 4 2" xfId="38109"/>
    <cellStyle name="Normal 13 5 3 2 5" xfId="9082"/>
    <cellStyle name="Normal 13 5 3 2 5 2" xfId="31669"/>
    <cellStyle name="Normal 13 5 3 2 6" xfId="25229"/>
    <cellStyle name="Normal 13 5 3 3" xfId="4554"/>
    <cellStyle name="Normal 13 5 3 3 2" xfId="20654"/>
    <cellStyle name="Normal 13 5 3 3 2 2" xfId="43241"/>
    <cellStyle name="Normal 13 5 3 3 3" xfId="10994"/>
    <cellStyle name="Normal 13 5 3 3 3 2" xfId="33581"/>
    <cellStyle name="Normal 13 5 3 3 4" xfId="27141"/>
    <cellStyle name="Normal 13 5 3 4" xfId="17434"/>
    <cellStyle name="Normal 13 5 3 4 2" xfId="40021"/>
    <cellStyle name="Normal 13 5 3 5" xfId="14214"/>
    <cellStyle name="Normal 13 5 3 5 2" xfId="36801"/>
    <cellStyle name="Normal 13 5 3 6" xfId="7774"/>
    <cellStyle name="Normal 13 5 3 6 2" xfId="30361"/>
    <cellStyle name="Normal 13 5 3 7" xfId="23921"/>
    <cellStyle name="Normal 13 5 4" xfId="1567"/>
    <cellStyle name="Normal 13 5 4 2" xfId="4793"/>
    <cellStyle name="Normal 13 5 4 2 2" xfId="20893"/>
    <cellStyle name="Normal 13 5 4 2 2 2" xfId="43480"/>
    <cellStyle name="Normal 13 5 4 2 3" xfId="11233"/>
    <cellStyle name="Normal 13 5 4 2 3 2" xfId="33820"/>
    <cellStyle name="Normal 13 5 4 2 4" xfId="27380"/>
    <cellStyle name="Normal 13 5 4 3" xfId="17673"/>
    <cellStyle name="Normal 13 5 4 3 2" xfId="40260"/>
    <cellStyle name="Normal 13 5 4 4" xfId="14453"/>
    <cellStyle name="Normal 13 5 4 4 2" xfId="37040"/>
    <cellStyle name="Normal 13 5 4 5" xfId="8013"/>
    <cellStyle name="Normal 13 5 4 5 2" xfId="30600"/>
    <cellStyle name="Normal 13 5 4 6" xfId="24160"/>
    <cellStyle name="Normal 13 5 5" xfId="1946"/>
    <cellStyle name="Normal 13 5 5 2" xfId="5168"/>
    <cellStyle name="Normal 13 5 5 2 2" xfId="21268"/>
    <cellStyle name="Normal 13 5 5 2 2 2" xfId="43855"/>
    <cellStyle name="Normal 13 5 5 2 3" xfId="11608"/>
    <cellStyle name="Normal 13 5 5 2 3 2" xfId="34195"/>
    <cellStyle name="Normal 13 5 5 2 4" xfId="27755"/>
    <cellStyle name="Normal 13 5 5 3" xfId="18048"/>
    <cellStyle name="Normal 13 5 5 3 2" xfId="40635"/>
    <cellStyle name="Normal 13 5 5 4" xfId="14828"/>
    <cellStyle name="Normal 13 5 5 4 2" xfId="37415"/>
    <cellStyle name="Normal 13 5 5 5" xfId="8388"/>
    <cellStyle name="Normal 13 5 5 5 2" xfId="30975"/>
    <cellStyle name="Normal 13 5 5 6" xfId="24535"/>
    <cellStyle name="Normal 13 5 6" xfId="2979"/>
    <cellStyle name="Normal 13 5 6 2" xfId="6199"/>
    <cellStyle name="Normal 13 5 6 2 2" xfId="22299"/>
    <cellStyle name="Normal 13 5 6 2 2 2" xfId="44886"/>
    <cellStyle name="Normal 13 5 6 2 3" xfId="12639"/>
    <cellStyle name="Normal 13 5 6 2 3 2" xfId="35226"/>
    <cellStyle name="Normal 13 5 6 2 4" xfId="28786"/>
    <cellStyle name="Normal 13 5 6 3" xfId="19079"/>
    <cellStyle name="Normal 13 5 6 3 2" xfId="41666"/>
    <cellStyle name="Normal 13 5 6 4" xfId="15859"/>
    <cellStyle name="Normal 13 5 6 4 2" xfId="38446"/>
    <cellStyle name="Normal 13 5 6 5" xfId="9419"/>
    <cellStyle name="Normal 13 5 6 5 2" xfId="32006"/>
    <cellStyle name="Normal 13 5 6 6" xfId="25566"/>
    <cellStyle name="Normal 13 5 7" xfId="3269"/>
    <cellStyle name="Normal 13 5 7 2" xfId="6489"/>
    <cellStyle name="Normal 13 5 7 2 2" xfId="22589"/>
    <cellStyle name="Normal 13 5 7 2 2 2" xfId="45176"/>
    <cellStyle name="Normal 13 5 7 2 3" xfId="12929"/>
    <cellStyle name="Normal 13 5 7 2 3 2" xfId="35516"/>
    <cellStyle name="Normal 13 5 7 2 4" xfId="29076"/>
    <cellStyle name="Normal 13 5 7 3" xfId="19369"/>
    <cellStyle name="Normal 13 5 7 3 2" xfId="41956"/>
    <cellStyle name="Normal 13 5 7 4" xfId="16149"/>
    <cellStyle name="Normal 13 5 7 4 2" xfId="38736"/>
    <cellStyle name="Normal 13 5 7 5" xfId="9709"/>
    <cellStyle name="Normal 13 5 7 5 2" xfId="32296"/>
    <cellStyle name="Normal 13 5 7 6" xfId="25856"/>
    <cellStyle name="Normal 13 5 8" xfId="591"/>
    <cellStyle name="Normal 13 5 8 2" xfId="3860"/>
    <cellStyle name="Normal 13 5 8 2 2" xfId="19960"/>
    <cellStyle name="Normal 13 5 8 2 2 2" xfId="42547"/>
    <cellStyle name="Normal 13 5 8 2 3" xfId="10300"/>
    <cellStyle name="Normal 13 5 8 2 3 2" xfId="32887"/>
    <cellStyle name="Normal 13 5 8 2 4" xfId="26447"/>
    <cellStyle name="Normal 13 5 8 3" xfId="16740"/>
    <cellStyle name="Normal 13 5 8 3 2" xfId="39327"/>
    <cellStyle name="Normal 13 5 8 4" xfId="13520"/>
    <cellStyle name="Normal 13 5 8 4 2" xfId="36107"/>
    <cellStyle name="Normal 13 5 8 5" xfId="7080"/>
    <cellStyle name="Normal 13 5 8 5 2" xfId="29667"/>
    <cellStyle name="Normal 13 5 8 6" xfId="23227"/>
    <cellStyle name="Normal 13 5 9" xfId="3559"/>
    <cellStyle name="Normal 13 5 9 2" xfId="19659"/>
    <cellStyle name="Normal 13 5 9 2 2" xfId="42246"/>
    <cellStyle name="Normal 13 5 9 3" xfId="9999"/>
    <cellStyle name="Normal 13 5 9 3 2" xfId="32586"/>
    <cellStyle name="Normal 13 5 9 4" xfId="26146"/>
    <cellStyle name="Normal 13 6" xfId="354"/>
    <cellStyle name="Normal 13 6 10" xfId="13301"/>
    <cellStyle name="Normal 13 6 10 2" xfId="35888"/>
    <cellStyle name="Normal 13 6 11" xfId="6861"/>
    <cellStyle name="Normal 13 6 11 2" xfId="29448"/>
    <cellStyle name="Normal 13 6 12" xfId="23008"/>
    <cellStyle name="Normal 13 6 2" xfId="1091"/>
    <cellStyle name="Normal 13 6 2 2" xfId="2405"/>
    <cellStyle name="Normal 13 6 2 2 2" xfId="5626"/>
    <cellStyle name="Normal 13 6 2 2 2 2" xfId="21726"/>
    <cellStyle name="Normal 13 6 2 2 2 2 2" xfId="44313"/>
    <cellStyle name="Normal 13 6 2 2 2 3" xfId="12066"/>
    <cellStyle name="Normal 13 6 2 2 2 3 2" xfId="34653"/>
    <cellStyle name="Normal 13 6 2 2 2 4" xfId="28213"/>
    <cellStyle name="Normal 13 6 2 2 3" xfId="18506"/>
    <cellStyle name="Normal 13 6 2 2 3 2" xfId="41093"/>
    <cellStyle name="Normal 13 6 2 2 4" xfId="15286"/>
    <cellStyle name="Normal 13 6 2 2 4 2" xfId="37873"/>
    <cellStyle name="Normal 13 6 2 2 5" xfId="8846"/>
    <cellStyle name="Normal 13 6 2 2 5 2" xfId="31433"/>
    <cellStyle name="Normal 13 6 2 2 6" xfId="24993"/>
    <cellStyle name="Normal 13 6 2 3" xfId="4318"/>
    <cellStyle name="Normal 13 6 2 3 2" xfId="20418"/>
    <cellStyle name="Normal 13 6 2 3 2 2" xfId="43005"/>
    <cellStyle name="Normal 13 6 2 3 3" xfId="10758"/>
    <cellStyle name="Normal 13 6 2 3 3 2" xfId="33345"/>
    <cellStyle name="Normal 13 6 2 3 4" xfId="26905"/>
    <cellStyle name="Normal 13 6 2 4" xfId="17198"/>
    <cellStyle name="Normal 13 6 2 4 2" xfId="39785"/>
    <cellStyle name="Normal 13 6 2 5" xfId="13978"/>
    <cellStyle name="Normal 13 6 2 5 2" xfId="36565"/>
    <cellStyle name="Normal 13 6 2 6" xfId="7538"/>
    <cellStyle name="Normal 13 6 2 6 2" xfId="30125"/>
    <cellStyle name="Normal 13 6 2 7" xfId="23685"/>
    <cellStyle name="Normal 13 6 3" xfId="1438"/>
    <cellStyle name="Normal 13 6 3 2" xfId="2752"/>
    <cellStyle name="Normal 13 6 3 2 2" xfId="5973"/>
    <cellStyle name="Normal 13 6 3 2 2 2" xfId="22073"/>
    <cellStyle name="Normal 13 6 3 2 2 2 2" xfId="44660"/>
    <cellStyle name="Normal 13 6 3 2 2 3" xfId="12413"/>
    <cellStyle name="Normal 13 6 3 2 2 3 2" xfId="35000"/>
    <cellStyle name="Normal 13 6 3 2 2 4" xfId="28560"/>
    <cellStyle name="Normal 13 6 3 2 3" xfId="18853"/>
    <cellStyle name="Normal 13 6 3 2 3 2" xfId="41440"/>
    <cellStyle name="Normal 13 6 3 2 4" xfId="15633"/>
    <cellStyle name="Normal 13 6 3 2 4 2" xfId="38220"/>
    <cellStyle name="Normal 13 6 3 2 5" xfId="9193"/>
    <cellStyle name="Normal 13 6 3 2 5 2" xfId="31780"/>
    <cellStyle name="Normal 13 6 3 2 6" xfId="25340"/>
    <cellStyle name="Normal 13 6 3 3" xfId="4665"/>
    <cellStyle name="Normal 13 6 3 3 2" xfId="20765"/>
    <cellStyle name="Normal 13 6 3 3 2 2" xfId="43352"/>
    <cellStyle name="Normal 13 6 3 3 3" xfId="11105"/>
    <cellStyle name="Normal 13 6 3 3 3 2" xfId="33692"/>
    <cellStyle name="Normal 13 6 3 3 4" xfId="27252"/>
    <cellStyle name="Normal 13 6 3 4" xfId="17545"/>
    <cellStyle name="Normal 13 6 3 4 2" xfId="40132"/>
    <cellStyle name="Normal 13 6 3 5" xfId="14325"/>
    <cellStyle name="Normal 13 6 3 5 2" xfId="36912"/>
    <cellStyle name="Normal 13 6 3 6" xfId="7885"/>
    <cellStyle name="Normal 13 6 3 6 2" xfId="30472"/>
    <cellStyle name="Normal 13 6 3 7" xfId="24032"/>
    <cellStyle name="Normal 13 6 4" xfId="2058"/>
    <cellStyle name="Normal 13 6 4 2" xfId="5279"/>
    <cellStyle name="Normal 13 6 4 2 2" xfId="21379"/>
    <cellStyle name="Normal 13 6 4 2 2 2" xfId="43966"/>
    <cellStyle name="Normal 13 6 4 2 3" xfId="11719"/>
    <cellStyle name="Normal 13 6 4 2 3 2" xfId="34306"/>
    <cellStyle name="Normal 13 6 4 2 4" xfId="27866"/>
    <cellStyle name="Normal 13 6 4 3" xfId="18159"/>
    <cellStyle name="Normal 13 6 4 3 2" xfId="40746"/>
    <cellStyle name="Normal 13 6 4 4" xfId="14939"/>
    <cellStyle name="Normal 13 6 4 4 2" xfId="37526"/>
    <cellStyle name="Normal 13 6 4 5" xfId="8499"/>
    <cellStyle name="Normal 13 6 4 5 2" xfId="31086"/>
    <cellStyle name="Normal 13 6 4 6" xfId="24646"/>
    <cellStyle name="Normal 13 6 5" xfId="3061"/>
    <cellStyle name="Normal 13 6 5 2" xfId="6281"/>
    <cellStyle name="Normal 13 6 5 2 2" xfId="22381"/>
    <cellStyle name="Normal 13 6 5 2 2 2" xfId="44968"/>
    <cellStyle name="Normal 13 6 5 2 3" xfId="12721"/>
    <cellStyle name="Normal 13 6 5 2 3 2" xfId="35308"/>
    <cellStyle name="Normal 13 6 5 2 4" xfId="28868"/>
    <cellStyle name="Normal 13 6 5 3" xfId="19161"/>
    <cellStyle name="Normal 13 6 5 3 2" xfId="41748"/>
    <cellStyle name="Normal 13 6 5 4" xfId="15941"/>
    <cellStyle name="Normal 13 6 5 4 2" xfId="38528"/>
    <cellStyle name="Normal 13 6 5 5" xfId="9501"/>
    <cellStyle name="Normal 13 6 5 5 2" xfId="32088"/>
    <cellStyle name="Normal 13 6 5 6" xfId="25648"/>
    <cellStyle name="Normal 13 6 6" xfId="3351"/>
    <cellStyle name="Normal 13 6 6 2" xfId="6571"/>
    <cellStyle name="Normal 13 6 6 2 2" xfId="22671"/>
    <cellStyle name="Normal 13 6 6 2 2 2" xfId="45258"/>
    <cellStyle name="Normal 13 6 6 2 3" xfId="13011"/>
    <cellStyle name="Normal 13 6 6 2 3 2" xfId="35598"/>
    <cellStyle name="Normal 13 6 6 2 4" xfId="29158"/>
    <cellStyle name="Normal 13 6 6 3" xfId="19451"/>
    <cellStyle name="Normal 13 6 6 3 2" xfId="42038"/>
    <cellStyle name="Normal 13 6 6 4" xfId="16231"/>
    <cellStyle name="Normal 13 6 6 4 2" xfId="38818"/>
    <cellStyle name="Normal 13 6 6 5" xfId="9791"/>
    <cellStyle name="Normal 13 6 6 5 2" xfId="32378"/>
    <cellStyle name="Normal 13 6 6 6" xfId="25938"/>
    <cellStyle name="Normal 13 6 7" xfId="739"/>
    <cellStyle name="Normal 13 6 7 2" xfId="3971"/>
    <cellStyle name="Normal 13 6 7 2 2" xfId="20071"/>
    <cellStyle name="Normal 13 6 7 2 2 2" xfId="42658"/>
    <cellStyle name="Normal 13 6 7 2 3" xfId="10411"/>
    <cellStyle name="Normal 13 6 7 2 3 2" xfId="32998"/>
    <cellStyle name="Normal 13 6 7 2 4" xfId="26558"/>
    <cellStyle name="Normal 13 6 7 3" xfId="16851"/>
    <cellStyle name="Normal 13 6 7 3 2" xfId="39438"/>
    <cellStyle name="Normal 13 6 7 4" xfId="13631"/>
    <cellStyle name="Normal 13 6 7 4 2" xfId="36218"/>
    <cellStyle name="Normal 13 6 7 5" xfId="7191"/>
    <cellStyle name="Normal 13 6 7 5 2" xfId="29778"/>
    <cellStyle name="Normal 13 6 7 6" xfId="23338"/>
    <cellStyle name="Normal 13 6 8" xfId="3641"/>
    <cellStyle name="Normal 13 6 8 2" xfId="19741"/>
    <cellStyle name="Normal 13 6 8 2 2" xfId="42328"/>
    <cellStyle name="Normal 13 6 8 3" xfId="10081"/>
    <cellStyle name="Normal 13 6 8 3 2" xfId="32668"/>
    <cellStyle name="Normal 13 6 8 4" xfId="26228"/>
    <cellStyle name="Normal 13 6 9" xfId="16521"/>
    <cellStyle name="Normal 13 6 9 2" xfId="39108"/>
    <cellStyle name="Normal 13 7" xfId="759"/>
    <cellStyle name="Normal 13 7 2" xfId="1111"/>
    <cellStyle name="Normal 13 7 2 2" xfId="2425"/>
    <cellStyle name="Normal 13 7 2 2 2" xfId="5646"/>
    <cellStyle name="Normal 13 7 2 2 2 2" xfId="21746"/>
    <cellStyle name="Normal 13 7 2 2 2 2 2" xfId="44333"/>
    <cellStyle name="Normal 13 7 2 2 2 3" xfId="12086"/>
    <cellStyle name="Normal 13 7 2 2 2 3 2" xfId="34673"/>
    <cellStyle name="Normal 13 7 2 2 2 4" xfId="28233"/>
    <cellStyle name="Normal 13 7 2 2 3" xfId="18526"/>
    <cellStyle name="Normal 13 7 2 2 3 2" xfId="41113"/>
    <cellStyle name="Normal 13 7 2 2 4" xfId="15306"/>
    <cellStyle name="Normal 13 7 2 2 4 2" xfId="37893"/>
    <cellStyle name="Normal 13 7 2 2 5" xfId="8866"/>
    <cellStyle name="Normal 13 7 2 2 5 2" xfId="31453"/>
    <cellStyle name="Normal 13 7 2 2 6" xfId="25013"/>
    <cellStyle name="Normal 13 7 2 3" xfId="4338"/>
    <cellStyle name="Normal 13 7 2 3 2" xfId="20438"/>
    <cellStyle name="Normal 13 7 2 3 2 2" xfId="43025"/>
    <cellStyle name="Normal 13 7 2 3 3" xfId="10778"/>
    <cellStyle name="Normal 13 7 2 3 3 2" xfId="33365"/>
    <cellStyle name="Normal 13 7 2 3 4" xfId="26925"/>
    <cellStyle name="Normal 13 7 2 4" xfId="17218"/>
    <cellStyle name="Normal 13 7 2 4 2" xfId="39805"/>
    <cellStyle name="Normal 13 7 2 5" xfId="13998"/>
    <cellStyle name="Normal 13 7 2 5 2" xfId="36585"/>
    <cellStyle name="Normal 13 7 2 6" xfId="7558"/>
    <cellStyle name="Normal 13 7 2 6 2" xfId="30145"/>
    <cellStyle name="Normal 13 7 2 7" xfId="23705"/>
    <cellStyle name="Normal 13 7 3" xfId="1458"/>
    <cellStyle name="Normal 13 7 3 2" xfId="2772"/>
    <cellStyle name="Normal 13 7 3 2 2" xfId="5993"/>
    <cellStyle name="Normal 13 7 3 2 2 2" xfId="22093"/>
    <cellStyle name="Normal 13 7 3 2 2 2 2" xfId="44680"/>
    <cellStyle name="Normal 13 7 3 2 2 3" xfId="12433"/>
    <cellStyle name="Normal 13 7 3 2 2 3 2" xfId="35020"/>
    <cellStyle name="Normal 13 7 3 2 2 4" xfId="28580"/>
    <cellStyle name="Normal 13 7 3 2 3" xfId="18873"/>
    <cellStyle name="Normal 13 7 3 2 3 2" xfId="41460"/>
    <cellStyle name="Normal 13 7 3 2 4" xfId="15653"/>
    <cellStyle name="Normal 13 7 3 2 4 2" xfId="38240"/>
    <cellStyle name="Normal 13 7 3 2 5" xfId="9213"/>
    <cellStyle name="Normal 13 7 3 2 5 2" xfId="31800"/>
    <cellStyle name="Normal 13 7 3 2 6" xfId="25360"/>
    <cellStyle name="Normal 13 7 3 3" xfId="4685"/>
    <cellStyle name="Normal 13 7 3 3 2" xfId="20785"/>
    <cellStyle name="Normal 13 7 3 3 2 2" xfId="43372"/>
    <cellStyle name="Normal 13 7 3 3 3" xfId="11125"/>
    <cellStyle name="Normal 13 7 3 3 3 2" xfId="33712"/>
    <cellStyle name="Normal 13 7 3 3 4" xfId="27272"/>
    <cellStyle name="Normal 13 7 3 4" xfId="17565"/>
    <cellStyle name="Normal 13 7 3 4 2" xfId="40152"/>
    <cellStyle name="Normal 13 7 3 5" xfId="14345"/>
    <cellStyle name="Normal 13 7 3 5 2" xfId="36932"/>
    <cellStyle name="Normal 13 7 3 6" xfId="7905"/>
    <cellStyle name="Normal 13 7 3 6 2" xfId="30492"/>
    <cellStyle name="Normal 13 7 3 7" xfId="24052"/>
    <cellStyle name="Normal 13 7 4" xfId="2078"/>
    <cellStyle name="Normal 13 7 4 2" xfId="5299"/>
    <cellStyle name="Normal 13 7 4 2 2" xfId="21399"/>
    <cellStyle name="Normal 13 7 4 2 2 2" xfId="43986"/>
    <cellStyle name="Normal 13 7 4 2 3" xfId="11739"/>
    <cellStyle name="Normal 13 7 4 2 3 2" xfId="34326"/>
    <cellStyle name="Normal 13 7 4 2 4" xfId="27886"/>
    <cellStyle name="Normal 13 7 4 3" xfId="18179"/>
    <cellStyle name="Normal 13 7 4 3 2" xfId="40766"/>
    <cellStyle name="Normal 13 7 4 4" xfId="14959"/>
    <cellStyle name="Normal 13 7 4 4 2" xfId="37546"/>
    <cellStyle name="Normal 13 7 4 5" xfId="8519"/>
    <cellStyle name="Normal 13 7 4 5 2" xfId="31106"/>
    <cellStyle name="Normal 13 7 4 6" xfId="24666"/>
    <cellStyle name="Normal 13 7 5" xfId="3991"/>
    <cellStyle name="Normal 13 7 5 2" xfId="20091"/>
    <cellStyle name="Normal 13 7 5 2 2" xfId="42678"/>
    <cellStyle name="Normal 13 7 5 3" xfId="10431"/>
    <cellStyle name="Normal 13 7 5 3 2" xfId="33018"/>
    <cellStyle name="Normal 13 7 5 4" xfId="26578"/>
    <cellStyle name="Normal 13 7 6" xfId="16871"/>
    <cellStyle name="Normal 13 7 6 2" xfId="39458"/>
    <cellStyle name="Normal 13 7 7" xfId="13651"/>
    <cellStyle name="Normal 13 7 7 2" xfId="36238"/>
    <cellStyle name="Normal 13 7 8" xfId="7211"/>
    <cellStyle name="Normal 13 7 8 2" xfId="29798"/>
    <cellStyle name="Normal 13 7 9" xfId="23358"/>
    <cellStyle name="Normal 13 8" xfId="853"/>
    <cellStyle name="Normal 13 8 2" xfId="2172"/>
    <cellStyle name="Normal 13 8 2 2" xfId="5393"/>
    <cellStyle name="Normal 13 8 2 2 2" xfId="21493"/>
    <cellStyle name="Normal 13 8 2 2 2 2" xfId="44080"/>
    <cellStyle name="Normal 13 8 2 2 3" xfId="11833"/>
    <cellStyle name="Normal 13 8 2 2 3 2" xfId="34420"/>
    <cellStyle name="Normal 13 8 2 2 4" xfId="27980"/>
    <cellStyle name="Normal 13 8 2 3" xfId="18273"/>
    <cellStyle name="Normal 13 8 2 3 2" xfId="40860"/>
    <cellStyle name="Normal 13 8 2 4" xfId="15053"/>
    <cellStyle name="Normal 13 8 2 4 2" xfId="37640"/>
    <cellStyle name="Normal 13 8 2 5" xfId="8613"/>
    <cellStyle name="Normal 13 8 2 5 2" xfId="31200"/>
    <cellStyle name="Normal 13 8 2 6" xfId="24760"/>
    <cellStyle name="Normal 13 8 3" xfId="4085"/>
    <cellStyle name="Normal 13 8 3 2" xfId="20185"/>
    <cellStyle name="Normal 13 8 3 2 2" xfId="42772"/>
    <cellStyle name="Normal 13 8 3 3" xfId="10525"/>
    <cellStyle name="Normal 13 8 3 3 2" xfId="33112"/>
    <cellStyle name="Normal 13 8 3 4" xfId="26672"/>
    <cellStyle name="Normal 13 8 4" xfId="16965"/>
    <cellStyle name="Normal 13 8 4 2" xfId="39552"/>
    <cellStyle name="Normal 13 8 5" xfId="13745"/>
    <cellStyle name="Normal 13 8 5 2" xfId="36332"/>
    <cellStyle name="Normal 13 8 6" xfId="7305"/>
    <cellStyle name="Normal 13 8 6 2" xfId="29892"/>
    <cellStyle name="Normal 13 8 7" xfId="23452"/>
    <cellStyle name="Normal 13 9" xfId="1205"/>
    <cellStyle name="Normal 13 9 2" xfId="2519"/>
    <cellStyle name="Normal 13 9 2 2" xfId="5740"/>
    <cellStyle name="Normal 13 9 2 2 2" xfId="21840"/>
    <cellStyle name="Normal 13 9 2 2 2 2" xfId="44427"/>
    <cellStyle name="Normal 13 9 2 2 3" xfId="12180"/>
    <cellStyle name="Normal 13 9 2 2 3 2" xfId="34767"/>
    <cellStyle name="Normal 13 9 2 2 4" xfId="28327"/>
    <cellStyle name="Normal 13 9 2 3" xfId="18620"/>
    <cellStyle name="Normal 13 9 2 3 2" xfId="41207"/>
    <cellStyle name="Normal 13 9 2 4" xfId="15400"/>
    <cellStyle name="Normal 13 9 2 4 2" xfId="37987"/>
    <cellStyle name="Normal 13 9 2 5" xfId="8960"/>
    <cellStyle name="Normal 13 9 2 5 2" xfId="31547"/>
    <cellStyle name="Normal 13 9 2 6" xfId="25107"/>
    <cellStyle name="Normal 13 9 3" xfId="4432"/>
    <cellStyle name="Normal 13 9 3 2" xfId="20532"/>
    <cellStyle name="Normal 13 9 3 2 2" xfId="43119"/>
    <cellStyle name="Normal 13 9 3 3" xfId="10872"/>
    <cellStyle name="Normal 13 9 3 3 2" xfId="33459"/>
    <cellStyle name="Normal 13 9 3 4" xfId="27019"/>
    <cellStyle name="Normal 13 9 4" xfId="17312"/>
    <cellStyle name="Normal 13 9 4 2" xfId="39899"/>
    <cellStyle name="Normal 13 9 5" xfId="14092"/>
    <cellStyle name="Normal 13 9 5 2" xfId="36679"/>
    <cellStyle name="Normal 13 9 6" xfId="7652"/>
    <cellStyle name="Normal 13 9 6 2" xfId="30239"/>
    <cellStyle name="Normal 13 9 7" xfId="23799"/>
    <cellStyle name="Normal 14" xfId="90"/>
    <cellStyle name="Normal 14 10" xfId="839"/>
    <cellStyle name="Normal 14 10 2" xfId="2158"/>
    <cellStyle name="Normal 14 10 2 2" xfId="5379"/>
    <cellStyle name="Normal 14 10 2 2 2" xfId="21479"/>
    <cellStyle name="Normal 14 10 2 2 2 2" xfId="44066"/>
    <cellStyle name="Normal 14 10 2 2 3" xfId="11819"/>
    <cellStyle name="Normal 14 10 2 2 3 2" xfId="34406"/>
    <cellStyle name="Normal 14 10 2 2 4" xfId="27966"/>
    <cellStyle name="Normal 14 10 2 3" xfId="18259"/>
    <cellStyle name="Normal 14 10 2 3 2" xfId="40846"/>
    <cellStyle name="Normal 14 10 2 4" xfId="15039"/>
    <cellStyle name="Normal 14 10 2 4 2" xfId="37626"/>
    <cellStyle name="Normal 14 10 2 5" xfId="8599"/>
    <cellStyle name="Normal 14 10 2 5 2" xfId="31186"/>
    <cellStyle name="Normal 14 10 2 6" xfId="24746"/>
    <cellStyle name="Normal 14 10 3" xfId="4071"/>
    <cellStyle name="Normal 14 10 3 2" xfId="20171"/>
    <cellStyle name="Normal 14 10 3 2 2" xfId="42758"/>
    <cellStyle name="Normal 14 10 3 3" xfId="10511"/>
    <cellStyle name="Normal 14 10 3 3 2" xfId="33098"/>
    <cellStyle name="Normal 14 10 3 4" xfId="26658"/>
    <cellStyle name="Normal 14 10 4" xfId="16951"/>
    <cellStyle name="Normal 14 10 4 2" xfId="39538"/>
    <cellStyle name="Normal 14 10 5" xfId="13731"/>
    <cellStyle name="Normal 14 10 5 2" xfId="36318"/>
    <cellStyle name="Normal 14 10 6" xfId="7291"/>
    <cellStyle name="Normal 14 10 6 2" xfId="29878"/>
    <cellStyle name="Normal 14 10 7" xfId="23438"/>
    <cellStyle name="Normal 14 11" xfId="1191"/>
    <cellStyle name="Normal 14 11 2" xfId="2505"/>
    <cellStyle name="Normal 14 11 2 2" xfId="5726"/>
    <cellStyle name="Normal 14 11 2 2 2" xfId="21826"/>
    <cellStyle name="Normal 14 11 2 2 2 2" xfId="44413"/>
    <cellStyle name="Normal 14 11 2 2 3" xfId="12166"/>
    <cellStyle name="Normal 14 11 2 2 3 2" xfId="34753"/>
    <cellStyle name="Normal 14 11 2 2 4" xfId="28313"/>
    <cellStyle name="Normal 14 11 2 3" xfId="18606"/>
    <cellStyle name="Normal 14 11 2 3 2" xfId="41193"/>
    <cellStyle name="Normal 14 11 2 4" xfId="15386"/>
    <cellStyle name="Normal 14 11 2 4 2" xfId="37973"/>
    <cellStyle name="Normal 14 11 2 5" xfId="8946"/>
    <cellStyle name="Normal 14 11 2 5 2" xfId="31533"/>
    <cellStyle name="Normal 14 11 2 6" xfId="25093"/>
    <cellStyle name="Normal 14 11 3" xfId="4418"/>
    <cellStyle name="Normal 14 11 3 2" xfId="20518"/>
    <cellStyle name="Normal 14 11 3 2 2" xfId="43105"/>
    <cellStyle name="Normal 14 11 3 3" xfId="10858"/>
    <cellStyle name="Normal 14 11 3 3 2" xfId="33445"/>
    <cellStyle name="Normal 14 11 3 4" xfId="27005"/>
    <cellStyle name="Normal 14 11 4" xfId="17298"/>
    <cellStyle name="Normal 14 11 4 2" xfId="39885"/>
    <cellStyle name="Normal 14 11 5" xfId="14078"/>
    <cellStyle name="Normal 14 11 5 2" xfId="36665"/>
    <cellStyle name="Normal 14 11 6" xfId="7638"/>
    <cellStyle name="Normal 14 11 6 2" xfId="30225"/>
    <cellStyle name="Normal 14 11 7" xfId="23785"/>
    <cellStyle name="Normal 14 12" xfId="1540"/>
    <cellStyle name="Normal 14 12 2" xfId="4766"/>
    <cellStyle name="Normal 14 12 2 2" xfId="20866"/>
    <cellStyle name="Normal 14 12 2 2 2" xfId="43453"/>
    <cellStyle name="Normal 14 12 2 3" xfId="11206"/>
    <cellStyle name="Normal 14 12 2 3 2" xfId="33793"/>
    <cellStyle name="Normal 14 12 2 4" xfId="27353"/>
    <cellStyle name="Normal 14 12 3" xfId="17646"/>
    <cellStyle name="Normal 14 12 3 2" xfId="40233"/>
    <cellStyle name="Normal 14 12 4" xfId="14426"/>
    <cellStyle name="Normal 14 12 4 2" xfId="37013"/>
    <cellStyle name="Normal 14 12 5" xfId="7986"/>
    <cellStyle name="Normal 14 12 5 2" xfId="30573"/>
    <cellStyle name="Normal 14 12 6" xfId="24133"/>
    <cellStyle name="Normal 14 13" xfId="1810"/>
    <cellStyle name="Normal 14 13 2" xfId="5032"/>
    <cellStyle name="Normal 14 13 2 2" xfId="21132"/>
    <cellStyle name="Normal 14 13 2 2 2" xfId="43719"/>
    <cellStyle name="Normal 14 13 2 3" xfId="11472"/>
    <cellStyle name="Normal 14 13 2 3 2" xfId="34059"/>
    <cellStyle name="Normal 14 13 2 4" xfId="27619"/>
    <cellStyle name="Normal 14 13 3" xfId="17912"/>
    <cellStyle name="Normal 14 13 3 2" xfId="40499"/>
    <cellStyle name="Normal 14 13 4" xfId="14692"/>
    <cellStyle name="Normal 14 13 4 2" xfId="37279"/>
    <cellStyle name="Normal 14 13 5" xfId="8252"/>
    <cellStyle name="Normal 14 13 5 2" xfId="30839"/>
    <cellStyle name="Normal 14 13 6" xfId="24399"/>
    <cellStyle name="Normal 14 14" xfId="2853"/>
    <cellStyle name="Normal 14 14 2" xfId="6074"/>
    <cellStyle name="Normal 14 14 2 2" xfId="22174"/>
    <cellStyle name="Normal 14 14 2 2 2" xfId="44761"/>
    <cellStyle name="Normal 14 14 2 3" xfId="12514"/>
    <cellStyle name="Normal 14 14 2 3 2" xfId="35101"/>
    <cellStyle name="Normal 14 14 2 4" xfId="28661"/>
    <cellStyle name="Normal 14 14 3" xfId="18954"/>
    <cellStyle name="Normal 14 14 3 2" xfId="41541"/>
    <cellStyle name="Normal 14 14 4" xfId="15734"/>
    <cellStyle name="Normal 14 14 4 2" xfId="38321"/>
    <cellStyle name="Normal 14 14 5" xfId="9294"/>
    <cellStyle name="Normal 14 14 5 2" xfId="31881"/>
    <cellStyle name="Normal 14 14 6" xfId="25441"/>
    <cellStyle name="Normal 14 15" xfId="3144"/>
    <cellStyle name="Normal 14 15 2" xfId="6364"/>
    <cellStyle name="Normal 14 15 2 2" xfId="22464"/>
    <cellStyle name="Normal 14 15 2 2 2" xfId="45051"/>
    <cellStyle name="Normal 14 15 2 3" xfId="12804"/>
    <cellStyle name="Normal 14 15 2 3 2" xfId="35391"/>
    <cellStyle name="Normal 14 15 2 4" xfId="28951"/>
    <cellStyle name="Normal 14 15 3" xfId="19244"/>
    <cellStyle name="Normal 14 15 3 2" xfId="41831"/>
    <cellStyle name="Normal 14 15 4" xfId="16024"/>
    <cellStyle name="Normal 14 15 4 2" xfId="38611"/>
    <cellStyle name="Normal 14 15 5" xfId="9584"/>
    <cellStyle name="Normal 14 15 5 2" xfId="32171"/>
    <cellStyle name="Normal 14 15 6" xfId="25731"/>
    <cellStyle name="Normal 14 16" xfId="437"/>
    <cellStyle name="Normal 14 16 2" xfId="3724"/>
    <cellStyle name="Normal 14 16 2 2" xfId="19824"/>
    <cellStyle name="Normal 14 16 2 2 2" xfId="42411"/>
    <cellStyle name="Normal 14 16 2 3" xfId="10164"/>
    <cellStyle name="Normal 14 16 2 3 2" xfId="32751"/>
    <cellStyle name="Normal 14 16 2 4" xfId="26311"/>
    <cellStyle name="Normal 14 16 3" xfId="16604"/>
    <cellStyle name="Normal 14 16 3 2" xfId="39191"/>
    <cellStyle name="Normal 14 16 4" xfId="13384"/>
    <cellStyle name="Normal 14 16 4 2" xfId="35971"/>
    <cellStyle name="Normal 14 16 5" xfId="6944"/>
    <cellStyle name="Normal 14 16 5 2" xfId="29531"/>
    <cellStyle name="Normal 14 16 6" xfId="23091"/>
    <cellStyle name="Normal 14 17" xfId="3434"/>
    <cellStyle name="Normal 14 17 2" xfId="19534"/>
    <cellStyle name="Normal 14 17 2 2" xfId="42121"/>
    <cellStyle name="Normal 14 17 3" xfId="9874"/>
    <cellStyle name="Normal 14 17 3 2" xfId="32461"/>
    <cellStyle name="Normal 14 17 4" xfId="26021"/>
    <cellStyle name="Normal 14 18" xfId="16314"/>
    <cellStyle name="Normal 14 18 2" xfId="38901"/>
    <cellStyle name="Normal 14 19" xfId="13094"/>
    <cellStyle name="Normal 14 19 2" xfId="35681"/>
    <cellStyle name="Normal 14 2" xfId="99"/>
    <cellStyle name="Normal 14 2 10" xfId="1568"/>
    <cellStyle name="Normal 14 2 10 2" xfId="4794"/>
    <cellStyle name="Normal 14 2 10 2 2" xfId="20894"/>
    <cellStyle name="Normal 14 2 10 2 2 2" xfId="43481"/>
    <cellStyle name="Normal 14 2 10 2 3" xfId="11234"/>
    <cellStyle name="Normal 14 2 10 2 3 2" xfId="33821"/>
    <cellStyle name="Normal 14 2 10 2 4" xfId="27381"/>
    <cellStyle name="Normal 14 2 10 3" xfId="17674"/>
    <cellStyle name="Normal 14 2 10 3 2" xfId="40261"/>
    <cellStyle name="Normal 14 2 10 4" xfId="14454"/>
    <cellStyle name="Normal 14 2 10 4 2" xfId="37041"/>
    <cellStyle name="Normal 14 2 10 5" xfId="8014"/>
    <cellStyle name="Normal 14 2 10 5 2" xfId="30601"/>
    <cellStyle name="Normal 14 2 10 6" xfId="24161"/>
    <cellStyle name="Normal 14 2 11" xfId="1815"/>
    <cellStyle name="Normal 14 2 11 2" xfId="5037"/>
    <cellStyle name="Normal 14 2 11 2 2" xfId="21137"/>
    <cellStyle name="Normal 14 2 11 2 2 2" xfId="43724"/>
    <cellStyle name="Normal 14 2 11 2 3" xfId="11477"/>
    <cellStyle name="Normal 14 2 11 2 3 2" xfId="34064"/>
    <cellStyle name="Normal 14 2 11 2 4" xfId="27624"/>
    <cellStyle name="Normal 14 2 11 3" xfId="17917"/>
    <cellStyle name="Normal 14 2 11 3 2" xfId="40504"/>
    <cellStyle name="Normal 14 2 11 4" xfId="14697"/>
    <cellStyle name="Normal 14 2 11 4 2" xfId="37284"/>
    <cellStyle name="Normal 14 2 11 5" xfId="8257"/>
    <cellStyle name="Normal 14 2 11 5 2" xfId="30844"/>
    <cellStyle name="Normal 14 2 11 6" xfId="24404"/>
    <cellStyle name="Normal 14 2 12" xfId="2858"/>
    <cellStyle name="Normal 14 2 12 2" xfId="6079"/>
    <cellStyle name="Normal 14 2 12 2 2" xfId="22179"/>
    <cellStyle name="Normal 14 2 12 2 2 2" xfId="44766"/>
    <cellStyle name="Normal 14 2 12 2 3" xfId="12519"/>
    <cellStyle name="Normal 14 2 12 2 3 2" xfId="35106"/>
    <cellStyle name="Normal 14 2 12 2 4" xfId="28666"/>
    <cellStyle name="Normal 14 2 12 3" xfId="18959"/>
    <cellStyle name="Normal 14 2 12 3 2" xfId="41546"/>
    <cellStyle name="Normal 14 2 12 4" xfId="15739"/>
    <cellStyle name="Normal 14 2 12 4 2" xfId="38326"/>
    <cellStyle name="Normal 14 2 12 5" xfId="9299"/>
    <cellStyle name="Normal 14 2 12 5 2" xfId="31886"/>
    <cellStyle name="Normal 14 2 12 6" xfId="25446"/>
    <cellStyle name="Normal 14 2 13" xfId="3149"/>
    <cellStyle name="Normal 14 2 13 2" xfId="6369"/>
    <cellStyle name="Normal 14 2 13 2 2" xfId="22469"/>
    <cellStyle name="Normal 14 2 13 2 2 2" xfId="45056"/>
    <cellStyle name="Normal 14 2 13 2 3" xfId="12809"/>
    <cellStyle name="Normal 14 2 13 2 3 2" xfId="35396"/>
    <cellStyle name="Normal 14 2 13 2 4" xfId="28956"/>
    <cellStyle name="Normal 14 2 13 3" xfId="19249"/>
    <cellStyle name="Normal 14 2 13 3 2" xfId="41836"/>
    <cellStyle name="Normal 14 2 13 4" xfId="16029"/>
    <cellStyle name="Normal 14 2 13 4 2" xfId="38616"/>
    <cellStyle name="Normal 14 2 13 5" xfId="9589"/>
    <cellStyle name="Normal 14 2 13 5 2" xfId="32176"/>
    <cellStyle name="Normal 14 2 13 6" xfId="25736"/>
    <cellStyle name="Normal 14 2 14" xfId="442"/>
    <cellStyle name="Normal 14 2 14 2" xfId="3729"/>
    <cellStyle name="Normal 14 2 14 2 2" xfId="19829"/>
    <cellStyle name="Normal 14 2 14 2 2 2" xfId="42416"/>
    <cellStyle name="Normal 14 2 14 2 3" xfId="10169"/>
    <cellStyle name="Normal 14 2 14 2 3 2" xfId="32756"/>
    <cellStyle name="Normal 14 2 14 2 4" xfId="26316"/>
    <cellStyle name="Normal 14 2 14 3" xfId="16609"/>
    <cellStyle name="Normal 14 2 14 3 2" xfId="39196"/>
    <cellStyle name="Normal 14 2 14 4" xfId="13389"/>
    <cellStyle name="Normal 14 2 14 4 2" xfId="35976"/>
    <cellStyle name="Normal 14 2 14 5" xfId="6949"/>
    <cellStyle name="Normal 14 2 14 5 2" xfId="29536"/>
    <cellStyle name="Normal 14 2 14 6" xfId="23096"/>
    <cellStyle name="Normal 14 2 15" xfId="3439"/>
    <cellStyle name="Normal 14 2 15 2" xfId="19539"/>
    <cellStyle name="Normal 14 2 15 2 2" xfId="42126"/>
    <cellStyle name="Normal 14 2 15 3" xfId="9879"/>
    <cellStyle name="Normal 14 2 15 3 2" xfId="32466"/>
    <cellStyle name="Normal 14 2 15 4" xfId="26026"/>
    <cellStyle name="Normal 14 2 16" xfId="16319"/>
    <cellStyle name="Normal 14 2 16 2" xfId="38906"/>
    <cellStyle name="Normal 14 2 17" xfId="13099"/>
    <cellStyle name="Normal 14 2 17 2" xfId="35686"/>
    <cellStyle name="Normal 14 2 18" xfId="6659"/>
    <cellStyle name="Normal 14 2 18 2" xfId="29246"/>
    <cellStyle name="Normal 14 2 19" xfId="22806"/>
    <cellStyle name="Normal 14 2 2" xfId="118"/>
    <cellStyle name="Normal 14 2 2 10" xfId="2874"/>
    <cellStyle name="Normal 14 2 2 10 2" xfId="6095"/>
    <cellStyle name="Normal 14 2 2 10 2 2" xfId="22195"/>
    <cellStyle name="Normal 14 2 2 10 2 2 2" xfId="44782"/>
    <cellStyle name="Normal 14 2 2 10 2 3" xfId="12535"/>
    <cellStyle name="Normal 14 2 2 10 2 3 2" xfId="35122"/>
    <cellStyle name="Normal 14 2 2 10 2 4" xfId="28682"/>
    <cellStyle name="Normal 14 2 2 10 3" xfId="18975"/>
    <cellStyle name="Normal 14 2 2 10 3 2" xfId="41562"/>
    <cellStyle name="Normal 14 2 2 10 4" xfId="15755"/>
    <cellStyle name="Normal 14 2 2 10 4 2" xfId="38342"/>
    <cellStyle name="Normal 14 2 2 10 5" xfId="9315"/>
    <cellStyle name="Normal 14 2 2 10 5 2" xfId="31902"/>
    <cellStyle name="Normal 14 2 2 10 6" xfId="25462"/>
    <cellStyle name="Normal 14 2 2 11" xfId="3165"/>
    <cellStyle name="Normal 14 2 2 11 2" xfId="6385"/>
    <cellStyle name="Normal 14 2 2 11 2 2" xfId="22485"/>
    <cellStyle name="Normal 14 2 2 11 2 2 2" xfId="45072"/>
    <cellStyle name="Normal 14 2 2 11 2 3" xfId="12825"/>
    <cellStyle name="Normal 14 2 2 11 2 3 2" xfId="35412"/>
    <cellStyle name="Normal 14 2 2 11 2 4" xfId="28972"/>
    <cellStyle name="Normal 14 2 2 11 3" xfId="19265"/>
    <cellStyle name="Normal 14 2 2 11 3 2" xfId="41852"/>
    <cellStyle name="Normal 14 2 2 11 4" xfId="16045"/>
    <cellStyle name="Normal 14 2 2 11 4 2" xfId="38632"/>
    <cellStyle name="Normal 14 2 2 11 5" xfId="9605"/>
    <cellStyle name="Normal 14 2 2 11 5 2" xfId="32192"/>
    <cellStyle name="Normal 14 2 2 11 6" xfId="25752"/>
    <cellStyle name="Normal 14 2 2 12" xfId="458"/>
    <cellStyle name="Normal 14 2 2 12 2" xfId="3745"/>
    <cellStyle name="Normal 14 2 2 12 2 2" xfId="19845"/>
    <cellStyle name="Normal 14 2 2 12 2 2 2" xfId="42432"/>
    <cellStyle name="Normal 14 2 2 12 2 3" xfId="10185"/>
    <cellStyle name="Normal 14 2 2 12 2 3 2" xfId="32772"/>
    <cellStyle name="Normal 14 2 2 12 2 4" xfId="26332"/>
    <cellStyle name="Normal 14 2 2 12 3" xfId="16625"/>
    <cellStyle name="Normal 14 2 2 12 3 2" xfId="39212"/>
    <cellStyle name="Normal 14 2 2 12 4" xfId="13405"/>
    <cellStyle name="Normal 14 2 2 12 4 2" xfId="35992"/>
    <cellStyle name="Normal 14 2 2 12 5" xfId="6965"/>
    <cellStyle name="Normal 14 2 2 12 5 2" xfId="29552"/>
    <cellStyle name="Normal 14 2 2 12 6" xfId="23112"/>
    <cellStyle name="Normal 14 2 2 13" xfId="3455"/>
    <cellStyle name="Normal 14 2 2 13 2" xfId="19555"/>
    <cellStyle name="Normal 14 2 2 13 2 2" xfId="42142"/>
    <cellStyle name="Normal 14 2 2 13 3" xfId="9895"/>
    <cellStyle name="Normal 14 2 2 13 3 2" xfId="32482"/>
    <cellStyle name="Normal 14 2 2 13 4" xfId="26042"/>
    <cellStyle name="Normal 14 2 2 14" xfId="16335"/>
    <cellStyle name="Normal 14 2 2 14 2" xfId="38922"/>
    <cellStyle name="Normal 14 2 2 15" xfId="13115"/>
    <cellStyle name="Normal 14 2 2 15 2" xfId="35702"/>
    <cellStyle name="Normal 14 2 2 16" xfId="6675"/>
    <cellStyle name="Normal 14 2 2 16 2" xfId="29262"/>
    <cellStyle name="Normal 14 2 2 17" xfId="22822"/>
    <cellStyle name="Normal 14 2 2 2" xfId="203"/>
    <cellStyle name="Normal 14 2 2 2 10" xfId="495"/>
    <cellStyle name="Normal 14 2 2 2 10 2" xfId="3782"/>
    <cellStyle name="Normal 14 2 2 2 10 2 2" xfId="19882"/>
    <cellStyle name="Normal 14 2 2 2 10 2 2 2" xfId="42469"/>
    <cellStyle name="Normal 14 2 2 2 10 2 3" xfId="10222"/>
    <cellStyle name="Normal 14 2 2 2 10 2 3 2" xfId="32809"/>
    <cellStyle name="Normal 14 2 2 2 10 2 4" xfId="26369"/>
    <cellStyle name="Normal 14 2 2 2 10 3" xfId="16662"/>
    <cellStyle name="Normal 14 2 2 2 10 3 2" xfId="39249"/>
    <cellStyle name="Normal 14 2 2 2 10 4" xfId="13442"/>
    <cellStyle name="Normal 14 2 2 2 10 4 2" xfId="36029"/>
    <cellStyle name="Normal 14 2 2 2 10 5" xfId="7002"/>
    <cellStyle name="Normal 14 2 2 2 10 5 2" xfId="29589"/>
    <cellStyle name="Normal 14 2 2 2 10 6" xfId="23149"/>
    <cellStyle name="Normal 14 2 2 2 11" xfId="3492"/>
    <cellStyle name="Normal 14 2 2 2 11 2" xfId="19592"/>
    <cellStyle name="Normal 14 2 2 2 11 2 2" xfId="42179"/>
    <cellStyle name="Normal 14 2 2 2 11 3" xfId="9932"/>
    <cellStyle name="Normal 14 2 2 2 11 3 2" xfId="32519"/>
    <cellStyle name="Normal 14 2 2 2 11 4" xfId="26079"/>
    <cellStyle name="Normal 14 2 2 2 12" xfId="16372"/>
    <cellStyle name="Normal 14 2 2 2 12 2" xfId="38959"/>
    <cellStyle name="Normal 14 2 2 2 13" xfId="13152"/>
    <cellStyle name="Normal 14 2 2 2 13 2" xfId="35739"/>
    <cellStyle name="Normal 14 2 2 2 14" xfId="6712"/>
    <cellStyle name="Normal 14 2 2 2 14 2" xfId="29299"/>
    <cellStyle name="Normal 14 2 2 2 15" xfId="22859"/>
    <cellStyle name="Normal 14 2 2 2 2" xfId="302"/>
    <cellStyle name="Normal 14 2 2 2 2 10" xfId="16469"/>
    <cellStyle name="Normal 14 2 2 2 2 10 2" xfId="39056"/>
    <cellStyle name="Normal 14 2 2 2 2 11" xfId="13249"/>
    <cellStyle name="Normal 14 2 2 2 2 11 2" xfId="35836"/>
    <cellStyle name="Normal 14 2 2 2 2 12" xfId="6809"/>
    <cellStyle name="Normal 14 2 2 2 2 12 2" xfId="29396"/>
    <cellStyle name="Normal 14 2 2 2 2 13" xfId="22956"/>
    <cellStyle name="Normal 14 2 2 2 2 2" xfId="1021"/>
    <cellStyle name="Normal 14 2 2 2 2 2 2" xfId="2335"/>
    <cellStyle name="Normal 14 2 2 2 2 2 2 2" xfId="5556"/>
    <cellStyle name="Normal 14 2 2 2 2 2 2 2 2" xfId="21656"/>
    <cellStyle name="Normal 14 2 2 2 2 2 2 2 2 2" xfId="44243"/>
    <cellStyle name="Normal 14 2 2 2 2 2 2 2 3" xfId="11996"/>
    <cellStyle name="Normal 14 2 2 2 2 2 2 2 3 2" xfId="34583"/>
    <cellStyle name="Normal 14 2 2 2 2 2 2 2 4" xfId="28143"/>
    <cellStyle name="Normal 14 2 2 2 2 2 2 3" xfId="18436"/>
    <cellStyle name="Normal 14 2 2 2 2 2 2 3 2" xfId="41023"/>
    <cellStyle name="Normal 14 2 2 2 2 2 2 4" xfId="15216"/>
    <cellStyle name="Normal 14 2 2 2 2 2 2 4 2" xfId="37803"/>
    <cellStyle name="Normal 14 2 2 2 2 2 2 5" xfId="8776"/>
    <cellStyle name="Normal 14 2 2 2 2 2 2 5 2" xfId="31363"/>
    <cellStyle name="Normal 14 2 2 2 2 2 2 6" xfId="24923"/>
    <cellStyle name="Normal 14 2 2 2 2 2 3" xfId="4248"/>
    <cellStyle name="Normal 14 2 2 2 2 2 3 2" xfId="20348"/>
    <cellStyle name="Normal 14 2 2 2 2 2 3 2 2" xfId="42935"/>
    <cellStyle name="Normal 14 2 2 2 2 2 3 3" xfId="10688"/>
    <cellStyle name="Normal 14 2 2 2 2 2 3 3 2" xfId="33275"/>
    <cellStyle name="Normal 14 2 2 2 2 2 3 4" xfId="26835"/>
    <cellStyle name="Normal 14 2 2 2 2 2 4" xfId="17128"/>
    <cellStyle name="Normal 14 2 2 2 2 2 4 2" xfId="39715"/>
    <cellStyle name="Normal 14 2 2 2 2 2 5" xfId="13908"/>
    <cellStyle name="Normal 14 2 2 2 2 2 5 2" xfId="36495"/>
    <cellStyle name="Normal 14 2 2 2 2 2 6" xfId="7468"/>
    <cellStyle name="Normal 14 2 2 2 2 2 6 2" xfId="30055"/>
    <cellStyle name="Normal 14 2 2 2 2 2 7" xfId="23615"/>
    <cellStyle name="Normal 14 2 2 2 2 3" xfId="1368"/>
    <cellStyle name="Normal 14 2 2 2 2 3 2" xfId="2682"/>
    <cellStyle name="Normal 14 2 2 2 2 3 2 2" xfId="5903"/>
    <cellStyle name="Normal 14 2 2 2 2 3 2 2 2" xfId="22003"/>
    <cellStyle name="Normal 14 2 2 2 2 3 2 2 2 2" xfId="44590"/>
    <cellStyle name="Normal 14 2 2 2 2 3 2 2 3" xfId="12343"/>
    <cellStyle name="Normal 14 2 2 2 2 3 2 2 3 2" xfId="34930"/>
    <cellStyle name="Normal 14 2 2 2 2 3 2 2 4" xfId="28490"/>
    <cellStyle name="Normal 14 2 2 2 2 3 2 3" xfId="18783"/>
    <cellStyle name="Normal 14 2 2 2 2 3 2 3 2" xfId="41370"/>
    <cellStyle name="Normal 14 2 2 2 2 3 2 4" xfId="15563"/>
    <cellStyle name="Normal 14 2 2 2 2 3 2 4 2" xfId="38150"/>
    <cellStyle name="Normal 14 2 2 2 2 3 2 5" xfId="9123"/>
    <cellStyle name="Normal 14 2 2 2 2 3 2 5 2" xfId="31710"/>
    <cellStyle name="Normal 14 2 2 2 2 3 2 6" xfId="25270"/>
    <cellStyle name="Normal 14 2 2 2 2 3 3" xfId="4595"/>
    <cellStyle name="Normal 14 2 2 2 2 3 3 2" xfId="20695"/>
    <cellStyle name="Normal 14 2 2 2 2 3 3 2 2" xfId="43282"/>
    <cellStyle name="Normal 14 2 2 2 2 3 3 3" xfId="11035"/>
    <cellStyle name="Normal 14 2 2 2 2 3 3 3 2" xfId="33622"/>
    <cellStyle name="Normal 14 2 2 2 2 3 3 4" xfId="27182"/>
    <cellStyle name="Normal 14 2 2 2 2 3 4" xfId="17475"/>
    <cellStyle name="Normal 14 2 2 2 2 3 4 2" xfId="40062"/>
    <cellStyle name="Normal 14 2 2 2 2 3 5" xfId="14255"/>
    <cellStyle name="Normal 14 2 2 2 2 3 5 2" xfId="36842"/>
    <cellStyle name="Normal 14 2 2 2 2 3 6" xfId="7815"/>
    <cellStyle name="Normal 14 2 2 2 2 3 6 2" xfId="30402"/>
    <cellStyle name="Normal 14 2 2 2 2 3 7" xfId="23962"/>
    <cellStyle name="Normal 14 2 2 2 2 4" xfId="1569"/>
    <cellStyle name="Normal 14 2 2 2 2 4 2" xfId="4795"/>
    <cellStyle name="Normal 14 2 2 2 2 4 2 2" xfId="20895"/>
    <cellStyle name="Normal 14 2 2 2 2 4 2 2 2" xfId="43482"/>
    <cellStyle name="Normal 14 2 2 2 2 4 2 3" xfId="11235"/>
    <cellStyle name="Normal 14 2 2 2 2 4 2 3 2" xfId="33822"/>
    <cellStyle name="Normal 14 2 2 2 2 4 2 4" xfId="27382"/>
    <cellStyle name="Normal 14 2 2 2 2 4 3" xfId="17675"/>
    <cellStyle name="Normal 14 2 2 2 2 4 3 2" xfId="40262"/>
    <cellStyle name="Normal 14 2 2 2 2 4 4" xfId="14455"/>
    <cellStyle name="Normal 14 2 2 2 2 4 4 2" xfId="37042"/>
    <cellStyle name="Normal 14 2 2 2 2 4 5" xfId="8015"/>
    <cellStyle name="Normal 14 2 2 2 2 4 5 2" xfId="30602"/>
    <cellStyle name="Normal 14 2 2 2 2 4 6" xfId="24162"/>
    <cellStyle name="Normal 14 2 2 2 2 5" xfId="1987"/>
    <cellStyle name="Normal 14 2 2 2 2 5 2" xfId="5209"/>
    <cellStyle name="Normal 14 2 2 2 2 5 2 2" xfId="21309"/>
    <cellStyle name="Normal 14 2 2 2 2 5 2 2 2" xfId="43896"/>
    <cellStyle name="Normal 14 2 2 2 2 5 2 3" xfId="11649"/>
    <cellStyle name="Normal 14 2 2 2 2 5 2 3 2" xfId="34236"/>
    <cellStyle name="Normal 14 2 2 2 2 5 2 4" xfId="27796"/>
    <cellStyle name="Normal 14 2 2 2 2 5 3" xfId="18089"/>
    <cellStyle name="Normal 14 2 2 2 2 5 3 2" xfId="40676"/>
    <cellStyle name="Normal 14 2 2 2 2 5 4" xfId="14869"/>
    <cellStyle name="Normal 14 2 2 2 2 5 4 2" xfId="37456"/>
    <cellStyle name="Normal 14 2 2 2 2 5 5" xfId="8429"/>
    <cellStyle name="Normal 14 2 2 2 2 5 5 2" xfId="31016"/>
    <cellStyle name="Normal 14 2 2 2 2 5 6" xfId="24576"/>
    <cellStyle name="Normal 14 2 2 2 2 6" xfId="3009"/>
    <cellStyle name="Normal 14 2 2 2 2 6 2" xfId="6229"/>
    <cellStyle name="Normal 14 2 2 2 2 6 2 2" xfId="22329"/>
    <cellStyle name="Normal 14 2 2 2 2 6 2 2 2" xfId="44916"/>
    <cellStyle name="Normal 14 2 2 2 2 6 2 3" xfId="12669"/>
    <cellStyle name="Normal 14 2 2 2 2 6 2 3 2" xfId="35256"/>
    <cellStyle name="Normal 14 2 2 2 2 6 2 4" xfId="28816"/>
    <cellStyle name="Normal 14 2 2 2 2 6 3" xfId="19109"/>
    <cellStyle name="Normal 14 2 2 2 2 6 3 2" xfId="41696"/>
    <cellStyle name="Normal 14 2 2 2 2 6 4" xfId="15889"/>
    <cellStyle name="Normal 14 2 2 2 2 6 4 2" xfId="38476"/>
    <cellStyle name="Normal 14 2 2 2 2 6 5" xfId="9449"/>
    <cellStyle name="Normal 14 2 2 2 2 6 5 2" xfId="32036"/>
    <cellStyle name="Normal 14 2 2 2 2 6 6" xfId="25596"/>
    <cellStyle name="Normal 14 2 2 2 2 7" xfId="3299"/>
    <cellStyle name="Normal 14 2 2 2 2 7 2" xfId="6519"/>
    <cellStyle name="Normal 14 2 2 2 2 7 2 2" xfId="22619"/>
    <cellStyle name="Normal 14 2 2 2 2 7 2 2 2" xfId="45206"/>
    <cellStyle name="Normal 14 2 2 2 2 7 2 3" xfId="12959"/>
    <cellStyle name="Normal 14 2 2 2 2 7 2 3 2" xfId="35546"/>
    <cellStyle name="Normal 14 2 2 2 2 7 2 4" xfId="29106"/>
    <cellStyle name="Normal 14 2 2 2 2 7 3" xfId="19399"/>
    <cellStyle name="Normal 14 2 2 2 2 7 3 2" xfId="41986"/>
    <cellStyle name="Normal 14 2 2 2 2 7 4" xfId="16179"/>
    <cellStyle name="Normal 14 2 2 2 2 7 4 2" xfId="38766"/>
    <cellStyle name="Normal 14 2 2 2 2 7 5" xfId="9739"/>
    <cellStyle name="Normal 14 2 2 2 2 7 5 2" xfId="32326"/>
    <cellStyle name="Normal 14 2 2 2 2 7 6" xfId="25886"/>
    <cellStyle name="Normal 14 2 2 2 2 8" xfId="657"/>
    <cellStyle name="Normal 14 2 2 2 2 8 2" xfId="3901"/>
    <cellStyle name="Normal 14 2 2 2 2 8 2 2" xfId="20001"/>
    <cellStyle name="Normal 14 2 2 2 2 8 2 2 2" xfId="42588"/>
    <cellStyle name="Normal 14 2 2 2 2 8 2 3" xfId="10341"/>
    <cellStyle name="Normal 14 2 2 2 2 8 2 3 2" xfId="32928"/>
    <cellStyle name="Normal 14 2 2 2 2 8 2 4" xfId="26488"/>
    <cellStyle name="Normal 14 2 2 2 2 8 3" xfId="16781"/>
    <cellStyle name="Normal 14 2 2 2 2 8 3 2" xfId="39368"/>
    <cellStyle name="Normal 14 2 2 2 2 8 4" xfId="13561"/>
    <cellStyle name="Normal 14 2 2 2 2 8 4 2" xfId="36148"/>
    <cellStyle name="Normal 14 2 2 2 2 8 5" xfId="7121"/>
    <cellStyle name="Normal 14 2 2 2 2 8 5 2" xfId="29708"/>
    <cellStyle name="Normal 14 2 2 2 2 8 6" xfId="23268"/>
    <cellStyle name="Normal 14 2 2 2 2 9" xfId="3589"/>
    <cellStyle name="Normal 14 2 2 2 2 9 2" xfId="19689"/>
    <cellStyle name="Normal 14 2 2 2 2 9 2 2" xfId="42276"/>
    <cellStyle name="Normal 14 2 2 2 2 9 3" xfId="10029"/>
    <cellStyle name="Normal 14 2 2 2 2 9 3 2" xfId="32616"/>
    <cellStyle name="Normal 14 2 2 2 2 9 4" xfId="26176"/>
    <cellStyle name="Normal 14 2 2 2 3" xfId="398"/>
    <cellStyle name="Normal 14 2 2 2 3 10" xfId="16565"/>
    <cellStyle name="Normal 14 2 2 2 3 10 2" xfId="39152"/>
    <cellStyle name="Normal 14 2 2 2 3 11" xfId="13345"/>
    <cellStyle name="Normal 14 2 2 2 3 11 2" xfId="35932"/>
    <cellStyle name="Normal 14 2 2 2 3 12" xfId="6905"/>
    <cellStyle name="Normal 14 2 2 2 3 12 2" xfId="29492"/>
    <cellStyle name="Normal 14 2 2 2 3 13" xfId="23052"/>
    <cellStyle name="Normal 14 2 2 2 3 2" xfId="1180"/>
    <cellStyle name="Normal 14 2 2 2 3 2 2" xfId="2494"/>
    <cellStyle name="Normal 14 2 2 2 3 2 2 2" xfId="5715"/>
    <cellStyle name="Normal 14 2 2 2 3 2 2 2 2" xfId="21815"/>
    <cellStyle name="Normal 14 2 2 2 3 2 2 2 2 2" xfId="44402"/>
    <cellStyle name="Normal 14 2 2 2 3 2 2 2 3" xfId="12155"/>
    <cellStyle name="Normal 14 2 2 2 3 2 2 2 3 2" xfId="34742"/>
    <cellStyle name="Normal 14 2 2 2 3 2 2 2 4" xfId="28302"/>
    <cellStyle name="Normal 14 2 2 2 3 2 2 3" xfId="18595"/>
    <cellStyle name="Normal 14 2 2 2 3 2 2 3 2" xfId="41182"/>
    <cellStyle name="Normal 14 2 2 2 3 2 2 4" xfId="15375"/>
    <cellStyle name="Normal 14 2 2 2 3 2 2 4 2" xfId="37962"/>
    <cellStyle name="Normal 14 2 2 2 3 2 2 5" xfId="8935"/>
    <cellStyle name="Normal 14 2 2 2 3 2 2 5 2" xfId="31522"/>
    <cellStyle name="Normal 14 2 2 2 3 2 2 6" xfId="25082"/>
    <cellStyle name="Normal 14 2 2 2 3 2 3" xfId="4407"/>
    <cellStyle name="Normal 14 2 2 2 3 2 3 2" xfId="20507"/>
    <cellStyle name="Normal 14 2 2 2 3 2 3 2 2" xfId="43094"/>
    <cellStyle name="Normal 14 2 2 2 3 2 3 3" xfId="10847"/>
    <cellStyle name="Normal 14 2 2 2 3 2 3 3 2" xfId="33434"/>
    <cellStyle name="Normal 14 2 2 2 3 2 3 4" xfId="26994"/>
    <cellStyle name="Normal 14 2 2 2 3 2 4" xfId="17287"/>
    <cellStyle name="Normal 14 2 2 2 3 2 4 2" xfId="39874"/>
    <cellStyle name="Normal 14 2 2 2 3 2 5" xfId="14067"/>
    <cellStyle name="Normal 14 2 2 2 3 2 5 2" xfId="36654"/>
    <cellStyle name="Normal 14 2 2 2 3 2 6" xfId="7627"/>
    <cellStyle name="Normal 14 2 2 2 3 2 6 2" xfId="30214"/>
    <cellStyle name="Normal 14 2 2 2 3 2 7" xfId="23774"/>
    <cellStyle name="Normal 14 2 2 2 3 3" xfId="1527"/>
    <cellStyle name="Normal 14 2 2 2 3 3 2" xfId="2841"/>
    <cellStyle name="Normal 14 2 2 2 3 3 2 2" xfId="6062"/>
    <cellStyle name="Normal 14 2 2 2 3 3 2 2 2" xfId="22162"/>
    <cellStyle name="Normal 14 2 2 2 3 3 2 2 2 2" xfId="44749"/>
    <cellStyle name="Normal 14 2 2 2 3 3 2 2 3" xfId="12502"/>
    <cellStyle name="Normal 14 2 2 2 3 3 2 2 3 2" xfId="35089"/>
    <cellStyle name="Normal 14 2 2 2 3 3 2 2 4" xfId="28649"/>
    <cellStyle name="Normal 14 2 2 2 3 3 2 3" xfId="18942"/>
    <cellStyle name="Normal 14 2 2 2 3 3 2 3 2" xfId="41529"/>
    <cellStyle name="Normal 14 2 2 2 3 3 2 4" xfId="15722"/>
    <cellStyle name="Normal 14 2 2 2 3 3 2 4 2" xfId="38309"/>
    <cellStyle name="Normal 14 2 2 2 3 3 2 5" xfId="9282"/>
    <cellStyle name="Normal 14 2 2 2 3 3 2 5 2" xfId="31869"/>
    <cellStyle name="Normal 14 2 2 2 3 3 2 6" xfId="25429"/>
    <cellStyle name="Normal 14 2 2 2 3 3 3" xfId="4754"/>
    <cellStyle name="Normal 14 2 2 2 3 3 3 2" xfId="20854"/>
    <cellStyle name="Normal 14 2 2 2 3 3 3 2 2" xfId="43441"/>
    <cellStyle name="Normal 14 2 2 2 3 3 3 3" xfId="11194"/>
    <cellStyle name="Normal 14 2 2 2 3 3 3 3 2" xfId="33781"/>
    <cellStyle name="Normal 14 2 2 2 3 3 3 4" xfId="27341"/>
    <cellStyle name="Normal 14 2 2 2 3 3 4" xfId="17634"/>
    <cellStyle name="Normal 14 2 2 2 3 3 4 2" xfId="40221"/>
    <cellStyle name="Normal 14 2 2 2 3 3 5" xfId="14414"/>
    <cellStyle name="Normal 14 2 2 2 3 3 5 2" xfId="37001"/>
    <cellStyle name="Normal 14 2 2 2 3 3 6" xfId="7974"/>
    <cellStyle name="Normal 14 2 2 2 3 3 6 2" xfId="30561"/>
    <cellStyle name="Normal 14 2 2 2 3 3 7" xfId="24121"/>
    <cellStyle name="Normal 14 2 2 2 3 4" xfId="1570"/>
    <cellStyle name="Normal 14 2 2 2 3 4 2" xfId="4796"/>
    <cellStyle name="Normal 14 2 2 2 3 4 2 2" xfId="20896"/>
    <cellStyle name="Normal 14 2 2 2 3 4 2 2 2" xfId="43483"/>
    <cellStyle name="Normal 14 2 2 2 3 4 2 3" xfId="11236"/>
    <cellStyle name="Normal 14 2 2 2 3 4 2 3 2" xfId="33823"/>
    <cellStyle name="Normal 14 2 2 2 3 4 2 4" xfId="27383"/>
    <cellStyle name="Normal 14 2 2 2 3 4 3" xfId="17676"/>
    <cellStyle name="Normal 14 2 2 2 3 4 3 2" xfId="40263"/>
    <cellStyle name="Normal 14 2 2 2 3 4 4" xfId="14456"/>
    <cellStyle name="Normal 14 2 2 2 3 4 4 2" xfId="37043"/>
    <cellStyle name="Normal 14 2 2 2 3 4 5" xfId="8016"/>
    <cellStyle name="Normal 14 2 2 2 3 4 5 2" xfId="30603"/>
    <cellStyle name="Normal 14 2 2 2 3 4 6" xfId="24163"/>
    <cellStyle name="Normal 14 2 2 2 3 5" xfId="2147"/>
    <cellStyle name="Normal 14 2 2 2 3 5 2" xfId="5368"/>
    <cellStyle name="Normal 14 2 2 2 3 5 2 2" xfId="21468"/>
    <cellStyle name="Normal 14 2 2 2 3 5 2 2 2" xfId="44055"/>
    <cellStyle name="Normal 14 2 2 2 3 5 2 3" xfId="11808"/>
    <cellStyle name="Normal 14 2 2 2 3 5 2 3 2" xfId="34395"/>
    <cellStyle name="Normal 14 2 2 2 3 5 2 4" xfId="27955"/>
    <cellStyle name="Normal 14 2 2 2 3 5 3" xfId="18248"/>
    <cellStyle name="Normal 14 2 2 2 3 5 3 2" xfId="40835"/>
    <cellStyle name="Normal 14 2 2 2 3 5 4" xfId="15028"/>
    <cellStyle name="Normal 14 2 2 2 3 5 4 2" xfId="37615"/>
    <cellStyle name="Normal 14 2 2 2 3 5 5" xfId="8588"/>
    <cellStyle name="Normal 14 2 2 2 3 5 5 2" xfId="31175"/>
    <cellStyle name="Normal 14 2 2 2 3 5 6" xfId="24735"/>
    <cellStyle name="Normal 14 2 2 2 3 6" xfId="3105"/>
    <cellStyle name="Normal 14 2 2 2 3 6 2" xfId="6325"/>
    <cellStyle name="Normal 14 2 2 2 3 6 2 2" xfId="22425"/>
    <cellStyle name="Normal 14 2 2 2 3 6 2 2 2" xfId="45012"/>
    <cellStyle name="Normal 14 2 2 2 3 6 2 3" xfId="12765"/>
    <cellStyle name="Normal 14 2 2 2 3 6 2 3 2" xfId="35352"/>
    <cellStyle name="Normal 14 2 2 2 3 6 2 4" xfId="28912"/>
    <cellStyle name="Normal 14 2 2 2 3 6 3" xfId="19205"/>
    <cellStyle name="Normal 14 2 2 2 3 6 3 2" xfId="41792"/>
    <cellStyle name="Normal 14 2 2 2 3 6 4" xfId="15985"/>
    <cellStyle name="Normal 14 2 2 2 3 6 4 2" xfId="38572"/>
    <cellStyle name="Normal 14 2 2 2 3 6 5" xfId="9545"/>
    <cellStyle name="Normal 14 2 2 2 3 6 5 2" xfId="32132"/>
    <cellStyle name="Normal 14 2 2 2 3 6 6" xfId="25692"/>
    <cellStyle name="Normal 14 2 2 2 3 7" xfId="3395"/>
    <cellStyle name="Normal 14 2 2 2 3 7 2" xfId="6615"/>
    <cellStyle name="Normal 14 2 2 2 3 7 2 2" xfId="22715"/>
    <cellStyle name="Normal 14 2 2 2 3 7 2 2 2" xfId="45302"/>
    <cellStyle name="Normal 14 2 2 2 3 7 2 3" xfId="13055"/>
    <cellStyle name="Normal 14 2 2 2 3 7 2 3 2" xfId="35642"/>
    <cellStyle name="Normal 14 2 2 2 3 7 2 4" xfId="29202"/>
    <cellStyle name="Normal 14 2 2 2 3 7 3" xfId="19495"/>
    <cellStyle name="Normal 14 2 2 2 3 7 3 2" xfId="42082"/>
    <cellStyle name="Normal 14 2 2 2 3 7 4" xfId="16275"/>
    <cellStyle name="Normal 14 2 2 2 3 7 4 2" xfId="38862"/>
    <cellStyle name="Normal 14 2 2 2 3 7 5" xfId="9835"/>
    <cellStyle name="Normal 14 2 2 2 3 7 5 2" xfId="32422"/>
    <cellStyle name="Normal 14 2 2 2 3 7 6" xfId="25982"/>
    <cellStyle name="Normal 14 2 2 2 3 8" xfId="828"/>
    <cellStyle name="Normal 14 2 2 2 3 8 2" xfId="4060"/>
    <cellStyle name="Normal 14 2 2 2 3 8 2 2" xfId="20160"/>
    <cellStyle name="Normal 14 2 2 2 3 8 2 2 2" xfId="42747"/>
    <cellStyle name="Normal 14 2 2 2 3 8 2 3" xfId="10500"/>
    <cellStyle name="Normal 14 2 2 2 3 8 2 3 2" xfId="33087"/>
    <cellStyle name="Normal 14 2 2 2 3 8 2 4" xfId="26647"/>
    <cellStyle name="Normal 14 2 2 2 3 8 3" xfId="16940"/>
    <cellStyle name="Normal 14 2 2 2 3 8 3 2" xfId="39527"/>
    <cellStyle name="Normal 14 2 2 2 3 8 4" xfId="13720"/>
    <cellStyle name="Normal 14 2 2 2 3 8 4 2" xfId="36307"/>
    <cellStyle name="Normal 14 2 2 2 3 8 5" xfId="7280"/>
    <cellStyle name="Normal 14 2 2 2 3 8 5 2" xfId="29867"/>
    <cellStyle name="Normal 14 2 2 2 3 8 6" xfId="23427"/>
    <cellStyle name="Normal 14 2 2 2 3 9" xfId="3685"/>
    <cellStyle name="Normal 14 2 2 2 3 9 2" xfId="19785"/>
    <cellStyle name="Normal 14 2 2 2 3 9 2 2" xfId="42372"/>
    <cellStyle name="Normal 14 2 2 2 3 9 3" xfId="10125"/>
    <cellStyle name="Normal 14 2 2 2 3 9 3 2" xfId="32712"/>
    <cellStyle name="Normal 14 2 2 2 3 9 4" xfId="26272"/>
    <cellStyle name="Normal 14 2 2 2 4" xfId="897"/>
    <cellStyle name="Normal 14 2 2 2 4 2" xfId="2216"/>
    <cellStyle name="Normal 14 2 2 2 4 2 2" xfId="5437"/>
    <cellStyle name="Normal 14 2 2 2 4 2 2 2" xfId="21537"/>
    <cellStyle name="Normal 14 2 2 2 4 2 2 2 2" xfId="44124"/>
    <cellStyle name="Normal 14 2 2 2 4 2 2 3" xfId="11877"/>
    <cellStyle name="Normal 14 2 2 2 4 2 2 3 2" xfId="34464"/>
    <cellStyle name="Normal 14 2 2 2 4 2 2 4" xfId="28024"/>
    <cellStyle name="Normal 14 2 2 2 4 2 3" xfId="18317"/>
    <cellStyle name="Normal 14 2 2 2 4 2 3 2" xfId="40904"/>
    <cellStyle name="Normal 14 2 2 2 4 2 4" xfId="15097"/>
    <cellStyle name="Normal 14 2 2 2 4 2 4 2" xfId="37684"/>
    <cellStyle name="Normal 14 2 2 2 4 2 5" xfId="8657"/>
    <cellStyle name="Normal 14 2 2 2 4 2 5 2" xfId="31244"/>
    <cellStyle name="Normal 14 2 2 2 4 2 6" xfId="24804"/>
    <cellStyle name="Normal 14 2 2 2 4 3" xfId="4129"/>
    <cellStyle name="Normal 14 2 2 2 4 3 2" xfId="20229"/>
    <cellStyle name="Normal 14 2 2 2 4 3 2 2" xfId="42816"/>
    <cellStyle name="Normal 14 2 2 2 4 3 3" xfId="10569"/>
    <cellStyle name="Normal 14 2 2 2 4 3 3 2" xfId="33156"/>
    <cellStyle name="Normal 14 2 2 2 4 3 4" xfId="26716"/>
    <cellStyle name="Normal 14 2 2 2 4 4" xfId="17009"/>
    <cellStyle name="Normal 14 2 2 2 4 4 2" xfId="39596"/>
    <cellStyle name="Normal 14 2 2 2 4 5" xfId="13789"/>
    <cellStyle name="Normal 14 2 2 2 4 5 2" xfId="36376"/>
    <cellStyle name="Normal 14 2 2 2 4 6" xfId="7349"/>
    <cellStyle name="Normal 14 2 2 2 4 6 2" xfId="29936"/>
    <cellStyle name="Normal 14 2 2 2 4 7" xfId="23496"/>
    <cellStyle name="Normal 14 2 2 2 5" xfId="1249"/>
    <cellStyle name="Normal 14 2 2 2 5 2" xfId="2563"/>
    <cellStyle name="Normal 14 2 2 2 5 2 2" xfId="5784"/>
    <cellStyle name="Normal 14 2 2 2 5 2 2 2" xfId="21884"/>
    <cellStyle name="Normal 14 2 2 2 5 2 2 2 2" xfId="44471"/>
    <cellStyle name="Normal 14 2 2 2 5 2 2 3" xfId="12224"/>
    <cellStyle name="Normal 14 2 2 2 5 2 2 3 2" xfId="34811"/>
    <cellStyle name="Normal 14 2 2 2 5 2 2 4" xfId="28371"/>
    <cellStyle name="Normal 14 2 2 2 5 2 3" xfId="18664"/>
    <cellStyle name="Normal 14 2 2 2 5 2 3 2" xfId="41251"/>
    <cellStyle name="Normal 14 2 2 2 5 2 4" xfId="15444"/>
    <cellStyle name="Normal 14 2 2 2 5 2 4 2" xfId="38031"/>
    <cellStyle name="Normal 14 2 2 2 5 2 5" xfId="9004"/>
    <cellStyle name="Normal 14 2 2 2 5 2 5 2" xfId="31591"/>
    <cellStyle name="Normal 14 2 2 2 5 2 6" xfId="25151"/>
    <cellStyle name="Normal 14 2 2 2 5 3" xfId="4476"/>
    <cellStyle name="Normal 14 2 2 2 5 3 2" xfId="20576"/>
    <cellStyle name="Normal 14 2 2 2 5 3 2 2" xfId="43163"/>
    <cellStyle name="Normal 14 2 2 2 5 3 3" xfId="10916"/>
    <cellStyle name="Normal 14 2 2 2 5 3 3 2" xfId="33503"/>
    <cellStyle name="Normal 14 2 2 2 5 3 4" xfId="27063"/>
    <cellStyle name="Normal 14 2 2 2 5 4" xfId="17356"/>
    <cellStyle name="Normal 14 2 2 2 5 4 2" xfId="39943"/>
    <cellStyle name="Normal 14 2 2 2 5 5" xfId="14136"/>
    <cellStyle name="Normal 14 2 2 2 5 5 2" xfId="36723"/>
    <cellStyle name="Normal 14 2 2 2 5 6" xfId="7696"/>
    <cellStyle name="Normal 14 2 2 2 5 6 2" xfId="30283"/>
    <cellStyle name="Normal 14 2 2 2 5 7" xfId="23843"/>
    <cellStyle name="Normal 14 2 2 2 6" xfId="1571"/>
    <cellStyle name="Normal 14 2 2 2 6 2" xfId="4797"/>
    <cellStyle name="Normal 14 2 2 2 6 2 2" xfId="20897"/>
    <cellStyle name="Normal 14 2 2 2 6 2 2 2" xfId="43484"/>
    <cellStyle name="Normal 14 2 2 2 6 2 3" xfId="11237"/>
    <cellStyle name="Normal 14 2 2 2 6 2 3 2" xfId="33824"/>
    <cellStyle name="Normal 14 2 2 2 6 2 4" xfId="27384"/>
    <cellStyle name="Normal 14 2 2 2 6 3" xfId="17677"/>
    <cellStyle name="Normal 14 2 2 2 6 3 2" xfId="40264"/>
    <cellStyle name="Normal 14 2 2 2 6 4" xfId="14457"/>
    <cellStyle name="Normal 14 2 2 2 6 4 2" xfId="37044"/>
    <cellStyle name="Normal 14 2 2 2 6 5" xfId="8017"/>
    <cellStyle name="Normal 14 2 2 2 6 5 2" xfId="30604"/>
    <cellStyle name="Normal 14 2 2 2 6 6" xfId="24164"/>
    <cellStyle name="Normal 14 2 2 2 7" xfId="1868"/>
    <cellStyle name="Normal 14 2 2 2 7 2" xfId="5090"/>
    <cellStyle name="Normal 14 2 2 2 7 2 2" xfId="21190"/>
    <cellStyle name="Normal 14 2 2 2 7 2 2 2" xfId="43777"/>
    <cellStyle name="Normal 14 2 2 2 7 2 3" xfId="11530"/>
    <cellStyle name="Normal 14 2 2 2 7 2 3 2" xfId="34117"/>
    <cellStyle name="Normal 14 2 2 2 7 2 4" xfId="27677"/>
    <cellStyle name="Normal 14 2 2 2 7 3" xfId="17970"/>
    <cellStyle name="Normal 14 2 2 2 7 3 2" xfId="40557"/>
    <cellStyle name="Normal 14 2 2 2 7 4" xfId="14750"/>
    <cellStyle name="Normal 14 2 2 2 7 4 2" xfId="37337"/>
    <cellStyle name="Normal 14 2 2 2 7 5" xfId="8310"/>
    <cellStyle name="Normal 14 2 2 2 7 5 2" xfId="30897"/>
    <cellStyle name="Normal 14 2 2 2 7 6" xfId="24457"/>
    <cellStyle name="Normal 14 2 2 2 8" xfId="2911"/>
    <cellStyle name="Normal 14 2 2 2 8 2" xfId="6132"/>
    <cellStyle name="Normal 14 2 2 2 8 2 2" xfId="22232"/>
    <cellStyle name="Normal 14 2 2 2 8 2 2 2" xfId="44819"/>
    <cellStyle name="Normal 14 2 2 2 8 2 3" xfId="12572"/>
    <cellStyle name="Normal 14 2 2 2 8 2 3 2" xfId="35159"/>
    <cellStyle name="Normal 14 2 2 2 8 2 4" xfId="28719"/>
    <cellStyle name="Normal 14 2 2 2 8 3" xfId="19012"/>
    <cellStyle name="Normal 14 2 2 2 8 3 2" xfId="41599"/>
    <cellStyle name="Normal 14 2 2 2 8 4" xfId="15792"/>
    <cellStyle name="Normal 14 2 2 2 8 4 2" xfId="38379"/>
    <cellStyle name="Normal 14 2 2 2 8 5" xfId="9352"/>
    <cellStyle name="Normal 14 2 2 2 8 5 2" xfId="31939"/>
    <cellStyle name="Normal 14 2 2 2 8 6" xfId="25499"/>
    <cellStyle name="Normal 14 2 2 2 9" xfId="3202"/>
    <cellStyle name="Normal 14 2 2 2 9 2" xfId="6422"/>
    <cellStyle name="Normal 14 2 2 2 9 2 2" xfId="22522"/>
    <cellStyle name="Normal 14 2 2 2 9 2 2 2" xfId="45109"/>
    <cellStyle name="Normal 14 2 2 2 9 2 3" xfId="12862"/>
    <cellStyle name="Normal 14 2 2 2 9 2 3 2" xfId="35449"/>
    <cellStyle name="Normal 14 2 2 2 9 2 4" xfId="29009"/>
    <cellStyle name="Normal 14 2 2 2 9 3" xfId="19302"/>
    <cellStyle name="Normal 14 2 2 2 9 3 2" xfId="41889"/>
    <cellStyle name="Normal 14 2 2 2 9 4" xfId="16082"/>
    <cellStyle name="Normal 14 2 2 2 9 4 2" xfId="38669"/>
    <cellStyle name="Normal 14 2 2 2 9 5" xfId="9642"/>
    <cellStyle name="Normal 14 2 2 2 9 5 2" xfId="32229"/>
    <cellStyle name="Normal 14 2 2 2 9 6" xfId="25789"/>
    <cellStyle name="Normal 14 2 2 3" xfId="261"/>
    <cellStyle name="Normal 14 2 2 3 10" xfId="3548"/>
    <cellStyle name="Normal 14 2 2 3 10 2" xfId="19648"/>
    <cellStyle name="Normal 14 2 2 3 10 2 2" xfId="42235"/>
    <cellStyle name="Normal 14 2 2 3 10 3" xfId="9988"/>
    <cellStyle name="Normal 14 2 2 3 10 3 2" xfId="32575"/>
    <cellStyle name="Normal 14 2 2 3 10 4" xfId="26135"/>
    <cellStyle name="Normal 14 2 2 3 11" xfId="16428"/>
    <cellStyle name="Normal 14 2 2 3 11 2" xfId="39015"/>
    <cellStyle name="Normal 14 2 2 3 12" xfId="13208"/>
    <cellStyle name="Normal 14 2 2 3 12 2" xfId="35795"/>
    <cellStyle name="Normal 14 2 2 3 13" xfId="6768"/>
    <cellStyle name="Normal 14 2 2 3 13 2" xfId="29355"/>
    <cellStyle name="Normal 14 2 2 3 14" xfId="22915"/>
    <cellStyle name="Normal 14 2 2 3 2" xfId="694"/>
    <cellStyle name="Normal 14 2 2 3 2 10" xfId="23305"/>
    <cellStyle name="Normal 14 2 2 3 2 2" xfId="1058"/>
    <cellStyle name="Normal 14 2 2 3 2 2 2" xfId="2372"/>
    <cellStyle name="Normal 14 2 2 3 2 2 2 2" xfId="5593"/>
    <cellStyle name="Normal 14 2 2 3 2 2 2 2 2" xfId="21693"/>
    <cellStyle name="Normal 14 2 2 3 2 2 2 2 2 2" xfId="44280"/>
    <cellStyle name="Normal 14 2 2 3 2 2 2 2 3" xfId="12033"/>
    <cellStyle name="Normal 14 2 2 3 2 2 2 2 3 2" xfId="34620"/>
    <cellStyle name="Normal 14 2 2 3 2 2 2 2 4" xfId="28180"/>
    <cellStyle name="Normal 14 2 2 3 2 2 2 3" xfId="18473"/>
    <cellStyle name="Normal 14 2 2 3 2 2 2 3 2" xfId="41060"/>
    <cellStyle name="Normal 14 2 2 3 2 2 2 4" xfId="15253"/>
    <cellStyle name="Normal 14 2 2 3 2 2 2 4 2" xfId="37840"/>
    <cellStyle name="Normal 14 2 2 3 2 2 2 5" xfId="8813"/>
    <cellStyle name="Normal 14 2 2 3 2 2 2 5 2" xfId="31400"/>
    <cellStyle name="Normal 14 2 2 3 2 2 2 6" xfId="24960"/>
    <cellStyle name="Normal 14 2 2 3 2 2 3" xfId="4285"/>
    <cellStyle name="Normal 14 2 2 3 2 2 3 2" xfId="20385"/>
    <cellStyle name="Normal 14 2 2 3 2 2 3 2 2" xfId="42972"/>
    <cellStyle name="Normal 14 2 2 3 2 2 3 3" xfId="10725"/>
    <cellStyle name="Normal 14 2 2 3 2 2 3 3 2" xfId="33312"/>
    <cellStyle name="Normal 14 2 2 3 2 2 3 4" xfId="26872"/>
    <cellStyle name="Normal 14 2 2 3 2 2 4" xfId="17165"/>
    <cellStyle name="Normal 14 2 2 3 2 2 4 2" xfId="39752"/>
    <cellStyle name="Normal 14 2 2 3 2 2 5" xfId="13945"/>
    <cellStyle name="Normal 14 2 2 3 2 2 5 2" xfId="36532"/>
    <cellStyle name="Normal 14 2 2 3 2 2 6" xfId="7505"/>
    <cellStyle name="Normal 14 2 2 3 2 2 6 2" xfId="30092"/>
    <cellStyle name="Normal 14 2 2 3 2 2 7" xfId="23652"/>
    <cellStyle name="Normal 14 2 2 3 2 3" xfId="1405"/>
    <cellStyle name="Normal 14 2 2 3 2 3 2" xfId="2719"/>
    <cellStyle name="Normal 14 2 2 3 2 3 2 2" xfId="5940"/>
    <cellStyle name="Normal 14 2 2 3 2 3 2 2 2" xfId="22040"/>
    <cellStyle name="Normal 14 2 2 3 2 3 2 2 2 2" xfId="44627"/>
    <cellStyle name="Normal 14 2 2 3 2 3 2 2 3" xfId="12380"/>
    <cellStyle name="Normal 14 2 2 3 2 3 2 2 3 2" xfId="34967"/>
    <cellStyle name="Normal 14 2 2 3 2 3 2 2 4" xfId="28527"/>
    <cellStyle name="Normal 14 2 2 3 2 3 2 3" xfId="18820"/>
    <cellStyle name="Normal 14 2 2 3 2 3 2 3 2" xfId="41407"/>
    <cellStyle name="Normal 14 2 2 3 2 3 2 4" xfId="15600"/>
    <cellStyle name="Normal 14 2 2 3 2 3 2 4 2" xfId="38187"/>
    <cellStyle name="Normal 14 2 2 3 2 3 2 5" xfId="9160"/>
    <cellStyle name="Normal 14 2 2 3 2 3 2 5 2" xfId="31747"/>
    <cellStyle name="Normal 14 2 2 3 2 3 2 6" xfId="25307"/>
    <cellStyle name="Normal 14 2 2 3 2 3 3" xfId="4632"/>
    <cellStyle name="Normal 14 2 2 3 2 3 3 2" xfId="20732"/>
    <cellStyle name="Normal 14 2 2 3 2 3 3 2 2" xfId="43319"/>
    <cellStyle name="Normal 14 2 2 3 2 3 3 3" xfId="11072"/>
    <cellStyle name="Normal 14 2 2 3 2 3 3 3 2" xfId="33659"/>
    <cellStyle name="Normal 14 2 2 3 2 3 3 4" xfId="27219"/>
    <cellStyle name="Normal 14 2 2 3 2 3 4" xfId="17512"/>
    <cellStyle name="Normal 14 2 2 3 2 3 4 2" xfId="40099"/>
    <cellStyle name="Normal 14 2 2 3 2 3 5" xfId="14292"/>
    <cellStyle name="Normal 14 2 2 3 2 3 5 2" xfId="36879"/>
    <cellStyle name="Normal 14 2 2 3 2 3 6" xfId="7852"/>
    <cellStyle name="Normal 14 2 2 3 2 3 6 2" xfId="30439"/>
    <cellStyle name="Normal 14 2 2 3 2 3 7" xfId="23999"/>
    <cellStyle name="Normal 14 2 2 3 2 4" xfId="1572"/>
    <cellStyle name="Normal 14 2 2 3 2 4 2" xfId="4798"/>
    <cellStyle name="Normal 14 2 2 3 2 4 2 2" xfId="20898"/>
    <cellStyle name="Normal 14 2 2 3 2 4 2 2 2" xfId="43485"/>
    <cellStyle name="Normal 14 2 2 3 2 4 2 3" xfId="11238"/>
    <cellStyle name="Normal 14 2 2 3 2 4 2 3 2" xfId="33825"/>
    <cellStyle name="Normal 14 2 2 3 2 4 2 4" xfId="27385"/>
    <cellStyle name="Normal 14 2 2 3 2 4 3" xfId="17678"/>
    <cellStyle name="Normal 14 2 2 3 2 4 3 2" xfId="40265"/>
    <cellStyle name="Normal 14 2 2 3 2 4 4" xfId="14458"/>
    <cellStyle name="Normal 14 2 2 3 2 4 4 2" xfId="37045"/>
    <cellStyle name="Normal 14 2 2 3 2 4 5" xfId="8018"/>
    <cellStyle name="Normal 14 2 2 3 2 4 5 2" xfId="30605"/>
    <cellStyle name="Normal 14 2 2 3 2 4 6" xfId="24165"/>
    <cellStyle name="Normal 14 2 2 3 2 5" xfId="2024"/>
    <cellStyle name="Normal 14 2 2 3 2 5 2" xfId="5246"/>
    <cellStyle name="Normal 14 2 2 3 2 5 2 2" xfId="21346"/>
    <cellStyle name="Normal 14 2 2 3 2 5 2 2 2" xfId="43933"/>
    <cellStyle name="Normal 14 2 2 3 2 5 2 3" xfId="11686"/>
    <cellStyle name="Normal 14 2 2 3 2 5 2 3 2" xfId="34273"/>
    <cellStyle name="Normal 14 2 2 3 2 5 2 4" xfId="27833"/>
    <cellStyle name="Normal 14 2 2 3 2 5 3" xfId="18126"/>
    <cellStyle name="Normal 14 2 2 3 2 5 3 2" xfId="40713"/>
    <cellStyle name="Normal 14 2 2 3 2 5 4" xfId="14906"/>
    <cellStyle name="Normal 14 2 2 3 2 5 4 2" xfId="37493"/>
    <cellStyle name="Normal 14 2 2 3 2 5 5" xfId="8466"/>
    <cellStyle name="Normal 14 2 2 3 2 5 5 2" xfId="31053"/>
    <cellStyle name="Normal 14 2 2 3 2 5 6" xfId="24613"/>
    <cellStyle name="Normal 14 2 2 3 2 6" xfId="3938"/>
    <cellStyle name="Normal 14 2 2 3 2 6 2" xfId="20038"/>
    <cellStyle name="Normal 14 2 2 3 2 6 2 2" xfId="42625"/>
    <cellStyle name="Normal 14 2 2 3 2 6 3" xfId="10378"/>
    <cellStyle name="Normal 14 2 2 3 2 6 3 2" xfId="32965"/>
    <cellStyle name="Normal 14 2 2 3 2 6 4" xfId="26525"/>
    <cellStyle name="Normal 14 2 2 3 2 7" xfId="16818"/>
    <cellStyle name="Normal 14 2 2 3 2 7 2" xfId="39405"/>
    <cellStyle name="Normal 14 2 2 3 2 8" xfId="13598"/>
    <cellStyle name="Normal 14 2 2 3 2 8 2" xfId="36185"/>
    <cellStyle name="Normal 14 2 2 3 2 9" xfId="7158"/>
    <cellStyle name="Normal 14 2 2 3 2 9 2" xfId="29745"/>
    <cellStyle name="Normal 14 2 2 3 3" xfId="937"/>
    <cellStyle name="Normal 14 2 2 3 3 2" xfId="2256"/>
    <cellStyle name="Normal 14 2 2 3 3 2 2" xfId="5477"/>
    <cellStyle name="Normal 14 2 2 3 3 2 2 2" xfId="21577"/>
    <cellStyle name="Normal 14 2 2 3 3 2 2 2 2" xfId="44164"/>
    <cellStyle name="Normal 14 2 2 3 3 2 2 3" xfId="11917"/>
    <cellStyle name="Normal 14 2 2 3 3 2 2 3 2" xfId="34504"/>
    <cellStyle name="Normal 14 2 2 3 3 2 2 4" xfId="28064"/>
    <cellStyle name="Normal 14 2 2 3 3 2 3" xfId="18357"/>
    <cellStyle name="Normal 14 2 2 3 3 2 3 2" xfId="40944"/>
    <cellStyle name="Normal 14 2 2 3 3 2 4" xfId="15137"/>
    <cellStyle name="Normal 14 2 2 3 3 2 4 2" xfId="37724"/>
    <cellStyle name="Normal 14 2 2 3 3 2 5" xfId="8697"/>
    <cellStyle name="Normal 14 2 2 3 3 2 5 2" xfId="31284"/>
    <cellStyle name="Normal 14 2 2 3 3 2 6" xfId="24844"/>
    <cellStyle name="Normal 14 2 2 3 3 3" xfId="4169"/>
    <cellStyle name="Normal 14 2 2 3 3 3 2" xfId="20269"/>
    <cellStyle name="Normal 14 2 2 3 3 3 2 2" xfId="42856"/>
    <cellStyle name="Normal 14 2 2 3 3 3 3" xfId="10609"/>
    <cellStyle name="Normal 14 2 2 3 3 3 3 2" xfId="33196"/>
    <cellStyle name="Normal 14 2 2 3 3 3 4" xfId="26756"/>
    <cellStyle name="Normal 14 2 2 3 3 4" xfId="17049"/>
    <cellStyle name="Normal 14 2 2 3 3 4 2" xfId="39636"/>
    <cellStyle name="Normal 14 2 2 3 3 5" xfId="13829"/>
    <cellStyle name="Normal 14 2 2 3 3 5 2" xfId="36416"/>
    <cellStyle name="Normal 14 2 2 3 3 6" xfId="7389"/>
    <cellStyle name="Normal 14 2 2 3 3 6 2" xfId="29976"/>
    <cellStyle name="Normal 14 2 2 3 3 7" xfId="23536"/>
    <cellStyle name="Normal 14 2 2 3 4" xfId="1289"/>
    <cellStyle name="Normal 14 2 2 3 4 2" xfId="2603"/>
    <cellStyle name="Normal 14 2 2 3 4 2 2" xfId="5824"/>
    <cellStyle name="Normal 14 2 2 3 4 2 2 2" xfId="21924"/>
    <cellStyle name="Normal 14 2 2 3 4 2 2 2 2" xfId="44511"/>
    <cellStyle name="Normal 14 2 2 3 4 2 2 3" xfId="12264"/>
    <cellStyle name="Normal 14 2 2 3 4 2 2 3 2" xfId="34851"/>
    <cellStyle name="Normal 14 2 2 3 4 2 2 4" xfId="28411"/>
    <cellStyle name="Normal 14 2 2 3 4 2 3" xfId="18704"/>
    <cellStyle name="Normal 14 2 2 3 4 2 3 2" xfId="41291"/>
    <cellStyle name="Normal 14 2 2 3 4 2 4" xfId="15484"/>
    <cellStyle name="Normal 14 2 2 3 4 2 4 2" xfId="38071"/>
    <cellStyle name="Normal 14 2 2 3 4 2 5" xfId="9044"/>
    <cellStyle name="Normal 14 2 2 3 4 2 5 2" xfId="31631"/>
    <cellStyle name="Normal 14 2 2 3 4 2 6" xfId="25191"/>
    <cellStyle name="Normal 14 2 2 3 4 3" xfId="4516"/>
    <cellStyle name="Normal 14 2 2 3 4 3 2" xfId="20616"/>
    <cellStyle name="Normal 14 2 2 3 4 3 2 2" xfId="43203"/>
    <cellStyle name="Normal 14 2 2 3 4 3 3" xfId="10956"/>
    <cellStyle name="Normal 14 2 2 3 4 3 3 2" xfId="33543"/>
    <cellStyle name="Normal 14 2 2 3 4 3 4" xfId="27103"/>
    <cellStyle name="Normal 14 2 2 3 4 4" xfId="17396"/>
    <cellStyle name="Normal 14 2 2 3 4 4 2" xfId="39983"/>
    <cellStyle name="Normal 14 2 2 3 4 5" xfId="14176"/>
    <cellStyle name="Normal 14 2 2 3 4 5 2" xfId="36763"/>
    <cellStyle name="Normal 14 2 2 3 4 6" xfId="7736"/>
    <cellStyle name="Normal 14 2 2 3 4 6 2" xfId="30323"/>
    <cellStyle name="Normal 14 2 2 3 4 7" xfId="23883"/>
    <cellStyle name="Normal 14 2 2 3 5" xfId="1573"/>
    <cellStyle name="Normal 14 2 2 3 5 2" xfId="4799"/>
    <cellStyle name="Normal 14 2 2 3 5 2 2" xfId="20899"/>
    <cellStyle name="Normal 14 2 2 3 5 2 2 2" xfId="43486"/>
    <cellStyle name="Normal 14 2 2 3 5 2 3" xfId="11239"/>
    <cellStyle name="Normal 14 2 2 3 5 2 3 2" xfId="33826"/>
    <cellStyle name="Normal 14 2 2 3 5 2 4" xfId="27386"/>
    <cellStyle name="Normal 14 2 2 3 5 3" xfId="17679"/>
    <cellStyle name="Normal 14 2 2 3 5 3 2" xfId="40266"/>
    <cellStyle name="Normal 14 2 2 3 5 4" xfId="14459"/>
    <cellStyle name="Normal 14 2 2 3 5 4 2" xfId="37046"/>
    <cellStyle name="Normal 14 2 2 3 5 5" xfId="8019"/>
    <cellStyle name="Normal 14 2 2 3 5 5 2" xfId="30606"/>
    <cellStyle name="Normal 14 2 2 3 5 6" xfId="24166"/>
    <cellStyle name="Normal 14 2 2 3 6" xfId="1908"/>
    <cellStyle name="Normal 14 2 2 3 6 2" xfId="5130"/>
    <cellStyle name="Normal 14 2 2 3 6 2 2" xfId="21230"/>
    <cellStyle name="Normal 14 2 2 3 6 2 2 2" xfId="43817"/>
    <cellStyle name="Normal 14 2 2 3 6 2 3" xfId="11570"/>
    <cellStyle name="Normal 14 2 2 3 6 2 3 2" xfId="34157"/>
    <cellStyle name="Normal 14 2 2 3 6 2 4" xfId="27717"/>
    <cellStyle name="Normal 14 2 2 3 6 3" xfId="18010"/>
    <cellStyle name="Normal 14 2 2 3 6 3 2" xfId="40597"/>
    <cellStyle name="Normal 14 2 2 3 6 4" xfId="14790"/>
    <cellStyle name="Normal 14 2 2 3 6 4 2" xfId="37377"/>
    <cellStyle name="Normal 14 2 2 3 6 5" xfId="8350"/>
    <cellStyle name="Normal 14 2 2 3 6 5 2" xfId="30937"/>
    <cellStyle name="Normal 14 2 2 3 6 6" xfId="24497"/>
    <cellStyle name="Normal 14 2 2 3 7" xfId="2968"/>
    <cellStyle name="Normal 14 2 2 3 7 2" xfId="6188"/>
    <cellStyle name="Normal 14 2 2 3 7 2 2" xfId="22288"/>
    <cellStyle name="Normal 14 2 2 3 7 2 2 2" xfId="44875"/>
    <cellStyle name="Normal 14 2 2 3 7 2 3" xfId="12628"/>
    <cellStyle name="Normal 14 2 2 3 7 2 3 2" xfId="35215"/>
    <cellStyle name="Normal 14 2 2 3 7 2 4" xfId="28775"/>
    <cellStyle name="Normal 14 2 2 3 7 3" xfId="19068"/>
    <cellStyle name="Normal 14 2 2 3 7 3 2" xfId="41655"/>
    <cellStyle name="Normal 14 2 2 3 7 4" xfId="15848"/>
    <cellStyle name="Normal 14 2 2 3 7 4 2" xfId="38435"/>
    <cellStyle name="Normal 14 2 2 3 7 5" xfId="9408"/>
    <cellStyle name="Normal 14 2 2 3 7 5 2" xfId="31995"/>
    <cellStyle name="Normal 14 2 2 3 7 6" xfId="25555"/>
    <cellStyle name="Normal 14 2 2 3 8" xfId="3258"/>
    <cellStyle name="Normal 14 2 2 3 8 2" xfId="6478"/>
    <cellStyle name="Normal 14 2 2 3 8 2 2" xfId="22578"/>
    <cellStyle name="Normal 14 2 2 3 8 2 2 2" xfId="45165"/>
    <cellStyle name="Normal 14 2 2 3 8 2 3" xfId="12918"/>
    <cellStyle name="Normal 14 2 2 3 8 2 3 2" xfId="35505"/>
    <cellStyle name="Normal 14 2 2 3 8 2 4" xfId="29065"/>
    <cellStyle name="Normal 14 2 2 3 8 3" xfId="19358"/>
    <cellStyle name="Normal 14 2 2 3 8 3 2" xfId="41945"/>
    <cellStyle name="Normal 14 2 2 3 8 4" xfId="16138"/>
    <cellStyle name="Normal 14 2 2 3 8 4 2" xfId="38725"/>
    <cellStyle name="Normal 14 2 2 3 8 5" xfId="9698"/>
    <cellStyle name="Normal 14 2 2 3 8 5 2" xfId="32285"/>
    <cellStyle name="Normal 14 2 2 3 8 6" xfId="25845"/>
    <cellStyle name="Normal 14 2 2 3 9" xfId="535"/>
    <cellStyle name="Normal 14 2 2 3 9 2" xfId="3822"/>
    <cellStyle name="Normal 14 2 2 3 9 2 2" xfId="19922"/>
    <cellStyle name="Normal 14 2 2 3 9 2 2 2" xfId="42509"/>
    <cellStyle name="Normal 14 2 2 3 9 2 3" xfId="10262"/>
    <cellStyle name="Normal 14 2 2 3 9 2 3 2" xfId="32849"/>
    <cellStyle name="Normal 14 2 2 3 9 2 4" xfId="26409"/>
    <cellStyle name="Normal 14 2 2 3 9 3" xfId="16702"/>
    <cellStyle name="Normal 14 2 2 3 9 3 2" xfId="39289"/>
    <cellStyle name="Normal 14 2 2 3 9 4" xfId="13482"/>
    <cellStyle name="Normal 14 2 2 3 9 4 2" xfId="36069"/>
    <cellStyle name="Normal 14 2 2 3 9 5" xfId="7042"/>
    <cellStyle name="Normal 14 2 2 3 9 5 2" xfId="29629"/>
    <cellStyle name="Normal 14 2 2 3 9 6" xfId="23189"/>
    <cellStyle name="Normal 14 2 2 4" xfId="361"/>
    <cellStyle name="Normal 14 2 2 4 10" xfId="16528"/>
    <cellStyle name="Normal 14 2 2 4 10 2" xfId="39115"/>
    <cellStyle name="Normal 14 2 2 4 11" xfId="13308"/>
    <cellStyle name="Normal 14 2 2 4 11 2" xfId="35895"/>
    <cellStyle name="Normal 14 2 2 4 12" xfId="6868"/>
    <cellStyle name="Normal 14 2 2 4 12 2" xfId="29455"/>
    <cellStyle name="Normal 14 2 2 4 13" xfId="23015"/>
    <cellStyle name="Normal 14 2 2 4 2" xfId="984"/>
    <cellStyle name="Normal 14 2 2 4 2 2" xfId="2298"/>
    <cellStyle name="Normal 14 2 2 4 2 2 2" xfId="5519"/>
    <cellStyle name="Normal 14 2 2 4 2 2 2 2" xfId="21619"/>
    <cellStyle name="Normal 14 2 2 4 2 2 2 2 2" xfId="44206"/>
    <cellStyle name="Normal 14 2 2 4 2 2 2 3" xfId="11959"/>
    <cellStyle name="Normal 14 2 2 4 2 2 2 3 2" xfId="34546"/>
    <cellStyle name="Normal 14 2 2 4 2 2 2 4" xfId="28106"/>
    <cellStyle name="Normal 14 2 2 4 2 2 3" xfId="18399"/>
    <cellStyle name="Normal 14 2 2 4 2 2 3 2" xfId="40986"/>
    <cellStyle name="Normal 14 2 2 4 2 2 4" xfId="15179"/>
    <cellStyle name="Normal 14 2 2 4 2 2 4 2" xfId="37766"/>
    <cellStyle name="Normal 14 2 2 4 2 2 5" xfId="8739"/>
    <cellStyle name="Normal 14 2 2 4 2 2 5 2" xfId="31326"/>
    <cellStyle name="Normal 14 2 2 4 2 2 6" xfId="24886"/>
    <cellStyle name="Normal 14 2 2 4 2 3" xfId="4211"/>
    <cellStyle name="Normal 14 2 2 4 2 3 2" xfId="20311"/>
    <cellStyle name="Normal 14 2 2 4 2 3 2 2" xfId="42898"/>
    <cellStyle name="Normal 14 2 2 4 2 3 3" xfId="10651"/>
    <cellStyle name="Normal 14 2 2 4 2 3 3 2" xfId="33238"/>
    <cellStyle name="Normal 14 2 2 4 2 3 4" xfId="26798"/>
    <cellStyle name="Normal 14 2 2 4 2 4" xfId="17091"/>
    <cellStyle name="Normal 14 2 2 4 2 4 2" xfId="39678"/>
    <cellStyle name="Normal 14 2 2 4 2 5" xfId="13871"/>
    <cellStyle name="Normal 14 2 2 4 2 5 2" xfId="36458"/>
    <cellStyle name="Normal 14 2 2 4 2 6" xfId="7431"/>
    <cellStyle name="Normal 14 2 2 4 2 6 2" xfId="30018"/>
    <cellStyle name="Normal 14 2 2 4 2 7" xfId="23578"/>
    <cellStyle name="Normal 14 2 2 4 3" xfId="1331"/>
    <cellStyle name="Normal 14 2 2 4 3 2" xfId="2645"/>
    <cellStyle name="Normal 14 2 2 4 3 2 2" xfId="5866"/>
    <cellStyle name="Normal 14 2 2 4 3 2 2 2" xfId="21966"/>
    <cellStyle name="Normal 14 2 2 4 3 2 2 2 2" xfId="44553"/>
    <cellStyle name="Normal 14 2 2 4 3 2 2 3" xfId="12306"/>
    <cellStyle name="Normal 14 2 2 4 3 2 2 3 2" xfId="34893"/>
    <cellStyle name="Normal 14 2 2 4 3 2 2 4" xfId="28453"/>
    <cellStyle name="Normal 14 2 2 4 3 2 3" xfId="18746"/>
    <cellStyle name="Normal 14 2 2 4 3 2 3 2" xfId="41333"/>
    <cellStyle name="Normal 14 2 2 4 3 2 4" xfId="15526"/>
    <cellStyle name="Normal 14 2 2 4 3 2 4 2" xfId="38113"/>
    <cellStyle name="Normal 14 2 2 4 3 2 5" xfId="9086"/>
    <cellStyle name="Normal 14 2 2 4 3 2 5 2" xfId="31673"/>
    <cellStyle name="Normal 14 2 2 4 3 2 6" xfId="25233"/>
    <cellStyle name="Normal 14 2 2 4 3 3" xfId="4558"/>
    <cellStyle name="Normal 14 2 2 4 3 3 2" xfId="20658"/>
    <cellStyle name="Normal 14 2 2 4 3 3 2 2" xfId="43245"/>
    <cellStyle name="Normal 14 2 2 4 3 3 3" xfId="10998"/>
    <cellStyle name="Normal 14 2 2 4 3 3 3 2" xfId="33585"/>
    <cellStyle name="Normal 14 2 2 4 3 3 4" xfId="27145"/>
    <cellStyle name="Normal 14 2 2 4 3 4" xfId="17438"/>
    <cellStyle name="Normal 14 2 2 4 3 4 2" xfId="40025"/>
    <cellStyle name="Normal 14 2 2 4 3 5" xfId="14218"/>
    <cellStyle name="Normal 14 2 2 4 3 5 2" xfId="36805"/>
    <cellStyle name="Normal 14 2 2 4 3 6" xfId="7778"/>
    <cellStyle name="Normal 14 2 2 4 3 6 2" xfId="30365"/>
    <cellStyle name="Normal 14 2 2 4 3 7" xfId="23925"/>
    <cellStyle name="Normal 14 2 2 4 4" xfId="1574"/>
    <cellStyle name="Normal 14 2 2 4 4 2" xfId="4800"/>
    <cellStyle name="Normal 14 2 2 4 4 2 2" xfId="20900"/>
    <cellStyle name="Normal 14 2 2 4 4 2 2 2" xfId="43487"/>
    <cellStyle name="Normal 14 2 2 4 4 2 3" xfId="11240"/>
    <cellStyle name="Normal 14 2 2 4 4 2 3 2" xfId="33827"/>
    <cellStyle name="Normal 14 2 2 4 4 2 4" xfId="27387"/>
    <cellStyle name="Normal 14 2 2 4 4 3" xfId="17680"/>
    <cellStyle name="Normal 14 2 2 4 4 3 2" xfId="40267"/>
    <cellStyle name="Normal 14 2 2 4 4 4" xfId="14460"/>
    <cellStyle name="Normal 14 2 2 4 4 4 2" xfId="37047"/>
    <cellStyle name="Normal 14 2 2 4 4 5" xfId="8020"/>
    <cellStyle name="Normal 14 2 2 4 4 5 2" xfId="30607"/>
    <cellStyle name="Normal 14 2 2 4 4 6" xfId="24167"/>
    <cellStyle name="Normal 14 2 2 4 5" xfId="1950"/>
    <cellStyle name="Normal 14 2 2 4 5 2" xfId="5172"/>
    <cellStyle name="Normal 14 2 2 4 5 2 2" xfId="21272"/>
    <cellStyle name="Normal 14 2 2 4 5 2 2 2" xfId="43859"/>
    <cellStyle name="Normal 14 2 2 4 5 2 3" xfId="11612"/>
    <cellStyle name="Normal 14 2 2 4 5 2 3 2" xfId="34199"/>
    <cellStyle name="Normal 14 2 2 4 5 2 4" xfId="27759"/>
    <cellStyle name="Normal 14 2 2 4 5 3" xfId="18052"/>
    <cellStyle name="Normal 14 2 2 4 5 3 2" xfId="40639"/>
    <cellStyle name="Normal 14 2 2 4 5 4" xfId="14832"/>
    <cellStyle name="Normal 14 2 2 4 5 4 2" xfId="37419"/>
    <cellStyle name="Normal 14 2 2 4 5 5" xfId="8392"/>
    <cellStyle name="Normal 14 2 2 4 5 5 2" xfId="30979"/>
    <cellStyle name="Normal 14 2 2 4 5 6" xfId="24539"/>
    <cellStyle name="Normal 14 2 2 4 6" xfId="3068"/>
    <cellStyle name="Normal 14 2 2 4 6 2" xfId="6288"/>
    <cellStyle name="Normal 14 2 2 4 6 2 2" xfId="22388"/>
    <cellStyle name="Normal 14 2 2 4 6 2 2 2" xfId="44975"/>
    <cellStyle name="Normal 14 2 2 4 6 2 3" xfId="12728"/>
    <cellStyle name="Normal 14 2 2 4 6 2 3 2" xfId="35315"/>
    <cellStyle name="Normal 14 2 2 4 6 2 4" xfId="28875"/>
    <cellStyle name="Normal 14 2 2 4 6 3" xfId="19168"/>
    <cellStyle name="Normal 14 2 2 4 6 3 2" xfId="41755"/>
    <cellStyle name="Normal 14 2 2 4 6 4" xfId="15948"/>
    <cellStyle name="Normal 14 2 2 4 6 4 2" xfId="38535"/>
    <cellStyle name="Normal 14 2 2 4 6 5" xfId="9508"/>
    <cellStyle name="Normal 14 2 2 4 6 5 2" xfId="32095"/>
    <cellStyle name="Normal 14 2 2 4 6 6" xfId="25655"/>
    <cellStyle name="Normal 14 2 2 4 7" xfId="3358"/>
    <cellStyle name="Normal 14 2 2 4 7 2" xfId="6578"/>
    <cellStyle name="Normal 14 2 2 4 7 2 2" xfId="22678"/>
    <cellStyle name="Normal 14 2 2 4 7 2 2 2" xfId="45265"/>
    <cellStyle name="Normal 14 2 2 4 7 2 3" xfId="13018"/>
    <cellStyle name="Normal 14 2 2 4 7 2 3 2" xfId="35605"/>
    <cellStyle name="Normal 14 2 2 4 7 2 4" xfId="29165"/>
    <cellStyle name="Normal 14 2 2 4 7 3" xfId="19458"/>
    <cellStyle name="Normal 14 2 2 4 7 3 2" xfId="42045"/>
    <cellStyle name="Normal 14 2 2 4 7 4" xfId="16238"/>
    <cellStyle name="Normal 14 2 2 4 7 4 2" xfId="38825"/>
    <cellStyle name="Normal 14 2 2 4 7 5" xfId="9798"/>
    <cellStyle name="Normal 14 2 2 4 7 5 2" xfId="32385"/>
    <cellStyle name="Normal 14 2 2 4 7 6" xfId="25945"/>
    <cellStyle name="Normal 14 2 2 4 8" xfId="620"/>
    <cellStyle name="Normal 14 2 2 4 8 2" xfId="3864"/>
    <cellStyle name="Normal 14 2 2 4 8 2 2" xfId="19964"/>
    <cellStyle name="Normal 14 2 2 4 8 2 2 2" xfId="42551"/>
    <cellStyle name="Normal 14 2 2 4 8 2 3" xfId="10304"/>
    <cellStyle name="Normal 14 2 2 4 8 2 3 2" xfId="32891"/>
    <cellStyle name="Normal 14 2 2 4 8 2 4" xfId="26451"/>
    <cellStyle name="Normal 14 2 2 4 8 3" xfId="16744"/>
    <cellStyle name="Normal 14 2 2 4 8 3 2" xfId="39331"/>
    <cellStyle name="Normal 14 2 2 4 8 4" xfId="13524"/>
    <cellStyle name="Normal 14 2 2 4 8 4 2" xfId="36111"/>
    <cellStyle name="Normal 14 2 2 4 8 5" xfId="7084"/>
    <cellStyle name="Normal 14 2 2 4 8 5 2" xfId="29671"/>
    <cellStyle name="Normal 14 2 2 4 8 6" xfId="23231"/>
    <cellStyle name="Normal 14 2 2 4 9" xfId="3648"/>
    <cellStyle name="Normal 14 2 2 4 9 2" xfId="19748"/>
    <cellStyle name="Normal 14 2 2 4 9 2 2" xfId="42335"/>
    <cellStyle name="Normal 14 2 2 4 9 3" xfId="10088"/>
    <cellStyle name="Normal 14 2 2 4 9 3 2" xfId="32675"/>
    <cellStyle name="Normal 14 2 2 4 9 4" xfId="26235"/>
    <cellStyle name="Normal 14 2 2 5" xfId="790"/>
    <cellStyle name="Normal 14 2 2 5 2" xfId="1142"/>
    <cellStyle name="Normal 14 2 2 5 2 2" xfId="2456"/>
    <cellStyle name="Normal 14 2 2 5 2 2 2" xfId="5677"/>
    <cellStyle name="Normal 14 2 2 5 2 2 2 2" xfId="21777"/>
    <cellStyle name="Normal 14 2 2 5 2 2 2 2 2" xfId="44364"/>
    <cellStyle name="Normal 14 2 2 5 2 2 2 3" xfId="12117"/>
    <cellStyle name="Normal 14 2 2 5 2 2 2 3 2" xfId="34704"/>
    <cellStyle name="Normal 14 2 2 5 2 2 2 4" xfId="28264"/>
    <cellStyle name="Normal 14 2 2 5 2 2 3" xfId="18557"/>
    <cellStyle name="Normal 14 2 2 5 2 2 3 2" xfId="41144"/>
    <cellStyle name="Normal 14 2 2 5 2 2 4" xfId="15337"/>
    <cellStyle name="Normal 14 2 2 5 2 2 4 2" xfId="37924"/>
    <cellStyle name="Normal 14 2 2 5 2 2 5" xfId="8897"/>
    <cellStyle name="Normal 14 2 2 5 2 2 5 2" xfId="31484"/>
    <cellStyle name="Normal 14 2 2 5 2 2 6" xfId="25044"/>
    <cellStyle name="Normal 14 2 2 5 2 3" xfId="4369"/>
    <cellStyle name="Normal 14 2 2 5 2 3 2" xfId="20469"/>
    <cellStyle name="Normal 14 2 2 5 2 3 2 2" xfId="43056"/>
    <cellStyle name="Normal 14 2 2 5 2 3 3" xfId="10809"/>
    <cellStyle name="Normal 14 2 2 5 2 3 3 2" xfId="33396"/>
    <cellStyle name="Normal 14 2 2 5 2 3 4" xfId="26956"/>
    <cellStyle name="Normal 14 2 2 5 2 4" xfId="17249"/>
    <cellStyle name="Normal 14 2 2 5 2 4 2" xfId="39836"/>
    <cellStyle name="Normal 14 2 2 5 2 5" xfId="14029"/>
    <cellStyle name="Normal 14 2 2 5 2 5 2" xfId="36616"/>
    <cellStyle name="Normal 14 2 2 5 2 6" xfId="7589"/>
    <cellStyle name="Normal 14 2 2 5 2 6 2" xfId="30176"/>
    <cellStyle name="Normal 14 2 2 5 2 7" xfId="23736"/>
    <cellStyle name="Normal 14 2 2 5 3" xfId="1489"/>
    <cellStyle name="Normal 14 2 2 5 3 2" xfId="2803"/>
    <cellStyle name="Normal 14 2 2 5 3 2 2" xfId="6024"/>
    <cellStyle name="Normal 14 2 2 5 3 2 2 2" xfId="22124"/>
    <cellStyle name="Normal 14 2 2 5 3 2 2 2 2" xfId="44711"/>
    <cellStyle name="Normal 14 2 2 5 3 2 2 3" xfId="12464"/>
    <cellStyle name="Normal 14 2 2 5 3 2 2 3 2" xfId="35051"/>
    <cellStyle name="Normal 14 2 2 5 3 2 2 4" xfId="28611"/>
    <cellStyle name="Normal 14 2 2 5 3 2 3" xfId="18904"/>
    <cellStyle name="Normal 14 2 2 5 3 2 3 2" xfId="41491"/>
    <cellStyle name="Normal 14 2 2 5 3 2 4" xfId="15684"/>
    <cellStyle name="Normal 14 2 2 5 3 2 4 2" xfId="38271"/>
    <cellStyle name="Normal 14 2 2 5 3 2 5" xfId="9244"/>
    <cellStyle name="Normal 14 2 2 5 3 2 5 2" xfId="31831"/>
    <cellStyle name="Normal 14 2 2 5 3 2 6" xfId="25391"/>
    <cellStyle name="Normal 14 2 2 5 3 3" xfId="4716"/>
    <cellStyle name="Normal 14 2 2 5 3 3 2" xfId="20816"/>
    <cellStyle name="Normal 14 2 2 5 3 3 2 2" xfId="43403"/>
    <cellStyle name="Normal 14 2 2 5 3 3 3" xfId="11156"/>
    <cellStyle name="Normal 14 2 2 5 3 3 3 2" xfId="33743"/>
    <cellStyle name="Normal 14 2 2 5 3 3 4" xfId="27303"/>
    <cellStyle name="Normal 14 2 2 5 3 4" xfId="17596"/>
    <cellStyle name="Normal 14 2 2 5 3 4 2" xfId="40183"/>
    <cellStyle name="Normal 14 2 2 5 3 5" xfId="14376"/>
    <cellStyle name="Normal 14 2 2 5 3 5 2" xfId="36963"/>
    <cellStyle name="Normal 14 2 2 5 3 6" xfId="7936"/>
    <cellStyle name="Normal 14 2 2 5 3 6 2" xfId="30523"/>
    <cellStyle name="Normal 14 2 2 5 3 7" xfId="24083"/>
    <cellStyle name="Normal 14 2 2 5 4" xfId="2109"/>
    <cellStyle name="Normal 14 2 2 5 4 2" xfId="5330"/>
    <cellStyle name="Normal 14 2 2 5 4 2 2" xfId="21430"/>
    <cellStyle name="Normal 14 2 2 5 4 2 2 2" xfId="44017"/>
    <cellStyle name="Normal 14 2 2 5 4 2 3" xfId="11770"/>
    <cellStyle name="Normal 14 2 2 5 4 2 3 2" xfId="34357"/>
    <cellStyle name="Normal 14 2 2 5 4 2 4" xfId="27917"/>
    <cellStyle name="Normal 14 2 2 5 4 3" xfId="18210"/>
    <cellStyle name="Normal 14 2 2 5 4 3 2" xfId="40797"/>
    <cellStyle name="Normal 14 2 2 5 4 4" xfId="14990"/>
    <cellStyle name="Normal 14 2 2 5 4 4 2" xfId="37577"/>
    <cellStyle name="Normal 14 2 2 5 4 5" xfId="8550"/>
    <cellStyle name="Normal 14 2 2 5 4 5 2" xfId="31137"/>
    <cellStyle name="Normal 14 2 2 5 4 6" xfId="24697"/>
    <cellStyle name="Normal 14 2 2 5 5" xfId="4022"/>
    <cellStyle name="Normal 14 2 2 5 5 2" xfId="20122"/>
    <cellStyle name="Normal 14 2 2 5 5 2 2" xfId="42709"/>
    <cellStyle name="Normal 14 2 2 5 5 3" xfId="10462"/>
    <cellStyle name="Normal 14 2 2 5 5 3 2" xfId="33049"/>
    <cellStyle name="Normal 14 2 2 5 5 4" xfId="26609"/>
    <cellStyle name="Normal 14 2 2 5 6" xfId="16902"/>
    <cellStyle name="Normal 14 2 2 5 6 2" xfId="39489"/>
    <cellStyle name="Normal 14 2 2 5 7" xfId="13682"/>
    <cellStyle name="Normal 14 2 2 5 7 2" xfId="36269"/>
    <cellStyle name="Normal 14 2 2 5 8" xfId="7242"/>
    <cellStyle name="Normal 14 2 2 5 8 2" xfId="29829"/>
    <cellStyle name="Normal 14 2 2 5 9" xfId="23389"/>
    <cellStyle name="Normal 14 2 2 6" xfId="860"/>
    <cellStyle name="Normal 14 2 2 6 2" xfId="2179"/>
    <cellStyle name="Normal 14 2 2 6 2 2" xfId="5400"/>
    <cellStyle name="Normal 14 2 2 6 2 2 2" xfId="21500"/>
    <cellStyle name="Normal 14 2 2 6 2 2 2 2" xfId="44087"/>
    <cellStyle name="Normal 14 2 2 6 2 2 3" xfId="11840"/>
    <cellStyle name="Normal 14 2 2 6 2 2 3 2" xfId="34427"/>
    <cellStyle name="Normal 14 2 2 6 2 2 4" xfId="27987"/>
    <cellStyle name="Normal 14 2 2 6 2 3" xfId="18280"/>
    <cellStyle name="Normal 14 2 2 6 2 3 2" xfId="40867"/>
    <cellStyle name="Normal 14 2 2 6 2 4" xfId="15060"/>
    <cellStyle name="Normal 14 2 2 6 2 4 2" xfId="37647"/>
    <cellStyle name="Normal 14 2 2 6 2 5" xfId="8620"/>
    <cellStyle name="Normal 14 2 2 6 2 5 2" xfId="31207"/>
    <cellStyle name="Normal 14 2 2 6 2 6" xfId="24767"/>
    <cellStyle name="Normal 14 2 2 6 3" xfId="4092"/>
    <cellStyle name="Normal 14 2 2 6 3 2" xfId="20192"/>
    <cellStyle name="Normal 14 2 2 6 3 2 2" xfId="42779"/>
    <cellStyle name="Normal 14 2 2 6 3 3" xfId="10532"/>
    <cellStyle name="Normal 14 2 2 6 3 3 2" xfId="33119"/>
    <cellStyle name="Normal 14 2 2 6 3 4" xfId="26679"/>
    <cellStyle name="Normal 14 2 2 6 4" xfId="16972"/>
    <cellStyle name="Normal 14 2 2 6 4 2" xfId="39559"/>
    <cellStyle name="Normal 14 2 2 6 5" xfId="13752"/>
    <cellStyle name="Normal 14 2 2 6 5 2" xfId="36339"/>
    <cellStyle name="Normal 14 2 2 6 6" xfId="7312"/>
    <cellStyle name="Normal 14 2 2 6 6 2" xfId="29899"/>
    <cellStyle name="Normal 14 2 2 6 7" xfId="23459"/>
    <cellStyle name="Normal 14 2 2 7" xfId="1212"/>
    <cellStyle name="Normal 14 2 2 7 2" xfId="2526"/>
    <cellStyle name="Normal 14 2 2 7 2 2" xfId="5747"/>
    <cellStyle name="Normal 14 2 2 7 2 2 2" xfId="21847"/>
    <cellStyle name="Normal 14 2 2 7 2 2 2 2" xfId="44434"/>
    <cellStyle name="Normal 14 2 2 7 2 2 3" xfId="12187"/>
    <cellStyle name="Normal 14 2 2 7 2 2 3 2" xfId="34774"/>
    <cellStyle name="Normal 14 2 2 7 2 2 4" xfId="28334"/>
    <cellStyle name="Normal 14 2 2 7 2 3" xfId="18627"/>
    <cellStyle name="Normal 14 2 2 7 2 3 2" xfId="41214"/>
    <cellStyle name="Normal 14 2 2 7 2 4" xfId="15407"/>
    <cellStyle name="Normal 14 2 2 7 2 4 2" xfId="37994"/>
    <cellStyle name="Normal 14 2 2 7 2 5" xfId="8967"/>
    <cellStyle name="Normal 14 2 2 7 2 5 2" xfId="31554"/>
    <cellStyle name="Normal 14 2 2 7 2 6" xfId="25114"/>
    <cellStyle name="Normal 14 2 2 7 3" xfId="4439"/>
    <cellStyle name="Normal 14 2 2 7 3 2" xfId="20539"/>
    <cellStyle name="Normal 14 2 2 7 3 2 2" xfId="43126"/>
    <cellStyle name="Normal 14 2 2 7 3 3" xfId="10879"/>
    <cellStyle name="Normal 14 2 2 7 3 3 2" xfId="33466"/>
    <cellStyle name="Normal 14 2 2 7 3 4" xfId="27026"/>
    <cellStyle name="Normal 14 2 2 7 4" xfId="17319"/>
    <cellStyle name="Normal 14 2 2 7 4 2" xfId="39906"/>
    <cellStyle name="Normal 14 2 2 7 5" xfId="14099"/>
    <cellStyle name="Normal 14 2 2 7 5 2" xfId="36686"/>
    <cellStyle name="Normal 14 2 2 7 6" xfId="7659"/>
    <cellStyle name="Normal 14 2 2 7 6 2" xfId="30246"/>
    <cellStyle name="Normal 14 2 2 7 7" xfId="23806"/>
    <cellStyle name="Normal 14 2 2 8" xfId="1575"/>
    <cellStyle name="Normal 14 2 2 8 2" xfId="4801"/>
    <cellStyle name="Normal 14 2 2 8 2 2" xfId="20901"/>
    <cellStyle name="Normal 14 2 2 8 2 2 2" xfId="43488"/>
    <cellStyle name="Normal 14 2 2 8 2 3" xfId="11241"/>
    <cellStyle name="Normal 14 2 2 8 2 3 2" xfId="33828"/>
    <cellStyle name="Normal 14 2 2 8 2 4" xfId="27388"/>
    <cellStyle name="Normal 14 2 2 8 3" xfId="17681"/>
    <cellStyle name="Normal 14 2 2 8 3 2" xfId="40268"/>
    <cellStyle name="Normal 14 2 2 8 4" xfId="14461"/>
    <cellStyle name="Normal 14 2 2 8 4 2" xfId="37048"/>
    <cellStyle name="Normal 14 2 2 8 5" xfId="8021"/>
    <cellStyle name="Normal 14 2 2 8 5 2" xfId="30608"/>
    <cellStyle name="Normal 14 2 2 8 6" xfId="24168"/>
    <cellStyle name="Normal 14 2 2 9" xfId="1831"/>
    <cellStyle name="Normal 14 2 2 9 2" xfId="5053"/>
    <cellStyle name="Normal 14 2 2 9 2 2" xfId="21153"/>
    <cellStyle name="Normal 14 2 2 9 2 2 2" xfId="43740"/>
    <cellStyle name="Normal 14 2 2 9 2 3" xfId="11493"/>
    <cellStyle name="Normal 14 2 2 9 2 3 2" xfId="34080"/>
    <cellStyle name="Normal 14 2 2 9 2 4" xfId="27640"/>
    <cellStyle name="Normal 14 2 2 9 3" xfId="17933"/>
    <cellStyle name="Normal 14 2 2 9 3 2" xfId="40520"/>
    <cellStyle name="Normal 14 2 2 9 4" xfId="14713"/>
    <cellStyle name="Normal 14 2 2 9 4 2" xfId="37300"/>
    <cellStyle name="Normal 14 2 2 9 5" xfId="8273"/>
    <cellStyle name="Normal 14 2 2 9 5 2" xfId="30860"/>
    <cellStyle name="Normal 14 2 2 9 6" xfId="24420"/>
    <cellStyle name="Normal 14 2 3" xfId="137"/>
    <cellStyle name="Normal 14 2 3 10" xfId="475"/>
    <cellStyle name="Normal 14 2 3 10 2" xfId="3762"/>
    <cellStyle name="Normal 14 2 3 10 2 2" xfId="19862"/>
    <cellStyle name="Normal 14 2 3 10 2 2 2" xfId="42449"/>
    <cellStyle name="Normal 14 2 3 10 2 3" xfId="10202"/>
    <cellStyle name="Normal 14 2 3 10 2 3 2" xfId="32789"/>
    <cellStyle name="Normal 14 2 3 10 2 4" xfId="26349"/>
    <cellStyle name="Normal 14 2 3 10 3" xfId="16642"/>
    <cellStyle name="Normal 14 2 3 10 3 2" xfId="39229"/>
    <cellStyle name="Normal 14 2 3 10 4" xfId="13422"/>
    <cellStyle name="Normal 14 2 3 10 4 2" xfId="36009"/>
    <cellStyle name="Normal 14 2 3 10 5" xfId="6982"/>
    <cellStyle name="Normal 14 2 3 10 5 2" xfId="29569"/>
    <cellStyle name="Normal 14 2 3 10 6" xfId="23129"/>
    <cellStyle name="Normal 14 2 3 11" xfId="3472"/>
    <cellStyle name="Normal 14 2 3 11 2" xfId="19572"/>
    <cellStyle name="Normal 14 2 3 11 2 2" xfId="42159"/>
    <cellStyle name="Normal 14 2 3 11 3" xfId="9912"/>
    <cellStyle name="Normal 14 2 3 11 3 2" xfId="32499"/>
    <cellStyle name="Normal 14 2 3 11 4" xfId="26059"/>
    <cellStyle name="Normal 14 2 3 12" xfId="16352"/>
    <cellStyle name="Normal 14 2 3 12 2" xfId="38939"/>
    <cellStyle name="Normal 14 2 3 13" xfId="13132"/>
    <cellStyle name="Normal 14 2 3 13 2" xfId="35719"/>
    <cellStyle name="Normal 14 2 3 14" xfId="6692"/>
    <cellStyle name="Normal 14 2 3 14 2" xfId="29279"/>
    <cellStyle name="Normal 14 2 3 15" xfId="22839"/>
    <cellStyle name="Normal 14 2 3 2" xfId="283"/>
    <cellStyle name="Normal 14 2 3 2 10" xfId="16450"/>
    <cellStyle name="Normal 14 2 3 2 10 2" xfId="39037"/>
    <cellStyle name="Normal 14 2 3 2 11" xfId="13230"/>
    <cellStyle name="Normal 14 2 3 2 11 2" xfId="35817"/>
    <cellStyle name="Normal 14 2 3 2 12" xfId="6790"/>
    <cellStyle name="Normal 14 2 3 2 12 2" xfId="29377"/>
    <cellStyle name="Normal 14 2 3 2 13" xfId="22937"/>
    <cellStyle name="Normal 14 2 3 2 2" xfId="1001"/>
    <cellStyle name="Normal 14 2 3 2 2 2" xfId="2315"/>
    <cellStyle name="Normal 14 2 3 2 2 2 2" xfId="5536"/>
    <cellStyle name="Normal 14 2 3 2 2 2 2 2" xfId="21636"/>
    <cellStyle name="Normal 14 2 3 2 2 2 2 2 2" xfId="44223"/>
    <cellStyle name="Normal 14 2 3 2 2 2 2 3" xfId="11976"/>
    <cellStyle name="Normal 14 2 3 2 2 2 2 3 2" xfId="34563"/>
    <cellStyle name="Normal 14 2 3 2 2 2 2 4" xfId="28123"/>
    <cellStyle name="Normal 14 2 3 2 2 2 3" xfId="18416"/>
    <cellStyle name="Normal 14 2 3 2 2 2 3 2" xfId="41003"/>
    <cellStyle name="Normal 14 2 3 2 2 2 4" xfId="15196"/>
    <cellStyle name="Normal 14 2 3 2 2 2 4 2" xfId="37783"/>
    <cellStyle name="Normal 14 2 3 2 2 2 5" xfId="8756"/>
    <cellStyle name="Normal 14 2 3 2 2 2 5 2" xfId="31343"/>
    <cellStyle name="Normal 14 2 3 2 2 2 6" xfId="24903"/>
    <cellStyle name="Normal 14 2 3 2 2 3" xfId="4228"/>
    <cellStyle name="Normal 14 2 3 2 2 3 2" xfId="20328"/>
    <cellStyle name="Normal 14 2 3 2 2 3 2 2" xfId="42915"/>
    <cellStyle name="Normal 14 2 3 2 2 3 3" xfId="10668"/>
    <cellStyle name="Normal 14 2 3 2 2 3 3 2" xfId="33255"/>
    <cellStyle name="Normal 14 2 3 2 2 3 4" xfId="26815"/>
    <cellStyle name="Normal 14 2 3 2 2 4" xfId="17108"/>
    <cellStyle name="Normal 14 2 3 2 2 4 2" xfId="39695"/>
    <cellStyle name="Normal 14 2 3 2 2 5" xfId="13888"/>
    <cellStyle name="Normal 14 2 3 2 2 5 2" xfId="36475"/>
    <cellStyle name="Normal 14 2 3 2 2 6" xfId="7448"/>
    <cellStyle name="Normal 14 2 3 2 2 6 2" xfId="30035"/>
    <cellStyle name="Normal 14 2 3 2 2 7" xfId="23595"/>
    <cellStyle name="Normal 14 2 3 2 3" xfId="1348"/>
    <cellStyle name="Normal 14 2 3 2 3 2" xfId="2662"/>
    <cellStyle name="Normal 14 2 3 2 3 2 2" xfId="5883"/>
    <cellStyle name="Normal 14 2 3 2 3 2 2 2" xfId="21983"/>
    <cellStyle name="Normal 14 2 3 2 3 2 2 2 2" xfId="44570"/>
    <cellStyle name="Normal 14 2 3 2 3 2 2 3" xfId="12323"/>
    <cellStyle name="Normal 14 2 3 2 3 2 2 3 2" xfId="34910"/>
    <cellStyle name="Normal 14 2 3 2 3 2 2 4" xfId="28470"/>
    <cellStyle name="Normal 14 2 3 2 3 2 3" xfId="18763"/>
    <cellStyle name="Normal 14 2 3 2 3 2 3 2" xfId="41350"/>
    <cellStyle name="Normal 14 2 3 2 3 2 4" xfId="15543"/>
    <cellStyle name="Normal 14 2 3 2 3 2 4 2" xfId="38130"/>
    <cellStyle name="Normal 14 2 3 2 3 2 5" xfId="9103"/>
    <cellStyle name="Normal 14 2 3 2 3 2 5 2" xfId="31690"/>
    <cellStyle name="Normal 14 2 3 2 3 2 6" xfId="25250"/>
    <cellStyle name="Normal 14 2 3 2 3 3" xfId="4575"/>
    <cellStyle name="Normal 14 2 3 2 3 3 2" xfId="20675"/>
    <cellStyle name="Normal 14 2 3 2 3 3 2 2" xfId="43262"/>
    <cellStyle name="Normal 14 2 3 2 3 3 3" xfId="11015"/>
    <cellStyle name="Normal 14 2 3 2 3 3 3 2" xfId="33602"/>
    <cellStyle name="Normal 14 2 3 2 3 3 4" xfId="27162"/>
    <cellStyle name="Normal 14 2 3 2 3 4" xfId="17455"/>
    <cellStyle name="Normal 14 2 3 2 3 4 2" xfId="40042"/>
    <cellStyle name="Normal 14 2 3 2 3 5" xfId="14235"/>
    <cellStyle name="Normal 14 2 3 2 3 5 2" xfId="36822"/>
    <cellStyle name="Normal 14 2 3 2 3 6" xfId="7795"/>
    <cellStyle name="Normal 14 2 3 2 3 6 2" xfId="30382"/>
    <cellStyle name="Normal 14 2 3 2 3 7" xfId="23942"/>
    <cellStyle name="Normal 14 2 3 2 4" xfId="1576"/>
    <cellStyle name="Normal 14 2 3 2 4 2" xfId="4802"/>
    <cellStyle name="Normal 14 2 3 2 4 2 2" xfId="20902"/>
    <cellStyle name="Normal 14 2 3 2 4 2 2 2" xfId="43489"/>
    <cellStyle name="Normal 14 2 3 2 4 2 3" xfId="11242"/>
    <cellStyle name="Normal 14 2 3 2 4 2 3 2" xfId="33829"/>
    <cellStyle name="Normal 14 2 3 2 4 2 4" xfId="27389"/>
    <cellStyle name="Normal 14 2 3 2 4 3" xfId="17682"/>
    <cellStyle name="Normal 14 2 3 2 4 3 2" xfId="40269"/>
    <cellStyle name="Normal 14 2 3 2 4 4" xfId="14462"/>
    <cellStyle name="Normal 14 2 3 2 4 4 2" xfId="37049"/>
    <cellStyle name="Normal 14 2 3 2 4 5" xfId="8022"/>
    <cellStyle name="Normal 14 2 3 2 4 5 2" xfId="30609"/>
    <cellStyle name="Normal 14 2 3 2 4 6" xfId="24169"/>
    <cellStyle name="Normal 14 2 3 2 5" xfId="1967"/>
    <cellStyle name="Normal 14 2 3 2 5 2" xfId="5189"/>
    <cellStyle name="Normal 14 2 3 2 5 2 2" xfId="21289"/>
    <cellStyle name="Normal 14 2 3 2 5 2 2 2" xfId="43876"/>
    <cellStyle name="Normal 14 2 3 2 5 2 3" xfId="11629"/>
    <cellStyle name="Normal 14 2 3 2 5 2 3 2" xfId="34216"/>
    <cellStyle name="Normal 14 2 3 2 5 2 4" xfId="27776"/>
    <cellStyle name="Normal 14 2 3 2 5 3" xfId="18069"/>
    <cellStyle name="Normal 14 2 3 2 5 3 2" xfId="40656"/>
    <cellStyle name="Normal 14 2 3 2 5 4" xfId="14849"/>
    <cellStyle name="Normal 14 2 3 2 5 4 2" xfId="37436"/>
    <cellStyle name="Normal 14 2 3 2 5 5" xfId="8409"/>
    <cellStyle name="Normal 14 2 3 2 5 5 2" xfId="30996"/>
    <cellStyle name="Normal 14 2 3 2 5 6" xfId="24556"/>
    <cellStyle name="Normal 14 2 3 2 6" xfId="2990"/>
    <cellStyle name="Normal 14 2 3 2 6 2" xfId="6210"/>
    <cellStyle name="Normal 14 2 3 2 6 2 2" xfId="22310"/>
    <cellStyle name="Normal 14 2 3 2 6 2 2 2" xfId="44897"/>
    <cellStyle name="Normal 14 2 3 2 6 2 3" xfId="12650"/>
    <cellStyle name="Normal 14 2 3 2 6 2 3 2" xfId="35237"/>
    <cellStyle name="Normal 14 2 3 2 6 2 4" xfId="28797"/>
    <cellStyle name="Normal 14 2 3 2 6 3" xfId="19090"/>
    <cellStyle name="Normal 14 2 3 2 6 3 2" xfId="41677"/>
    <cellStyle name="Normal 14 2 3 2 6 4" xfId="15870"/>
    <cellStyle name="Normal 14 2 3 2 6 4 2" xfId="38457"/>
    <cellStyle name="Normal 14 2 3 2 6 5" xfId="9430"/>
    <cellStyle name="Normal 14 2 3 2 6 5 2" xfId="32017"/>
    <cellStyle name="Normal 14 2 3 2 6 6" xfId="25577"/>
    <cellStyle name="Normal 14 2 3 2 7" xfId="3280"/>
    <cellStyle name="Normal 14 2 3 2 7 2" xfId="6500"/>
    <cellStyle name="Normal 14 2 3 2 7 2 2" xfId="22600"/>
    <cellStyle name="Normal 14 2 3 2 7 2 2 2" xfId="45187"/>
    <cellStyle name="Normal 14 2 3 2 7 2 3" xfId="12940"/>
    <cellStyle name="Normal 14 2 3 2 7 2 3 2" xfId="35527"/>
    <cellStyle name="Normal 14 2 3 2 7 2 4" xfId="29087"/>
    <cellStyle name="Normal 14 2 3 2 7 3" xfId="19380"/>
    <cellStyle name="Normal 14 2 3 2 7 3 2" xfId="41967"/>
    <cellStyle name="Normal 14 2 3 2 7 4" xfId="16160"/>
    <cellStyle name="Normal 14 2 3 2 7 4 2" xfId="38747"/>
    <cellStyle name="Normal 14 2 3 2 7 5" xfId="9720"/>
    <cellStyle name="Normal 14 2 3 2 7 5 2" xfId="32307"/>
    <cellStyle name="Normal 14 2 3 2 7 6" xfId="25867"/>
    <cellStyle name="Normal 14 2 3 2 8" xfId="637"/>
    <cellStyle name="Normal 14 2 3 2 8 2" xfId="3881"/>
    <cellStyle name="Normal 14 2 3 2 8 2 2" xfId="19981"/>
    <cellStyle name="Normal 14 2 3 2 8 2 2 2" xfId="42568"/>
    <cellStyle name="Normal 14 2 3 2 8 2 3" xfId="10321"/>
    <cellStyle name="Normal 14 2 3 2 8 2 3 2" xfId="32908"/>
    <cellStyle name="Normal 14 2 3 2 8 2 4" xfId="26468"/>
    <cellStyle name="Normal 14 2 3 2 8 3" xfId="16761"/>
    <cellStyle name="Normal 14 2 3 2 8 3 2" xfId="39348"/>
    <cellStyle name="Normal 14 2 3 2 8 4" xfId="13541"/>
    <cellStyle name="Normal 14 2 3 2 8 4 2" xfId="36128"/>
    <cellStyle name="Normal 14 2 3 2 8 5" xfId="7101"/>
    <cellStyle name="Normal 14 2 3 2 8 5 2" xfId="29688"/>
    <cellStyle name="Normal 14 2 3 2 8 6" xfId="23248"/>
    <cellStyle name="Normal 14 2 3 2 9" xfId="3570"/>
    <cellStyle name="Normal 14 2 3 2 9 2" xfId="19670"/>
    <cellStyle name="Normal 14 2 3 2 9 2 2" xfId="42257"/>
    <cellStyle name="Normal 14 2 3 2 9 3" xfId="10010"/>
    <cellStyle name="Normal 14 2 3 2 9 3 2" xfId="32597"/>
    <cellStyle name="Normal 14 2 3 2 9 4" xfId="26157"/>
    <cellStyle name="Normal 14 2 3 3" xfId="378"/>
    <cellStyle name="Normal 14 2 3 3 10" xfId="16545"/>
    <cellStyle name="Normal 14 2 3 3 10 2" xfId="39132"/>
    <cellStyle name="Normal 14 2 3 3 11" xfId="13325"/>
    <cellStyle name="Normal 14 2 3 3 11 2" xfId="35912"/>
    <cellStyle name="Normal 14 2 3 3 12" xfId="6885"/>
    <cellStyle name="Normal 14 2 3 3 12 2" xfId="29472"/>
    <cellStyle name="Normal 14 2 3 3 13" xfId="23032"/>
    <cellStyle name="Normal 14 2 3 3 2" xfId="1162"/>
    <cellStyle name="Normal 14 2 3 3 2 2" xfId="2476"/>
    <cellStyle name="Normal 14 2 3 3 2 2 2" xfId="5697"/>
    <cellStyle name="Normal 14 2 3 3 2 2 2 2" xfId="21797"/>
    <cellStyle name="Normal 14 2 3 3 2 2 2 2 2" xfId="44384"/>
    <cellStyle name="Normal 14 2 3 3 2 2 2 3" xfId="12137"/>
    <cellStyle name="Normal 14 2 3 3 2 2 2 3 2" xfId="34724"/>
    <cellStyle name="Normal 14 2 3 3 2 2 2 4" xfId="28284"/>
    <cellStyle name="Normal 14 2 3 3 2 2 3" xfId="18577"/>
    <cellStyle name="Normal 14 2 3 3 2 2 3 2" xfId="41164"/>
    <cellStyle name="Normal 14 2 3 3 2 2 4" xfId="15357"/>
    <cellStyle name="Normal 14 2 3 3 2 2 4 2" xfId="37944"/>
    <cellStyle name="Normal 14 2 3 3 2 2 5" xfId="8917"/>
    <cellStyle name="Normal 14 2 3 3 2 2 5 2" xfId="31504"/>
    <cellStyle name="Normal 14 2 3 3 2 2 6" xfId="25064"/>
    <cellStyle name="Normal 14 2 3 3 2 3" xfId="4389"/>
    <cellStyle name="Normal 14 2 3 3 2 3 2" xfId="20489"/>
    <cellStyle name="Normal 14 2 3 3 2 3 2 2" xfId="43076"/>
    <cellStyle name="Normal 14 2 3 3 2 3 3" xfId="10829"/>
    <cellStyle name="Normal 14 2 3 3 2 3 3 2" xfId="33416"/>
    <cellStyle name="Normal 14 2 3 3 2 3 4" xfId="26976"/>
    <cellStyle name="Normal 14 2 3 3 2 4" xfId="17269"/>
    <cellStyle name="Normal 14 2 3 3 2 4 2" xfId="39856"/>
    <cellStyle name="Normal 14 2 3 3 2 5" xfId="14049"/>
    <cellStyle name="Normal 14 2 3 3 2 5 2" xfId="36636"/>
    <cellStyle name="Normal 14 2 3 3 2 6" xfId="7609"/>
    <cellStyle name="Normal 14 2 3 3 2 6 2" xfId="30196"/>
    <cellStyle name="Normal 14 2 3 3 2 7" xfId="23756"/>
    <cellStyle name="Normal 14 2 3 3 3" xfId="1509"/>
    <cellStyle name="Normal 14 2 3 3 3 2" xfId="2823"/>
    <cellStyle name="Normal 14 2 3 3 3 2 2" xfId="6044"/>
    <cellStyle name="Normal 14 2 3 3 3 2 2 2" xfId="22144"/>
    <cellStyle name="Normal 14 2 3 3 3 2 2 2 2" xfId="44731"/>
    <cellStyle name="Normal 14 2 3 3 3 2 2 3" xfId="12484"/>
    <cellStyle name="Normal 14 2 3 3 3 2 2 3 2" xfId="35071"/>
    <cellStyle name="Normal 14 2 3 3 3 2 2 4" xfId="28631"/>
    <cellStyle name="Normal 14 2 3 3 3 2 3" xfId="18924"/>
    <cellStyle name="Normal 14 2 3 3 3 2 3 2" xfId="41511"/>
    <cellStyle name="Normal 14 2 3 3 3 2 4" xfId="15704"/>
    <cellStyle name="Normal 14 2 3 3 3 2 4 2" xfId="38291"/>
    <cellStyle name="Normal 14 2 3 3 3 2 5" xfId="9264"/>
    <cellStyle name="Normal 14 2 3 3 3 2 5 2" xfId="31851"/>
    <cellStyle name="Normal 14 2 3 3 3 2 6" xfId="25411"/>
    <cellStyle name="Normal 14 2 3 3 3 3" xfId="4736"/>
    <cellStyle name="Normal 14 2 3 3 3 3 2" xfId="20836"/>
    <cellStyle name="Normal 14 2 3 3 3 3 2 2" xfId="43423"/>
    <cellStyle name="Normal 14 2 3 3 3 3 3" xfId="11176"/>
    <cellStyle name="Normal 14 2 3 3 3 3 3 2" xfId="33763"/>
    <cellStyle name="Normal 14 2 3 3 3 3 4" xfId="27323"/>
    <cellStyle name="Normal 14 2 3 3 3 4" xfId="17616"/>
    <cellStyle name="Normal 14 2 3 3 3 4 2" xfId="40203"/>
    <cellStyle name="Normal 14 2 3 3 3 5" xfId="14396"/>
    <cellStyle name="Normal 14 2 3 3 3 5 2" xfId="36983"/>
    <cellStyle name="Normal 14 2 3 3 3 6" xfId="7956"/>
    <cellStyle name="Normal 14 2 3 3 3 6 2" xfId="30543"/>
    <cellStyle name="Normal 14 2 3 3 3 7" xfId="24103"/>
    <cellStyle name="Normal 14 2 3 3 4" xfId="1577"/>
    <cellStyle name="Normal 14 2 3 3 4 2" xfId="4803"/>
    <cellStyle name="Normal 14 2 3 3 4 2 2" xfId="20903"/>
    <cellStyle name="Normal 14 2 3 3 4 2 2 2" xfId="43490"/>
    <cellStyle name="Normal 14 2 3 3 4 2 3" xfId="11243"/>
    <cellStyle name="Normal 14 2 3 3 4 2 3 2" xfId="33830"/>
    <cellStyle name="Normal 14 2 3 3 4 2 4" xfId="27390"/>
    <cellStyle name="Normal 14 2 3 3 4 3" xfId="17683"/>
    <cellStyle name="Normal 14 2 3 3 4 3 2" xfId="40270"/>
    <cellStyle name="Normal 14 2 3 3 4 4" xfId="14463"/>
    <cellStyle name="Normal 14 2 3 3 4 4 2" xfId="37050"/>
    <cellStyle name="Normal 14 2 3 3 4 5" xfId="8023"/>
    <cellStyle name="Normal 14 2 3 3 4 5 2" xfId="30610"/>
    <cellStyle name="Normal 14 2 3 3 4 6" xfId="24170"/>
    <cellStyle name="Normal 14 2 3 3 5" xfId="2129"/>
    <cellStyle name="Normal 14 2 3 3 5 2" xfId="5350"/>
    <cellStyle name="Normal 14 2 3 3 5 2 2" xfId="21450"/>
    <cellStyle name="Normal 14 2 3 3 5 2 2 2" xfId="44037"/>
    <cellStyle name="Normal 14 2 3 3 5 2 3" xfId="11790"/>
    <cellStyle name="Normal 14 2 3 3 5 2 3 2" xfId="34377"/>
    <cellStyle name="Normal 14 2 3 3 5 2 4" xfId="27937"/>
    <cellStyle name="Normal 14 2 3 3 5 3" xfId="18230"/>
    <cellStyle name="Normal 14 2 3 3 5 3 2" xfId="40817"/>
    <cellStyle name="Normal 14 2 3 3 5 4" xfId="15010"/>
    <cellStyle name="Normal 14 2 3 3 5 4 2" xfId="37597"/>
    <cellStyle name="Normal 14 2 3 3 5 5" xfId="8570"/>
    <cellStyle name="Normal 14 2 3 3 5 5 2" xfId="31157"/>
    <cellStyle name="Normal 14 2 3 3 5 6" xfId="24717"/>
    <cellStyle name="Normal 14 2 3 3 6" xfId="3085"/>
    <cellStyle name="Normal 14 2 3 3 6 2" xfId="6305"/>
    <cellStyle name="Normal 14 2 3 3 6 2 2" xfId="22405"/>
    <cellStyle name="Normal 14 2 3 3 6 2 2 2" xfId="44992"/>
    <cellStyle name="Normal 14 2 3 3 6 2 3" xfId="12745"/>
    <cellStyle name="Normal 14 2 3 3 6 2 3 2" xfId="35332"/>
    <cellStyle name="Normal 14 2 3 3 6 2 4" xfId="28892"/>
    <cellStyle name="Normal 14 2 3 3 6 3" xfId="19185"/>
    <cellStyle name="Normal 14 2 3 3 6 3 2" xfId="41772"/>
    <cellStyle name="Normal 14 2 3 3 6 4" xfId="15965"/>
    <cellStyle name="Normal 14 2 3 3 6 4 2" xfId="38552"/>
    <cellStyle name="Normal 14 2 3 3 6 5" xfId="9525"/>
    <cellStyle name="Normal 14 2 3 3 6 5 2" xfId="32112"/>
    <cellStyle name="Normal 14 2 3 3 6 6" xfId="25672"/>
    <cellStyle name="Normal 14 2 3 3 7" xfId="3375"/>
    <cellStyle name="Normal 14 2 3 3 7 2" xfId="6595"/>
    <cellStyle name="Normal 14 2 3 3 7 2 2" xfId="22695"/>
    <cellStyle name="Normal 14 2 3 3 7 2 2 2" xfId="45282"/>
    <cellStyle name="Normal 14 2 3 3 7 2 3" xfId="13035"/>
    <cellStyle name="Normal 14 2 3 3 7 2 3 2" xfId="35622"/>
    <cellStyle name="Normal 14 2 3 3 7 2 4" xfId="29182"/>
    <cellStyle name="Normal 14 2 3 3 7 3" xfId="19475"/>
    <cellStyle name="Normal 14 2 3 3 7 3 2" xfId="42062"/>
    <cellStyle name="Normal 14 2 3 3 7 4" xfId="16255"/>
    <cellStyle name="Normal 14 2 3 3 7 4 2" xfId="38842"/>
    <cellStyle name="Normal 14 2 3 3 7 5" xfId="9815"/>
    <cellStyle name="Normal 14 2 3 3 7 5 2" xfId="32402"/>
    <cellStyle name="Normal 14 2 3 3 7 6" xfId="25962"/>
    <cellStyle name="Normal 14 2 3 3 8" xfId="810"/>
    <cellStyle name="Normal 14 2 3 3 8 2" xfId="4042"/>
    <cellStyle name="Normal 14 2 3 3 8 2 2" xfId="20142"/>
    <cellStyle name="Normal 14 2 3 3 8 2 2 2" xfId="42729"/>
    <cellStyle name="Normal 14 2 3 3 8 2 3" xfId="10482"/>
    <cellStyle name="Normal 14 2 3 3 8 2 3 2" xfId="33069"/>
    <cellStyle name="Normal 14 2 3 3 8 2 4" xfId="26629"/>
    <cellStyle name="Normal 14 2 3 3 8 3" xfId="16922"/>
    <cellStyle name="Normal 14 2 3 3 8 3 2" xfId="39509"/>
    <cellStyle name="Normal 14 2 3 3 8 4" xfId="13702"/>
    <cellStyle name="Normal 14 2 3 3 8 4 2" xfId="36289"/>
    <cellStyle name="Normal 14 2 3 3 8 5" xfId="7262"/>
    <cellStyle name="Normal 14 2 3 3 8 5 2" xfId="29849"/>
    <cellStyle name="Normal 14 2 3 3 8 6" xfId="23409"/>
    <cellStyle name="Normal 14 2 3 3 9" xfId="3665"/>
    <cellStyle name="Normal 14 2 3 3 9 2" xfId="19765"/>
    <cellStyle name="Normal 14 2 3 3 9 2 2" xfId="42352"/>
    <cellStyle name="Normal 14 2 3 3 9 3" xfId="10105"/>
    <cellStyle name="Normal 14 2 3 3 9 3 2" xfId="32692"/>
    <cellStyle name="Normal 14 2 3 3 9 4" xfId="26252"/>
    <cellStyle name="Normal 14 2 3 4" xfId="877"/>
    <cellStyle name="Normal 14 2 3 4 2" xfId="2196"/>
    <cellStyle name="Normal 14 2 3 4 2 2" xfId="5417"/>
    <cellStyle name="Normal 14 2 3 4 2 2 2" xfId="21517"/>
    <cellStyle name="Normal 14 2 3 4 2 2 2 2" xfId="44104"/>
    <cellStyle name="Normal 14 2 3 4 2 2 3" xfId="11857"/>
    <cellStyle name="Normal 14 2 3 4 2 2 3 2" xfId="34444"/>
    <cellStyle name="Normal 14 2 3 4 2 2 4" xfId="28004"/>
    <cellStyle name="Normal 14 2 3 4 2 3" xfId="18297"/>
    <cellStyle name="Normal 14 2 3 4 2 3 2" xfId="40884"/>
    <cellStyle name="Normal 14 2 3 4 2 4" xfId="15077"/>
    <cellStyle name="Normal 14 2 3 4 2 4 2" xfId="37664"/>
    <cellStyle name="Normal 14 2 3 4 2 5" xfId="8637"/>
    <cellStyle name="Normal 14 2 3 4 2 5 2" xfId="31224"/>
    <cellStyle name="Normal 14 2 3 4 2 6" xfId="24784"/>
    <cellStyle name="Normal 14 2 3 4 3" xfId="4109"/>
    <cellStyle name="Normal 14 2 3 4 3 2" xfId="20209"/>
    <cellStyle name="Normal 14 2 3 4 3 2 2" xfId="42796"/>
    <cellStyle name="Normal 14 2 3 4 3 3" xfId="10549"/>
    <cellStyle name="Normal 14 2 3 4 3 3 2" xfId="33136"/>
    <cellStyle name="Normal 14 2 3 4 3 4" xfId="26696"/>
    <cellStyle name="Normal 14 2 3 4 4" xfId="16989"/>
    <cellStyle name="Normal 14 2 3 4 4 2" xfId="39576"/>
    <cellStyle name="Normal 14 2 3 4 5" xfId="13769"/>
    <cellStyle name="Normal 14 2 3 4 5 2" xfId="36356"/>
    <cellStyle name="Normal 14 2 3 4 6" xfId="7329"/>
    <cellStyle name="Normal 14 2 3 4 6 2" xfId="29916"/>
    <cellStyle name="Normal 14 2 3 4 7" xfId="23476"/>
    <cellStyle name="Normal 14 2 3 5" xfId="1229"/>
    <cellStyle name="Normal 14 2 3 5 2" xfId="2543"/>
    <cellStyle name="Normal 14 2 3 5 2 2" xfId="5764"/>
    <cellStyle name="Normal 14 2 3 5 2 2 2" xfId="21864"/>
    <cellStyle name="Normal 14 2 3 5 2 2 2 2" xfId="44451"/>
    <cellStyle name="Normal 14 2 3 5 2 2 3" xfId="12204"/>
    <cellStyle name="Normal 14 2 3 5 2 2 3 2" xfId="34791"/>
    <cellStyle name="Normal 14 2 3 5 2 2 4" xfId="28351"/>
    <cellStyle name="Normal 14 2 3 5 2 3" xfId="18644"/>
    <cellStyle name="Normal 14 2 3 5 2 3 2" xfId="41231"/>
    <cellStyle name="Normal 14 2 3 5 2 4" xfId="15424"/>
    <cellStyle name="Normal 14 2 3 5 2 4 2" xfId="38011"/>
    <cellStyle name="Normal 14 2 3 5 2 5" xfId="8984"/>
    <cellStyle name="Normal 14 2 3 5 2 5 2" xfId="31571"/>
    <cellStyle name="Normal 14 2 3 5 2 6" xfId="25131"/>
    <cellStyle name="Normal 14 2 3 5 3" xfId="4456"/>
    <cellStyle name="Normal 14 2 3 5 3 2" xfId="20556"/>
    <cellStyle name="Normal 14 2 3 5 3 2 2" xfId="43143"/>
    <cellStyle name="Normal 14 2 3 5 3 3" xfId="10896"/>
    <cellStyle name="Normal 14 2 3 5 3 3 2" xfId="33483"/>
    <cellStyle name="Normal 14 2 3 5 3 4" xfId="27043"/>
    <cellStyle name="Normal 14 2 3 5 4" xfId="17336"/>
    <cellStyle name="Normal 14 2 3 5 4 2" xfId="39923"/>
    <cellStyle name="Normal 14 2 3 5 5" xfId="14116"/>
    <cellStyle name="Normal 14 2 3 5 5 2" xfId="36703"/>
    <cellStyle name="Normal 14 2 3 5 6" xfId="7676"/>
    <cellStyle name="Normal 14 2 3 5 6 2" xfId="30263"/>
    <cellStyle name="Normal 14 2 3 5 7" xfId="23823"/>
    <cellStyle name="Normal 14 2 3 6" xfId="1578"/>
    <cellStyle name="Normal 14 2 3 6 2" xfId="4804"/>
    <cellStyle name="Normal 14 2 3 6 2 2" xfId="20904"/>
    <cellStyle name="Normal 14 2 3 6 2 2 2" xfId="43491"/>
    <cellStyle name="Normal 14 2 3 6 2 3" xfId="11244"/>
    <cellStyle name="Normal 14 2 3 6 2 3 2" xfId="33831"/>
    <cellStyle name="Normal 14 2 3 6 2 4" xfId="27391"/>
    <cellStyle name="Normal 14 2 3 6 3" xfId="17684"/>
    <cellStyle name="Normal 14 2 3 6 3 2" xfId="40271"/>
    <cellStyle name="Normal 14 2 3 6 4" xfId="14464"/>
    <cellStyle name="Normal 14 2 3 6 4 2" xfId="37051"/>
    <cellStyle name="Normal 14 2 3 6 5" xfId="8024"/>
    <cellStyle name="Normal 14 2 3 6 5 2" xfId="30611"/>
    <cellStyle name="Normal 14 2 3 6 6" xfId="24171"/>
    <cellStyle name="Normal 14 2 3 7" xfId="1848"/>
    <cellStyle name="Normal 14 2 3 7 2" xfId="5070"/>
    <cellStyle name="Normal 14 2 3 7 2 2" xfId="21170"/>
    <cellStyle name="Normal 14 2 3 7 2 2 2" xfId="43757"/>
    <cellStyle name="Normal 14 2 3 7 2 3" xfId="11510"/>
    <cellStyle name="Normal 14 2 3 7 2 3 2" xfId="34097"/>
    <cellStyle name="Normal 14 2 3 7 2 4" xfId="27657"/>
    <cellStyle name="Normal 14 2 3 7 3" xfId="17950"/>
    <cellStyle name="Normal 14 2 3 7 3 2" xfId="40537"/>
    <cellStyle name="Normal 14 2 3 7 4" xfId="14730"/>
    <cellStyle name="Normal 14 2 3 7 4 2" xfId="37317"/>
    <cellStyle name="Normal 14 2 3 7 5" xfId="8290"/>
    <cellStyle name="Normal 14 2 3 7 5 2" xfId="30877"/>
    <cellStyle name="Normal 14 2 3 7 6" xfId="24437"/>
    <cellStyle name="Normal 14 2 3 8" xfId="2891"/>
    <cellStyle name="Normal 14 2 3 8 2" xfId="6112"/>
    <cellStyle name="Normal 14 2 3 8 2 2" xfId="22212"/>
    <cellStyle name="Normal 14 2 3 8 2 2 2" xfId="44799"/>
    <cellStyle name="Normal 14 2 3 8 2 3" xfId="12552"/>
    <cellStyle name="Normal 14 2 3 8 2 3 2" xfId="35139"/>
    <cellStyle name="Normal 14 2 3 8 2 4" xfId="28699"/>
    <cellStyle name="Normal 14 2 3 8 3" xfId="18992"/>
    <cellStyle name="Normal 14 2 3 8 3 2" xfId="41579"/>
    <cellStyle name="Normal 14 2 3 8 4" xfId="15772"/>
    <cellStyle name="Normal 14 2 3 8 4 2" xfId="38359"/>
    <cellStyle name="Normal 14 2 3 8 5" xfId="9332"/>
    <cellStyle name="Normal 14 2 3 8 5 2" xfId="31919"/>
    <cellStyle name="Normal 14 2 3 8 6" xfId="25479"/>
    <cellStyle name="Normal 14 2 3 9" xfId="3182"/>
    <cellStyle name="Normal 14 2 3 9 2" xfId="6402"/>
    <cellStyle name="Normal 14 2 3 9 2 2" xfId="22502"/>
    <cellStyle name="Normal 14 2 3 9 2 2 2" xfId="45089"/>
    <cellStyle name="Normal 14 2 3 9 2 3" xfId="12842"/>
    <cellStyle name="Normal 14 2 3 9 2 3 2" xfId="35429"/>
    <cellStyle name="Normal 14 2 3 9 2 4" xfId="28989"/>
    <cellStyle name="Normal 14 2 3 9 3" xfId="19282"/>
    <cellStyle name="Normal 14 2 3 9 3 2" xfId="41869"/>
    <cellStyle name="Normal 14 2 3 9 4" xfId="16062"/>
    <cellStyle name="Normal 14 2 3 9 4 2" xfId="38649"/>
    <cellStyle name="Normal 14 2 3 9 5" xfId="9622"/>
    <cellStyle name="Normal 14 2 3 9 5 2" xfId="32209"/>
    <cellStyle name="Normal 14 2 3 9 6" xfId="25769"/>
    <cellStyle name="Normal 14 2 4" xfId="228"/>
    <cellStyle name="Normal 14 2 4 10" xfId="515"/>
    <cellStyle name="Normal 14 2 4 10 2" xfId="3802"/>
    <cellStyle name="Normal 14 2 4 10 2 2" xfId="19902"/>
    <cellStyle name="Normal 14 2 4 10 2 2 2" xfId="42489"/>
    <cellStyle name="Normal 14 2 4 10 2 3" xfId="10242"/>
    <cellStyle name="Normal 14 2 4 10 2 3 2" xfId="32829"/>
    <cellStyle name="Normal 14 2 4 10 2 4" xfId="26389"/>
    <cellStyle name="Normal 14 2 4 10 3" xfId="16682"/>
    <cellStyle name="Normal 14 2 4 10 3 2" xfId="39269"/>
    <cellStyle name="Normal 14 2 4 10 4" xfId="13462"/>
    <cellStyle name="Normal 14 2 4 10 4 2" xfId="36049"/>
    <cellStyle name="Normal 14 2 4 10 5" xfId="7022"/>
    <cellStyle name="Normal 14 2 4 10 5 2" xfId="29609"/>
    <cellStyle name="Normal 14 2 4 10 6" xfId="23169"/>
    <cellStyle name="Normal 14 2 4 11" xfId="3516"/>
    <cellStyle name="Normal 14 2 4 11 2" xfId="19616"/>
    <cellStyle name="Normal 14 2 4 11 2 2" xfId="42203"/>
    <cellStyle name="Normal 14 2 4 11 3" xfId="9956"/>
    <cellStyle name="Normal 14 2 4 11 3 2" xfId="32543"/>
    <cellStyle name="Normal 14 2 4 11 4" xfId="26103"/>
    <cellStyle name="Normal 14 2 4 12" xfId="16396"/>
    <cellStyle name="Normal 14 2 4 12 2" xfId="38983"/>
    <cellStyle name="Normal 14 2 4 13" xfId="13176"/>
    <cellStyle name="Normal 14 2 4 13 2" xfId="35763"/>
    <cellStyle name="Normal 14 2 4 14" xfId="6736"/>
    <cellStyle name="Normal 14 2 4 14 2" xfId="29323"/>
    <cellStyle name="Normal 14 2 4 15" xfId="22883"/>
    <cellStyle name="Normal 14 2 4 2" xfId="326"/>
    <cellStyle name="Normal 14 2 4 2 10" xfId="16493"/>
    <cellStyle name="Normal 14 2 4 2 10 2" xfId="39080"/>
    <cellStyle name="Normal 14 2 4 2 11" xfId="13273"/>
    <cellStyle name="Normal 14 2 4 2 11 2" xfId="35860"/>
    <cellStyle name="Normal 14 2 4 2 12" xfId="6833"/>
    <cellStyle name="Normal 14 2 4 2 12 2" xfId="29420"/>
    <cellStyle name="Normal 14 2 4 2 13" xfId="22980"/>
    <cellStyle name="Normal 14 2 4 2 2" xfId="1038"/>
    <cellStyle name="Normal 14 2 4 2 2 2" xfId="2352"/>
    <cellStyle name="Normal 14 2 4 2 2 2 2" xfId="5573"/>
    <cellStyle name="Normal 14 2 4 2 2 2 2 2" xfId="21673"/>
    <cellStyle name="Normal 14 2 4 2 2 2 2 2 2" xfId="44260"/>
    <cellStyle name="Normal 14 2 4 2 2 2 2 3" xfId="12013"/>
    <cellStyle name="Normal 14 2 4 2 2 2 2 3 2" xfId="34600"/>
    <cellStyle name="Normal 14 2 4 2 2 2 2 4" xfId="28160"/>
    <cellStyle name="Normal 14 2 4 2 2 2 3" xfId="18453"/>
    <cellStyle name="Normal 14 2 4 2 2 2 3 2" xfId="41040"/>
    <cellStyle name="Normal 14 2 4 2 2 2 4" xfId="15233"/>
    <cellStyle name="Normal 14 2 4 2 2 2 4 2" xfId="37820"/>
    <cellStyle name="Normal 14 2 4 2 2 2 5" xfId="8793"/>
    <cellStyle name="Normal 14 2 4 2 2 2 5 2" xfId="31380"/>
    <cellStyle name="Normal 14 2 4 2 2 2 6" xfId="24940"/>
    <cellStyle name="Normal 14 2 4 2 2 3" xfId="4265"/>
    <cellStyle name="Normal 14 2 4 2 2 3 2" xfId="20365"/>
    <cellStyle name="Normal 14 2 4 2 2 3 2 2" xfId="42952"/>
    <cellStyle name="Normal 14 2 4 2 2 3 3" xfId="10705"/>
    <cellStyle name="Normal 14 2 4 2 2 3 3 2" xfId="33292"/>
    <cellStyle name="Normal 14 2 4 2 2 3 4" xfId="26852"/>
    <cellStyle name="Normal 14 2 4 2 2 4" xfId="17145"/>
    <cellStyle name="Normal 14 2 4 2 2 4 2" xfId="39732"/>
    <cellStyle name="Normal 14 2 4 2 2 5" xfId="13925"/>
    <cellStyle name="Normal 14 2 4 2 2 5 2" xfId="36512"/>
    <cellStyle name="Normal 14 2 4 2 2 6" xfId="7485"/>
    <cellStyle name="Normal 14 2 4 2 2 6 2" xfId="30072"/>
    <cellStyle name="Normal 14 2 4 2 2 7" xfId="23632"/>
    <cellStyle name="Normal 14 2 4 2 3" xfId="1385"/>
    <cellStyle name="Normal 14 2 4 2 3 2" xfId="2699"/>
    <cellStyle name="Normal 14 2 4 2 3 2 2" xfId="5920"/>
    <cellStyle name="Normal 14 2 4 2 3 2 2 2" xfId="22020"/>
    <cellStyle name="Normal 14 2 4 2 3 2 2 2 2" xfId="44607"/>
    <cellStyle name="Normal 14 2 4 2 3 2 2 3" xfId="12360"/>
    <cellStyle name="Normal 14 2 4 2 3 2 2 3 2" xfId="34947"/>
    <cellStyle name="Normal 14 2 4 2 3 2 2 4" xfId="28507"/>
    <cellStyle name="Normal 14 2 4 2 3 2 3" xfId="18800"/>
    <cellStyle name="Normal 14 2 4 2 3 2 3 2" xfId="41387"/>
    <cellStyle name="Normal 14 2 4 2 3 2 4" xfId="15580"/>
    <cellStyle name="Normal 14 2 4 2 3 2 4 2" xfId="38167"/>
    <cellStyle name="Normal 14 2 4 2 3 2 5" xfId="9140"/>
    <cellStyle name="Normal 14 2 4 2 3 2 5 2" xfId="31727"/>
    <cellStyle name="Normal 14 2 4 2 3 2 6" xfId="25287"/>
    <cellStyle name="Normal 14 2 4 2 3 3" xfId="4612"/>
    <cellStyle name="Normal 14 2 4 2 3 3 2" xfId="20712"/>
    <cellStyle name="Normal 14 2 4 2 3 3 2 2" xfId="43299"/>
    <cellStyle name="Normal 14 2 4 2 3 3 3" xfId="11052"/>
    <cellStyle name="Normal 14 2 4 2 3 3 3 2" xfId="33639"/>
    <cellStyle name="Normal 14 2 4 2 3 3 4" xfId="27199"/>
    <cellStyle name="Normal 14 2 4 2 3 4" xfId="17492"/>
    <cellStyle name="Normal 14 2 4 2 3 4 2" xfId="40079"/>
    <cellStyle name="Normal 14 2 4 2 3 5" xfId="14272"/>
    <cellStyle name="Normal 14 2 4 2 3 5 2" xfId="36859"/>
    <cellStyle name="Normal 14 2 4 2 3 6" xfId="7832"/>
    <cellStyle name="Normal 14 2 4 2 3 6 2" xfId="30419"/>
    <cellStyle name="Normal 14 2 4 2 3 7" xfId="23979"/>
    <cellStyle name="Normal 14 2 4 2 4" xfId="1579"/>
    <cellStyle name="Normal 14 2 4 2 4 2" xfId="4805"/>
    <cellStyle name="Normal 14 2 4 2 4 2 2" xfId="20905"/>
    <cellStyle name="Normal 14 2 4 2 4 2 2 2" xfId="43492"/>
    <cellStyle name="Normal 14 2 4 2 4 2 3" xfId="11245"/>
    <cellStyle name="Normal 14 2 4 2 4 2 3 2" xfId="33832"/>
    <cellStyle name="Normal 14 2 4 2 4 2 4" xfId="27392"/>
    <cellStyle name="Normal 14 2 4 2 4 3" xfId="17685"/>
    <cellStyle name="Normal 14 2 4 2 4 3 2" xfId="40272"/>
    <cellStyle name="Normal 14 2 4 2 4 4" xfId="14465"/>
    <cellStyle name="Normal 14 2 4 2 4 4 2" xfId="37052"/>
    <cellStyle name="Normal 14 2 4 2 4 5" xfId="8025"/>
    <cellStyle name="Normal 14 2 4 2 4 5 2" xfId="30612"/>
    <cellStyle name="Normal 14 2 4 2 4 6" xfId="24172"/>
    <cellStyle name="Normal 14 2 4 2 5" xfId="2004"/>
    <cellStyle name="Normal 14 2 4 2 5 2" xfId="5226"/>
    <cellStyle name="Normal 14 2 4 2 5 2 2" xfId="21326"/>
    <cellStyle name="Normal 14 2 4 2 5 2 2 2" xfId="43913"/>
    <cellStyle name="Normal 14 2 4 2 5 2 3" xfId="11666"/>
    <cellStyle name="Normal 14 2 4 2 5 2 3 2" xfId="34253"/>
    <cellStyle name="Normal 14 2 4 2 5 2 4" xfId="27813"/>
    <cellStyle name="Normal 14 2 4 2 5 3" xfId="18106"/>
    <cellStyle name="Normal 14 2 4 2 5 3 2" xfId="40693"/>
    <cellStyle name="Normal 14 2 4 2 5 4" xfId="14886"/>
    <cellStyle name="Normal 14 2 4 2 5 4 2" xfId="37473"/>
    <cellStyle name="Normal 14 2 4 2 5 5" xfId="8446"/>
    <cellStyle name="Normal 14 2 4 2 5 5 2" xfId="31033"/>
    <cellStyle name="Normal 14 2 4 2 5 6" xfId="24593"/>
    <cellStyle name="Normal 14 2 4 2 6" xfId="3033"/>
    <cellStyle name="Normal 14 2 4 2 6 2" xfId="6253"/>
    <cellStyle name="Normal 14 2 4 2 6 2 2" xfId="22353"/>
    <cellStyle name="Normal 14 2 4 2 6 2 2 2" xfId="44940"/>
    <cellStyle name="Normal 14 2 4 2 6 2 3" xfId="12693"/>
    <cellStyle name="Normal 14 2 4 2 6 2 3 2" xfId="35280"/>
    <cellStyle name="Normal 14 2 4 2 6 2 4" xfId="28840"/>
    <cellStyle name="Normal 14 2 4 2 6 3" xfId="19133"/>
    <cellStyle name="Normal 14 2 4 2 6 3 2" xfId="41720"/>
    <cellStyle name="Normal 14 2 4 2 6 4" xfId="15913"/>
    <cellStyle name="Normal 14 2 4 2 6 4 2" xfId="38500"/>
    <cellStyle name="Normal 14 2 4 2 6 5" xfId="9473"/>
    <cellStyle name="Normal 14 2 4 2 6 5 2" xfId="32060"/>
    <cellStyle name="Normal 14 2 4 2 6 6" xfId="25620"/>
    <cellStyle name="Normal 14 2 4 2 7" xfId="3323"/>
    <cellStyle name="Normal 14 2 4 2 7 2" xfId="6543"/>
    <cellStyle name="Normal 14 2 4 2 7 2 2" xfId="22643"/>
    <cellStyle name="Normal 14 2 4 2 7 2 2 2" xfId="45230"/>
    <cellStyle name="Normal 14 2 4 2 7 2 3" xfId="12983"/>
    <cellStyle name="Normal 14 2 4 2 7 2 3 2" xfId="35570"/>
    <cellStyle name="Normal 14 2 4 2 7 2 4" xfId="29130"/>
    <cellStyle name="Normal 14 2 4 2 7 3" xfId="19423"/>
    <cellStyle name="Normal 14 2 4 2 7 3 2" xfId="42010"/>
    <cellStyle name="Normal 14 2 4 2 7 4" xfId="16203"/>
    <cellStyle name="Normal 14 2 4 2 7 4 2" xfId="38790"/>
    <cellStyle name="Normal 14 2 4 2 7 5" xfId="9763"/>
    <cellStyle name="Normal 14 2 4 2 7 5 2" xfId="32350"/>
    <cellStyle name="Normal 14 2 4 2 7 6" xfId="25910"/>
    <cellStyle name="Normal 14 2 4 2 8" xfId="674"/>
    <cellStyle name="Normal 14 2 4 2 8 2" xfId="3918"/>
    <cellStyle name="Normal 14 2 4 2 8 2 2" xfId="20018"/>
    <cellStyle name="Normal 14 2 4 2 8 2 2 2" xfId="42605"/>
    <cellStyle name="Normal 14 2 4 2 8 2 3" xfId="10358"/>
    <cellStyle name="Normal 14 2 4 2 8 2 3 2" xfId="32945"/>
    <cellStyle name="Normal 14 2 4 2 8 2 4" xfId="26505"/>
    <cellStyle name="Normal 14 2 4 2 8 3" xfId="16798"/>
    <cellStyle name="Normal 14 2 4 2 8 3 2" xfId="39385"/>
    <cellStyle name="Normal 14 2 4 2 8 4" xfId="13578"/>
    <cellStyle name="Normal 14 2 4 2 8 4 2" xfId="36165"/>
    <cellStyle name="Normal 14 2 4 2 8 5" xfId="7138"/>
    <cellStyle name="Normal 14 2 4 2 8 5 2" xfId="29725"/>
    <cellStyle name="Normal 14 2 4 2 8 6" xfId="23285"/>
    <cellStyle name="Normal 14 2 4 2 9" xfId="3613"/>
    <cellStyle name="Normal 14 2 4 2 9 2" xfId="19713"/>
    <cellStyle name="Normal 14 2 4 2 9 2 2" xfId="42300"/>
    <cellStyle name="Normal 14 2 4 2 9 3" xfId="10053"/>
    <cellStyle name="Normal 14 2 4 2 9 3 2" xfId="32640"/>
    <cellStyle name="Normal 14 2 4 2 9 4" xfId="26200"/>
    <cellStyle name="Normal 14 2 4 3" xfId="422"/>
    <cellStyle name="Normal 14 2 4 3 10" xfId="16589"/>
    <cellStyle name="Normal 14 2 4 3 10 2" xfId="39176"/>
    <cellStyle name="Normal 14 2 4 3 11" xfId="13369"/>
    <cellStyle name="Normal 14 2 4 3 11 2" xfId="35956"/>
    <cellStyle name="Normal 14 2 4 3 12" xfId="6929"/>
    <cellStyle name="Normal 14 2 4 3 12 2" xfId="29516"/>
    <cellStyle name="Normal 14 2 4 3 13" xfId="23076"/>
    <cellStyle name="Normal 14 2 4 3 2" xfId="1122"/>
    <cellStyle name="Normal 14 2 4 3 2 2" xfId="2436"/>
    <cellStyle name="Normal 14 2 4 3 2 2 2" xfId="5657"/>
    <cellStyle name="Normal 14 2 4 3 2 2 2 2" xfId="21757"/>
    <cellStyle name="Normal 14 2 4 3 2 2 2 2 2" xfId="44344"/>
    <cellStyle name="Normal 14 2 4 3 2 2 2 3" xfId="12097"/>
    <cellStyle name="Normal 14 2 4 3 2 2 2 3 2" xfId="34684"/>
    <cellStyle name="Normal 14 2 4 3 2 2 2 4" xfId="28244"/>
    <cellStyle name="Normal 14 2 4 3 2 2 3" xfId="18537"/>
    <cellStyle name="Normal 14 2 4 3 2 2 3 2" xfId="41124"/>
    <cellStyle name="Normal 14 2 4 3 2 2 4" xfId="15317"/>
    <cellStyle name="Normal 14 2 4 3 2 2 4 2" xfId="37904"/>
    <cellStyle name="Normal 14 2 4 3 2 2 5" xfId="8877"/>
    <cellStyle name="Normal 14 2 4 3 2 2 5 2" xfId="31464"/>
    <cellStyle name="Normal 14 2 4 3 2 2 6" xfId="25024"/>
    <cellStyle name="Normal 14 2 4 3 2 3" xfId="4349"/>
    <cellStyle name="Normal 14 2 4 3 2 3 2" xfId="20449"/>
    <cellStyle name="Normal 14 2 4 3 2 3 2 2" xfId="43036"/>
    <cellStyle name="Normal 14 2 4 3 2 3 3" xfId="10789"/>
    <cellStyle name="Normal 14 2 4 3 2 3 3 2" xfId="33376"/>
    <cellStyle name="Normal 14 2 4 3 2 3 4" xfId="26936"/>
    <cellStyle name="Normal 14 2 4 3 2 4" xfId="17229"/>
    <cellStyle name="Normal 14 2 4 3 2 4 2" xfId="39816"/>
    <cellStyle name="Normal 14 2 4 3 2 5" xfId="14009"/>
    <cellStyle name="Normal 14 2 4 3 2 5 2" xfId="36596"/>
    <cellStyle name="Normal 14 2 4 3 2 6" xfId="7569"/>
    <cellStyle name="Normal 14 2 4 3 2 6 2" xfId="30156"/>
    <cellStyle name="Normal 14 2 4 3 2 7" xfId="23716"/>
    <cellStyle name="Normal 14 2 4 3 3" xfId="1469"/>
    <cellStyle name="Normal 14 2 4 3 3 2" xfId="2783"/>
    <cellStyle name="Normal 14 2 4 3 3 2 2" xfId="6004"/>
    <cellStyle name="Normal 14 2 4 3 3 2 2 2" xfId="22104"/>
    <cellStyle name="Normal 14 2 4 3 3 2 2 2 2" xfId="44691"/>
    <cellStyle name="Normal 14 2 4 3 3 2 2 3" xfId="12444"/>
    <cellStyle name="Normal 14 2 4 3 3 2 2 3 2" xfId="35031"/>
    <cellStyle name="Normal 14 2 4 3 3 2 2 4" xfId="28591"/>
    <cellStyle name="Normal 14 2 4 3 3 2 3" xfId="18884"/>
    <cellStyle name="Normal 14 2 4 3 3 2 3 2" xfId="41471"/>
    <cellStyle name="Normal 14 2 4 3 3 2 4" xfId="15664"/>
    <cellStyle name="Normal 14 2 4 3 3 2 4 2" xfId="38251"/>
    <cellStyle name="Normal 14 2 4 3 3 2 5" xfId="9224"/>
    <cellStyle name="Normal 14 2 4 3 3 2 5 2" xfId="31811"/>
    <cellStyle name="Normal 14 2 4 3 3 2 6" xfId="25371"/>
    <cellStyle name="Normal 14 2 4 3 3 3" xfId="4696"/>
    <cellStyle name="Normal 14 2 4 3 3 3 2" xfId="20796"/>
    <cellStyle name="Normal 14 2 4 3 3 3 2 2" xfId="43383"/>
    <cellStyle name="Normal 14 2 4 3 3 3 3" xfId="11136"/>
    <cellStyle name="Normal 14 2 4 3 3 3 3 2" xfId="33723"/>
    <cellStyle name="Normal 14 2 4 3 3 3 4" xfId="27283"/>
    <cellStyle name="Normal 14 2 4 3 3 4" xfId="17576"/>
    <cellStyle name="Normal 14 2 4 3 3 4 2" xfId="40163"/>
    <cellStyle name="Normal 14 2 4 3 3 5" xfId="14356"/>
    <cellStyle name="Normal 14 2 4 3 3 5 2" xfId="36943"/>
    <cellStyle name="Normal 14 2 4 3 3 6" xfId="7916"/>
    <cellStyle name="Normal 14 2 4 3 3 6 2" xfId="30503"/>
    <cellStyle name="Normal 14 2 4 3 3 7" xfId="24063"/>
    <cellStyle name="Normal 14 2 4 3 4" xfId="1580"/>
    <cellStyle name="Normal 14 2 4 3 4 2" xfId="4806"/>
    <cellStyle name="Normal 14 2 4 3 4 2 2" xfId="20906"/>
    <cellStyle name="Normal 14 2 4 3 4 2 2 2" xfId="43493"/>
    <cellStyle name="Normal 14 2 4 3 4 2 3" xfId="11246"/>
    <cellStyle name="Normal 14 2 4 3 4 2 3 2" xfId="33833"/>
    <cellStyle name="Normal 14 2 4 3 4 2 4" xfId="27393"/>
    <cellStyle name="Normal 14 2 4 3 4 3" xfId="17686"/>
    <cellStyle name="Normal 14 2 4 3 4 3 2" xfId="40273"/>
    <cellStyle name="Normal 14 2 4 3 4 4" xfId="14466"/>
    <cellStyle name="Normal 14 2 4 3 4 4 2" xfId="37053"/>
    <cellStyle name="Normal 14 2 4 3 4 5" xfId="8026"/>
    <cellStyle name="Normal 14 2 4 3 4 5 2" xfId="30613"/>
    <cellStyle name="Normal 14 2 4 3 4 6" xfId="24173"/>
    <cellStyle name="Normal 14 2 4 3 5" xfId="2089"/>
    <cellStyle name="Normal 14 2 4 3 5 2" xfId="5310"/>
    <cellStyle name="Normal 14 2 4 3 5 2 2" xfId="21410"/>
    <cellStyle name="Normal 14 2 4 3 5 2 2 2" xfId="43997"/>
    <cellStyle name="Normal 14 2 4 3 5 2 3" xfId="11750"/>
    <cellStyle name="Normal 14 2 4 3 5 2 3 2" xfId="34337"/>
    <cellStyle name="Normal 14 2 4 3 5 2 4" xfId="27897"/>
    <cellStyle name="Normal 14 2 4 3 5 3" xfId="18190"/>
    <cellStyle name="Normal 14 2 4 3 5 3 2" xfId="40777"/>
    <cellStyle name="Normal 14 2 4 3 5 4" xfId="14970"/>
    <cellStyle name="Normal 14 2 4 3 5 4 2" xfId="37557"/>
    <cellStyle name="Normal 14 2 4 3 5 5" xfId="8530"/>
    <cellStyle name="Normal 14 2 4 3 5 5 2" xfId="31117"/>
    <cellStyle name="Normal 14 2 4 3 5 6" xfId="24677"/>
    <cellStyle name="Normal 14 2 4 3 6" xfId="3129"/>
    <cellStyle name="Normal 14 2 4 3 6 2" xfId="6349"/>
    <cellStyle name="Normal 14 2 4 3 6 2 2" xfId="22449"/>
    <cellStyle name="Normal 14 2 4 3 6 2 2 2" xfId="45036"/>
    <cellStyle name="Normal 14 2 4 3 6 2 3" xfId="12789"/>
    <cellStyle name="Normal 14 2 4 3 6 2 3 2" xfId="35376"/>
    <cellStyle name="Normal 14 2 4 3 6 2 4" xfId="28936"/>
    <cellStyle name="Normal 14 2 4 3 6 3" xfId="19229"/>
    <cellStyle name="Normal 14 2 4 3 6 3 2" xfId="41816"/>
    <cellStyle name="Normal 14 2 4 3 6 4" xfId="16009"/>
    <cellStyle name="Normal 14 2 4 3 6 4 2" xfId="38596"/>
    <cellStyle name="Normal 14 2 4 3 6 5" xfId="9569"/>
    <cellStyle name="Normal 14 2 4 3 6 5 2" xfId="32156"/>
    <cellStyle name="Normal 14 2 4 3 6 6" xfId="25716"/>
    <cellStyle name="Normal 14 2 4 3 7" xfId="3419"/>
    <cellStyle name="Normal 14 2 4 3 7 2" xfId="6639"/>
    <cellStyle name="Normal 14 2 4 3 7 2 2" xfId="22739"/>
    <cellStyle name="Normal 14 2 4 3 7 2 2 2" xfId="45326"/>
    <cellStyle name="Normal 14 2 4 3 7 2 3" xfId="13079"/>
    <cellStyle name="Normal 14 2 4 3 7 2 3 2" xfId="35666"/>
    <cellStyle name="Normal 14 2 4 3 7 2 4" xfId="29226"/>
    <cellStyle name="Normal 14 2 4 3 7 3" xfId="19519"/>
    <cellStyle name="Normal 14 2 4 3 7 3 2" xfId="42106"/>
    <cellStyle name="Normal 14 2 4 3 7 4" xfId="16299"/>
    <cellStyle name="Normal 14 2 4 3 7 4 2" xfId="38886"/>
    <cellStyle name="Normal 14 2 4 3 7 5" xfId="9859"/>
    <cellStyle name="Normal 14 2 4 3 7 5 2" xfId="32446"/>
    <cellStyle name="Normal 14 2 4 3 7 6" xfId="26006"/>
    <cellStyle name="Normal 14 2 4 3 8" xfId="770"/>
    <cellStyle name="Normal 14 2 4 3 8 2" xfId="4002"/>
    <cellStyle name="Normal 14 2 4 3 8 2 2" xfId="20102"/>
    <cellStyle name="Normal 14 2 4 3 8 2 2 2" xfId="42689"/>
    <cellStyle name="Normal 14 2 4 3 8 2 3" xfId="10442"/>
    <cellStyle name="Normal 14 2 4 3 8 2 3 2" xfId="33029"/>
    <cellStyle name="Normal 14 2 4 3 8 2 4" xfId="26589"/>
    <cellStyle name="Normal 14 2 4 3 8 3" xfId="16882"/>
    <cellStyle name="Normal 14 2 4 3 8 3 2" xfId="39469"/>
    <cellStyle name="Normal 14 2 4 3 8 4" xfId="13662"/>
    <cellStyle name="Normal 14 2 4 3 8 4 2" xfId="36249"/>
    <cellStyle name="Normal 14 2 4 3 8 5" xfId="7222"/>
    <cellStyle name="Normal 14 2 4 3 8 5 2" xfId="29809"/>
    <cellStyle name="Normal 14 2 4 3 8 6" xfId="23369"/>
    <cellStyle name="Normal 14 2 4 3 9" xfId="3709"/>
    <cellStyle name="Normal 14 2 4 3 9 2" xfId="19809"/>
    <cellStyle name="Normal 14 2 4 3 9 2 2" xfId="42396"/>
    <cellStyle name="Normal 14 2 4 3 9 3" xfId="10149"/>
    <cellStyle name="Normal 14 2 4 3 9 3 2" xfId="32736"/>
    <cellStyle name="Normal 14 2 4 3 9 4" xfId="26296"/>
    <cellStyle name="Normal 14 2 4 4" xfId="917"/>
    <cellStyle name="Normal 14 2 4 4 2" xfId="2236"/>
    <cellStyle name="Normal 14 2 4 4 2 2" xfId="5457"/>
    <cellStyle name="Normal 14 2 4 4 2 2 2" xfId="21557"/>
    <cellStyle name="Normal 14 2 4 4 2 2 2 2" xfId="44144"/>
    <cellStyle name="Normal 14 2 4 4 2 2 3" xfId="11897"/>
    <cellStyle name="Normal 14 2 4 4 2 2 3 2" xfId="34484"/>
    <cellStyle name="Normal 14 2 4 4 2 2 4" xfId="28044"/>
    <cellStyle name="Normal 14 2 4 4 2 3" xfId="18337"/>
    <cellStyle name="Normal 14 2 4 4 2 3 2" xfId="40924"/>
    <cellStyle name="Normal 14 2 4 4 2 4" xfId="15117"/>
    <cellStyle name="Normal 14 2 4 4 2 4 2" xfId="37704"/>
    <cellStyle name="Normal 14 2 4 4 2 5" xfId="8677"/>
    <cellStyle name="Normal 14 2 4 4 2 5 2" xfId="31264"/>
    <cellStyle name="Normal 14 2 4 4 2 6" xfId="24824"/>
    <cellStyle name="Normal 14 2 4 4 3" xfId="4149"/>
    <cellStyle name="Normal 14 2 4 4 3 2" xfId="20249"/>
    <cellStyle name="Normal 14 2 4 4 3 2 2" xfId="42836"/>
    <cellStyle name="Normal 14 2 4 4 3 3" xfId="10589"/>
    <cellStyle name="Normal 14 2 4 4 3 3 2" xfId="33176"/>
    <cellStyle name="Normal 14 2 4 4 3 4" xfId="26736"/>
    <cellStyle name="Normal 14 2 4 4 4" xfId="17029"/>
    <cellStyle name="Normal 14 2 4 4 4 2" xfId="39616"/>
    <cellStyle name="Normal 14 2 4 4 5" xfId="13809"/>
    <cellStyle name="Normal 14 2 4 4 5 2" xfId="36396"/>
    <cellStyle name="Normal 14 2 4 4 6" xfId="7369"/>
    <cellStyle name="Normal 14 2 4 4 6 2" xfId="29956"/>
    <cellStyle name="Normal 14 2 4 4 7" xfId="23516"/>
    <cellStyle name="Normal 14 2 4 5" xfId="1269"/>
    <cellStyle name="Normal 14 2 4 5 2" xfId="2583"/>
    <cellStyle name="Normal 14 2 4 5 2 2" xfId="5804"/>
    <cellStyle name="Normal 14 2 4 5 2 2 2" xfId="21904"/>
    <cellStyle name="Normal 14 2 4 5 2 2 2 2" xfId="44491"/>
    <cellStyle name="Normal 14 2 4 5 2 2 3" xfId="12244"/>
    <cellStyle name="Normal 14 2 4 5 2 2 3 2" xfId="34831"/>
    <cellStyle name="Normal 14 2 4 5 2 2 4" xfId="28391"/>
    <cellStyle name="Normal 14 2 4 5 2 3" xfId="18684"/>
    <cellStyle name="Normal 14 2 4 5 2 3 2" xfId="41271"/>
    <cellStyle name="Normal 14 2 4 5 2 4" xfId="15464"/>
    <cellStyle name="Normal 14 2 4 5 2 4 2" xfId="38051"/>
    <cellStyle name="Normal 14 2 4 5 2 5" xfId="9024"/>
    <cellStyle name="Normal 14 2 4 5 2 5 2" xfId="31611"/>
    <cellStyle name="Normal 14 2 4 5 2 6" xfId="25171"/>
    <cellStyle name="Normal 14 2 4 5 3" xfId="4496"/>
    <cellStyle name="Normal 14 2 4 5 3 2" xfId="20596"/>
    <cellStyle name="Normal 14 2 4 5 3 2 2" xfId="43183"/>
    <cellStyle name="Normal 14 2 4 5 3 3" xfId="10936"/>
    <cellStyle name="Normal 14 2 4 5 3 3 2" xfId="33523"/>
    <cellStyle name="Normal 14 2 4 5 3 4" xfId="27083"/>
    <cellStyle name="Normal 14 2 4 5 4" xfId="17376"/>
    <cellStyle name="Normal 14 2 4 5 4 2" xfId="39963"/>
    <cellStyle name="Normal 14 2 4 5 5" xfId="14156"/>
    <cellStyle name="Normal 14 2 4 5 5 2" xfId="36743"/>
    <cellStyle name="Normal 14 2 4 5 6" xfId="7716"/>
    <cellStyle name="Normal 14 2 4 5 6 2" xfId="30303"/>
    <cellStyle name="Normal 14 2 4 5 7" xfId="23863"/>
    <cellStyle name="Normal 14 2 4 6" xfId="1581"/>
    <cellStyle name="Normal 14 2 4 6 2" xfId="4807"/>
    <cellStyle name="Normal 14 2 4 6 2 2" xfId="20907"/>
    <cellStyle name="Normal 14 2 4 6 2 2 2" xfId="43494"/>
    <cellStyle name="Normal 14 2 4 6 2 3" xfId="11247"/>
    <cellStyle name="Normal 14 2 4 6 2 3 2" xfId="33834"/>
    <cellStyle name="Normal 14 2 4 6 2 4" xfId="27394"/>
    <cellStyle name="Normal 14 2 4 6 3" xfId="17687"/>
    <cellStyle name="Normal 14 2 4 6 3 2" xfId="40274"/>
    <cellStyle name="Normal 14 2 4 6 4" xfId="14467"/>
    <cellStyle name="Normal 14 2 4 6 4 2" xfId="37054"/>
    <cellStyle name="Normal 14 2 4 6 5" xfId="8027"/>
    <cellStyle name="Normal 14 2 4 6 5 2" xfId="30614"/>
    <cellStyle name="Normal 14 2 4 6 6" xfId="24174"/>
    <cellStyle name="Normal 14 2 4 7" xfId="1888"/>
    <cellStyle name="Normal 14 2 4 7 2" xfId="5110"/>
    <cellStyle name="Normal 14 2 4 7 2 2" xfId="21210"/>
    <cellStyle name="Normal 14 2 4 7 2 2 2" xfId="43797"/>
    <cellStyle name="Normal 14 2 4 7 2 3" xfId="11550"/>
    <cellStyle name="Normal 14 2 4 7 2 3 2" xfId="34137"/>
    <cellStyle name="Normal 14 2 4 7 2 4" xfId="27697"/>
    <cellStyle name="Normal 14 2 4 7 3" xfId="17990"/>
    <cellStyle name="Normal 14 2 4 7 3 2" xfId="40577"/>
    <cellStyle name="Normal 14 2 4 7 4" xfId="14770"/>
    <cellStyle name="Normal 14 2 4 7 4 2" xfId="37357"/>
    <cellStyle name="Normal 14 2 4 7 5" xfId="8330"/>
    <cellStyle name="Normal 14 2 4 7 5 2" xfId="30917"/>
    <cellStyle name="Normal 14 2 4 7 6" xfId="24477"/>
    <cellStyle name="Normal 14 2 4 8" xfId="2935"/>
    <cellStyle name="Normal 14 2 4 8 2" xfId="6156"/>
    <cellStyle name="Normal 14 2 4 8 2 2" xfId="22256"/>
    <cellStyle name="Normal 14 2 4 8 2 2 2" xfId="44843"/>
    <cellStyle name="Normal 14 2 4 8 2 3" xfId="12596"/>
    <cellStyle name="Normal 14 2 4 8 2 3 2" xfId="35183"/>
    <cellStyle name="Normal 14 2 4 8 2 4" xfId="28743"/>
    <cellStyle name="Normal 14 2 4 8 3" xfId="19036"/>
    <cellStyle name="Normal 14 2 4 8 3 2" xfId="41623"/>
    <cellStyle name="Normal 14 2 4 8 4" xfId="15816"/>
    <cellStyle name="Normal 14 2 4 8 4 2" xfId="38403"/>
    <cellStyle name="Normal 14 2 4 8 5" xfId="9376"/>
    <cellStyle name="Normal 14 2 4 8 5 2" xfId="31963"/>
    <cellStyle name="Normal 14 2 4 8 6" xfId="25523"/>
    <cellStyle name="Normal 14 2 4 9" xfId="3226"/>
    <cellStyle name="Normal 14 2 4 9 2" xfId="6446"/>
    <cellStyle name="Normal 14 2 4 9 2 2" xfId="22546"/>
    <cellStyle name="Normal 14 2 4 9 2 2 2" xfId="45133"/>
    <cellStyle name="Normal 14 2 4 9 2 3" xfId="12886"/>
    <cellStyle name="Normal 14 2 4 9 2 3 2" xfId="35473"/>
    <cellStyle name="Normal 14 2 4 9 2 4" xfId="29033"/>
    <cellStyle name="Normal 14 2 4 9 3" xfId="19326"/>
    <cellStyle name="Normal 14 2 4 9 3 2" xfId="41913"/>
    <cellStyle name="Normal 14 2 4 9 4" xfId="16106"/>
    <cellStyle name="Normal 14 2 4 9 4 2" xfId="38693"/>
    <cellStyle name="Normal 14 2 4 9 5" xfId="9666"/>
    <cellStyle name="Normal 14 2 4 9 5 2" xfId="32253"/>
    <cellStyle name="Normal 14 2 4 9 6" xfId="25813"/>
    <cellStyle name="Normal 14 2 5" xfId="251"/>
    <cellStyle name="Normal 14 2 5 10" xfId="16419"/>
    <cellStyle name="Normal 14 2 5 10 2" xfId="39006"/>
    <cellStyle name="Normal 14 2 5 11" xfId="13199"/>
    <cellStyle name="Normal 14 2 5 11 2" xfId="35786"/>
    <cellStyle name="Normal 14 2 5 12" xfId="6759"/>
    <cellStyle name="Normal 14 2 5 12 2" xfId="29346"/>
    <cellStyle name="Normal 14 2 5 13" xfId="22906"/>
    <cellStyle name="Normal 14 2 5 2" xfId="967"/>
    <cellStyle name="Normal 14 2 5 2 2" xfId="1582"/>
    <cellStyle name="Normal 14 2 5 2 2 2" xfId="4808"/>
    <cellStyle name="Normal 14 2 5 2 2 2 2" xfId="20908"/>
    <cellStyle name="Normal 14 2 5 2 2 2 2 2" xfId="43495"/>
    <cellStyle name="Normal 14 2 5 2 2 2 3" xfId="11248"/>
    <cellStyle name="Normal 14 2 5 2 2 2 3 2" xfId="33835"/>
    <cellStyle name="Normal 14 2 5 2 2 2 4" xfId="27395"/>
    <cellStyle name="Normal 14 2 5 2 2 3" xfId="17688"/>
    <cellStyle name="Normal 14 2 5 2 2 3 2" xfId="40275"/>
    <cellStyle name="Normal 14 2 5 2 2 4" xfId="14468"/>
    <cellStyle name="Normal 14 2 5 2 2 4 2" xfId="37055"/>
    <cellStyle name="Normal 14 2 5 2 2 5" xfId="8028"/>
    <cellStyle name="Normal 14 2 5 2 2 5 2" xfId="30615"/>
    <cellStyle name="Normal 14 2 5 2 2 6" xfId="24175"/>
    <cellStyle name="Normal 14 2 5 2 3" xfId="2285"/>
    <cellStyle name="Normal 14 2 5 2 3 2" xfId="5506"/>
    <cellStyle name="Normal 14 2 5 2 3 2 2" xfId="21606"/>
    <cellStyle name="Normal 14 2 5 2 3 2 2 2" xfId="44193"/>
    <cellStyle name="Normal 14 2 5 2 3 2 3" xfId="11946"/>
    <cellStyle name="Normal 14 2 5 2 3 2 3 2" xfId="34533"/>
    <cellStyle name="Normal 14 2 5 2 3 2 4" xfId="28093"/>
    <cellStyle name="Normal 14 2 5 2 3 3" xfId="18386"/>
    <cellStyle name="Normal 14 2 5 2 3 3 2" xfId="40973"/>
    <cellStyle name="Normal 14 2 5 2 3 4" xfId="15166"/>
    <cellStyle name="Normal 14 2 5 2 3 4 2" xfId="37753"/>
    <cellStyle name="Normal 14 2 5 2 3 5" xfId="8726"/>
    <cellStyle name="Normal 14 2 5 2 3 5 2" xfId="31313"/>
    <cellStyle name="Normal 14 2 5 2 3 6" xfId="24873"/>
    <cellStyle name="Normal 14 2 5 2 4" xfId="4198"/>
    <cellStyle name="Normal 14 2 5 2 4 2" xfId="20298"/>
    <cellStyle name="Normal 14 2 5 2 4 2 2" xfId="42885"/>
    <cellStyle name="Normal 14 2 5 2 4 3" xfId="10638"/>
    <cellStyle name="Normal 14 2 5 2 4 3 2" xfId="33225"/>
    <cellStyle name="Normal 14 2 5 2 4 4" xfId="26785"/>
    <cellStyle name="Normal 14 2 5 2 5" xfId="17078"/>
    <cellStyle name="Normal 14 2 5 2 5 2" xfId="39665"/>
    <cellStyle name="Normal 14 2 5 2 6" xfId="13858"/>
    <cellStyle name="Normal 14 2 5 2 6 2" xfId="36445"/>
    <cellStyle name="Normal 14 2 5 2 7" xfId="7418"/>
    <cellStyle name="Normal 14 2 5 2 7 2" xfId="30005"/>
    <cellStyle name="Normal 14 2 5 2 8" xfId="23565"/>
    <cellStyle name="Normal 14 2 5 3" xfId="1318"/>
    <cellStyle name="Normal 14 2 5 3 2" xfId="2632"/>
    <cellStyle name="Normal 14 2 5 3 2 2" xfId="5853"/>
    <cellStyle name="Normal 14 2 5 3 2 2 2" xfId="21953"/>
    <cellStyle name="Normal 14 2 5 3 2 2 2 2" xfId="44540"/>
    <cellStyle name="Normal 14 2 5 3 2 2 3" xfId="12293"/>
    <cellStyle name="Normal 14 2 5 3 2 2 3 2" xfId="34880"/>
    <cellStyle name="Normal 14 2 5 3 2 2 4" xfId="28440"/>
    <cellStyle name="Normal 14 2 5 3 2 3" xfId="18733"/>
    <cellStyle name="Normal 14 2 5 3 2 3 2" xfId="41320"/>
    <cellStyle name="Normal 14 2 5 3 2 4" xfId="15513"/>
    <cellStyle name="Normal 14 2 5 3 2 4 2" xfId="38100"/>
    <cellStyle name="Normal 14 2 5 3 2 5" xfId="9073"/>
    <cellStyle name="Normal 14 2 5 3 2 5 2" xfId="31660"/>
    <cellStyle name="Normal 14 2 5 3 2 6" xfId="25220"/>
    <cellStyle name="Normal 14 2 5 3 3" xfId="4545"/>
    <cellStyle name="Normal 14 2 5 3 3 2" xfId="20645"/>
    <cellStyle name="Normal 14 2 5 3 3 2 2" xfId="43232"/>
    <cellStyle name="Normal 14 2 5 3 3 3" xfId="10985"/>
    <cellStyle name="Normal 14 2 5 3 3 3 2" xfId="33572"/>
    <cellStyle name="Normal 14 2 5 3 3 4" xfId="27132"/>
    <cellStyle name="Normal 14 2 5 3 4" xfId="17425"/>
    <cellStyle name="Normal 14 2 5 3 4 2" xfId="40012"/>
    <cellStyle name="Normal 14 2 5 3 5" xfId="14205"/>
    <cellStyle name="Normal 14 2 5 3 5 2" xfId="36792"/>
    <cellStyle name="Normal 14 2 5 3 6" xfId="7765"/>
    <cellStyle name="Normal 14 2 5 3 6 2" xfId="30352"/>
    <cellStyle name="Normal 14 2 5 3 7" xfId="23912"/>
    <cellStyle name="Normal 14 2 5 4" xfId="1583"/>
    <cellStyle name="Normal 14 2 5 4 2" xfId="4809"/>
    <cellStyle name="Normal 14 2 5 4 2 2" xfId="20909"/>
    <cellStyle name="Normal 14 2 5 4 2 2 2" xfId="43496"/>
    <cellStyle name="Normal 14 2 5 4 2 3" xfId="11249"/>
    <cellStyle name="Normal 14 2 5 4 2 3 2" xfId="33836"/>
    <cellStyle name="Normal 14 2 5 4 2 4" xfId="27396"/>
    <cellStyle name="Normal 14 2 5 4 3" xfId="17689"/>
    <cellStyle name="Normal 14 2 5 4 3 2" xfId="40276"/>
    <cellStyle name="Normal 14 2 5 4 4" xfId="14469"/>
    <cellStyle name="Normal 14 2 5 4 4 2" xfId="37056"/>
    <cellStyle name="Normal 14 2 5 4 5" xfId="8029"/>
    <cellStyle name="Normal 14 2 5 4 5 2" xfId="30616"/>
    <cellStyle name="Normal 14 2 5 4 6" xfId="24176"/>
    <cellStyle name="Normal 14 2 5 5" xfId="1937"/>
    <cellStyle name="Normal 14 2 5 5 2" xfId="5159"/>
    <cellStyle name="Normal 14 2 5 5 2 2" xfId="21259"/>
    <cellStyle name="Normal 14 2 5 5 2 2 2" xfId="43846"/>
    <cellStyle name="Normal 14 2 5 5 2 3" xfId="11599"/>
    <cellStyle name="Normal 14 2 5 5 2 3 2" xfId="34186"/>
    <cellStyle name="Normal 14 2 5 5 2 4" xfId="27746"/>
    <cellStyle name="Normal 14 2 5 5 3" xfId="18039"/>
    <cellStyle name="Normal 14 2 5 5 3 2" xfId="40626"/>
    <cellStyle name="Normal 14 2 5 5 4" xfId="14819"/>
    <cellStyle name="Normal 14 2 5 5 4 2" xfId="37406"/>
    <cellStyle name="Normal 14 2 5 5 5" xfId="8379"/>
    <cellStyle name="Normal 14 2 5 5 5 2" xfId="30966"/>
    <cellStyle name="Normal 14 2 5 5 6" xfId="24526"/>
    <cellStyle name="Normal 14 2 5 6" xfId="2958"/>
    <cellStyle name="Normal 14 2 5 6 2" xfId="6179"/>
    <cellStyle name="Normal 14 2 5 6 2 2" xfId="22279"/>
    <cellStyle name="Normal 14 2 5 6 2 2 2" xfId="44866"/>
    <cellStyle name="Normal 14 2 5 6 2 3" xfId="12619"/>
    <cellStyle name="Normal 14 2 5 6 2 3 2" xfId="35206"/>
    <cellStyle name="Normal 14 2 5 6 2 4" xfId="28766"/>
    <cellStyle name="Normal 14 2 5 6 3" xfId="19059"/>
    <cellStyle name="Normal 14 2 5 6 3 2" xfId="41646"/>
    <cellStyle name="Normal 14 2 5 6 4" xfId="15839"/>
    <cellStyle name="Normal 14 2 5 6 4 2" xfId="38426"/>
    <cellStyle name="Normal 14 2 5 6 5" xfId="9399"/>
    <cellStyle name="Normal 14 2 5 6 5 2" xfId="31986"/>
    <cellStyle name="Normal 14 2 5 6 6" xfId="25546"/>
    <cellStyle name="Normal 14 2 5 7" xfId="3249"/>
    <cellStyle name="Normal 14 2 5 7 2" xfId="6469"/>
    <cellStyle name="Normal 14 2 5 7 2 2" xfId="22569"/>
    <cellStyle name="Normal 14 2 5 7 2 2 2" xfId="45156"/>
    <cellStyle name="Normal 14 2 5 7 2 3" xfId="12909"/>
    <cellStyle name="Normal 14 2 5 7 2 3 2" xfId="35496"/>
    <cellStyle name="Normal 14 2 5 7 2 4" xfId="29056"/>
    <cellStyle name="Normal 14 2 5 7 3" xfId="19349"/>
    <cellStyle name="Normal 14 2 5 7 3 2" xfId="41936"/>
    <cellStyle name="Normal 14 2 5 7 4" xfId="16129"/>
    <cellStyle name="Normal 14 2 5 7 4 2" xfId="38716"/>
    <cellStyle name="Normal 14 2 5 7 5" xfId="9689"/>
    <cellStyle name="Normal 14 2 5 7 5 2" xfId="32276"/>
    <cellStyle name="Normal 14 2 5 7 6" xfId="25836"/>
    <cellStyle name="Normal 14 2 5 8" xfId="581"/>
    <cellStyle name="Normal 14 2 5 8 2" xfId="3851"/>
    <cellStyle name="Normal 14 2 5 8 2 2" xfId="19951"/>
    <cellStyle name="Normal 14 2 5 8 2 2 2" xfId="42538"/>
    <cellStyle name="Normal 14 2 5 8 2 3" xfId="10291"/>
    <cellStyle name="Normal 14 2 5 8 2 3 2" xfId="32878"/>
    <cellStyle name="Normal 14 2 5 8 2 4" xfId="26438"/>
    <cellStyle name="Normal 14 2 5 8 3" xfId="16731"/>
    <cellStyle name="Normal 14 2 5 8 3 2" xfId="39318"/>
    <cellStyle name="Normal 14 2 5 8 4" xfId="13511"/>
    <cellStyle name="Normal 14 2 5 8 4 2" xfId="36098"/>
    <cellStyle name="Normal 14 2 5 8 5" xfId="7071"/>
    <cellStyle name="Normal 14 2 5 8 5 2" xfId="29658"/>
    <cellStyle name="Normal 14 2 5 8 6" xfId="23218"/>
    <cellStyle name="Normal 14 2 5 9" xfId="3539"/>
    <cellStyle name="Normal 14 2 5 9 2" xfId="19639"/>
    <cellStyle name="Normal 14 2 5 9 2 2" xfId="42226"/>
    <cellStyle name="Normal 14 2 5 9 3" xfId="9979"/>
    <cellStyle name="Normal 14 2 5 9 3 2" xfId="32566"/>
    <cellStyle name="Normal 14 2 5 9 4" xfId="26126"/>
    <cellStyle name="Normal 14 2 6" xfId="345"/>
    <cellStyle name="Normal 14 2 6 10" xfId="16512"/>
    <cellStyle name="Normal 14 2 6 10 2" xfId="39099"/>
    <cellStyle name="Normal 14 2 6 11" xfId="13292"/>
    <cellStyle name="Normal 14 2 6 11 2" xfId="35879"/>
    <cellStyle name="Normal 14 2 6 12" xfId="6852"/>
    <cellStyle name="Normal 14 2 6 12 2" xfId="29439"/>
    <cellStyle name="Normal 14 2 6 13" xfId="22999"/>
    <cellStyle name="Normal 14 2 6 2" xfId="1083"/>
    <cellStyle name="Normal 14 2 6 2 2" xfId="2397"/>
    <cellStyle name="Normal 14 2 6 2 2 2" xfId="5618"/>
    <cellStyle name="Normal 14 2 6 2 2 2 2" xfId="21718"/>
    <cellStyle name="Normal 14 2 6 2 2 2 2 2" xfId="44305"/>
    <cellStyle name="Normal 14 2 6 2 2 2 3" xfId="12058"/>
    <cellStyle name="Normal 14 2 6 2 2 2 3 2" xfId="34645"/>
    <cellStyle name="Normal 14 2 6 2 2 2 4" xfId="28205"/>
    <cellStyle name="Normal 14 2 6 2 2 3" xfId="18498"/>
    <cellStyle name="Normal 14 2 6 2 2 3 2" xfId="41085"/>
    <cellStyle name="Normal 14 2 6 2 2 4" xfId="15278"/>
    <cellStyle name="Normal 14 2 6 2 2 4 2" xfId="37865"/>
    <cellStyle name="Normal 14 2 6 2 2 5" xfId="8838"/>
    <cellStyle name="Normal 14 2 6 2 2 5 2" xfId="31425"/>
    <cellStyle name="Normal 14 2 6 2 2 6" xfId="24985"/>
    <cellStyle name="Normal 14 2 6 2 3" xfId="4310"/>
    <cellStyle name="Normal 14 2 6 2 3 2" xfId="20410"/>
    <cellStyle name="Normal 14 2 6 2 3 2 2" xfId="42997"/>
    <cellStyle name="Normal 14 2 6 2 3 3" xfId="10750"/>
    <cellStyle name="Normal 14 2 6 2 3 3 2" xfId="33337"/>
    <cellStyle name="Normal 14 2 6 2 3 4" xfId="26897"/>
    <cellStyle name="Normal 14 2 6 2 4" xfId="17190"/>
    <cellStyle name="Normal 14 2 6 2 4 2" xfId="39777"/>
    <cellStyle name="Normal 14 2 6 2 5" xfId="13970"/>
    <cellStyle name="Normal 14 2 6 2 5 2" xfId="36557"/>
    <cellStyle name="Normal 14 2 6 2 6" xfId="7530"/>
    <cellStyle name="Normal 14 2 6 2 6 2" xfId="30117"/>
    <cellStyle name="Normal 14 2 6 2 7" xfId="23677"/>
    <cellStyle name="Normal 14 2 6 3" xfId="1430"/>
    <cellStyle name="Normal 14 2 6 3 2" xfId="2744"/>
    <cellStyle name="Normal 14 2 6 3 2 2" xfId="5965"/>
    <cellStyle name="Normal 14 2 6 3 2 2 2" xfId="22065"/>
    <cellStyle name="Normal 14 2 6 3 2 2 2 2" xfId="44652"/>
    <cellStyle name="Normal 14 2 6 3 2 2 3" xfId="12405"/>
    <cellStyle name="Normal 14 2 6 3 2 2 3 2" xfId="34992"/>
    <cellStyle name="Normal 14 2 6 3 2 2 4" xfId="28552"/>
    <cellStyle name="Normal 14 2 6 3 2 3" xfId="18845"/>
    <cellStyle name="Normal 14 2 6 3 2 3 2" xfId="41432"/>
    <cellStyle name="Normal 14 2 6 3 2 4" xfId="15625"/>
    <cellStyle name="Normal 14 2 6 3 2 4 2" xfId="38212"/>
    <cellStyle name="Normal 14 2 6 3 2 5" xfId="9185"/>
    <cellStyle name="Normal 14 2 6 3 2 5 2" xfId="31772"/>
    <cellStyle name="Normal 14 2 6 3 2 6" xfId="25332"/>
    <cellStyle name="Normal 14 2 6 3 3" xfId="4657"/>
    <cellStyle name="Normal 14 2 6 3 3 2" xfId="20757"/>
    <cellStyle name="Normal 14 2 6 3 3 2 2" xfId="43344"/>
    <cellStyle name="Normal 14 2 6 3 3 3" xfId="11097"/>
    <cellStyle name="Normal 14 2 6 3 3 3 2" xfId="33684"/>
    <cellStyle name="Normal 14 2 6 3 3 4" xfId="27244"/>
    <cellStyle name="Normal 14 2 6 3 4" xfId="17537"/>
    <cellStyle name="Normal 14 2 6 3 4 2" xfId="40124"/>
    <cellStyle name="Normal 14 2 6 3 5" xfId="14317"/>
    <cellStyle name="Normal 14 2 6 3 5 2" xfId="36904"/>
    <cellStyle name="Normal 14 2 6 3 6" xfId="7877"/>
    <cellStyle name="Normal 14 2 6 3 6 2" xfId="30464"/>
    <cellStyle name="Normal 14 2 6 3 7" xfId="24024"/>
    <cellStyle name="Normal 14 2 6 4" xfId="1584"/>
    <cellStyle name="Normal 14 2 6 4 2" xfId="4810"/>
    <cellStyle name="Normal 14 2 6 4 2 2" xfId="20910"/>
    <cellStyle name="Normal 14 2 6 4 2 2 2" xfId="43497"/>
    <cellStyle name="Normal 14 2 6 4 2 3" xfId="11250"/>
    <cellStyle name="Normal 14 2 6 4 2 3 2" xfId="33837"/>
    <cellStyle name="Normal 14 2 6 4 2 4" xfId="27397"/>
    <cellStyle name="Normal 14 2 6 4 3" xfId="17690"/>
    <cellStyle name="Normal 14 2 6 4 3 2" xfId="40277"/>
    <cellStyle name="Normal 14 2 6 4 4" xfId="14470"/>
    <cellStyle name="Normal 14 2 6 4 4 2" xfId="37057"/>
    <cellStyle name="Normal 14 2 6 4 5" xfId="8030"/>
    <cellStyle name="Normal 14 2 6 4 5 2" xfId="30617"/>
    <cellStyle name="Normal 14 2 6 4 6" xfId="24177"/>
    <cellStyle name="Normal 14 2 6 5" xfId="2050"/>
    <cellStyle name="Normal 14 2 6 5 2" xfId="5271"/>
    <cellStyle name="Normal 14 2 6 5 2 2" xfId="21371"/>
    <cellStyle name="Normal 14 2 6 5 2 2 2" xfId="43958"/>
    <cellStyle name="Normal 14 2 6 5 2 3" xfId="11711"/>
    <cellStyle name="Normal 14 2 6 5 2 3 2" xfId="34298"/>
    <cellStyle name="Normal 14 2 6 5 2 4" xfId="27858"/>
    <cellStyle name="Normal 14 2 6 5 3" xfId="18151"/>
    <cellStyle name="Normal 14 2 6 5 3 2" xfId="40738"/>
    <cellStyle name="Normal 14 2 6 5 4" xfId="14931"/>
    <cellStyle name="Normal 14 2 6 5 4 2" xfId="37518"/>
    <cellStyle name="Normal 14 2 6 5 5" xfId="8491"/>
    <cellStyle name="Normal 14 2 6 5 5 2" xfId="31078"/>
    <cellStyle name="Normal 14 2 6 5 6" xfId="24638"/>
    <cellStyle name="Normal 14 2 6 6" xfId="3052"/>
    <cellStyle name="Normal 14 2 6 6 2" xfId="6272"/>
    <cellStyle name="Normal 14 2 6 6 2 2" xfId="22372"/>
    <cellStyle name="Normal 14 2 6 6 2 2 2" xfId="44959"/>
    <cellStyle name="Normal 14 2 6 6 2 3" xfId="12712"/>
    <cellStyle name="Normal 14 2 6 6 2 3 2" xfId="35299"/>
    <cellStyle name="Normal 14 2 6 6 2 4" xfId="28859"/>
    <cellStyle name="Normal 14 2 6 6 3" xfId="19152"/>
    <cellStyle name="Normal 14 2 6 6 3 2" xfId="41739"/>
    <cellStyle name="Normal 14 2 6 6 4" xfId="15932"/>
    <cellStyle name="Normal 14 2 6 6 4 2" xfId="38519"/>
    <cellStyle name="Normal 14 2 6 6 5" xfId="9492"/>
    <cellStyle name="Normal 14 2 6 6 5 2" xfId="32079"/>
    <cellStyle name="Normal 14 2 6 6 6" xfId="25639"/>
    <cellStyle name="Normal 14 2 6 7" xfId="3342"/>
    <cellStyle name="Normal 14 2 6 7 2" xfId="6562"/>
    <cellStyle name="Normal 14 2 6 7 2 2" xfId="22662"/>
    <cellStyle name="Normal 14 2 6 7 2 2 2" xfId="45249"/>
    <cellStyle name="Normal 14 2 6 7 2 3" xfId="13002"/>
    <cellStyle name="Normal 14 2 6 7 2 3 2" xfId="35589"/>
    <cellStyle name="Normal 14 2 6 7 2 4" xfId="29149"/>
    <cellStyle name="Normal 14 2 6 7 3" xfId="19442"/>
    <cellStyle name="Normal 14 2 6 7 3 2" xfId="42029"/>
    <cellStyle name="Normal 14 2 6 7 4" xfId="16222"/>
    <cellStyle name="Normal 14 2 6 7 4 2" xfId="38809"/>
    <cellStyle name="Normal 14 2 6 7 5" xfId="9782"/>
    <cellStyle name="Normal 14 2 6 7 5 2" xfId="32369"/>
    <cellStyle name="Normal 14 2 6 7 6" xfId="25929"/>
    <cellStyle name="Normal 14 2 6 8" xfId="731"/>
    <cellStyle name="Normal 14 2 6 8 2" xfId="3963"/>
    <cellStyle name="Normal 14 2 6 8 2 2" xfId="20063"/>
    <cellStyle name="Normal 14 2 6 8 2 2 2" xfId="42650"/>
    <cellStyle name="Normal 14 2 6 8 2 3" xfId="10403"/>
    <cellStyle name="Normal 14 2 6 8 2 3 2" xfId="32990"/>
    <cellStyle name="Normal 14 2 6 8 2 4" xfId="26550"/>
    <cellStyle name="Normal 14 2 6 8 3" xfId="16843"/>
    <cellStyle name="Normal 14 2 6 8 3 2" xfId="39430"/>
    <cellStyle name="Normal 14 2 6 8 4" xfId="13623"/>
    <cellStyle name="Normal 14 2 6 8 4 2" xfId="36210"/>
    <cellStyle name="Normal 14 2 6 8 5" xfId="7183"/>
    <cellStyle name="Normal 14 2 6 8 5 2" xfId="29770"/>
    <cellStyle name="Normal 14 2 6 8 6" xfId="23330"/>
    <cellStyle name="Normal 14 2 6 9" xfId="3632"/>
    <cellStyle name="Normal 14 2 6 9 2" xfId="19732"/>
    <cellStyle name="Normal 14 2 6 9 2 2" xfId="42319"/>
    <cellStyle name="Normal 14 2 6 9 3" xfId="10072"/>
    <cellStyle name="Normal 14 2 6 9 3 2" xfId="32659"/>
    <cellStyle name="Normal 14 2 6 9 4" xfId="26219"/>
    <cellStyle name="Normal 14 2 7" xfId="750"/>
    <cellStyle name="Normal 14 2 7 10" xfId="23349"/>
    <cellStyle name="Normal 14 2 7 2" xfId="1102"/>
    <cellStyle name="Normal 14 2 7 2 2" xfId="2416"/>
    <cellStyle name="Normal 14 2 7 2 2 2" xfId="5637"/>
    <cellStyle name="Normal 14 2 7 2 2 2 2" xfId="21737"/>
    <cellStyle name="Normal 14 2 7 2 2 2 2 2" xfId="44324"/>
    <cellStyle name="Normal 14 2 7 2 2 2 3" xfId="12077"/>
    <cellStyle name="Normal 14 2 7 2 2 2 3 2" xfId="34664"/>
    <cellStyle name="Normal 14 2 7 2 2 2 4" xfId="28224"/>
    <cellStyle name="Normal 14 2 7 2 2 3" xfId="18517"/>
    <cellStyle name="Normal 14 2 7 2 2 3 2" xfId="41104"/>
    <cellStyle name="Normal 14 2 7 2 2 4" xfId="15297"/>
    <cellStyle name="Normal 14 2 7 2 2 4 2" xfId="37884"/>
    <cellStyle name="Normal 14 2 7 2 2 5" xfId="8857"/>
    <cellStyle name="Normal 14 2 7 2 2 5 2" xfId="31444"/>
    <cellStyle name="Normal 14 2 7 2 2 6" xfId="25004"/>
    <cellStyle name="Normal 14 2 7 2 3" xfId="4329"/>
    <cellStyle name="Normal 14 2 7 2 3 2" xfId="20429"/>
    <cellStyle name="Normal 14 2 7 2 3 2 2" xfId="43016"/>
    <cellStyle name="Normal 14 2 7 2 3 3" xfId="10769"/>
    <cellStyle name="Normal 14 2 7 2 3 3 2" xfId="33356"/>
    <cellStyle name="Normal 14 2 7 2 3 4" xfId="26916"/>
    <cellStyle name="Normal 14 2 7 2 4" xfId="17209"/>
    <cellStyle name="Normal 14 2 7 2 4 2" xfId="39796"/>
    <cellStyle name="Normal 14 2 7 2 5" xfId="13989"/>
    <cellStyle name="Normal 14 2 7 2 5 2" xfId="36576"/>
    <cellStyle name="Normal 14 2 7 2 6" xfId="7549"/>
    <cellStyle name="Normal 14 2 7 2 6 2" xfId="30136"/>
    <cellStyle name="Normal 14 2 7 2 7" xfId="23696"/>
    <cellStyle name="Normal 14 2 7 3" xfId="1449"/>
    <cellStyle name="Normal 14 2 7 3 2" xfId="2763"/>
    <cellStyle name="Normal 14 2 7 3 2 2" xfId="5984"/>
    <cellStyle name="Normal 14 2 7 3 2 2 2" xfId="22084"/>
    <cellStyle name="Normal 14 2 7 3 2 2 2 2" xfId="44671"/>
    <cellStyle name="Normal 14 2 7 3 2 2 3" xfId="12424"/>
    <cellStyle name="Normal 14 2 7 3 2 2 3 2" xfId="35011"/>
    <cellStyle name="Normal 14 2 7 3 2 2 4" xfId="28571"/>
    <cellStyle name="Normal 14 2 7 3 2 3" xfId="18864"/>
    <cellStyle name="Normal 14 2 7 3 2 3 2" xfId="41451"/>
    <cellStyle name="Normal 14 2 7 3 2 4" xfId="15644"/>
    <cellStyle name="Normal 14 2 7 3 2 4 2" xfId="38231"/>
    <cellStyle name="Normal 14 2 7 3 2 5" xfId="9204"/>
    <cellStyle name="Normal 14 2 7 3 2 5 2" xfId="31791"/>
    <cellStyle name="Normal 14 2 7 3 2 6" xfId="25351"/>
    <cellStyle name="Normal 14 2 7 3 3" xfId="4676"/>
    <cellStyle name="Normal 14 2 7 3 3 2" xfId="20776"/>
    <cellStyle name="Normal 14 2 7 3 3 2 2" xfId="43363"/>
    <cellStyle name="Normal 14 2 7 3 3 3" xfId="11116"/>
    <cellStyle name="Normal 14 2 7 3 3 3 2" xfId="33703"/>
    <cellStyle name="Normal 14 2 7 3 3 4" xfId="27263"/>
    <cellStyle name="Normal 14 2 7 3 4" xfId="17556"/>
    <cellStyle name="Normal 14 2 7 3 4 2" xfId="40143"/>
    <cellStyle name="Normal 14 2 7 3 5" xfId="14336"/>
    <cellStyle name="Normal 14 2 7 3 5 2" xfId="36923"/>
    <cellStyle name="Normal 14 2 7 3 6" xfId="7896"/>
    <cellStyle name="Normal 14 2 7 3 6 2" xfId="30483"/>
    <cellStyle name="Normal 14 2 7 3 7" xfId="24043"/>
    <cellStyle name="Normal 14 2 7 4" xfId="1585"/>
    <cellStyle name="Normal 14 2 7 4 2" xfId="4811"/>
    <cellStyle name="Normal 14 2 7 4 2 2" xfId="20911"/>
    <cellStyle name="Normal 14 2 7 4 2 2 2" xfId="43498"/>
    <cellStyle name="Normal 14 2 7 4 2 3" xfId="11251"/>
    <cellStyle name="Normal 14 2 7 4 2 3 2" xfId="33838"/>
    <cellStyle name="Normal 14 2 7 4 2 4" xfId="27398"/>
    <cellStyle name="Normal 14 2 7 4 3" xfId="17691"/>
    <cellStyle name="Normal 14 2 7 4 3 2" xfId="40278"/>
    <cellStyle name="Normal 14 2 7 4 4" xfId="14471"/>
    <cellStyle name="Normal 14 2 7 4 4 2" xfId="37058"/>
    <cellStyle name="Normal 14 2 7 4 5" xfId="8031"/>
    <cellStyle name="Normal 14 2 7 4 5 2" xfId="30618"/>
    <cellStyle name="Normal 14 2 7 4 6" xfId="24178"/>
    <cellStyle name="Normal 14 2 7 5" xfId="2069"/>
    <cellStyle name="Normal 14 2 7 5 2" xfId="5290"/>
    <cellStyle name="Normal 14 2 7 5 2 2" xfId="21390"/>
    <cellStyle name="Normal 14 2 7 5 2 2 2" xfId="43977"/>
    <cellStyle name="Normal 14 2 7 5 2 3" xfId="11730"/>
    <cellStyle name="Normal 14 2 7 5 2 3 2" xfId="34317"/>
    <cellStyle name="Normal 14 2 7 5 2 4" xfId="27877"/>
    <cellStyle name="Normal 14 2 7 5 3" xfId="18170"/>
    <cellStyle name="Normal 14 2 7 5 3 2" xfId="40757"/>
    <cellStyle name="Normal 14 2 7 5 4" xfId="14950"/>
    <cellStyle name="Normal 14 2 7 5 4 2" xfId="37537"/>
    <cellStyle name="Normal 14 2 7 5 5" xfId="8510"/>
    <cellStyle name="Normal 14 2 7 5 5 2" xfId="31097"/>
    <cellStyle name="Normal 14 2 7 5 6" xfId="24657"/>
    <cellStyle name="Normal 14 2 7 6" xfId="3982"/>
    <cellStyle name="Normal 14 2 7 6 2" xfId="20082"/>
    <cellStyle name="Normal 14 2 7 6 2 2" xfId="42669"/>
    <cellStyle name="Normal 14 2 7 6 3" xfId="10422"/>
    <cellStyle name="Normal 14 2 7 6 3 2" xfId="33009"/>
    <cellStyle name="Normal 14 2 7 6 4" xfId="26569"/>
    <cellStyle name="Normal 14 2 7 7" xfId="16862"/>
    <cellStyle name="Normal 14 2 7 7 2" xfId="39449"/>
    <cellStyle name="Normal 14 2 7 8" xfId="13642"/>
    <cellStyle name="Normal 14 2 7 8 2" xfId="36229"/>
    <cellStyle name="Normal 14 2 7 9" xfId="7202"/>
    <cellStyle name="Normal 14 2 7 9 2" xfId="29789"/>
    <cellStyle name="Normal 14 2 8" xfId="844"/>
    <cellStyle name="Normal 14 2 8 2" xfId="2163"/>
    <cellStyle name="Normal 14 2 8 2 2" xfId="5384"/>
    <cellStyle name="Normal 14 2 8 2 2 2" xfId="21484"/>
    <cellStyle name="Normal 14 2 8 2 2 2 2" xfId="44071"/>
    <cellStyle name="Normal 14 2 8 2 2 3" xfId="11824"/>
    <cellStyle name="Normal 14 2 8 2 2 3 2" xfId="34411"/>
    <cellStyle name="Normal 14 2 8 2 2 4" xfId="27971"/>
    <cellStyle name="Normal 14 2 8 2 3" xfId="18264"/>
    <cellStyle name="Normal 14 2 8 2 3 2" xfId="40851"/>
    <cellStyle name="Normal 14 2 8 2 4" xfId="15044"/>
    <cellStyle name="Normal 14 2 8 2 4 2" xfId="37631"/>
    <cellStyle name="Normal 14 2 8 2 5" xfId="8604"/>
    <cellStyle name="Normal 14 2 8 2 5 2" xfId="31191"/>
    <cellStyle name="Normal 14 2 8 2 6" xfId="24751"/>
    <cellStyle name="Normal 14 2 8 3" xfId="4076"/>
    <cellStyle name="Normal 14 2 8 3 2" xfId="20176"/>
    <cellStyle name="Normal 14 2 8 3 2 2" xfId="42763"/>
    <cellStyle name="Normal 14 2 8 3 3" xfId="10516"/>
    <cellStyle name="Normal 14 2 8 3 3 2" xfId="33103"/>
    <cellStyle name="Normal 14 2 8 3 4" xfId="26663"/>
    <cellStyle name="Normal 14 2 8 4" xfId="16956"/>
    <cellStyle name="Normal 14 2 8 4 2" xfId="39543"/>
    <cellStyle name="Normal 14 2 8 5" xfId="13736"/>
    <cellStyle name="Normal 14 2 8 5 2" xfId="36323"/>
    <cellStyle name="Normal 14 2 8 6" xfId="7296"/>
    <cellStyle name="Normal 14 2 8 6 2" xfId="29883"/>
    <cellStyle name="Normal 14 2 8 7" xfId="23443"/>
    <cellStyle name="Normal 14 2 9" xfId="1196"/>
    <cellStyle name="Normal 14 2 9 2" xfId="2510"/>
    <cellStyle name="Normal 14 2 9 2 2" xfId="5731"/>
    <cellStyle name="Normal 14 2 9 2 2 2" xfId="21831"/>
    <cellStyle name="Normal 14 2 9 2 2 2 2" xfId="44418"/>
    <cellStyle name="Normal 14 2 9 2 2 3" xfId="12171"/>
    <cellStyle name="Normal 14 2 9 2 2 3 2" xfId="34758"/>
    <cellStyle name="Normal 14 2 9 2 2 4" xfId="28318"/>
    <cellStyle name="Normal 14 2 9 2 3" xfId="18611"/>
    <cellStyle name="Normal 14 2 9 2 3 2" xfId="41198"/>
    <cellStyle name="Normal 14 2 9 2 4" xfId="15391"/>
    <cellStyle name="Normal 14 2 9 2 4 2" xfId="37978"/>
    <cellStyle name="Normal 14 2 9 2 5" xfId="8951"/>
    <cellStyle name="Normal 14 2 9 2 5 2" xfId="31538"/>
    <cellStyle name="Normal 14 2 9 2 6" xfId="25098"/>
    <cellStyle name="Normal 14 2 9 3" xfId="4423"/>
    <cellStyle name="Normal 14 2 9 3 2" xfId="20523"/>
    <cellStyle name="Normal 14 2 9 3 2 2" xfId="43110"/>
    <cellStyle name="Normal 14 2 9 3 3" xfId="10863"/>
    <cellStyle name="Normal 14 2 9 3 3 2" xfId="33450"/>
    <cellStyle name="Normal 14 2 9 3 4" xfId="27010"/>
    <cellStyle name="Normal 14 2 9 4" xfId="17303"/>
    <cellStyle name="Normal 14 2 9 4 2" xfId="39890"/>
    <cellStyle name="Normal 14 2 9 5" xfId="14083"/>
    <cellStyle name="Normal 14 2 9 5 2" xfId="36670"/>
    <cellStyle name="Normal 14 2 9 6" xfId="7643"/>
    <cellStyle name="Normal 14 2 9 6 2" xfId="30230"/>
    <cellStyle name="Normal 14 2 9 7" xfId="23790"/>
    <cellStyle name="Normal 14 20" xfId="6654"/>
    <cellStyle name="Normal 14 20 2" xfId="29241"/>
    <cellStyle name="Normal 14 21" xfId="22801"/>
    <cellStyle name="Normal 14 3" xfId="105"/>
    <cellStyle name="Normal 14 3 10" xfId="1586"/>
    <cellStyle name="Normal 14 3 10 2" xfId="4812"/>
    <cellStyle name="Normal 14 3 10 2 2" xfId="20912"/>
    <cellStyle name="Normal 14 3 10 2 2 2" xfId="43499"/>
    <cellStyle name="Normal 14 3 10 2 3" xfId="11252"/>
    <cellStyle name="Normal 14 3 10 2 3 2" xfId="33839"/>
    <cellStyle name="Normal 14 3 10 2 4" xfId="27399"/>
    <cellStyle name="Normal 14 3 10 3" xfId="17692"/>
    <cellStyle name="Normal 14 3 10 3 2" xfId="40279"/>
    <cellStyle name="Normal 14 3 10 4" xfId="14472"/>
    <cellStyle name="Normal 14 3 10 4 2" xfId="37059"/>
    <cellStyle name="Normal 14 3 10 5" xfId="8032"/>
    <cellStyle name="Normal 14 3 10 5 2" xfId="30619"/>
    <cellStyle name="Normal 14 3 10 6" xfId="24179"/>
    <cellStyle name="Normal 14 3 11" xfId="1820"/>
    <cellStyle name="Normal 14 3 11 2" xfId="5042"/>
    <cellStyle name="Normal 14 3 11 2 2" xfId="21142"/>
    <cellStyle name="Normal 14 3 11 2 2 2" xfId="43729"/>
    <cellStyle name="Normal 14 3 11 2 3" xfId="11482"/>
    <cellStyle name="Normal 14 3 11 2 3 2" xfId="34069"/>
    <cellStyle name="Normal 14 3 11 2 4" xfId="27629"/>
    <cellStyle name="Normal 14 3 11 3" xfId="17922"/>
    <cellStyle name="Normal 14 3 11 3 2" xfId="40509"/>
    <cellStyle name="Normal 14 3 11 4" xfId="14702"/>
    <cellStyle name="Normal 14 3 11 4 2" xfId="37289"/>
    <cellStyle name="Normal 14 3 11 5" xfId="8262"/>
    <cellStyle name="Normal 14 3 11 5 2" xfId="30849"/>
    <cellStyle name="Normal 14 3 11 6" xfId="24409"/>
    <cellStyle name="Normal 14 3 12" xfId="2863"/>
    <cellStyle name="Normal 14 3 12 2" xfId="6084"/>
    <cellStyle name="Normal 14 3 12 2 2" xfId="22184"/>
    <cellStyle name="Normal 14 3 12 2 2 2" xfId="44771"/>
    <cellStyle name="Normal 14 3 12 2 3" xfId="12524"/>
    <cellStyle name="Normal 14 3 12 2 3 2" xfId="35111"/>
    <cellStyle name="Normal 14 3 12 2 4" xfId="28671"/>
    <cellStyle name="Normal 14 3 12 3" xfId="18964"/>
    <cellStyle name="Normal 14 3 12 3 2" xfId="41551"/>
    <cellStyle name="Normal 14 3 12 4" xfId="15744"/>
    <cellStyle name="Normal 14 3 12 4 2" xfId="38331"/>
    <cellStyle name="Normal 14 3 12 5" xfId="9304"/>
    <cellStyle name="Normal 14 3 12 5 2" xfId="31891"/>
    <cellStyle name="Normal 14 3 12 6" xfId="25451"/>
    <cellStyle name="Normal 14 3 13" xfId="3154"/>
    <cellStyle name="Normal 14 3 13 2" xfId="6374"/>
    <cellStyle name="Normal 14 3 13 2 2" xfId="22474"/>
    <cellStyle name="Normal 14 3 13 2 2 2" xfId="45061"/>
    <cellStyle name="Normal 14 3 13 2 3" xfId="12814"/>
    <cellStyle name="Normal 14 3 13 2 3 2" xfId="35401"/>
    <cellStyle name="Normal 14 3 13 2 4" xfId="28961"/>
    <cellStyle name="Normal 14 3 13 3" xfId="19254"/>
    <cellStyle name="Normal 14 3 13 3 2" xfId="41841"/>
    <cellStyle name="Normal 14 3 13 4" xfId="16034"/>
    <cellStyle name="Normal 14 3 13 4 2" xfId="38621"/>
    <cellStyle name="Normal 14 3 13 5" xfId="9594"/>
    <cellStyle name="Normal 14 3 13 5 2" xfId="32181"/>
    <cellStyle name="Normal 14 3 13 6" xfId="25741"/>
    <cellStyle name="Normal 14 3 14" xfId="447"/>
    <cellStyle name="Normal 14 3 14 2" xfId="3734"/>
    <cellStyle name="Normal 14 3 14 2 2" xfId="19834"/>
    <cellStyle name="Normal 14 3 14 2 2 2" xfId="42421"/>
    <cellStyle name="Normal 14 3 14 2 3" xfId="10174"/>
    <cellStyle name="Normal 14 3 14 2 3 2" xfId="32761"/>
    <cellStyle name="Normal 14 3 14 2 4" xfId="26321"/>
    <cellStyle name="Normal 14 3 14 3" xfId="16614"/>
    <cellStyle name="Normal 14 3 14 3 2" xfId="39201"/>
    <cellStyle name="Normal 14 3 14 4" xfId="13394"/>
    <cellStyle name="Normal 14 3 14 4 2" xfId="35981"/>
    <cellStyle name="Normal 14 3 14 5" xfId="6954"/>
    <cellStyle name="Normal 14 3 14 5 2" xfId="29541"/>
    <cellStyle name="Normal 14 3 14 6" xfId="23101"/>
    <cellStyle name="Normal 14 3 15" xfId="3444"/>
    <cellStyle name="Normal 14 3 15 2" xfId="19544"/>
    <cellStyle name="Normal 14 3 15 2 2" xfId="42131"/>
    <cellStyle name="Normal 14 3 15 3" xfId="9884"/>
    <cellStyle name="Normal 14 3 15 3 2" xfId="32471"/>
    <cellStyle name="Normal 14 3 15 4" xfId="26031"/>
    <cellStyle name="Normal 14 3 16" xfId="16324"/>
    <cellStyle name="Normal 14 3 16 2" xfId="38911"/>
    <cellStyle name="Normal 14 3 17" xfId="13104"/>
    <cellStyle name="Normal 14 3 17 2" xfId="35691"/>
    <cellStyle name="Normal 14 3 18" xfId="6664"/>
    <cellStyle name="Normal 14 3 18 2" xfId="29251"/>
    <cellStyle name="Normal 14 3 19" xfId="22811"/>
    <cellStyle name="Normal 14 3 2" xfId="123"/>
    <cellStyle name="Normal 14 3 2 10" xfId="2879"/>
    <cellStyle name="Normal 14 3 2 10 2" xfId="6100"/>
    <cellStyle name="Normal 14 3 2 10 2 2" xfId="22200"/>
    <cellStyle name="Normal 14 3 2 10 2 2 2" xfId="44787"/>
    <cellStyle name="Normal 14 3 2 10 2 3" xfId="12540"/>
    <cellStyle name="Normal 14 3 2 10 2 3 2" xfId="35127"/>
    <cellStyle name="Normal 14 3 2 10 2 4" xfId="28687"/>
    <cellStyle name="Normal 14 3 2 10 3" xfId="18980"/>
    <cellStyle name="Normal 14 3 2 10 3 2" xfId="41567"/>
    <cellStyle name="Normal 14 3 2 10 4" xfId="15760"/>
    <cellStyle name="Normal 14 3 2 10 4 2" xfId="38347"/>
    <cellStyle name="Normal 14 3 2 10 5" xfId="9320"/>
    <cellStyle name="Normal 14 3 2 10 5 2" xfId="31907"/>
    <cellStyle name="Normal 14 3 2 10 6" xfId="25467"/>
    <cellStyle name="Normal 14 3 2 11" xfId="3170"/>
    <cellStyle name="Normal 14 3 2 11 2" xfId="6390"/>
    <cellStyle name="Normal 14 3 2 11 2 2" xfId="22490"/>
    <cellStyle name="Normal 14 3 2 11 2 2 2" xfId="45077"/>
    <cellStyle name="Normal 14 3 2 11 2 3" xfId="12830"/>
    <cellStyle name="Normal 14 3 2 11 2 3 2" xfId="35417"/>
    <cellStyle name="Normal 14 3 2 11 2 4" xfId="28977"/>
    <cellStyle name="Normal 14 3 2 11 3" xfId="19270"/>
    <cellStyle name="Normal 14 3 2 11 3 2" xfId="41857"/>
    <cellStyle name="Normal 14 3 2 11 4" xfId="16050"/>
    <cellStyle name="Normal 14 3 2 11 4 2" xfId="38637"/>
    <cellStyle name="Normal 14 3 2 11 5" xfId="9610"/>
    <cellStyle name="Normal 14 3 2 11 5 2" xfId="32197"/>
    <cellStyle name="Normal 14 3 2 11 6" xfId="25757"/>
    <cellStyle name="Normal 14 3 2 12" xfId="463"/>
    <cellStyle name="Normal 14 3 2 12 2" xfId="3750"/>
    <cellStyle name="Normal 14 3 2 12 2 2" xfId="19850"/>
    <cellStyle name="Normal 14 3 2 12 2 2 2" xfId="42437"/>
    <cellStyle name="Normal 14 3 2 12 2 3" xfId="10190"/>
    <cellStyle name="Normal 14 3 2 12 2 3 2" xfId="32777"/>
    <cellStyle name="Normal 14 3 2 12 2 4" xfId="26337"/>
    <cellStyle name="Normal 14 3 2 12 3" xfId="16630"/>
    <cellStyle name="Normal 14 3 2 12 3 2" xfId="39217"/>
    <cellStyle name="Normal 14 3 2 12 4" xfId="13410"/>
    <cellStyle name="Normal 14 3 2 12 4 2" xfId="35997"/>
    <cellStyle name="Normal 14 3 2 12 5" xfId="6970"/>
    <cellStyle name="Normal 14 3 2 12 5 2" xfId="29557"/>
    <cellStyle name="Normal 14 3 2 12 6" xfId="23117"/>
    <cellStyle name="Normal 14 3 2 13" xfId="3460"/>
    <cellStyle name="Normal 14 3 2 13 2" xfId="19560"/>
    <cellStyle name="Normal 14 3 2 13 2 2" xfId="42147"/>
    <cellStyle name="Normal 14 3 2 13 3" xfId="9900"/>
    <cellStyle name="Normal 14 3 2 13 3 2" xfId="32487"/>
    <cellStyle name="Normal 14 3 2 13 4" xfId="26047"/>
    <cellStyle name="Normal 14 3 2 14" xfId="16340"/>
    <cellStyle name="Normal 14 3 2 14 2" xfId="38927"/>
    <cellStyle name="Normal 14 3 2 15" xfId="13120"/>
    <cellStyle name="Normal 14 3 2 15 2" xfId="35707"/>
    <cellStyle name="Normal 14 3 2 16" xfId="6680"/>
    <cellStyle name="Normal 14 3 2 16 2" xfId="29267"/>
    <cellStyle name="Normal 14 3 2 17" xfId="22827"/>
    <cellStyle name="Normal 14 3 2 2" xfId="208"/>
    <cellStyle name="Normal 14 3 2 2 10" xfId="500"/>
    <cellStyle name="Normal 14 3 2 2 10 2" xfId="3787"/>
    <cellStyle name="Normal 14 3 2 2 10 2 2" xfId="19887"/>
    <cellStyle name="Normal 14 3 2 2 10 2 2 2" xfId="42474"/>
    <cellStyle name="Normal 14 3 2 2 10 2 3" xfId="10227"/>
    <cellStyle name="Normal 14 3 2 2 10 2 3 2" xfId="32814"/>
    <cellStyle name="Normal 14 3 2 2 10 2 4" xfId="26374"/>
    <cellStyle name="Normal 14 3 2 2 10 3" xfId="16667"/>
    <cellStyle name="Normal 14 3 2 2 10 3 2" xfId="39254"/>
    <cellStyle name="Normal 14 3 2 2 10 4" xfId="13447"/>
    <cellStyle name="Normal 14 3 2 2 10 4 2" xfId="36034"/>
    <cellStyle name="Normal 14 3 2 2 10 5" xfId="7007"/>
    <cellStyle name="Normal 14 3 2 2 10 5 2" xfId="29594"/>
    <cellStyle name="Normal 14 3 2 2 10 6" xfId="23154"/>
    <cellStyle name="Normal 14 3 2 2 11" xfId="3497"/>
    <cellStyle name="Normal 14 3 2 2 11 2" xfId="19597"/>
    <cellStyle name="Normal 14 3 2 2 11 2 2" xfId="42184"/>
    <cellStyle name="Normal 14 3 2 2 11 3" xfId="9937"/>
    <cellStyle name="Normal 14 3 2 2 11 3 2" xfId="32524"/>
    <cellStyle name="Normal 14 3 2 2 11 4" xfId="26084"/>
    <cellStyle name="Normal 14 3 2 2 12" xfId="16377"/>
    <cellStyle name="Normal 14 3 2 2 12 2" xfId="38964"/>
    <cellStyle name="Normal 14 3 2 2 13" xfId="13157"/>
    <cellStyle name="Normal 14 3 2 2 13 2" xfId="35744"/>
    <cellStyle name="Normal 14 3 2 2 14" xfId="6717"/>
    <cellStyle name="Normal 14 3 2 2 14 2" xfId="29304"/>
    <cellStyle name="Normal 14 3 2 2 15" xfId="22864"/>
    <cellStyle name="Normal 14 3 2 2 2" xfId="307"/>
    <cellStyle name="Normal 14 3 2 2 2 10" xfId="16474"/>
    <cellStyle name="Normal 14 3 2 2 2 10 2" xfId="39061"/>
    <cellStyle name="Normal 14 3 2 2 2 11" xfId="13254"/>
    <cellStyle name="Normal 14 3 2 2 2 11 2" xfId="35841"/>
    <cellStyle name="Normal 14 3 2 2 2 12" xfId="6814"/>
    <cellStyle name="Normal 14 3 2 2 2 12 2" xfId="29401"/>
    <cellStyle name="Normal 14 3 2 2 2 13" xfId="22961"/>
    <cellStyle name="Normal 14 3 2 2 2 2" xfId="1026"/>
    <cellStyle name="Normal 14 3 2 2 2 2 2" xfId="2340"/>
    <cellStyle name="Normal 14 3 2 2 2 2 2 2" xfId="5561"/>
    <cellStyle name="Normal 14 3 2 2 2 2 2 2 2" xfId="21661"/>
    <cellStyle name="Normal 14 3 2 2 2 2 2 2 2 2" xfId="44248"/>
    <cellStyle name="Normal 14 3 2 2 2 2 2 2 3" xfId="12001"/>
    <cellStyle name="Normal 14 3 2 2 2 2 2 2 3 2" xfId="34588"/>
    <cellStyle name="Normal 14 3 2 2 2 2 2 2 4" xfId="28148"/>
    <cellStyle name="Normal 14 3 2 2 2 2 2 3" xfId="18441"/>
    <cellStyle name="Normal 14 3 2 2 2 2 2 3 2" xfId="41028"/>
    <cellStyle name="Normal 14 3 2 2 2 2 2 4" xfId="15221"/>
    <cellStyle name="Normal 14 3 2 2 2 2 2 4 2" xfId="37808"/>
    <cellStyle name="Normal 14 3 2 2 2 2 2 5" xfId="8781"/>
    <cellStyle name="Normal 14 3 2 2 2 2 2 5 2" xfId="31368"/>
    <cellStyle name="Normal 14 3 2 2 2 2 2 6" xfId="24928"/>
    <cellStyle name="Normal 14 3 2 2 2 2 3" xfId="4253"/>
    <cellStyle name="Normal 14 3 2 2 2 2 3 2" xfId="20353"/>
    <cellStyle name="Normal 14 3 2 2 2 2 3 2 2" xfId="42940"/>
    <cellStyle name="Normal 14 3 2 2 2 2 3 3" xfId="10693"/>
    <cellStyle name="Normal 14 3 2 2 2 2 3 3 2" xfId="33280"/>
    <cellStyle name="Normal 14 3 2 2 2 2 3 4" xfId="26840"/>
    <cellStyle name="Normal 14 3 2 2 2 2 4" xfId="17133"/>
    <cellStyle name="Normal 14 3 2 2 2 2 4 2" xfId="39720"/>
    <cellStyle name="Normal 14 3 2 2 2 2 5" xfId="13913"/>
    <cellStyle name="Normal 14 3 2 2 2 2 5 2" xfId="36500"/>
    <cellStyle name="Normal 14 3 2 2 2 2 6" xfId="7473"/>
    <cellStyle name="Normal 14 3 2 2 2 2 6 2" xfId="30060"/>
    <cellStyle name="Normal 14 3 2 2 2 2 7" xfId="23620"/>
    <cellStyle name="Normal 14 3 2 2 2 3" xfId="1373"/>
    <cellStyle name="Normal 14 3 2 2 2 3 2" xfId="2687"/>
    <cellStyle name="Normal 14 3 2 2 2 3 2 2" xfId="5908"/>
    <cellStyle name="Normal 14 3 2 2 2 3 2 2 2" xfId="22008"/>
    <cellStyle name="Normal 14 3 2 2 2 3 2 2 2 2" xfId="44595"/>
    <cellStyle name="Normal 14 3 2 2 2 3 2 2 3" xfId="12348"/>
    <cellStyle name="Normal 14 3 2 2 2 3 2 2 3 2" xfId="34935"/>
    <cellStyle name="Normal 14 3 2 2 2 3 2 2 4" xfId="28495"/>
    <cellStyle name="Normal 14 3 2 2 2 3 2 3" xfId="18788"/>
    <cellStyle name="Normal 14 3 2 2 2 3 2 3 2" xfId="41375"/>
    <cellStyle name="Normal 14 3 2 2 2 3 2 4" xfId="15568"/>
    <cellStyle name="Normal 14 3 2 2 2 3 2 4 2" xfId="38155"/>
    <cellStyle name="Normal 14 3 2 2 2 3 2 5" xfId="9128"/>
    <cellStyle name="Normal 14 3 2 2 2 3 2 5 2" xfId="31715"/>
    <cellStyle name="Normal 14 3 2 2 2 3 2 6" xfId="25275"/>
    <cellStyle name="Normal 14 3 2 2 2 3 3" xfId="4600"/>
    <cellStyle name="Normal 14 3 2 2 2 3 3 2" xfId="20700"/>
    <cellStyle name="Normal 14 3 2 2 2 3 3 2 2" xfId="43287"/>
    <cellStyle name="Normal 14 3 2 2 2 3 3 3" xfId="11040"/>
    <cellStyle name="Normal 14 3 2 2 2 3 3 3 2" xfId="33627"/>
    <cellStyle name="Normal 14 3 2 2 2 3 3 4" xfId="27187"/>
    <cellStyle name="Normal 14 3 2 2 2 3 4" xfId="17480"/>
    <cellStyle name="Normal 14 3 2 2 2 3 4 2" xfId="40067"/>
    <cellStyle name="Normal 14 3 2 2 2 3 5" xfId="14260"/>
    <cellStyle name="Normal 14 3 2 2 2 3 5 2" xfId="36847"/>
    <cellStyle name="Normal 14 3 2 2 2 3 6" xfId="7820"/>
    <cellStyle name="Normal 14 3 2 2 2 3 6 2" xfId="30407"/>
    <cellStyle name="Normal 14 3 2 2 2 3 7" xfId="23967"/>
    <cellStyle name="Normal 14 3 2 2 2 4" xfId="1587"/>
    <cellStyle name="Normal 14 3 2 2 2 4 2" xfId="4813"/>
    <cellStyle name="Normal 14 3 2 2 2 4 2 2" xfId="20913"/>
    <cellStyle name="Normal 14 3 2 2 2 4 2 2 2" xfId="43500"/>
    <cellStyle name="Normal 14 3 2 2 2 4 2 3" xfId="11253"/>
    <cellStyle name="Normal 14 3 2 2 2 4 2 3 2" xfId="33840"/>
    <cellStyle name="Normal 14 3 2 2 2 4 2 4" xfId="27400"/>
    <cellStyle name="Normal 14 3 2 2 2 4 3" xfId="17693"/>
    <cellStyle name="Normal 14 3 2 2 2 4 3 2" xfId="40280"/>
    <cellStyle name="Normal 14 3 2 2 2 4 4" xfId="14473"/>
    <cellStyle name="Normal 14 3 2 2 2 4 4 2" xfId="37060"/>
    <cellStyle name="Normal 14 3 2 2 2 4 5" xfId="8033"/>
    <cellStyle name="Normal 14 3 2 2 2 4 5 2" xfId="30620"/>
    <cellStyle name="Normal 14 3 2 2 2 4 6" xfId="24180"/>
    <cellStyle name="Normal 14 3 2 2 2 5" xfId="1992"/>
    <cellStyle name="Normal 14 3 2 2 2 5 2" xfId="5214"/>
    <cellStyle name="Normal 14 3 2 2 2 5 2 2" xfId="21314"/>
    <cellStyle name="Normal 14 3 2 2 2 5 2 2 2" xfId="43901"/>
    <cellStyle name="Normal 14 3 2 2 2 5 2 3" xfId="11654"/>
    <cellStyle name="Normal 14 3 2 2 2 5 2 3 2" xfId="34241"/>
    <cellStyle name="Normal 14 3 2 2 2 5 2 4" xfId="27801"/>
    <cellStyle name="Normal 14 3 2 2 2 5 3" xfId="18094"/>
    <cellStyle name="Normal 14 3 2 2 2 5 3 2" xfId="40681"/>
    <cellStyle name="Normal 14 3 2 2 2 5 4" xfId="14874"/>
    <cellStyle name="Normal 14 3 2 2 2 5 4 2" xfId="37461"/>
    <cellStyle name="Normal 14 3 2 2 2 5 5" xfId="8434"/>
    <cellStyle name="Normal 14 3 2 2 2 5 5 2" xfId="31021"/>
    <cellStyle name="Normal 14 3 2 2 2 5 6" xfId="24581"/>
    <cellStyle name="Normal 14 3 2 2 2 6" xfId="3014"/>
    <cellStyle name="Normal 14 3 2 2 2 6 2" xfId="6234"/>
    <cellStyle name="Normal 14 3 2 2 2 6 2 2" xfId="22334"/>
    <cellStyle name="Normal 14 3 2 2 2 6 2 2 2" xfId="44921"/>
    <cellStyle name="Normal 14 3 2 2 2 6 2 3" xfId="12674"/>
    <cellStyle name="Normal 14 3 2 2 2 6 2 3 2" xfId="35261"/>
    <cellStyle name="Normal 14 3 2 2 2 6 2 4" xfId="28821"/>
    <cellStyle name="Normal 14 3 2 2 2 6 3" xfId="19114"/>
    <cellStyle name="Normal 14 3 2 2 2 6 3 2" xfId="41701"/>
    <cellStyle name="Normal 14 3 2 2 2 6 4" xfId="15894"/>
    <cellStyle name="Normal 14 3 2 2 2 6 4 2" xfId="38481"/>
    <cellStyle name="Normal 14 3 2 2 2 6 5" xfId="9454"/>
    <cellStyle name="Normal 14 3 2 2 2 6 5 2" xfId="32041"/>
    <cellStyle name="Normal 14 3 2 2 2 6 6" xfId="25601"/>
    <cellStyle name="Normal 14 3 2 2 2 7" xfId="3304"/>
    <cellStyle name="Normal 14 3 2 2 2 7 2" xfId="6524"/>
    <cellStyle name="Normal 14 3 2 2 2 7 2 2" xfId="22624"/>
    <cellStyle name="Normal 14 3 2 2 2 7 2 2 2" xfId="45211"/>
    <cellStyle name="Normal 14 3 2 2 2 7 2 3" xfId="12964"/>
    <cellStyle name="Normal 14 3 2 2 2 7 2 3 2" xfId="35551"/>
    <cellStyle name="Normal 14 3 2 2 2 7 2 4" xfId="29111"/>
    <cellStyle name="Normal 14 3 2 2 2 7 3" xfId="19404"/>
    <cellStyle name="Normal 14 3 2 2 2 7 3 2" xfId="41991"/>
    <cellStyle name="Normal 14 3 2 2 2 7 4" xfId="16184"/>
    <cellStyle name="Normal 14 3 2 2 2 7 4 2" xfId="38771"/>
    <cellStyle name="Normal 14 3 2 2 2 7 5" xfId="9744"/>
    <cellStyle name="Normal 14 3 2 2 2 7 5 2" xfId="32331"/>
    <cellStyle name="Normal 14 3 2 2 2 7 6" xfId="25891"/>
    <cellStyle name="Normal 14 3 2 2 2 8" xfId="662"/>
    <cellStyle name="Normal 14 3 2 2 2 8 2" xfId="3906"/>
    <cellStyle name="Normal 14 3 2 2 2 8 2 2" xfId="20006"/>
    <cellStyle name="Normal 14 3 2 2 2 8 2 2 2" xfId="42593"/>
    <cellStyle name="Normal 14 3 2 2 2 8 2 3" xfId="10346"/>
    <cellStyle name="Normal 14 3 2 2 2 8 2 3 2" xfId="32933"/>
    <cellStyle name="Normal 14 3 2 2 2 8 2 4" xfId="26493"/>
    <cellStyle name="Normal 14 3 2 2 2 8 3" xfId="16786"/>
    <cellStyle name="Normal 14 3 2 2 2 8 3 2" xfId="39373"/>
    <cellStyle name="Normal 14 3 2 2 2 8 4" xfId="13566"/>
    <cellStyle name="Normal 14 3 2 2 2 8 4 2" xfId="36153"/>
    <cellStyle name="Normal 14 3 2 2 2 8 5" xfId="7126"/>
    <cellStyle name="Normal 14 3 2 2 2 8 5 2" xfId="29713"/>
    <cellStyle name="Normal 14 3 2 2 2 8 6" xfId="23273"/>
    <cellStyle name="Normal 14 3 2 2 2 9" xfId="3594"/>
    <cellStyle name="Normal 14 3 2 2 2 9 2" xfId="19694"/>
    <cellStyle name="Normal 14 3 2 2 2 9 2 2" xfId="42281"/>
    <cellStyle name="Normal 14 3 2 2 2 9 3" xfId="10034"/>
    <cellStyle name="Normal 14 3 2 2 2 9 3 2" xfId="32621"/>
    <cellStyle name="Normal 14 3 2 2 2 9 4" xfId="26181"/>
    <cellStyle name="Normal 14 3 2 2 3" xfId="403"/>
    <cellStyle name="Normal 14 3 2 2 3 10" xfId="13350"/>
    <cellStyle name="Normal 14 3 2 2 3 10 2" xfId="35937"/>
    <cellStyle name="Normal 14 3 2 2 3 11" xfId="6910"/>
    <cellStyle name="Normal 14 3 2 2 3 11 2" xfId="29497"/>
    <cellStyle name="Normal 14 3 2 2 3 12" xfId="23057"/>
    <cellStyle name="Normal 14 3 2 2 3 2" xfId="1185"/>
    <cellStyle name="Normal 14 3 2 2 3 2 2" xfId="2499"/>
    <cellStyle name="Normal 14 3 2 2 3 2 2 2" xfId="5720"/>
    <cellStyle name="Normal 14 3 2 2 3 2 2 2 2" xfId="21820"/>
    <cellStyle name="Normal 14 3 2 2 3 2 2 2 2 2" xfId="44407"/>
    <cellStyle name="Normal 14 3 2 2 3 2 2 2 3" xfId="12160"/>
    <cellStyle name="Normal 14 3 2 2 3 2 2 2 3 2" xfId="34747"/>
    <cellStyle name="Normal 14 3 2 2 3 2 2 2 4" xfId="28307"/>
    <cellStyle name="Normal 14 3 2 2 3 2 2 3" xfId="18600"/>
    <cellStyle name="Normal 14 3 2 2 3 2 2 3 2" xfId="41187"/>
    <cellStyle name="Normal 14 3 2 2 3 2 2 4" xfId="15380"/>
    <cellStyle name="Normal 14 3 2 2 3 2 2 4 2" xfId="37967"/>
    <cellStyle name="Normal 14 3 2 2 3 2 2 5" xfId="8940"/>
    <cellStyle name="Normal 14 3 2 2 3 2 2 5 2" xfId="31527"/>
    <cellStyle name="Normal 14 3 2 2 3 2 2 6" xfId="25087"/>
    <cellStyle name="Normal 14 3 2 2 3 2 3" xfId="4412"/>
    <cellStyle name="Normal 14 3 2 2 3 2 3 2" xfId="20512"/>
    <cellStyle name="Normal 14 3 2 2 3 2 3 2 2" xfId="43099"/>
    <cellStyle name="Normal 14 3 2 2 3 2 3 3" xfId="10852"/>
    <cellStyle name="Normal 14 3 2 2 3 2 3 3 2" xfId="33439"/>
    <cellStyle name="Normal 14 3 2 2 3 2 3 4" xfId="26999"/>
    <cellStyle name="Normal 14 3 2 2 3 2 4" xfId="17292"/>
    <cellStyle name="Normal 14 3 2 2 3 2 4 2" xfId="39879"/>
    <cellStyle name="Normal 14 3 2 2 3 2 5" xfId="14072"/>
    <cellStyle name="Normal 14 3 2 2 3 2 5 2" xfId="36659"/>
    <cellStyle name="Normal 14 3 2 2 3 2 6" xfId="7632"/>
    <cellStyle name="Normal 14 3 2 2 3 2 6 2" xfId="30219"/>
    <cellStyle name="Normal 14 3 2 2 3 2 7" xfId="23779"/>
    <cellStyle name="Normal 14 3 2 2 3 3" xfId="1532"/>
    <cellStyle name="Normal 14 3 2 2 3 3 2" xfId="2846"/>
    <cellStyle name="Normal 14 3 2 2 3 3 2 2" xfId="6067"/>
    <cellStyle name="Normal 14 3 2 2 3 3 2 2 2" xfId="22167"/>
    <cellStyle name="Normal 14 3 2 2 3 3 2 2 2 2" xfId="44754"/>
    <cellStyle name="Normal 14 3 2 2 3 3 2 2 3" xfId="12507"/>
    <cellStyle name="Normal 14 3 2 2 3 3 2 2 3 2" xfId="35094"/>
    <cellStyle name="Normal 14 3 2 2 3 3 2 2 4" xfId="28654"/>
    <cellStyle name="Normal 14 3 2 2 3 3 2 3" xfId="18947"/>
    <cellStyle name="Normal 14 3 2 2 3 3 2 3 2" xfId="41534"/>
    <cellStyle name="Normal 14 3 2 2 3 3 2 4" xfId="15727"/>
    <cellStyle name="Normal 14 3 2 2 3 3 2 4 2" xfId="38314"/>
    <cellStyle name="Normal 14 3 2 2 3 3 2 5" xfId="9287"/>
    <cellStyle name="Normal 14 3 2 2 3 3 2 5 2" xfId="31874"/>
    <cellStyle name="Normal 14 3 2 2 3 3 2 6" xfId="25434"/>
    <cellStyle name="Normal 14 3 2 2 3 3 3" xfId="4759"/>
    <cellStyle name="Normal 14 3 2 2 3 3 3 2" xfId="20859"/>
    <cellStyle name="Normal 14 3 2 2 3 3 3 2 2" xfId="43446"/>
    <cellStyle name="Normal 14 3 2 2 3 3 3 3" xfId="11199"/>
    <cellStyle name="Normal 14 3 2 2 3 3 3 3 2" xfId="33786"/>
    <cellStyle name="Normal 14 3 2 2 3 3 3 4" xfId="27346"/>
    <cellStyle name="Normal 14 3 2 2 3 3 4" xfId="17639"/>
    <cellStyle name="Normal 14 3 2 2 3 3 4 2" xfId="40226"/>
    <cellStyle name="Normal 14 3 2 2 3 3 5" xfId="14419"/>
    <cellStyle name="Normal 14 3 2 2 3 3 5 2" xfId="37006"/>
    <cellStyle name="Normal 14 3 2 2 3 3 6" xfId="7979"/>
    <cellStyle name="Normal 14 3 2 2 3 3 6 2" xfId="30566"/>
    <cellStyle name="Normal 14 3 2 2 3 3 7" xfId="24126"/>
    <cellStyle name="Normal 14 3 2 2 3 4" xfId="2152"/>
    <cellStyle name="Normal 14 3 2 2 3 4 2" xfId="5373"/>
    <cellStyle name="Normal 14 3 2 2 3 4 2 2" xfId="21473"/>
    <cellStyle name="Normal 14 3 2 2 3 4 2 2 2" xfId="44060"/>
    <cellStyle name="Normal 14 3 2 2 3 4 2 3" xfId="11813"/>
    <cellStyle name="Normal 14 3 2 2 3 4 2 3 2" xfId="34400"/>
    <cellStyle name="Normal 14 3 2 2 3 4 2 4" xfId="27960"/>
    <cellStyle name="Normal 14 3 2 2 3 4 3" xfId="18253"/>
    <cellStyle name="Normal 14 3 2 2 3 4 3 2" xfId="40840"/>
    <cellStyle name="Normal 14 3 2 2 3 4 4" xfId="15033"/>
    <cellStyle name="Normal 14 3 2 2 3 4 4 2" xfId="37620"/>
    <cellStyle name="Normal 14 3 2 2 3 4 5" xfId="8593"/>
    <cellStyle name="Normal 14 3 2 2 3 4 5 2" xfId="31180"/>
    <cellStyle name="Normal 14 3 2 2 3 4 6" xfId="24740"/>
    <cellStyle name="Normal 14 3 2 2 3 5" xfId="3110"/>
    <cellStyle name="Normal 14 3 2 2 3 5 2" xfId="6330"/>
    <cellStyle name="Normal 14 3 2 2 3 5 2 2" xfId="22430"/>
    <cellStyle name="Normal 14 3 2 2 3 5 2 2 2" xfId="45017"/>
    <cellStyle name="Normal 14 3 2 2 3 5 2 3" xfId="12770"/>
    <cellStyle name="Normal 14 3 2 2 3 5 2 3 2" xfId="35357"/>
    <cellStyle name="Normal 14 3 2 2 3 5 2 4" xfId="28917"/>
    <cellStyle name="Normal 14 3 2 2 3 5 3" xfId="19210"/>
    <cellStyle name="Normal 14 3 2 2 3 5 3 2" xfId="41797"/>
    <cellStyle name="Normal 14 3 2 2 3 5 4" xfId="15990"/>
    <cellStyle name="Normal 14 3 2 2 3 5 4 2" xfId="38577"/>
    <cellStyle name="Normal 14 3 2 2 3 5 5" xfId="9550"/>
    <cellStyle name="Normal 14 3 2 2 3 5 5 2" xfId="32137"/>
    <cellStyle name="Normal 14 3 2 2 3 5 6" xfId="25697"/>
    <cellStyle name="Normal 14 3 2 2 3 6" xfId="3400"/>
    <cellStyle name="Normal 14 3 2 2 3 6 2" xfId="6620"/>
    <cellStyle name="Normal 14 3 2 2 3 6 2 2" xfId="22720"/>
    <cellStyle name="Normal 14 3 2 2 3 6 2 2 2" xfId="45307"/>
    <cellStyle name="Normal 14 3 2 2 3 6 2 3" xfId="13060"/>
    <cellStyle name="Normal 14 3 2 2 3 6 2 3 2" xfId="35647"/>
    <cellStyle name="Normal 14 3 2 2 3 6 2 4" xfId="29207"/>
    <cellStyle name="Normal 14 3 2 2 3 6 3" xfId="19500"/>
    <cellStyle name="Normal 14 3 2 2 3 6 3 2" xfId="42087"/>
    <cellStyle name="Normal 14 3 2 2 3 6 4" xfId="16280"/>
    <cellStyle name="Normal 14 3 2 2 3 6 4 2" xfId="38867"/>
    <cellStyle name="Normal 14 3 2 2 3 6 5" xfId="9840"/>
    <cellStyle name="Normal 14 3 2 2 3 6 5 2" xfId="32427"/>
    <cellStyle name="Normal 14 3 2 2 3 6 6" xfId="25987"/>
    <cellStyle name="Normal 14 3 2 2 3 7" xfId="833"/>
    <cellStyle name="Normal 14 3 2 2 3 7 2" xfId="4065"/>
    <cellStyle name="Normal 14 3 2 2 3 7 2 2" xfId="20165"/>
    <cellStyle name="Normal 14 3 2 2 3 7 2 2 2" xfId="42752"/>
    <cellStyle name="Normal 14 3 2 2 3 7 2 3" xfId="10505"/>
    <cellStyle name="Normal 14 3 2 2 3 7 2 3 2" xfId="33092"/>
    <cellStyle name="Normal 14 3 2 2 3 7 2 4" xfId="26652"/>
    <cellStyle name="Normal 14 3 2 2 3 7 3" xfId="16945"/>
    <cellStyle name="Normal 14 3 2 2 3 7 3 2" xfId="39532"/>
    <cellStyle name="Normal 14 3 2 2 3 7 4" xfId="13725"/>
    <cellStyle name="Normal 14 3 2 2 3 7 4 2" xfId="36312"/>
    <cellStyle name="Normal 14 3 2 2 3 7 5" xfId="7285"/>
    <cellStyle name="Normal 14 3 2 2 3 7 5 2" xfId="29872"/>
    <cellStyle name="Normal 14 3 2 2 3 7 6" xfId="23432"/>
    <cellStyle name="Normal 14 3 2 2 3 8" xfId="3690"/>
    <cellStyle name="Normal 14 3 2 2 3 8 2" xfId="19790"/>
    <cellStyle name="Normal 14 3 2 2 3 8 2 2" xfId="42377"/>
    <cellStyle name="Normal 14 3 2 2 3 8 3" xfId="10130"/>
    <cellStyle name="Normal 14 3 2 2 3 8 3 2" xfId="32717"/>
    <cellStyle name="Normal 14 3 2 2 3 8 4" xfId="26277"/>
    <cellStyle name="Normal 14 3 2 2 3 9" xfId="16570"/>
    <cellStyle name="Normal 14 3 2 2 3 9 2" xfId="39157"/>
    <cellStyle name="Normal 14 3 2 2 4" xfId="902"/>
    <cellStyle name="Normal 14 3 2 2 4 2" xfId="2221"/>
    <cellStyle name="Normal 14 3 2 2 4 2 2" xfId="5442"/>
    <cellStyle name="Normal 14 3 2 2 4 2 2 2" xfId="21542"/>
    <cellStyle name="Normal 14 3 2 2 4 2 2 2 2" xfId="44129"/>
    <cellStyle name="Normal 14 3 2 2 4 2 2 3" xfId="11882"/>
    <cellStyle name="Normal 14 3 2 2 4 2 2 3 2" xfId="34469"/>
    <cellStyle name="Normal 14 3 2 2 4 2 2 4" xfId="28029"/>
    <cellStyle name="Normal 14 3 2 2 4 2 3" xfId="18322"/>
    <cellStyle name="Normal 14 3 2 2 4 2 3 2" xfId="40909"/>
    <cellStyle name="Normal 14 3 2 2 4 2 4" xfId="15102"/>
    <cellStyle name="Normal 14 3 2 2 4 2 4 2" xfId="37689"/>
    <cellStyle name="Normal 14 3 2 2 4 2 5" xfId="8662"/>
    <cellStyle name="Normal 14 3 2 2 4 2 5 2" xfId="31249"/>
    <cellStyle name="Normal 14 3 2 2 4 2 6" xfId="24809"/>
    <cellStyle name="Normal 14 3 2 2 4 3" xfId="4134"/>
    <cellStyle name="Normal 14 3 2 2 4 3 2" xfId="20234"/>
    <cellStyle name="Normal 14 3 2 2 4 3 2 2" xfId="42821"/>
    <cellStyle name="Normal 14 3 2 2 4 3 3" xfId="10574"/>
    <cellStyle name="Normal 14 3 2 2 4 3 3 2" xfId="33161"/>
    <cellStyle name="Normal 14 3 2 2 4 3 4" xfId="26721"/>
    <cellStyle name="Normal 14 3 2 2 4 4" xfId="17014"/>
    <cellStyle name="Normal 14 3 2 2 4 4 2" xfId="39601"/>
    <cellStyle name="Normal 14 3 2 2 4 5" xfId="13794"/>
    <cellStyle name="Normal 14 3 2 2 4 5 2" xfId="36381"/>
    <cellStyle name="Normal 14 3 2 2 4 6" xfId="7354"/>
    <cellStyle name="Normal 14 3 2 2 4 6 2" xfId="29941"/>
    <cellStyle name="Normal 14 3 2 2 4 7" xfId="23501"/>
    <cellStyle name="Normal 14 3 2 2 5" xfId="1254"/>
    <cellStyle name="Normal 14 3 2 2 5 2" xfId="2568"/>
    <cellStyle name="Normal 14 3 2 2 5 2 2" xfId="5789"/>
    <cellStyle name="Normal 14 3 2 2 5 2 2 2" xfId="21889"/>
    <cellStyle name="Normal 14 3 2 2 5 2 2 2 2" xfId="44476"/>
    <cellStyle name="Normal 14 3 2 2 5 2 2 3" xfId="12229"/>
    <cellStyle name="Normal 14 3 2 2 5 2 2 3 2" xfId="34816"/>
    <cellStyle name="Normal 14 3 2 2 5 2 2 4" xfId="28376"/>
    <cellStyle name="Normal 14 3 2 2 5 2 3" xfId="18669"/>
    <cellStyle name="Normal 14 3 2 2 5 2 3 2" xfId="41256"/>
    <cellStyle name="Normal 14 3 2 2 5 2 4" xfId="15449"/>
    <cellStyle name="Normal 14 3 2 2 5 2 4 2" xfId="38036"/>
    <cellStyle name="Normal 14 3 2 2 5 2 5" xfId="9009"/>
    <cellStyle name="Normal 14 3 2 2 5 2 5 2" xfId="31596"/>
    <cellStyle name="Normal 14 3 2 2 5 2 6" xfId="25156"/>
    <cellStyle name="Normal 14 3 2 2 5 3" xfId="4481"/>
    <cellStyle name="Normal 14 3 2 2 5 3 2" xfId="20581"/>
    <cellStyle name="Normal 14 3 2 2 5 3 2 2" xfId="43168"/>
    <cellStyle name="Normal 14 3 2 2 5 3 3" xfId="10921"/>
    <cellStyle name="Normal 14 3 2 2 5 3 3 2" xfId="33508"/>
    <cellStyle name="Normal 14 3 2 2 5 3 4" xfId="27068"/>
    <cellStyle name="Normal 14 3 2 2 5 4" xfId="17361"/>
    <cellStyle name="Normal 14 3 2 2 5 4 2" xfId="39948"/>
    <cellStyle name="Normal 14 3 2 2 5 5" xfId="14141"/>
    <cellStyle name="Normal 14 3 2 2 5 5 2" xfId="36728"/>
    <cellStyle name="Normal 14 3 2 2 5 6" xfId="7701"/>
    <cellStyle name="Normal 14 3 2 2 5 6 2" xfId="30288"/>
    <cellStyle name="Normal 14 3 2 2 5 7" xfId="23848"/>
    <cellStyle name="Normal 14 3 2 2 6" xfId="1588"/>
    <cellStyle name="Normal 14 3 2 2 6 2" xfId="4814"/>
    <cellStyle name="Normal 14 3 2 2 6 2 2" xfId="20914"/>
    <cellStyle name="Normal 14 3 2 2 6 2 2 2" xfId="43501"/>
    <cellStyle name="Normal 14 3 2 2 6 2 3" xfId="11254"/>
    <cellStyle name="Normal 14 3 2 2 6 2 3 2" xfId="33841"/>
    <cellStyle name="Normal 14 3 2 2 6 2 4" xfId="27401"/>
    <cellStyle name="Normal 14 3 2 2 6 3" xfId="17694"/>
    <cellStyle name="Normal 14 3 2 2 6 3 2" xfId="40281"/>
    <cellStyle name="Normal 14 3 2 2 6 4" xfId="14474"/>
    <cellStyle name="Normal 14 3 2 2 6 4 2" xfId="37061"/>
    <cellStyle name="Normal 14 3 2 2 6 5" xfId="8034"/>
    <cellStyle name="Normal 14 3 2 2 6 5 2" xfId="30621"/>
    <cellStyle name="Normal 14 3 2 2 6 6" xfId="24181"/>
    <cellStyle name="Normal 14 3 2 2 7" xfId="1873"/>
    <cellStyle name="Normal 14 3 2 2 7 2" xfId="5095"/>
    <cellStyle name="Normal 14 3 2 2 7 2 2" xfId="21195"/>
    <cellStyle name="Normal 14 3 2 2 7 2 2 2" xfId="43782"/>
    <cellStyle name="Normal 14 3 2 2 7 2 3" xfId="11535"/>
    <cellStyle name="Normal 14 3 2 2 7 2 3 2" xfId="34122"/>
    <cellStyle name="Normal 14 3 2 2 7 2 4" xfId="27682"/>
    <cellStyle name="Normal 14 3 2 2 7 3" xfId="17975"/>
    <cellStyle name="Normal 14 3 2 2 7 3 2" xfId="40562"/>
    <cellStyle name="Normal 14 3 2 2 7 4" xfId="14755"/>
    <cellStyle name="Normal 14 3 2 2 7 4 2" xfId="37342"/>
    <cellStyle name="Normal 14 3 2 2 7 5" xfId="8315"/>
    <cellStyle name="Normal 14 3 2 2 7 5 2" xfId="30902"/>
    <cellStyle name="Normal 14 3 2 2 7 6" xfId="24462"/>
    <cellStyle name="Normal 14 3 2 2 8" xfId="2916"/>
    <cellStyle name="Normal 14 3 2 2 8 2" xfId="6137"/>
    <cellStyle name="Normal 14 3 2 2 8 2 2" xfId="22237"/>
    <cellStyle name="Normal 14 3 2 2 8 2 2 2" xfId="44824"/>
    <cellStyle name="Normal 14 3 2 2 8 2 3" xfId="12577"/>
    <cellStyle name="Normal 14 3 2 2 8 2 3 2" xfId="35164"/>
    <cellStyle name="Normal 14 3 2 2 8 2 4" xfId="28724"/>
    <cellStyle name="Normal 14 3 2 2 8 3" xfId="19017"/>
    <cellStyle name="Normal 14 3 2 2 8 3 2" xfId="41604"/>
    <cellStyle name="Normal 14 3 2 2 8 4" xfId="15797"/>
    <cellStyle name="Normal 14 3 2 2 8 4 2" xfId="38384"/>
    <cellStyle name="Normal 14 3 2 2 8 5" xfId="9357"/>
    <cellStyle name="Normal 14 3 2 2 8 5 2" xfId="31944"/>
    <cellStyle name="Normal 14 3 2 2 8 6" xfId="25504"/>
    <cellStyle name="Normal 14 3 2 2 9" xfId="3207"/>
    <cellStyle name="Normal 14 3 2 2 9 2" xfId="6427"/>
    <cellStyle name="Normal 14 3 2 2 9 2 2" xfId="22527"/>
    <cellStyle name="Normal 14 3 2 2 9 2 2 2" xfId="45114"/>
    <cellStyle name="Normal 14 3 2 2 9 2 3" xfId="12867"/>
    <cellStyle name="Normal 14 3 2 2 9 2 3 2" xfId="35454"/>
    <cellStyle name="Normal 14 3 2 2 9 2 4" xfId="29014"/>
    <cellStyle name="Normal 14 3 2 2 9 3" xfId="19307"/>
    <cellStyle name="Normal 14 3 2 2 9 3 2" xfId="41894"/>
    <cellStyle name="Normal 14 3 2 2 9 4" xfId="16087"/>
    <cellStyle name="Normal 14 3 2 2 9 4 2" xfId="38674"/>
    <cellStyle name="Normal 14 3 2 2 9 5" xfId="9647"/>
    <cellStyle name="Normal 14 3 2 2 9 5 2" xfId="32234"/>
    <cellStyle name="Normal 14 3 2 2 9 6" xfId="25794"/>
    <cellStyle name="Normal 14 3 2 3" xfId="266"/>
    <cellStyle name="Normal 14 3 2 3 10" xfId="3553"/>
    <cellStyle name="Normal 14 3 2 3 10 2" xfId="19653"/>
    <cellStyle name="Normal 14 3 2 3 10 2 2" xfId="42240"/>
    <cellStyle name="Normal 14 3 2 3 10 3" xfId="9993"/>
    <cellStyle name="Normal 14 3 2 3 10 3 2" xfId="32580"/>
    <cellStyle name="Normal 14 3 2 3 10 4" xfId="26140"/>
    <cellStyle name="Normal 14 3 2 3 11" xfId="16433"/>
    <cellStyle name="Normal 14 3 2 3 11 2" xfId="39020"/>
    <cellStyle name="Normal 14 3 2 3 12" xfId="13213"/>
    <cellStyle name="Normal 14 3 2 3 12 2" xfId="35800"/>
    <cellStyle name="Normal 14 3 2 3 13" xfId="6773"/>
    <cellStyle name="Normal 14 3 2 3 13 2" xfId="29360"/>
    <cellStyle name="Normal 14 3 2 3 14" xfId="22920"/>
    <cellStyle name="Normal 14 3 2 3 2" xfId="699"/>
    <cellStyle name="Normal 14 3 2 3 2 2" xfId="1063"/>
    <cellStyle name="Normal 14 3 2 3 2 2 2" xfId="2377"/>
    <cellStyle name="Normal 14 3 2 3 2 2 2 2" xfId="5598"/>
    <cellStyle name="Normal 14 3 2 3 2 2 2 2 2" xfId="21698"/>
    <cellStyle name="Normal 14 3 2 3 2 2 2 2 2 2" xfId="44285"/>
    <cellStyle name="Normal 14 3 2 3 2 2 2 2 3" xfId="12038"/>
    <cellStyle name="Normal 14 3 2 3 2 2 2 2 3 2" xfId="34625"/>
    <cellStyle name="Normal 14 3 2 3 2 2 2 2 4" xfId="28185"/>
    <cellStyle name="Normal 14 3 2 3 2 2 2 3" xfId="18478"/>
    <cellStyle name="Normal 14 3 2 3 2 2 2 3 2" xfId="41065"/>
    <cellStyle name="Normal 14 3 2 3 2 2 2 4" xfId="15258"/>
    <cellStyle name="Normal 14 3 2 3 2 2 2 4 2" xfId="37845"/>
    <cellStyle name="Normal 14 3 2 3 2 2 2 5" xfId="8818"/>
    <cellStyle name="Normal 14 3 2 3 2 2 2 5 2" xfId="31405"/>
    <cellStyle name="Normal 14 3 2 3 2 2 2 6" xfId="24965"/>
    <cellStyle name="Normal 14 3 2 3 2 2 3" xfId="4290"/>
    <cellStyle name="Normal 14 3 2 3 2 2 3 2" xfId="20390"/>
    <cellStyle name="Normal 14 3 2 3 2 2 3 2 2" xfId="42977"/>
    <cellStyle name="Normal 14 3 2 3 2 2 3 3" xfId="10730"/>
    <cellStyle name="Normal 14 3 2 3 2 2 3 3 2" xfId="33317"/>
    <cellStyle name="Normal 14 3 2 3 2 2 3 4" xfId="26877"/>
    <cellStyle name="Normal 14 3 2 3 2 2 4" xfId="17170"/>
    <cellStyle name="Normal 14 3 2 3 2 2 4 2" xfId="39757"/>
    <cellStyle name="Normal 14 3 2 3 2 2 5" xfId="13950"/>
    <cellStyle name="Normal 14 3 2 3 2 2 5 2" xfId="36537"/>
    <cellStyle name="Normal 14 3 2 3 2 2 6" xfId="7510"/>
    <cellStyle name="Normal 14 3 2 3 2 2 6 2" xfId="30097"/>
    <cellStyle name="Normal 14 3 2 3 2 2 7" xfId="23657"/>
    <cellStyle name="Normal 14 3 2 3 2 3" xfId="1410"/>
    <cellStyle name="Normal 14 3 2 3 2 3 2" xfId="2724"/>
    <cellStyle name="Normal 14 3 2 3 2 3 2 2" xfId="5945"/>
    <cellStyle name="Normal 14 3 2 3 2 3 2 2 2" xfId="22045"/>
    <cellStyle name="Normal 14 3 2 3 2 3 2 2 2 2" xfId="44632"/>
    <cellStyle name="Normal 14 3 2 3 2 3 2 2 3" xfId="12385"/>
    <cellStyle name="Normal 14 3 2 3 2 3 2 2 3 2" xfId="34972"/>
    <cellStyle name="Normal 14 3 2 3 2 3 2 2 4" xfId="28532"/>
    <cellStyle name="Normal 14 3 2 3 2 3 2 3" xfId="18825"/>
    <cellStyle name="Normal 14 3 2 3 2 3 2 3 2" xfId="41412"/>
    <cellStyle name="Normal 14 3 2 3 2 3 2 4" xfId="15605"/>
    <cellStyle name="Normal 14 3 2 3 2 3 2 4 2" xfId="38192"/>
    <cellStyle name="Normal 14 3 2 3 2 3 2 5" xfId="9165"/>
    <cellStyle name="Normal 14 3 2 3 2 3 2 5 2" xfId="31752"/>
    <cellStyle name="Normal 14 3 2 3 2 3 2 6" xfId="25312"/>
    <cellStyle name="Normal 14 3 2 3 2 3 3" xfId="4637"/>
    <cellStyle name="Normal 14 3 2 3 2 3 3 2" xfId="20737"/>
    <cellStyle name="Normal 14 3 2 3 2 3 3 2 2" xfId="43324"/>
    <cellStyle name="Normal 14 3 2 3 2 3 3 3" xfId="11077"/>
    <cellStyle name="Normal 14 3 2 3 2 3 3 3 2" xfId="33664"/>
    <cellStyle name="Normal 14 3 2 3 2 3 3 4" xfId="27224"/>
    <cellStyle name="Normal 14 3 2 3 2 3 4" xfId="17517"/>
    <cellStyle name="Normal 14 3 2 3 2 3 4 2" xfId="40104"/>
    <cellStyle name="Normal 14 3 2 3 2 3 5" xfId="14297"/>
    <cellStyle name="Normal 14 3 2 3 2 3 5 2" xfId="36884"/>
    <cellStyle name="Normal 14 3 2 3 2 3 6" xfId="7857"/>
    <cellStyle name="Normal 14 3 2 3 2 3 6 2" xfId="30444"/>
    <cellStyle name="Normal 14 3 2 3 2 3 7" xfId="24004"/>
    <cellStyle name="Normal 14 3 2 3 2 4" xfId="2029"/>
    <cellStyle name="Normal 14 3 2 3 2 4 2" xfId="5251"/>
    <cellStyle name="Normal 14 3 2 3 2 4 2 2" xfId="21351"/>
    <cellStyle name="Normal 14 3 2 3 2 4 2 2 2" xfId="43938"/>
    <cellStyle name="Normal 14 3 2 3 2 4 2 3" xfId="11691"/>
    <cellStyle name="Normal 14 3 2 3 2 4 2 3 2" xfId="34278"/>
    <cellStyle name="Normal 14 3 2 3 2 4 2 4" xfId="27838"/>
    <cellStyle name="Normal 14 3 2 3 2 4 3" xfId="18131"/>
    <cellStyle name="Normal 14 3 2 3 2 4 3 2" xfId="40718"/>
    <cellStyle name="Normal 14 3 2 3 2 4 4" xfId="14911"/>
    <cellStyle name="Normal 14 3 2 3 2 4 4 2" xfId="37498"/>
    <cellStyle name="Normal 14 3 2 3 2 4 5" xfId="8471"/>
    <cellStyle name="Normal 14 3 2 3 2 4 5 2" xfId="31058"/>
    <cellStyle name="Normal 14 3 2 3 2 4 6" xfId="24618"/>
    <cellStyle name="Normal 14 3 2 3 2 5" xfId="3943"/>
    <cellStyle name="Normal 14 3 2 3 2 5 2" xfId="20043"/>
    <cellStyle name="Normal 14 3 2 3 2 5 2 2" xfId="42630"/>
    <cellStyle name="Normal 14 3 2 3 2 5 3" xfId="10383"/>
    <cellStyle name="Normal 14 3 2 3 2 5 3 2" xfId="32970"/>
    <cellStyle name="Normal 14 3 2 3 2 5 4" xfId="26530"/>
    <cellStyle name="Normal 14 3 2 3 2 6" xfId="16823"/>
    <cellStyle name="Normal 14 3 2 3 2 6 2" xfId="39410"/>
    <cellStyle name="Normal 14 3 2 3 2 7" xfId="13603"/>
    <cellStyle name="Normal 14 3 2 3 2 7 2" xfId="36190"/>
    <cellStyle name="Normal 14 3 2 3 2 8" xfId="7163"/>
    <cellStyle name="Normal 14 3 2 3 2 8 2" xfId="29750"/>
    <cellStyle name="Normal 14 3 2 3 2 9" xfId="23310"/>
    <cellStyle name="Normal 14 3 2 3 3" xfId="942"/>
    <cellStyle name="Normal 14 3 2 3 3 2" xfId="2261"/>
    <cellStyle name="Normal 14 3 2 3 3 2 2" xfId="5482"/>
    <cellStyle name="Normal 14 3 2 3 3 2 2 2" xfId="21582"/>
    <cellStyle name="Normal 14 3 2 3 3 2 2 2 2" xfId="44169"/>
    <cellStyle name="Normal 14 3 2 3 3 2 2 3" xfId="11922"/>
    <cellStyle name="Normal 14 3 2 3 3 2 2 3 2" xfId="34509"/>
    <cellStyle name="Normal 14 3 2 3 3 2 2 4" xfId="28069"/>
    <cellStyle name="Normal 14 3 2 3 3 2 3" xfId="18362"/>
    <cellStyle name="Normal 14 3 2 3 3 2 3 2" xfId="40949"/>
    <cellStyle name="Normal 14 3 2 3 3 2 4" xfId="15142"/>
    <cellStyle name="Normal 14 3 2 3 3 2 4 2" xfId="37729"/>
    <cellStyle name="Normal 14 3 2 3 3 2 5" xfId="8702"/>
    <cellStyle name="Normal 14 3 2 3 3 2 5 2" xfId="31289"/>
    <cellStyle name="Normal 14 3 2 3 3 2 6" xfId="24849"/>
    <cellStyle name="Normal 14 3 2 3 3 3" xfId="4174"/>
    <cellStyle name="Normal 14 3 2 3 3 3 2" xfId="20274"/>
    <cellStyle name="Normal 14 3 2 3 3 3 2 2" xfId="42861"/>
    <cellStyle name="Normal 14 3 2 3 3 3 3" xfId="10614"/>
    <cellStyle name="Normal 14 3 2 3 3 3 3 2" xfId="33201"/>
    <cellStyle name="Normal 14 3 2 3 3 3 4" xfId="26761"/>
    <cellStyle name="Normal 14 3 2 3 3 4" xfId="17054"/>
    <cellStyle name="Normal 14 3 2 3 3 4 2" xfId="39641"/>
    <cellStyle name="Normal 14 3 2 3 3 5" xfId="13834"/>
    <cellStyle name="Normal 14 3 2 3 3 5 2" xfId="36421"/>
    <cellStyle name="Normal 14 3 2 3 3 6" xfId="7394"/>
    <cellStyle name="Normal 14 3 2 3 3 6 2" xfId="29981"/>
    <cellStyle name="Normal 14 3 2 3 3 7" xfId="23541"/>
    <cellStyle name="Normal 14 3 2 3 4" xfId="1294"/>
    <cellStyle name="Normal 14 3 2 3 4 2" xfId="2608"/>
    <cellStyle name="Normal 14 3 2 3 4 2 2" xfId="5829"/>
    <cellStyle name="Normal 14 3 2 3 4 2 2 2" xfId="21929"/>
    <cellStyle name="Normal 14 3 2 3 4 2 2 2 2" xfId="44516"/>
    <cellStyle name="Normal 14 3 2 3 4 2 2 3" xfId="12269"/>
    <cellStyle name="Normal 14 3 2 3 4 2 2 3 2" xfId="34856"/>
    <cellStyle name="Normal 14 3 2 3 4 2 2 4" xfId="28416"/>
    <cellStyle name="Normal 14 3 2 3 4 2 3" xfId="18709"/>
    <cellStyle name="Normal 14 3 2 3 4 2 3 2" xfId="41296"/>
    <cellStyle name="Normal 14 3 2 3 4 2 4" xfId="15489"/>
    <cellStyle name="Normal 14 3 2 3 4 2 4 2" xfId="38076"/>
    <cellStyle name="Normal 14 3 2 3 4 2 5" xfId="9049"/>
    <cellStyle name="Normal 14 3 2 3 4 2 5 2" xfId="31636"/>
    <cellStyle name="Normal 14 3 2 3 4 2 6" xfId="25196"/>
    <cellStyle name="Normal 14 3 2 3 4 3" xfId="4521"/>
    <cellStyle name="Normal 14 3 2 3 4 3 2" xfId="20621"/>
    <cellStyle name="Normal 14 3 2 3 4 3 2 2" xfId="43208"/>
    <cellStyle name="Normal 14 3 2 3 4 3 3" xfId="10961"/>
    <cellStyle name="Normal 14 3 2 3 4 3 3 2" xfId="33548"/>
    <cellStyle name="Normal 14 3 2 3 4 3 4" xfId="27108"/>
    <cellStyle name="Normal 14 3 2 3 4 4" xfId="17401"/>
    <cellStyle name="Normal 14 3 2 3 4 4 2" xfId="39988"/>
    <cellStyle name="Normal 14 3 2 3 4 5" xfId="14181"/>
    <cellStyle name="Normal 14 3 2 3 4 5 2" xfId="36768"/>
    <cellStyle name="Normal 14 3 2 3 4 6" xfId="7741"/>
    <cellStyle name="Normal 14 3 2 3 4 6 2" xfId="30328"/>
    <cellStyle name="Normal 14 3 2 3 4 7" xfId="23888"/>
    <cellStyle name="Normal 14 3 2 3 5" xfId="1589"/>
    <cellStyle name="Normal 14 3 2 3 5 2" xfId="4815"/>
    <cellStyle name="Normal 14 3 2 3 5 2 2" xfId="20915"/>
    <cellStyle name="Normal 14 3 2 3 5 2 2 2" xfId="43502"/>
    <cellStyle name="Normal 14 3 2 3 5 2 3" xfId="11255"/>
    <cellStyle name="Normal 14 3 2 3 5 2 3 2" xfId="33842"/>
    <cellStyle name="Normal 14 3 2 3 5 2 4" xfId="27402"/>
    <cellStyle name="Normal 14 3 2 3 5 3" xfId="17695"/>
    <cellStyle name="Normal 14 3 2 3 5 3 2" xfId="40282"/>
    <cellStyle name="Normal 14 3 2 3 5 4" xfId="14475"/>
    <cellStyle name="Normal 14 3 2 3 5 4 2" xfId="37062"/>
    <cellStyle name="Normal 14 3 2 3 5 5" xfId="8035"/>
    <cellStyle name="Normal 14 3 2 3 5 5 2" xfId="30622"/>
    <cellStyle name="Normal 14 3 2 3 5 6" xfId="24182"/>
    <cellStyle name="Normal 14 3 2 3 6" xfId="1913"/>
    <cellStyle name="Normal 14 3 2 3 6 2" xfId="5135"/>
    <cellStyle name="Normal 14 3 2 3 6 2 2" xfId="21235"/>
    <cellStyle name="Normal 14 3 2 3 6 2 2 2" xfId="43822"/>
    <cellStyle name="Normal 14 3 2 3 6 2 3" xfId="11575"/>
    <cellStyle name="Normal 14 3 2 3 6 2 3 2" xfId="34162"/>
    <cellStyle name="Normal 14 3 2 3 6 2 4" xfId="27722"/>
    <cellStyle name="Normal 14 3 2 3 6 3" xfId="18015"/>
    <cellStyle name="Normal 14 3 2 3 6 3 2" xfId="40602"/>
    <cellStyle name="Normal 14 3 2 3 6 4" xfId="14795"/>
    <cellStyle name="Normal 14 3 2 3 6 4 2" xfId="37382"/>
    <cellStyle name="Normal 14 3 2 3 6 5" xfId="8355"/>
    <cellStyle name="Normal 14 3 2 3 6 5 2" xfId="30942"/>
    <cellStyle name="Normal 14 3 2 3 6 6" xfId="24502"/>
    <cellStyle name="Normal 14 3 2 3 7" xfId="2973"/>
    <cellStyle name="Normal 14 3 2 3 7 2" xfId="6193"/>
    <cellStyle name="Normal 14 3 2 3 7 2 2" xfId="22293"/>
    <cellStyle name="Normal 14 3 2 3 7 2 2 2" xfId="44880"/>
    <cellStyle name="Normal 14 3 2 3 7 2 3" xfId="12633"/>
    <cellStyle name="Normal 14 3 2 3 7 2 3 2" xfId="35220"/>
    <cellStyle name="Normal 14 3 2 3 7 2 4" xfId="28780"/>
    <cellStyle name="Normal 14 3 2 3 7 3" xfId="19073"/>
    <cellStyle name="Normal 14 3 2 3 7 3 2" xfId="41660"/>
    <cellStyle name="Normal 14 3 2 3 7 4" xfId="15853"/>
    <cellStyle name="Normal 14 3 2 3 7 4 2" xfId="38440"/>
    <cellStyle name="Normal 14 3 2 3 7 5" xfId="9413"/>
    <cellStyle name="Normal 14 3 2 3 7 5 2" xfId="32000"/>
    <cellStyle name="Normal 14 3 2 3 7 6" xfId="25560"/>
    <cellStyle name="Normal 14 3 2 3 8" xfId="3263"/>
    <cellStyle name="Normal 14 3 2 3 8 2" xfId="6483"/>
    <cellStyle name="Normal 14 3 2 3 8 2 2" xfId="22583"/>
    <cellStyle name="Normal 14 3 2 3 8 2 2 2" xfId="45170"/>
    <cellStyle name="Normal 14 3 2 3 8 2 3" xfId="12923"/>
    <cellStyle name="Normal 14 3 2 3 8 2 3 2" xfId="35510"/>
    <cellStyle name="Normal 14 3 2 3 8 2 4" xfId="29070"/>
    <cellStyle name="Normal 14 3 2 3 8 3" xfId="19363"/>
    <cellStyle name="Normal 14 3 2 3 8 3 2" xfId="41950"/>
    <cellStyle name="Normal 14 3 2 3 8 4" xfId="16143"/>
    <cellStyle name="Normal 14 3 2 3 8 4 2" xfId="38730"/>
    <cellStyle name="Normal 14 3 2 3 8 5" xfId="9703"/>
    <cellStyle name="Normal 14 3 2 3 8 5 2" xfId="32290"/>
    <cellStyle name="Normal 14 3 2 3 8 6" xfId="25850"/>
    <cellStyle name="Normal 14 3 2 3 9" xfId="540"/>
    <cellStyle name="Normal 14 3 2 3 9 2" xfId="3827"/>
    <cellStyle name="Normal 14 3 2 3 9 2 2" xfId="19927"/>
    <cellStyle name="Normal 14 3 2 3 9 2 2 2" xfId="42514"/>
    <cellStyle name="Normal 14 3 2 3 9 2 3" xfId="10267"/>
    <cellStyle name="Normal 14 3 2 3 9 2 3 2" xfId="32854"/>
    <cellStyle name="Normal 14 3 2 3 9 2 4" xfId="26414"/>
    <cellStyle name="Normal 14 3 2 3 9 3" xfId="16707"/>
    <cellStyle name="Normal 14 3 2 3 9 3 2" xfId="39294"/>
    <cellStyle name="Normal 14 3 2 3 9 4" xfId="13487"/>
    <cellStyle name="Normal 14 3 2 3 9 4 2" xfId="36074"/>
    <cellStyle name="Normal 14 3 2 3 9 5" xfId="7047"/>
    <cellStyle name="Normal 14 3 2 3 9 5 2" xfId="29634"/>
    <cellStyle name="Normal 14 3 2 3 9 6" xfId="23194"/>
    <cellStyle name="Normal 14 3 2 4" xfId="366"/>
    <cellStyle name="Normal 14 3 2 4 10" xfId="16533"/>
    <cellStyle name="Normal 14 3 2 4 10 2" xfId="39120"/>
    <cellStyle name="Normal 14 3 2 4 11" xfId="13313"/>
    <cellStyle name="Normal 14 3 2 4 11 2" xfId="35900"/>
    <cellStyle name="Normal 14 3 2 4 12" xfId="6873"/>
    <cellStyle name="Normal 14 3 2 4 12 2" xfId="29460"/>
    <cellStyle name="Normal 14 3 2 4 13" xfId="23020"/>
    <cellStyle name="Normal 14 3 2 4 2" xfId="989"/>
    <cellStyle name="Normal 14 3 2 4 2 2" xfId="2303"/>
    <cellStyle name="Normal 14 3 2 4 2 2 2" xfId="5524"/>
    <cellStyle name="Normal 14 3 2 4 2 2 2 2" xfId="21624"/>
    <cellStyle name="Normal 14 3 2 4 2 2 2 2 2" xfId="44211"/>
    <cellStyle name="Normal 14 3 2 4 2 2 2 3" xfId="11964"/>
    <cellStyle name="Normal 14 3 2 4 2 2 2 3 2" xfId="34551"/>
    <cellStyle name="Normal 14 3 2 4 2 2 2 4" xfId="28111"/>
    <cellStyle name="Normal 14 3 2 4 2 2 3" xfId="18404"/>
    <cellStyle name="Normal 14 3 2 4 2 2 3 2" xfId="40991"/>
    <cellStyle name="Normal 14 3 2 4 2 2 4" xfId="15184"/>
    <cellStyle name="Normal 14 3 2 4 2 2 4 2" xfId="37771"/>
    <cellStyle name="Normal 14 3 2 4 2 2 5" xfId="8744"/>
    <cellStyle name="Normal 14 3 2 4 2 2 5 2" xfId="31331"/>
    <cellStyle name="Normal 14 3 2 4 2 2 6" xfId="24891"/>
    <cellStyle name="Normal 14 3 2 4 2 3" xfId="4216"/>
    <cellStyle name="Normal 14 3 2 4 2 3 2" xfId="20316"/>
    <cellStyle name="Normal 14 3 2 4 2 3 2 2" xfId="42903"/>
    <cellStyle name="Normal 14 3 2 4 2 3 3" xfId="10656"/>
    <cellStyle name="Normal 14 3 2 4 2 3 3 2" xfId="33243"/>
    <cellStyle name="Normal 14 3 2 4 2 3 4" xfId="26803"/>
    <cellStyle name="Normal 14 3 2 4 2 4" xfId="17096"/>
    <cellStyle name="Normal 14 3 2 4 2 4 2" xfId="39683"/>
    <cellStyle name="Normal 14 3 2 4 2 5" xfId="13876"/>
    <cellStyle name="Normal 14 3 2 4 2 5 2" xfId="36463"/>
    <cellStyle name="Normal 14 3 2 4 2 6" xfId="7436"/>
    <cellStyle name="Normal 14 3 2 4 2 6 2" xfId="30023"/>
    <cellStyle name="Normal 14 3 2 4 2 7" xfId="23583"/>
    <cellStyle name="Normal 14 3 2 4 3" xfId="1336"/>
    <cellStyle name="Normal 14 3 2 4 3 2" xfId="2650"/>
    <cellStyle name="Normal 14 3 2 4 3 2 2" xfId="5871"/>
    <cellStyle name="Normal 14 3 2 4 3 2 2 2" xfId="21971"/>
    <cellStyle name="Normal 14 3 2 4 3 2 2 2 2" xfId="44558"/>
    <cellStyle name="Normal 14 3 2 4 3 2 2 3" xfId="12311"/>
    <cellStyle name="Normal 14 3 2 4 3 2 2 3 2" xfId="34898"/>
    <cellStyle name="Normal 14 3 2 4 3 2 2 4" xfId="28458"/>
    <cellStyle name="Normal 14 3 2 4 3 2 3" xfId="18751"/>
    <cellStyle name="Normal 14 3 2 4 3 2 3 2" xfId="41338"/>
    <cellStyle name="Normal 14 3 2 4 3 2 4" xfId="15531"/>
    <cellStyle name="Normal 14 3 2 4 3 2 4 2" xfId="38118"/>
    <cellStyle name="Normal 14 3 2 4 3 2 5" xfId="9091"/>
    <cellStyle name="Normal 14 3 2 4 3 2 5 2" xfId="31678"/>
    <cellStyle name="Normal 14 3 2 4 3 2 6" xfId="25238"/>
    <cellStyle name="Normal 14 3 2 4 3 3" xfId="4563"/>
    <cellStyle name="Normal 14 3 2 4 3 3 2" xfId="20663"/>
    <cellStyle name="Normal 14 3 2 4 3 3 2 2" xfId="43250"/>
    <cellStyle name="Normal 14 3 2 4 3 3 3" xfId="11003"/>
    <cellStyle name="Normal 14 3 2 4 3 3 3 2" xfId="33590"/>
    <cellStyle name="Normal 14 3 2 4 3 3 4" xfId="27150"/>
    <cellStyle name="Normal 14 3 2 4 3 4" xfId="17443"/>
    <cellStyle name="Normal 14 3 2 4 3 4 2" xfId="40030"/>
    <cellStyle name="Normal 14 3 2 4 3 5" xfId="14223"/>
    <cellStyle name="Normal 14 3 2 4 3 5 2" xfId="36810"/>
    <cellStyle name="Normal 14 3 2 4 3 6" xfId="7783"/>
    <cellStyle name="Normal 14 3 2 4 3 6 2" xfId="30370"/>
    <cellStyle name="Normal 14 3 2 4 3 7" xfId="23930"/>
    <cellStyle name="Normal 14 3 2 4 4" xfId="1590"/>
    <cellStyle name="Normal 14 3 2 4 4 2" xfId="4816"/>
    <cellStyle name="Normal 14 3 2 4 4 2 2" xfId="20916"/>
    <cellStyle name="Normal 14 3 2 4 4 2 2 2" xfId="43503"/>
    <cellStyle name="Normal 14 3 2 4 4 2 3" xfId="11256"/>
    <cellStyle name="Normal 14 3 2 4 4 2 3 2" xfId="33843"/>
    <cellStyle name="Normal 14 3 2 4 4 2 4" xfId="27403"/>
    <cellStyle name="Normal 14 3 2 4 4 3" xfId="17696"/>
    <cellStyle name="Normal 14 3 2 4 4 3 2" xfId="40283"/>
    <cellStyle name="Normal 14 3 2 4 4 4" xfId="14476"/>
    <cellStyle name="Normal 14 3 2 4 4 4 2" xfId="37063"/>
    <cellStyle name="Normal 14 3 2 4 4 5" xfId="8036"/>
    <cellStyle name="Normal 14 3 2 4 4 5 2" xfId="30623"/>
    <cellStyle name="Normal 14 3 2 4 4 6" xfId="24183"/>
    <cellStyle name="Normal 14 3 2 4 5" xfId="1955"/>
    <cellStyle name="Normal 14 3 2 4 5 2" xfId="5177"/>
    <cellStyle name="Normal 14 3 2 4 5 2 2" xfId="21277"/>
    <cellStyle name="Normal 14 3 2 4 5 2 2 2" xfId="43864"/>
    <cellStyle name="Normal 14 3 2 4 5 2 3" xfId="11617"/>
    <cellStyle name="Normal 14 3 2 4 5 2 3 2" xfId="34204"/>
    <cellStyle name="Normal 14 3 2 4 5 2 4" xfId="27764"/>
    <cellStyle name="Normal 14 3 2 4 5 3" xfId="18057"/>
    <cellStyle name="Normal 14 3 2 4 5 3 2" xfId="40644"/>
    <cellStyle name="Normal 14 3 2 4 5 4" xfId="14837"/>
    <cellStyle name="Normal 14 3 2 4 5 4 2" xfId="37424"/>
    <cellStyle name="Normal 14 3 2 4 5 5" xfId="8397"/>
    <cellStyle name="Normal 14 3 2 4 5 5 2" xfId="30984"/>
    <cellStyle name="Normal 14 3 2 4 5 6" xfId="24544"/>
    <cellStyle name="Normal 14 3 2 4 6" xfId="3073"/>
    <cellStyle name="Normal 14 3 2 4 6 2" xfId="6293"/>
    <cellStyle name="Normal 14 3 2 4 6 2 2" xfId="22393"/>
    <cellStyle name="Normal 14 3 2 4 6 2 2 2" xfId="44980"/>
    <cellStyle name="Normal 14 3 2 4 6 2 3" xfId="12733"/>
    <cellStyle name="Normal 14 3 2 4 6 2 3 2" xfId="35320"/>
    <cellStyle name="Normal 14 3 2 4 6 2 4" xfId="28880"/>
    <cellStyle name="Normal 14 3 2 4 6 3" xfId="19173"/>
    <cellStyle name="Normal 14 3 2 4 6 3 2" xfId="41760"/>
    <cellStyle name="Normal 14 3 2 4 6 4" xfId="15953"/>
    <cellStyle name="Normal 14 3 2 4 6 4 2" xfId="38540"/>
    <cellStyle name="Normal 14 3 2 4 6 5" xfId="9513"/>
    <cellStyle name="Normal 14 3 2 4 6 5 2" xfId="32100"/>
    <cellStyle name="Normal 14 3 2 4 6 6" xfId="25660"/>
    <cellStyle name="Normal 14 3 2 4 7" xfId="3363"/>
    <cellStyle name="Normal 14 3 2 4 7 2" xfId="6583"/>
    <cellStyle name="Normal 14 3 2 4 7 2 2" xfId="22683"/>
    <cellStyle name="Normal 14 3 2 4 7 2 2 2" xfId="45270"/>
    <cellStyle name="Normal 14 3 2 4 7 2 3" xfId="13023"/>
    <cellStyle name="Normal 14 3 2 4 7 2 3 2" xfId="35610"/>
    <cellStyle name="Normal 14 3 2 4 7 2 4" xfId="29170"/>
    <cellStyle name="Normal 14 3 2 4 7 3" xfId="19463"/>
    <cellStyle name="Normal 14 3 2 4 7 3 2" xfId="42050"/>
    <cellStyle name="Normal 14 3 2 4 7 4" xfId="16243"/>
    <cellStyle name="Normal 14 3 2 4 7 4 2" xfId="38830"/>
    <cellStyle name="Normal 14 3 2 4 7 5" xfId="9803"/>
    <cellStyle name="Normal 14 3 2 4 7 5 2" xfId="32390"/>
    <cellStyle name="Normal 14 3 2 4 7 6" xfId="25950"/>
    <cellStyle name="Normal 14 3 2 4 8" xfId="625"/>
    <cellStyle name="Normal 14 3 2 4 8 2" xfId="3869"/>
    <cellStyle name="Normal 14 3 2 4 8 2 2" xfId="19969"/>
    <cellStyle name="Normal 14 3 2 4 8 2 2 2" xfId="42556"/>
    <cellStyle name="Normal 14 3 2 4 8 2 3" xfId="10309"/>
    <cellStyle name="Normal 14 3 2 4 8 2 3 2" xfId="32896"/>
    <cellStyle name="Normal 14 3 2 4 8 2 4" xfId="26456"/>
    <cellStyle name="Normal 14 3 2 4 8 3" xfId="16749"/>
    <cellStyle name="Normal 14 3 2 4 8 3 2" xfId="39336"/>
    <cellStyle name="Normal 14 3 2 4 8 4" xfId="13529"/>
    <cellStyle name="Normal 14 3 2 4 8 4 2" xfId="36116"/>
    <cellStyle name="Normal 14 3 2 4 8 5" xfId="7089"/>
    <cellStyle name="Normal 14 3 2 4 8 5 2" xfId="29676"/>
    <cellStyle name="Normal 14 3 2 4 8 6" xfId="23236"/>
    <cellStyle name="Normal 14 3 2 4 9" xfId="3653"/>
    <cellStyle name="Normal 14 3 2 4 9 2" xfId="19753"/>
    <cellStyle name="Normal 14 3 2 4 9 2 2" xfId="42340"/>
    <cellStyle name="Normal 14 3 2 4 9 3" xfId="10093"/>
    <cellStyle name="Normal 14 3 2 4 9 3 2" xfId="32680"/>
    <cellStyle name="Normal 14 3 2 4 9 4" xfId="26240"/>
    <cellStyle name="Normal 14 3 2 5" xfId="795"/>
    <cellStyle name="Normal 14 3 2 5 2" xfId="1147"/>
    <cellStyle name="Normal 14 3 2 5 2 2" xfId="2461"/>
    <cellStyle name="Normal 14 3 2 5 2 2 2" xfId="5682"/>
    <cellStyle name="Normal 14 3 2 5 2 2 2 2" xfId="21782"/>
    <cellStyle name="Normal 14 3 2 5 2 2 2 2 2" xfId="44369"/>
    <cellStyle name="Normal 14 3 2 5 2 2 2 3" xfId="12122"/>
    <cellStyle name="Normal 14 3 2 5 2 2 2 3 2" xfId="34709"/>
    <cellStyle name="Normal 14 3 2 5 2 2 2 4" xfId="28269"/>
    <cellStyle name="Normal 14 3 2 5 2 2 3" xfId="18562"/>
    <cellStyle name="Normal 14 3 2 5 2 2 3 2" xfId="41149"/>
    <cellStyle name="Normal 14 3 2 5 2 2 4" xfId="15342"/>
    <cellStyle name="Normal 14 3 2 5 2 2 4 2" xfId="37929"/>
    <cellStyle name="Normal 14 3 2 5 2 2 5" xfId="8902"/>
    <cellStyle name="Normal 14 3 2 5 2 2 5 2" xfId="31489"/>
    <cellStyle name="Normal 14 3 2 5 2 2 6" xfId="25049"/>
    <cellStyle name="Normal 14 3 2 5 2 3" xfId="4374"/>
    <cellStyle name="Normal 14 3 2 5 2 3 2" xfId="20474"/>
    <cellStyle name="Normal 14 3 2 5 2 3 2 2" xfId="43061"/>
    <cellStyle name="Normal 14 3 2 5 2 3 3" xfId="10814"/>
    <cellStyle name="Normal 14 3 2 5 2 3 3 2" xfId="33401"/>
    <cellStyle name="Normal 14 3 2 5 2 3 4" xfId="26961"/>
    <cellStyle name="Normal 14 3 2 5 2 4" xfId="17254"/>
    <cellStyle name="Normal 14 3 2 5 2 4 2" xfId="39841"/>
    <cellStyle name="Normal 14 3 2 5 2 5" xfId="14034"/>
    <cellStyle name="Normal 14 3 2 5 2 5 2" xfId="36621"/>
    <cellStyle name="Normal 14 3 2 5 2 6" xfId="7594"/>
    <cellStyle name="Normal 14 3 2 5 2 6 2" xfId="30181"/>
    <cellStyle name="Normal 14 3 2 5 2 7" xfId="23741"/>
    <cellStyle name="Normal 14 3 2 5 3" xfId="1494"/>
    <cellStyle name="Normal 14 3 2 5 3 2" xfId="2808"/>
    <cellStyle name="Normal 14 3 2 5 3 2 2" xfId="6029"/>
    <cellStyle name="Normal 14 3 2 5 3 2 2 2" xfId="22129"/>
    <cellStyle name="Normal 14 3 2 5 3 2 2 2 2" xfId="44716"/>
    <cellStyle name="Normal 14 3 2 5 3 2 2 3" xfId="12469"/>
    <cellStyle name="Normal 14 3 2 5 3 2 2 3 2" xfId="35056"/>
    <cellStyle name="Normal 14 3 2 5 3 2 2 4" xfId="28616"/>
    <cellStyle name="Normal 14 3 2 5 3 2 3" xfId="18909"/>
    <cellStyle name="Normal 14 3 2 5 3 2 3 2" xfId="41496"/>
    <cellStyle name="Normal 14 3 2 5 3 2 4" xfId="15689"/>
    <cellStyle name="Normal 14 3 2 5 3 2 4 2" xfId="38276"/>
    <cellStyle name="Normal 14 3 2 5 3 2 5" xfId="9249"/>
    <cellStyle name="Normal 14 3 2 5 3 2 5 2" xfId="31836"/>
    <cellStyle name="Normal 14 3 2 5 3 2 6" xfId="25396"/>
    <cellStyle name="Normal 14 3 2 5 3 3" xfId="4721"/>
    <cellStyle name="Normal 14 3 2 5 3 3 2" xfId="20821"/>
    <cellStyle name="Normal 14 3 2 5 3 3 2 2" xfId="43408"/>
    <cellStyle name="Normal 14 3 2 5 3 3 3" xfId="11161"/>
    <cellStyle name="Normal 14 3 2 5 3 3 3 2" xfId="33748"/>
    <cellStyle name="Normal 14 3 2 5 3 3 4" xfId="27308"/>
    <cellStyle name="Normal 14 3 2 5 3 4" xfId="17601"/>
    <cellStyle name="Normal 14 3 2 5 3 4 2" xfId="40188"/>
    <cellStyle name="Normal 14 3 2 5 3 5" xfId="14381"/>
    <cellStyle name="Normal 14 3 2 5 3 5 2" xfId="36968"/>
    <cellStyle name="Normal 14 3 2 5 3 6" xfId="7941"/>
    <cellStyle name="Normal 14 3 2 5 3 6 2" xfId="30528"/>
    <cellStyle name="Normal 14 3 2 5 3 7" xfId="24088"/>
    <cellStyle name="Normal 14 3 2 5 4" xfId="2114"/>
    <cellStyle name="Normal 14 3 2 5 4 2" xfId="5335"/>
    <cellStyle name="Normal 14 3 2 5 4 2 2" xfId="21435"/>
    <cellStyle name="Normal 14 3 2 5 4 2 2 2" xfId="44022"/>
    <cellStyle name="Normal 14 3 2 5 4 2 3" xfId="11775"/>
    <cellStyle name="Normal 14 3 2 5 4 2 3 2" xfId="34362"/>
    <cellStyle name="Normal 14 3 2 5 4 2 4" xfId="27922"/>
    <cellStyle name="Normal 14 3 2 5 4 3" xfId="18215"/>
    <cellStyle name="Normal 14 3 2 5 4 3 2" xfId="40802"/>
    <cellStyle name="Normal 14 3 2 5 4 4" xfId="14995"/>
    <cellStyle name="Normal 14 3 2 5 4 4 2" xfId="37582"/>
    <cellStyle name="Normal 14 3 2 5 4 5" xfId="8555"/>
    <cellStyle name="Normal 14 3 2 5 4 5 2" xfId="31142"/>
    <cellStyle name="Normal 14 3 2 5 4 6" xfId="24702"/>
    <cellStyle name="Normal 14 3 2 5 5" xfId="4027"/>
    <cellStyle name="Normal 14 3 2 5 5 2" xfId="20127"/>
    <cellStyle name="Normal 14 3 2 5 5 2 2" xfId="42714"/>
    <cellStyle name="Normal 14 3 2 5 5 3" xfId="10467"/>
    <cellStyle name="Normal 14 3 2 5 5 3 2" xfId="33054"/>
    <cellStyle name="Normal 14 3 2 5 5 4" xfId="26614"/>
    <cellStyle name="Normal 14 3 2 5 6" xfId="16907"/>
    <cellStyle name="Normal 14 3 2 5 6 2" xfId="39494"/>
    <cellStyle name="Normal 14 3 2 5 7" xfId="13687"/>
    <cellStyle name="Normal 14 3 2 5 7 2" xfId="36274"/>
    <cellStyle name="Normal 14 3 2 5 8" xfId="7247"/>
    <cellStyle name="Normal 14 3 2 5 8 2" xfId="29834"/>
    <cellStyle name="Normal 14 3 2 5 9" xfId="23394"/>
    <cellStyle name="Normal 14 3 2 6" xfId="865"/>
    <cellStyle name="Normal 14 3 2 6 2" xfId="2184"/>
    <cellStyle name="Normal 14 3 2 6 2 2" xfId="5405"/>
    <cellStyle name="Normal 14 3 2 6 2 2 2" xfId="21505"/>
    <cellStyle name="Normal 14 3 2 6 2 2 2 2" xfId="44092"/>
    <cellStyle name="Normal 14 3 2 6 2 2 3" xfId="11845"/>
    <cellStyle name="Normal 14 3 2 6 2 2 3 2" xfId="34432"/>
    <cellStyle name="Normal 14 3 2 6 2 2 4" xfId="27992"/>
    <cellStyle name="Normal 14 3 2 6 2 3" xfId="18285"/>
    <cellStyle name="Normal 14 3 2 6 2 3 2" xfId="40872"/>
    <cellStyle name="Normal 14 3 2 6 2 4" xfId="15065"/>
    <cellStyle name="Normal 14 3 2 6 2 4 2" xfId="37652"/>
    <cellStyle name="Normal 14 3 2 6 2 5" xfId="8625"/>
    <cellStyle name="Normal 14 3 2 6 2 5 2" xfId="31212"/>
    <cellStyle name="Normal 14 3 2 6 2 6" xfId="24772"/>
    <cellStyle name="Normal 14 3 2 6 3" xfId="4097"/>
    <cellStyle name="Normal 14 3 2 6 3 2" xfId="20197"/>
    <cellStyle name="Normal 14 3 2 6 3 2 2" xfId="42784"/>
    <cellStyle name="Normal 14 3 2 6 3 3" xfId="10537"/>
    <cellStyle name="Normal 14 3 2 6 3 3 2" xfId="33124"/>
    <cellStyle name="Normal 14 3 2 6 3 4" xfId="26684"/>
    <cellStyle name="Normal 14 3 2 6 4" xfId="16977"/>
    <cellStyle name="Normal 14 3 2 6 4 2" xfId="39564"/>
    <cellStyle name="Normal 14 3 2 6 5" xfId="13757"/>
    <cellStyle name="Normal 14 3 2 6 5 2" xfId="36344"/>
    <cellStyle name="Normal 14 3 2 6 6" xfId="7317"/>
    <cellStyle name="Normal 14 3 2 6 6 2" xfId="29904"/>
    <cellStyle name="Normal 14 3 2 6 7" xfId="23464"/>
    <cellStyle name="Normal 14 3 2 7" xfId="1217"/>
    <cellStyle name="Normal 14 3 2 7 2" xfId="2531"/>
    <cellStyle name="Normal 14 3 2 7 2 2" xfId="5752"/>
    <cellStyle name="Normal 14 3 2 7 2 2 2" xfId="21852"/>
    <cellStyle name="Normal 14 3 2 7 2 2 2 2" xfId="44439"/>
    <cellStyle name="Normal 14 3 2 7 2 2 3" xfId="12192"/>
    <cellStyle name="Normal 14 3 2 7 2 2 3 2" xfId="34779"/>
    <cellStyle name="Normal 14 3 2 7 2 2 4" xfId="28339"/>
    <cellStyle name="Normal 14 3 2 7 2 3" xfId="18632"/>
    <cellStyle name="Normal 14 3 2 7 2 3 2" xfId="41219"/>
    <cellStyle name="Normal 14 3 2 7 2 4" xfId="15412"/>
    <cellStyle name="Normal 14 3 2 7 2 4 2" xfId="37999"/>
    <cellStyle name="Normal 14 3 2 7 2 5" xfId="8972"/>
    <cellStyle name="Normal 14 3 2 7 2 5 2" xfId="31559"/>
    <cellStyle name="Normal 14 3 2 7 2 6" xfId="25119"/>
    <cellStyle name="Normal 14 3 2 7 3" xfId="4444"/>
    <cellStyle name="Normal 14 3 2 7 3 2" xfId="20544"/>
    <cellStyle name="Normal 14 3 2 7 3 2 2" xfId="43131"/>
    <cellStyle name="Normal 14 3 2 7 3 3" xfId="10884"/>
    <cellStyle name="Normal 14 3 2 7 3 3 2" xfId="33471"/>
    <cellStyle name="Normal 14 3 2 7 3 4" xfId="27031"/>
    <cellStyle name="Normal 14 3 2 7 4" xfId="17324"/>
    <cellStyle name="Normal 14 3 2 7 4 2" xfId="39911"/>
    <cellStyle name="Normal 14 3 2 7 5" xfId="14104"/>
    <cellStyle name="Normal 14 3 2 7 5 2" xfId="36691"/>
    <cellStyle name="Normal 14 3 2 7 6" xfId="7664"/>
    <cellStyle name="Normal 14 3 2 7 6 2" xfId="30251"/>
    <cellStyle name="Normal 14 3 2 7 7" xfId="23811"/>
    <cellStyle name="Normal 14 3 2 8" xfId="1591"/>
    <cellStyle name="Normal 14 3 2 8 2" xfId="4817"/>
    <cellStyle name="Normal 14 3 2 8 2 2" xfId="20917"/>
    <cellStyle name="Normal 14 3 2 8 2 2 2" xfId="43504"/>
    <cellStyle name="Normal 14 3 2 8 2 3" xfId="11257"/>
    <cellStyle name="Normal 14 3 2 8 2 3 2" xfId="33844"/>
    <cellStyle name="Normal 14 3 2 8 2 4" xfId="27404"/>
    <cellStyle name="Normal 14 3 2 8 3" xfId="17697"/>
    <cellStyle name="Normal 14 3 2 8 3 2" xfId="40284"/>
    <cellStyle name="Normal 14 3 2 8 4" xfId="14477"/>
    <cellStyle name="Normal 14 3 2 8 4 2" xfId="37064"/>
    <cellStyle name="Normal 14 3 2 8 5" xfId="8037"/>
    <cellStyle name="Normal 14 3 2 8 5 2" xfId="30624"/>
    <cellStyle name="Normal 14 3 2 8 6" xfId="24184"/>
    <cellStyle name="Normal 14 3 2 9" xfId="1836"/>
    <cellStyle name="Normal 14 3 2 9 2" xfId="5058"/>
    <cellStyle name="Normal 14 3 2 9 2 2" xfId="21158"/>
    <cellStyle name="Normal 14 3 2 9 2 2 2" xfId="43745"/>
    <cellStyle name="Normal 14 3 2 9 2 3" xfId="11498"/>
    <cellStyle name="Normal 14 3 2 9 2 3 2" xfId="34085"/>
    <cellStyle name="Normal 14 3 2 9 2 4" xfId="27645"/>
    <cellStyle name="Normal 14 3 2 9 3" xfId="17938"/>
    <cellStyle name="Normal 14 3 2 9 3 2" xfId="40525"/>
    <cellStyle name="Normal 14 3 2 9 4" xfId="14718"/>
    <cellStyle name="Normal 14 3 2 9 4 2" xfId="37305"/>
    <cellStyle name="Normal 14 3 2 9 5" xfId="8278"/>
    <cellStyle name="Normal 14 3 2 9 5 2" xfId="30865"/>
    <cellStyle name="Normal 14 3 2 9 6" xfId="24425"/>
    <cellStyle name="Normal 14 3 3" xfId="142"/>
    <cellStyle name="Normal 14 3 3 10" xfId="480"/>
    <cellStyle name="Normal 14 3 3 10 2" xfId="3767"/>
    <cellStyle name="Normal 14 3 3 10 2 2" xfId="19867"/>
    <cellStyle name="Normal 14 3 3 10 2 2 2" xfId="42454"/>
    <cellStyle name="Normal 14 3 3 10 2 3" xfId="10207"/>
    <cellStyle name="Normal 14 3 3 10 2 3 2" xfId="32794"/>
    <cellStyle name="Normal 14 3 3 10 2 4" xfId="26354"/>
    <cellStyle name="Normal 14 3 3 10 3" xfId="16647"/>
    <cellStyle name="Normal 14 3 3 10 3 2" xfId="39234"/>
    <cellStyle name="Normal 14 3 3 10 4" xfId="13427"/>
    <cellStyle name="Normal 14 3 3 10 4 2" xfId="36014"/>
    <cellStyle name="Normal 14 3 3 10 5" xfId="6987"/>
    <cellStyle name="Normal 14 3 3 10 5 2" xfId="29574"/>
    <cellStyle name="Normal 14 3 3 10 6" xfId="23134"/>
    <cellStyle name="Normal 14 3 3 11" xfId="3477"/>
    <cellStyle name="Normal 14 3 3 11 2" xfId="19577"/>
    <cellStyle name="Normal 14 3 3 11 2 2" xfId="42164"/>
    <cellStyle name="Normal 14 3 3 11 3" xfId="9917"/>
    <cellStyle name="Normal 14 3 3 11 3 2" xfId="32504"/>
    <cellStyle name="Normal 14 3 3 11 4" xfId="26064"/>
    <cellStyle name="Normal 14 3 3 12" xfId="16357"/>
    <cellStyle name="Normal 14 3 3 12 2" xfId="38944"/>
    <cellStyle name="Normal 14 3 3 13" xfId="13137"/>
    <cellStyle name="Normal 14 3 3 13 2" xfId="35724"/>
    <cellStyle name="Normal 14 3 3 14" xfId="6697"/>
    <cellStyle name="Normal 14 3 3 14 2" xfId="29284"/>
    <cellStyle name="Normal 14 3 3 15" xfId="22844"/>
    <cellStyle name="Normal 14 3 3 2" xfId="288"/>
    <cellStyle name="Normal 14 3 3 2 10" xfId="16455"/>
    <cellStyle name="Normal 14 3 3 2 10 2" xfId="39042"/>
    <cellStyle name="Normal 14 3 3 2 11" xfId="13235"/>
    <cellStyle name="Normal 14 3 3 2 11 2" xfId="35822"/>
    <cellStyle name="Normal 14 3 3 2 12" xfId="6795"/>
    <cellStyle name="Normal 14 3 3 2 12 2" xfId="29382"/>
    <cellStyle name="Normal 14 3 3 2 13" xfId="22942"/>
    <cellStyle name="Normal 14 3 3 2 2" xfId="1006"/>
    <cellStyle name="Normal 14 3 3 2 2 2" xfId="2320"/>
    <cellStyle name="Normal 14 3 3 2 2 2 2" xfId="5541"/>
    <cellStyle name="Normal 14 3 3 2 2 2 2 2" xfId="21641"/>
    <cellStyle name="Normal 14 3 3 2 2 2 2 2 2" xfId="44228"/>
    <cellStyle name="Normal 14 3 3 2 2 2 2 3" xfId="11981"/>
    <cellStyle name="Normal 14 3 3 2 2 2 2 3 2" xfId="34568"/>
    <cellStyle name="Normal 14 3 3 2 2 2 2 4" xfId="28128"/>
    <cellStyle name="Normal 14 3 3 2 2 2 3" xfId="18421"/>
    <cellStyle name="Normal 14 3 3 2 2 2 3 2" xfId="41008"/>
    <cellStyle name="Normal 14 3 3 2 2 2 4" xfId="15201"/>
    <cellStyle name="Normal 14 3 3 2 2 2 4 2" xfId="37788"/>
    <cellStyle name="Normal 14 3 3 2 2 2 5" xfId="8761"/>
    <cellStyle name="Normal 14 3 3 2 2 2 5 2" xfId="31348"/>
    <cellStyle name="Normal 14 3 3 2 2 2 6" xfId="24908"/>
    <cellStyle name="Normal 14 3 3 2 2 3" xfId="4233"/>
    <cellStyle name="Normal 14 3 3 2 2 3 2" xfId="20333"/>
    <cellStyle name="Normal 14 3 3 2 2 3 2 2" xfId="42920"/>
    <cellStyle name="Normal 14 3 3 2 2 3 3" xfId="10673"/>
    <cellStyle name="Normal 14 3 3 2 2 3 3 2" xfId="33260"/>
    <cellStyle name="Normal 14 3 3 2 2 3 4" xfId="26820"/>
    <cellStyle name="Normal 14 3 3 2 2 4" xfId="17113"/>
    <cellStyle name="Normal 14 3 3 2 2 4 2" xfId="39700"/>
    <cellStyle name="Normal 14 3 3 2 2 5" xfId="13893"/>
    <cellStyle name="Normal 14 3 3 2 2 5 2" xfId="36480"/>
    <cellStyle name="Normal 14 3 3 2 2 6" xfId="7453"/>
    <cellStyle name="Normal 14 3 3 2 2 6 2" xfId="30040"/>
    <cellStyle name="Normal 14 3 3 2 2 7" xfId="23600"/>
    <cellStyle name="Normal 14 3 3 2 3" xfId="1353"/>
    <cellStyle name="Normal 14 3 3 2 3 2" xfId="2667"/>
    <cellStyle name="Normal 14 3 3 2 3 2 2" xfId="5888"/>
    <cellStyle name="Normal 14 3 3 2 3 2 2 2" xfId="21988"/>
    <cellStyle name="Normal 14 3 3 2 3 2 2 2 2" xfId="44575"/>
    <cellStyle name="Normal 14 3 3 2 3 2 2 3" xfId="12328"/>
    <cellStyle name="Normal 14 3 3 2 3 2 2 3 2" xfId="34915"/>
    <cellStyle name="Normal 14 3 3 2 3 2 2 4" xfId="28475"/>
    <cellStyle name="Normal 14 3 3 2 3 2 3" xfId="18768"/>
    <cellStyle name="Normal 14 3 3 2 3 2 3 2" xfId="41355"/>
    <cellStyle name="Normal 14 3 3 2 3 2 4" xfId="15548"/>
    <cellStyle name="Normal 14 3 3 2 3 2 4 2" xfId="38135"/>
    <cellStyle name="Normal 14 3 3 2 3 2 5" xfId="9108"/>
    <cellStyle name="Normal 14 3 3 2 3 2 5 2" xfId="31695"/>
    <cellStyle name="Normal 14 3 3 2 3 2 6" xfId="25255"/>
    <cellStyle name="Normal 14 3 3 2 3 3" xfId="4580"/>
    <cellStyle name="Normal 14 3 3 2 3 3 2" xfId="20680"/>
    <cellStyle name="Normal 14 3 3 2 3 3 2 2" xfId="43267"/>
    <cellStyle name="Normal 14 3 3 2 3 3 3" xfId="11020"/>
    <cellStyle name="Normal 14 3 3 2 3 3 3 2" xfId="33607"/>
    <cellStyle name="Normal 14 3 3 2 3 3 4" xfId="27167"/>
    <cellStyle name="Normal 14 3 3 2 3 4" xfId="17460"/>
    <cellStyle name="Normal 14 3 3 2 3 4 2" xfId="40047"/>
    <cellStyle name="Normal 14 3 3 2 3 5" xfId="14240"/>
    <cellStyle name="Normal 14 3 3 2 3 5 2" xfId="36827"/>
    <cellStyle name="Normal 14 3 3 2 3 6" xfId="7800"/>
    <cellStyle name="Normal 14 3 3 2 3 6 2" xfId="30387"/>
    <cellStyle name="Normal 14 3 3 2 3 7" xfId="23947"/>
    <cellStyle name="Normal 14 3 3 2 4" xfId="1592"/>
    <cellStyle name="Normal 14 3 3 2 4 2" xfId="4818"/>
    <cellStyle name="Normal 14 3 3 2 4 2 2" xfId="20918"/>
    <cellStyle name="Normal 14 3 3 2 4 2 2 2" xfId="43505"/>
    <cellStyle name="Normal 14 3 3 2 4 2 3" xfId="11258"/>
    <cellStyle name="Normal 14 3 3 2 4 2 3 2" xfId="33845"/>
    <cellStyle name="Normal 14 3 3 2 4 2 4" xfId="27405"/>
    <cellStyle name="Normal 14 3 3 2 4 3" xfId="17698"/>
    <cellStyle name="Normal 14 3 3 2 4 3 2" xfId="40285"/>
    <cellStyle name="Normal 14 3 3 2 4 4" xfId="14478"/>
    <cellStyle name="Normal 14 3 3 2 4 4 2" xfId="37065"/>
    <cellStyle name="Normal 14 3 3 2 4 5" xfId="8038"/>
    <cellStyle name="Normal 14 3 3 2 4 5 2" xfId="30625"/>
    <cellStyle name="Normal 14 3 3 2 4 6" xfId="24185"/>
    <cellStyle name="Normal 14 3 3 2 5" xfId="1972"/>
    <cellStyle name="Normal 14 3 3 2 5 2" xfId="5194"/>
    <cellStyle name="Normal 14 3 3 2 5 2 2" xfId="21294"/>
    <cellStyle name="Normal 14 3 3 2 5 2 2 2" xfId="43881"/>
    <cellStyle name="Normal 14 3 3 2 5 2 3" xfId="11634"/>
    <cellStyle name="Normal 14 3 3 2 5 2 3 2" xfId="34221"/>
    <cellStyle name="Normal 14 3 3 2 5 2 4" xfId="27781"/>
    <cellStyle name="Normal 14 3 3 2 5 3" xfId="18074"/>
    <cellStyle name="Normal 14 3 3 2 5 3 2" xfId="40661"/>
    <cellStyle name="Normal 14 3 3 2 5 4" xfId="14854"/>
    <cellStyle name="Normal 14 3 3 2 5 4 2" xfId="37441"/>
    <cellStyle name="Normal 14 3 3 2 5 5" xfId="8414"/>
    <cellStyle name="Normal 14 3 3 2 5 5 2" xfId="31001"/>
    <cellStyle name="Normal 14 3 3 2 5 6" xfId="24561"/>
    <cellStyle name="Normal 14 3 3 2 6" xfId="2995"/>
    <cellStyle name="Normal 14 3 3 2 6 2" xfId="6215"/>
    <cellStyle name="Normal 14 3 3 2 6 2 2" xfId="22315"/>
    <cellStyle name="Normal 14 3 3 2 6 2 2 2" xfId="44902"/>
    <cellStyle name="Normal 14 3 3 2 6 2 3" xfId="12655"/>
    <cellStyle name="Normal 14 3 3 2 6 2 3 2" xfId="35242"/>
    <cellStyle name="Normal 14 3 3 2 6 2 4" xfId="28802"/>
    <cellStyle name="Normal 14 3 3 2 6 3" xfId="19095"/>
    <cellStyle name="Normal 14 3 3 2 6 3 2" xfId="41682"/>
    <cellStyle name="Normal 14 3 3 2 6 4" xfId="15875"/>
    <cellStyle name="Normal 14 3 3 2 6 4 2" xfId="38462"/>
    <cellStyle name="Normal 14 3 3 2 6 5" xfId="9435"/>
    <cellStyle name="Normal 14 3 3 2 6 5 2" xfId="32022"/>
    <cellStyle name="Normal 14 3 3 2 6 6" xfId="25582"/>
    <cellStyle name="Normal 14 3 3 2 7" xfId="3285"/>
    <cellStyle name="Normal 14 3 3 2 7 2" xfId="6505"/>
    <cellStyle name="Normal 14 3 3 2 7 2 2" xfId="22605"/>
    <cellStyle name="Normal 14 3 3 2 7 2 2 2" xfId="45192"/>
    <cellStyle name="Normal 14 3 3 2 7 2 3" xfId="12945"/>
    <cellStyle name="Normal 14 3 3 2 7 2 3 2" xfId="35532"/>
    <cellStyle name="Normal 14 3 3 2 7 2 4" xfId="29092"/>
    <cellStyle name="Normal 14 3 3 2 7 3" xfId="19385"/>
    <cellStyle name="Normal 14 3 3 2 7 3 2" xfId="41972"/>
    <cellStyle name="Normal 14 3 3 2 7 4" xfId="16165"/>
    <cellStyle name="Normal 14 3 3 2 7 4 2" xfId="38752"/>
    <cellStyle name="Normal 14 3 3 2 7 5" xfId="9725"/>
    <cellStyle name="Normal 14 3 3 2 7 5 2" xfId="32312"/>
    <cellStyle name="Normal 14 3 3 2 7 6" xfId="25872"/>
    <cellStyle name="Normal 14 3 3 2 8" xfId="642"/>
    <cellStyle name="Normal 14 3 3 2 8 2" xfId="3886"/>
    <cellStyle name="Normal 14 3 3 2 8 2 2" xfId="19986"/>
    <cellStyle name="Normal 14 3 3 2 8 2 2 2" xfId="42573"/>
    <cellStyle name="Normal 14 3 3 2 8 2 3" xfId="10326"/>
    <cellStyle name="Normal 14 3 3 2 8 2 3 2" xfId="32913"/>
    <cellStyle name="Normal 14 3 3 2 8 2 4" xfId="26473"/>
    <cellStyle name="Normal 14 3 3 2 8 3" xfId="16766"/>
    <cellStyle name="Normal 14 3 3 2 8 3 2" xfId="39353"/>
    <cellStyle name="Normal 14 3 3 2 8 4" xfId="13546"/>
    <cellStyle name="Normal 14 3 3 2 8 4 2" xfId="36133"/>
    <cellStyle name="Normal 14 3 3 2 8 5" xfId="7106"/>
    <cellStyle name="Normal 14 3 3 2 8 5 2" xfId="29693"/>
    <cellStyle name="Normal 14 3 3 2 8 6" xfId="23253"/>
    <cellStyle name="Normal 14 3 3 2 9" xfId="3575"/>
    <cellStyle name="Normal 14 3 3 2 9 2" xfId="19675"/>
    <cellStyle name="Normal 14 3 3 2 9 2 2" xfId="42262"/>
    <cellStyle name="Normal 14 3 3 2 9 3" xfId="10015"/>
    <cellStyle name="Normal 14 3 3 2 9 3 2" xfId="32602"/>
    <cellStyle name="Normal 14 3 3 2 9 4" xfId="26162"/>
    <cellStyle name="Normal 14 3 3 3" xfId="383"/>
    <cellStyle name="Normal 14 3 3 3 10" xfId="16550"/>
    <cellStyle name="Normal 14 3 3 3 10 2" xfId="39137"/>
    <cellStyle name="Normal 14 3 3 3 11" xfId="13330"/>
    <cellStyle name="Normal 14 3 3 3 11 2" xfId="35917"/>
    <cellStyle name="Normal 14 3 3 3 12" xfId="6890"/>
    <cellStyle name="Normal 14 3 3 3 12 2" xfId="29477"/>
    <cellStyle name="Normal 14 3 3 3 13" xfId="23037"/>
    <cellStyle name="Normal 14 3 3 3 2" xfId="1167"/>
    <cellStyle name="Normal 14 3 3 3 2 2" xfId="2481"/>
    <cellStyle name="Normal 14 3 3 3 2 2 2" xfId="5702"/>
    <cellStyle name="Normal 14 3 3 3 2 2 2 2" xfId="21802"/>
    <cellStyle name="Normal 14 3 3 3 2 2 2 2 2" xfId="44389"/>
    <cellStyle name="Normal 14 3 3 3 2 2 2 3" xfId="12142"/>
    <cellStyle name="Normal 14 3 3 3 2 2 2 3 2" xfId="34729"/>
    <cellStyle name="Normal 14 3 3 3 2 2 2 4" xfId="28289"/>
    <cellStyle name="Normal 14 3 3 3 2 2 3" xfId="18582"/>
    <cellStyle name="Normal 14 3 3 3 2 2 3 2" xfId="41169"/>
    <cellStyle name="Normal 14 3 3 3 2 2 4" xfId="15362"/>
    <cellStyle name="Normal 14 3 3 3 2 2 4 2" xfId="37949"/>
    <cellStyle name="Normal 14 3 3 3 2 2 5" xfId="8922"/>
    <cellStyle name="Normal 14 3 3 3 2 2 5 2" xfId="31509"/>
    <cellStyle name="Normal 14 3 3 3 2 2 6" xfId="25069"/>
    <cellStyle name="Normal 14 3 3 3 2 3" xfId="4394"/>
    <cellStyle name="Normal 14 3 3 3 2 3 2" xfId="20494"/>
    <cellStyle name="Normal 14 3 3 3 2 3 2 2" xfId="43081"/>
    <cellStyle name="Normal 14 3 3 3 2 3 3" xfId="10834"/>
    <cellStyle name="Normal 14 3 3 3 2 3 3 2" xfId="33421"/>
    <cellStyle name="Normal 14 3 3 3 2 3 4" xfId="26981"/>
    <cellStyle name="Normal 14 3 3 3 2 4" xfId="17274"/>
    <cellStyle name="Normal 14 3 3 3 2 4 2" xfId="39861"/>
    <cellStyle name="Normal 14 3 3 3 2 5" xfId="14054"/>
    <cellStyle name="Normal 14 3 3 3 2 5 2" xfId="36641"/>
    <cellStyle name="Normal 14 3 3 3 2 6" xfId="7614"/>
    <cellStyle name="Normal 14 3 3 3 2 6 2" xfId="30201"/>
    <cellStyle name="Normal 14 3 3 3 2 7" xfId="23761"/>
    <cellStyle name="Normal 14 3 3 3 3" xfId="1514"/>
    <cellStyle name="Normal 14 3 3 3 3 2" xfId="2828"/>
    <cellStyle name="Normal 14 3 3 3 3 2 2" xfId="6049"/>
    <cellStyle name="Normal 14 3 3 3 3 2 2 2" xfId="22149"/>
    <cellStyle name="Normal 14 3 3 3 3 2 2 2 2" xfId="44736"/>
    <cellStyle name="Normal 14 3 3 3 3 2 2 3" xfId="12489"/>
    <cellStyle name="Normal 14 3 3 3 3 2 2 3 2" xfId="35076"/>
    <cellStyle name="Normal 14 3 3 3 3 2 2 4" xfId="28636"/>
    <cellStyle name="Normal 14 3 3 3 3 2 3" xfId="18929"/>
    <cellStyle name="Normal 14 3 3 3 3 2 3 2" xfId="41516"/>
    <cellStyle name="Normal 14 3 3 3 3 2 4" xfId="15709"/>
    <cellStyle name="Normal 14 3 3 3 3 2 4 2" xfId="38296"/>
    <cellStyle name="Normal 14 3 3 3 3 2 5" xfId="9269"/>
    <cellStyle name="Normal 14 3 3 3 3 2 5 2" xfId="31856"/>
    <cellStyle name="Normal 14 3 3 3 3 2 6" xfId="25416"/>
    <cellStyle name="Normal 14 3 3 3 3 3" xfId="4741"/>
    <cellStyle name="Normal 14 3 3 3 3 3 2" xfId="20841"/>
    <cellStyle name="Normal 14 3 3 3 3 3 2 2" xfId="43428"/>
    <cellStyle name="Normal 14 3 3 3 3 3 3" xfId="11181"/>
    <cellStyle name="Normal 14 3 3 3 3 3 3 2" xfId="33768"/>
    <cellStyle name="Normal 14 3 3 3 3 3 4" xfId="27328"/>
    <cellStyle name="Normal 14 3 3 3 3 4" xfId="17621"/>
    <cellStyle name="Normal 14 3 3 3 3 4 2" xfId="40208"/>
    <cellStyle name="Normal 14 3 3 3 3 5" xfId="14401"/>
    <cellStyle name="Normal 14 3 3 3 3 5 2" xfId="36988"/>
    <cellStyle name="Normal 14 3 3 3 3 6" xfId="7961"/>
    <cellStyle name="Normal 14 3 3 3 3 6 2" xfId="30548"/>
    <cellStyle name="Normal 14 3 3 3 3 7" xfId="24108"/>
    <cellStyle name="Normal 14 3 3 3 4" xfId="1593"/>
    <cellStyle name="Normal 14 3 3 3 4 2" xfId="4819"/>
    <cellStyle name="Normal 14 3 3 3 4 2 2" xfId="20919"/>
    <cellStyle name="Normal 14 3 3 3 4 2 2 2" xfId="43506"/>
    <cellStyle name="Normal 14 3 3 3 4 2 3" xfId="11259"/>
    <cellStyle name="Normal 14 3 3 3 4 2 3 2" xfId="33846"/>
    <cellStyle name="Normal 14 3 3 3 4 2 4" xfId="27406"/>
    <cellStyle name="Normal 14 3 3 3 4 3" xfId="17699"/>
    <cellStyle name="Normal 14 3 3 3 4 3 2" xfId="40286"/>
    <cellStyle name="Normal 14 3 3 3 4 4" xfId="14479"/>
    <cellStyle name="Normal 14 3 3 3 4 4 2" xfId="37066"/>
    <cellStyle name="Normal 14 3 3 3 4 5" xfId="8039"/>
    <cellStyle name="Normal 14 3 3 3 4 5 2" xfId="30626"/>
    <cellStyle name="Normal 14 3 3 3 4 6" xfId="24186"/>
    <cellStyle name="Normal 14 3 3 3 5" xfId="2134"/>
    <cellStyle name="Normal 14 3 3 3 5 2" xfId="5355"/>
    <cellStyle name="Normal 14 3 3 3 5 2 2" xfId="21455"/>
    <cellStyle name="Normal 14 3 3 3 5 2 2 2" xfId="44042"/>
    <cellStyle name="Normal 14 3 3 3 5 2 3" xfId="11795"/>
    <cellStyle name="Normal 14 3 3 3 5 2 3 2" xfId="34382"/>
    <cellStyle name="Normal 14 3 3 3 5 2 4" xfId="27942"/>
    <cellStyle name="Normal 14 3 3 3 5 3" xfId="18235"/>
    <cellStyle name="Normal 14 3 3 3 5 3 2" xfId="40822"/>
    <cellStyle name="Normal 14 3 3 3 5 4" xfId="15015"/>
    <cellStyle name="Normal 14 3 3 3 5 4 2" xfId="37602"/>
    <cellStyle name="Normal 14 3 3 3 5 5" xfId="8575"/>
    <cellStyle name="Normal 14 3 3 3 5 5 2" xfId="31162"/>
    <cellStyle name="Normal 14 3 3 3 5 6" xfId="24722"/>
    <cellStyle name="Normal 14 3 3 3 6" xfId="3090"/>
    <cellStyle name="Normal 14 3 3 3 6 2" xfId="6310"/>
    <cellStyle name="Normal 14 3 3 3 6 2 2" xfId="22410"/>
    <cellStyle name="Normal 14 3 3 3 6 2 2 2" xfId="44997"/>
    <cellStyle name="Normal 14 3 3 3 6 2 3" xfId="12750"/>
    <cellStyle name="Normal 14 3 3 3 6 2 3 2" xfId="35337"/>
    <cellStyle name="Normal 14 3 3 3 6 2 4" xfId="28897"/>
    <cellStyle name="Normal 14 3 3 3 6 3" xfId="19190"/>
    <cellStyle name="Normal 14 3 3 3 6 3 2" xfId="41777"/>
    <cellStyle name="Normal 14 3 3 3 6 4" xfId="15970"/>
    <cellStyle name="Normal 14 3 3 3 6 4 2" xfId="38557"/>
    <cellStyle name="Normal 14 3 3 3 6 5" xfId="9530"/>
    <cellStyle name="Normal 14 3 3 3 6 5 2" xfId="32117"/>
    <cellStyle name="Normal 14 3 3 3 6 6" xfId="25677"/>
    <cellStyle name="Normal 14 3 3 3 7" xfId="3380"/>
    <cellStyle name="Normal 14 3 3 3 7 2" xfId="6600"/>
    <cellStyle name="Normal 14 3 3 3 7 2 2" xfId="22700"/>
    <cellStyle name="Normal 14 3 3 3 7 2 2 2" xfId="45287"/>
    <cellStyle name="Normal 14 3 3 3 7 2 3" xfId="13040"/>
    <cellStyle name="Normal 14 3 3 3 7 2 3 2" xfId="35627"/>
    <cellStyle name="Normal 14 3 3 3 7 2 4" xfId="29187"/>
    <cellStyle name="Normal 14 3 3 3 7 3" xfId="19480"/>
    <cellStyle name="Normal 14 3 3 3 7 3 2" xfId="42067"/>
    <cellStyle name="Normal 14 3 3 3 7 4" xfId="16260"/>
    <cellStyle name="Normal 14 3 3 3 7 4 2" xfId="38847"/>
    <cellStyle name="Normal 14 3 3 3 7 5" xfId="9820"/>
    <cellStyle name="Normal 14 3 3 3 7 5 2" xfId="32407"/>
    <cellStyle name="Normal 14 3 3 3 7 6" xfId="25967"/>
    <cellStyle name="Normal 14 3 3 3 8" xfId="815"/>
    <cellStyle name="Normal 14 3 3 3 8 2" xfId="4047"/>
    <cellStyle name="Normal 14 3 3 3 8 2 2" xfId="20147"/>
    <cellStyle name="Normal 14 3 3 3 8 2 2 2" xfId="42734"/>
    <cellStyle name="Normal 14 3 3 3 8 2 3" xfId="10487"/>
    <cellStyle name="Normal 14 3 3 3 8 2 3 2" xfId="33074"/>
    <cellStyle name="Normal 14 3 3 3 8 2 4" xfId="26634"/>
    <cellStyle name="Normal 14 3 3 3 8 3" xfId="16927"/>
    <cellStyle name="Normal 14 3 3 3 8 3 2" xfId="39514"/>
    <cellStyle name="Normal 14 3 3 3 8 4" xfId="13707"/>
    <cellStyle name="Normal 14 3 3 3 8 4 2" xfId="36294"/>
    <cellStyle name="Normal 14 3 3 3 8 5" xfId="7267"/>
    <cellStyle name="Normal 14 3 3 3 8 5 2" xfId="29854"/>
    <cellStyle name="Normal 14 3 3 3 8 6" xfId="23414"/>
    <cellStyle name="Normal 14 3 3 3 9" xfId="3670"/>
    <cellStyle name="Normal 14 3 3 3 9 2" xfId="19770"/>
    <cellStyle name="Normal 14 3 3 3 9 2 2" xfId="42357"/>
    <cellStyle name="Normal 14 3 3 3 9 3" xfId="10110"/>
    <cellStyle name="Normal 14 3 3 3 9 3 2" xfId="32697"/>
    <cellStyle name="Normal 14 3 3 3 9 4" xfId="26257"/>
    <cellStyle name="Normal 14 3 3 4" xfId="882"/>
    <cellStyle name="Normal 14 3 3 4 2" xfId="2201"/>
    <cellStyle name="Normal 14 3 3 4 2 2" xfId="5422"/>
    <cellStyle name="Normal 14 3 3 4 2 2 2" xfId="21522"/>
    <cellStyle name="Normal 14 3 3 4 2 2 2 2" xfId="44109"/>
    <cellStyle name="Normal 14 3 3 4 2 2 3" xfId="11862"/>
    <cellStyle name="Normal 14 3 3 4 2 2 3 2" xfId="34449"/>
    <cellStyle name="Normal 14 3 3 4 2 2 4" xfId="28009"/>
    <cellStyle name="Normal 14 3 3 4 2 3" xfId="18302"/>
    <cellStyle name="Normal 14 3 3 4 2 3 2" xfId="40889"/>
    <cellStyle name="Normal 14 3 3 4 2 4" xfId="15082"/>
    <cellStyle name="Normal 14 3 3 4 2 4 2" xfId="37669"/>
    <cellStyle name="Normal 14 3 3 4 2 5" xfId="8642"/>
    <cellStyle name="Normal 14 3 3 4 2 5 2" xfId="31229"/>
    <cellStyle name="Normal 14 3 3 4 2 6" xfId="24789"/>
    <cellStyle name="Normal 14 3 3 4 3" xfId="4114"/>
    <cellStyle name="Normal 14 3 3 4 3 2" xfId="20214"/>
    <cellStyle name="Normal 14 3 3 4 3 2 2" xfId="42801"/>
    <cellStyle name="Normal 14 3 3 4 3 3" xfId="10554"/>
    <cellStyle name="Normal 14 3 3 4 3 3 2" xfId="33141"/>
    <cellStyle name="Normal 14 3 3 4 3 4" xfId="26701"/>
    <cellStyle name="Normal 14 3 3 4 4" xfId="16994"/>
    <cellStyle name="Normal 14 3 3 4 4 2" xfId="39581"/>
    <cellStyle name="Normal 14 3 3 4 5" xfId="13774"/>
    <cellStyle name="Normal 14 3 3 4 5 2" xfId="36361"/>
    <cellStyle name="Normal 14 3 3 4 6" xfId="7334"/>
    <cellStyle name="Normal 14 3 3 4 6 2" xfId="29921"/>
    <cellStyle name="Normal 14 3 3 4 7" xfId="23481"/>
    <cellStyle name="Normal 14 3 3 5" xfId="1234"/>
    <cellStyle name="Normal 14 3 3 5 2" xfId="2548"/>
    <cellStyle name="Normal 14 3 3 5 2 2" xfId="5769"/>
    <cellStyle name="Normal 14 3 3 5 2 2 2" xfId="21869"/>
    <cellStyle name="Normal 14 3 3 5 2 2 2 2" xfId="44456"/>
    <cellStyle name="Normal 14 3 3 5 2 2 3" xfId="12209"/>
    <cellStyle name="Normal 14 3 3 5 2 2 3 2" xfId="34796"/>
    <cellStyle name="Normal 14 3 3 5 2 2 4" xfId="28356"/>
    <cellStyle name="Normal 14 3 3 5 2 3" xfId="18649"/>
    <cellStyle name="Normal 14 3 3 5 2 3 2" xfId="41236"/>
    <cellStyle name="Normal 14 3 3 5 2 4" xfId="15429"/>
    <cellStyle name="Normal 14 3 3 5 2 4 2" xfId="38016"/>
    <cellStyle name="Normal 14 3 3 5 2 5" xfId="8989"/>
    <cellStyle name="Normal 14 3 3 5 2 5 2" xfId="31576"/>
    <cellStyle name="Normal 14 3 3 5 2 6" xfId="25136"/>
    <cellStyle name="Normal 14 3 3 5 3" xfId="4461"/>
    <cellStyle name="Normal 14 3 3 5 3 2" xfId="20561"/>
    <cellStyle name="Normal 14 3 3 5 3 2 2" xfId="43148"/>
    <cellStyle name="Normal 14 3 3 5 3 3" xfId="10901"/>
    <cellStyle name="Normal 14 3 3 5 3 3 2" xfId="33488"/>
    <cellStyle name="Normal 14 3 3 5 3 4" xfId="27048"/>
    <cellStyle name="Normal 14 3 3 5 4" xfId="17341"/>
    <cellStyle name="Normal 14 3 3 5 4 2" xfId="39928"/>
    <cellStyle name="Normal 14 3 3 5 5" xfId="14121"/>
    <cellStyle name="Normal 14 3 3 5 5 2" xfId="36708"/>
    <cellStyle name="Normal 14 3 3 5 6" xfId="7681"/>
    <cellStyle name="Normal 14 3 3 5 6 2" xfId="30268"/>
    <cellStyle name="Normal 14 3 3 5 7" xfId="23828"/>
    <cellStyle name="Normal 14 3 3 6" xfId="1594"/>
    <cellStyle name="Normal 14 3 3 6 2" xfId="4820"/>
    <cellStyle name="Normal 14 3 3 6 2 2" xfId="20920"/>
    <cellStyle name="Normal 14 3 3 6 2 2 2" xfId="43507"/>
    <cellStyle name="Normal 14 3 3 6 2 3" xfId="11260"/>
    <cellStyle name="Normal 14 3 3 6 2 3 2" xfId="33847"/>
    <cellStyle name="Normal 14 3 3 6 2 4" xfId="27407"/>
    <cellStyle name="Normal 14 3 3 6 3" xfId="17700"/>
    <cellStyle name="Normal 14 3 3 6 3 2" xfId="40287"/>
    <cellStyle name="Normal 14 3 3 6 4" xfId="14480"/>
    <cellStyle name="Normal 14 3 3 6 4 2" xfId="37067"/>
    <cellStyle name="Normal 14 3 3 6 5" xfId="8040"/>
    <cellStyle name="Normal 14 3 3 6 5 2" xfId="30627"/>
    <cellStyle name="Normal 14 3 3 6 6" xfId="24187"/>
    <cellStyle name="Normal 14 3 3 7" xfId="1853"/>
    <cellStyle name="Normal 14 3 3 7 2" xfId="5075"/>
    <cellStyle name="Normal 14 3 3 7 2 2" xfId="21175"/>
    <cellStyle name="Normal 14 3 3 7 2 2 2" xfId="43762"/>
    <cellStyle name="Normal 14 3 3 7 2 3" xfId="11515"/>
    <cellStyle name="Normal 14 3 3 7 2 3 2" xfId="34102"/>
    <cellStyle name="Normal 14 3 3 7 2 4" xfId="27662"/>
    <cellStyle name="Normal 14 3 3 7 3" xfId="17955"/>
    <cellStyle name="Normal 14 3 3 7 3 2" xfId="40542"/>
    <cellStyle name="Normal 14 3 3 7 4" xfId="14735"/>
    <cellStyle name="Normal 14 3 3 7 4 2" xfId="37322"/>
    <cellStyle name="Normal 14 3 3 7 5" xfId="8295"/>
    <cellStyle name="Normal 14 3 3 7 5 2" xfId="30882"/>
    <cellStyle name="Normal 14 3 3 7 6" xfId="24442"/>
    <cellStyle name="Normal 14 3 3 8" xfId="2896"/>
    <cellStyle name="Normal 14 3 3 8 2" xfId="6117"/>
    <cellStyle name="Normal 14 3 3 8 2 2" xfId="22217"/>
    <cellStyle name="Normal 14 3 3 8 2 2 2" xfId="44804"/>
    <cellStyle name="Normal 14 3 3 8 2 3" xfId="12557"/>
    <cellStyle name="Normal 14 3 3 8 2 3 2" xfId="35144"/>
    <cellStyle name="Normal 14 3 3 8 2 4" xfId="28704"/>
    <cellStyle name="Normal 14 3 3 8 3" xfId="18997"/>
    <cellStyle name="Normal 14 3 3 8 3 2" xfId="41584"/>
    <cellStyle name="Normal 14 3 3 8 4" xfId="15777"/>
    <cellStyle name="Normal 14 3 3 8 4 2" xfId="38364"/>
    <cellStyle name="Normal 14 3 3 8 5" xfId="9337"/>
    <cellStyle name="Normal 14 3 3 8 5 2" xfId="31924"/>
    <cellStyle name="Normal 14 3 3 8 6" xfId="25484"/>
    <cellStyle name="Normal 14 3 3 9" xfId="3187"/>
    <cellStyle name="Normal 14 3 3 9 2" xfId="6407"/>
    <cellStyle name="Normal 14 3 3 9 2 2" xfId="22507"/>
    <cellStyle name="Normal 14 3 3 9 2 2 2" xfId="45094"/>
    <cellStyle name="Normal 14 3 3 9 2 3" xfId="12847"/>
    <cellStyle name="Normal 14 3 3 9 2 3 2" xfId="35434"/>
    <cellStyle name="Normal 14 3 3 9 2 4" xfId="28994"/>
    <cellStyle name="Normal 14 3 3 9 3" xfId="19287"/>
    <cellStyle name="Normal 14 3 3 9 3 2" xfId="41874"/>
    <cellStyle name="Normal 14 3 3 9 4" xfId="16067"/>
    <cellStyle name="Normal 14 3 3 9 4 2" xfId="38654"/>
    <cellStyle name="Normal 14 3 3 9 5" xfId="9627"/>
    <cellStyle name="Normal 14 3 3 9 5 2" xfId="32214"/>
    <cellStyle name="Normal 14 3 3 9 6" xfId="25774"/>
    <cellStyle name="Normal 14 3 4" xfId="233"/>
    <cellStyle name="Normal 14 3 4 10" xfId="520"/>
    <cellStyle name="Normal 14 3 4 10 2" xfId="3807"/>
    <cellStyle name="Normal 14 3 4 10 2 2" xfId="19907"/>
    <cellStyle name="Normal 14 3 4 10 2 2 2" xfId="42494"/>
    <cellStyle name="Normal 14 3 4 10 2 3" xfId="10247"/>
    <cellStyle name="Normal 14 3 4 10 2 3 2" xfId="32834"/>
    <cellStyle name="Normal 14 3 4 10 2 4" xfId="26394"/>
    <cellStyle name="Normal 14 3 4 10 3" xfId="16687"/>
    <cellStyle name="Normal 14 3 4 10 3 2" xfId="39274"/>
    <cellStyle name="Normal 14 3 4 10 4" xfId="13467"/>
    <cellStyle name="Normal 14 3 4 10 4 2" xfId="36054"/>
    <cellStyle name="Normal 14 3 4 10 5" xfId="7027"/>
    <cellStyle name="Normal 14 3 4 10 5 2" xfId="29614"/>
    <cellStyle name="Normal 14 3 4 10 6" xfId="23174"/>
    <cellStyle name="Normal 14 3 4 11" xfId="3521"/>
    <cellStyle name="Normal 14 3 4 11 2" xfId="19621"/>
    <cellStyle name="Normal 14 3 4 11 2 2" xfId="42208"/>
    <cellStyle name="Normal 14 3 4 11 3" xfId="9961"/>
    <cellStyle name="Normal 14 3 4 11 3 2" xfId="32548"/>
    <cellStyle name="Normal 14 3 4 11 4" xfId="26108"/>
    <cellStyle name="Normal 14 3 4 12" xfId="16401"/>
    <cellStyle name="Normal 14 3 4 12 2" xfId="38988"/>
    <cellStyle name="Normal 14 3 4 13" xfId="13181"/>
    <cellStyle name="Normal 14 3 4 13 2" xfId="35768"/>
    <cellStyle name="Normal 14 3 4 14" xfId="6741"/>
    <cellStyle name="Normal 14 3 4 14 2" xfId="29328"/>
    <cellStyle name="Normal 14 3 4 15" xfId="22888"/>
    <cellStyle name="Normal 14 3 4 2" xfId="331"/>
    <cellStyle name="Normal 14 3 4 2 10" xfId="16498"/>
    <cellStyle name="Normal 14 3 4 2 10 2" xfId="39085"/>
    <cellStyle name="Normal 14 3 4 2 11" xfId="13278"/>
    <cellStyle name="Normal 14 3 4 2 11 2" xfId="35865"/>
    <cellStyle name="Normal 14 3 4 2 12" xfId="6838"/>
    <cellStyle name="Normal 14 3 4 2 12 2" xfId="29425"/>
    <cellStyle name="Normal 14 3 4 2 13" xfId="22985"/>
    <cellStyle name="Normal 14 3 4 2 2" xfId="1043"/>
    <cellStyle name="Normal 14 3 4 2 2 2" xfId="2357"/>
    <cellStyle name="Normal 14 3 4 2 2 2 2" xfId="5578"/>
    <cellStyle name="Normal 14 3 4 2 2 2 2 2" xfId="21678"/>
    <cellStyle name="Normal 14 3 4 2 2 2 2 2 2" xfId="44265"/>
    <cellStyle name="Normal 14 3 4 2 2 2 2 3" xfId="12018"/>
    <cellStyle name="Normal 14 3 4 2 2 2 2 3 2" xfId="34605"/>
    <cellStyle name="Normal 14 3 4 2 2 2 2 4" xfId="28165"/>
    <cellStyle name="Normal 14 3 4 2 2 2 3" xfId="18458"/>
    <cellStyle name="Normal 14 3 4 2 2 2 3 2" xfId="41045"/>
    <cellStyle name="Normal 14 3 4 2 2 2 4" xfId="15238"/>
    <cellStyle name="Normal 14 3 4 2 2 2 4 2" xfId="37825"/>
    <cellStyle name="Normal 14 3 4 2 2 2 5" xfId="8798"/>
    <cellStyle name="Normal 14 3 4 2 2 2 5 2" xfId="31385"/>
    <cellStyle name="Normal 14 3 4 2 2 2 6" xfId="24945"/>
    <cellStyle name="Normal 14 3 4 2 2 3" xfId="4270"/>
    <cellStyle name="Normal 14 3 4 2 2 3 2" xfId="20370"/>
    <cellStyle name="Normal 14 3 4 2 2 3 2 2" xfId="42957"/>
    <cellStyle name="Normal 14 3 4 2 2 3 3" xfId="10710"/>
    <cellStyle name="Normal 14 3 4 2 2 3 3 2" xfId="33297"/>
    <cellStyle name="Normal 14 3 4 2 2 3 4" xfId="26857"/>
    <cellStyle name="Normal 14 3 4 2 2 4" xfId="17150"/>
    <cellStyle name="Normal 14 3 4 2 2 4 2" xfId="39737"/>
    <cellStyle name="Normal 14 3 4 2 2 5" xfId="13930"/>
    <cellStyle name="Normal 14 3 4 2 2 5 2" xfId="36517"/>
    <cellStyle name="Normal 14 3 4 2 2 6" xfId="7490"/>
    <cellStyle name="Normal 14 3 4 2 2 6 2" xfId="30077"/>
    <cellStyle name="Normal 14 3 4 2 2 7" xfId="23637"/>
    <cellStyle name="Normal 14 3 4 2 3" xfId="1390"/>
    <cellStyle name="Normal 14 3 4 2 3 2" xfId="2704"/>
    <cellStyle name="Normal 14 3 4 2 3 2 2" xfId="5925"/>
    <cellStyle name="Normal 14 3 4 2 3 2 2 2" xfId="22025"/>
    <cellStyle name="Normal 14 3 4 2 3 2 2 2 2" xfId="44612"/>
    <cellStyle name="Normal 14 3 4 2 3 2 2 3" xfId="12365"/>
    <cellStyle name="Normal 14 3 4 2 3 2 2 3 2" xfId="34952"/>
    <cellStyle name="Normal 14 3 4 2 3 2 2 4" xfId="28512"/>
    <cellStyle name="Normal 14 3 4 2 3 2 3" xfId="18805"/>
    <cellStyle name="Normal 14 3 4 2 3 2 3 2" xfId="41392"/>
    <cellStyle name="Normal 14 3 4 2 3 2 4" xfId="15585"/>
    <cellStyle name="Normal 14 3 4 2 3 2 4 2" xfId="38172"/>
    <cellStyle name="Normal 14 3 4 2 3 2 5" xfId="9145"/>
    <cellStyle name="Normal 14 3 4 2 3 2 5 2" xfId="31732"/>
    <cellStyle name="Normal 14 3 4 2 3 2 6" xfId="25292"/>
    <cellStyle name="Normal 14 3 4 2 3 3" xfId="4617"/>
    <cellStyle name="Normal 14 3 4 2 3 3 2" xfId="20717"/>
    <cellStyle name="Normal 14 3 4 2 3 3 2 2" xfId="43304"/>
    <cellStyle name="Normal 14 3 4 2 3 3 3" xfId="11057"/>
    <cellStyle name="Normal 14 3 4 2 3 3 3 2" xfId="33644"/>
    <cellStyle name="Normal 14 3 4 2 3 3 4" xfId="27204"/>
    <cellStyle name="Normal 14 3 4 2 3 4" xfId="17497"/>
    <cellStyle name="Normal 14 3 4 2 3 4 2" xfId="40084"/>
    <cellStyle name="Normal 14 3 4 2 3 5" xfId="14277"/>
    <cellStyle name="Normal 14 3 4 2 3 5 2" xfId="36864"/>
    <cellStyle name="Normal 14 3 4 2 3 6" xfId="7837"/>
    <cellStyle name="Normal 14 3 4 2 3 6 2" xfId="30424"/>
    <cellStyle name="Normal 14 3 4 2 3 7" xfId="23984"/>
    <cellStyle name="Normal 14 3 4 2 4" xfId="1595"/>
    <cellStyle name="Normal 14 3 4 2 4 2" xfId="4821"/>
    <cellStyle name="Normal 14 3 4 2 4 2 2" xfId="20921"/>
    <cellStyle name="Normal 14 3 4 2 4 2 2 2" xfId="43508"/>
    <cellStyle name="Normal 14 3 4 2 4 2 3" xfId="11261"/>
    <cellStyle name="Normal 14 3 4 2 4 2 3 2" xfId="33848"/>
    <cellStyle name="Normal 14 3 4 2 4 2 4" xfId="27408"/>
    <cellStyle name="Normal 14 3 4 2 4 3" xfId="17701"/>
    <cellStyle name="Normal 14 3 4 2 4 3 2" xfId="40288"/>
    <cellStyle name="Normal 14 3 4 2 4 4" xfId="14481"/>
    <cellStyle name="Normal 14 3 4 2 4 4 2" xfId="37068"/>
    <cellStyle name="Normal 14 3 4 2 4 5" xfId="8041"/>
    <cellStyle name="Normal 14 3 4 2 4 5 2" xfId="30628"/>
    <cellStyle name="Normal 14 3 4 2 4 6" xfId="24188"/>
    <cellStyle name="Normal 14 3 4 2 5" xfId="2009"/>
    <cellStyle name="Normal 14 3 4 2 5 2" xfId="5231"/>
    <cellStyle name="Normal 14 3 4 2 5 2 2" xfId="21331"/>
    <cellStyle name="Normal 14 3 4 2 5 2 2 2" xfId="43918"/>
    <cellStyle name="Normal 14 3 4 2 5 2 3" xfId="11671"/>
    <cellStyle name="Normal 14 3 4 2 5 2 3 2" xfId="34258"/>
    <cellStyle name="Normal 14 3 4 2 5 2 4" xfId="27818"/>
    <cellStyle name="Normal 14 3 4 2 5 3" xfId="18111"/>
    <cellStyle name="Normal 14 3 4 2 5 3 2" xfId="40698"/>
    <cellStyle name="Normal 14 3 4 2 5 4" xfId="14891"/>
    <cellStyle name="Normal 14 3 4 2 5 4 2" xfId="37478"/>
    <cellStyle name="Normal 14 3 4 2 5 5" xfId="8451"/>
    <cellStyle name="Normal 14 3 4 2 5 5 2" xfId="31038"/>
    <cellStyle name="Normal 14 3 4 2 5 6" xfId="24598"/>
    <cellStyle name="Normal 14 3 4 2 6" xfId="3038"/>
    <cellStyle name="Normal 14 3 4 2 6 2" xfId="6258"/>
    <cellStyle name="Normal 14 3 4 2 6 2 2" xfId="22358"/>
    <cellStyle name="Normal 14 3 4 2 6 2 2 2" xfId="44945"/>
    <cellStyle name="Normal 14 3 4 2 6 2 3" xfId="12698"/>
    <cellStyle name="Normal 14 3 4 2 6 2 3 2" xfId="35285"/>
    <cellStyle name="Normal 14 3 4 2 6 2 4" xfId="28845"/>
    <cellStyle name="Normal 14 3 4 2 6 3" xfId="19138"/>
    <cellStyle name="Normal 14 3 4 2 6 3 2" xfId="41725"/>
    <cellStyle name="Normal 14 3 4 2 6 4" xfId="15918"/>
    <cellStyle name="Normal 14 3 4 2 6 4 2" xfId="38505"/>
    <cellStyle name="Normal 14 3 4 2 6 5" xfId="9478"/>
    <cellStyle name="Normal 14 3 4 2 6 5 2" xfId="32065"/>
    <cellStyle name="Normal 14 3 4 2 6 6" xfId="25625"/>
    <cellStyle name="Normal 14 3 4 2 7" xfId="3328"/>
    <cellStyle name="Normal 14 3 4 2 7 2" xfId="6548"/>
    <cellStyle name="Normal 14 3 4 2 7 2 2" xfId="22648"/>
    <cellStyle name="Normal 14 3 4 2 7 2 2 2" xfId="45235"/>
    <cellStyle name="Normal 14 3 4 2 7 2 3" xfId="12988"/>
    <cellStyle name="Normal 14 3 4 2 7 2 3 2" xfId="35575"/>
    <cellStyle name="Normal 14 3 4 2 7 2 4" xfId="29135"/>
    <cellStyle name="Normal 14 3 4 2 7 3" xfId="19428"/>
    <cellStyle name="Normal 14 3 4 2 7 3 2" xfId="42015"/>
    <cellStyle name="Normal 14 3 4 2 7 4" xfId="16208"/>
    <cellStyle name="Normal 14 3 4 2 7 4 2" xfId="38795"/>
    <cellStyle name="Normal 14 3 4 2 7 5" xfId="9768"/>
    <cellStyle name="Normal 14 3 4 2 7 5 2" xfId="32355"/>
    <cellStyle name="Normal 14 3 4 2 7 6" xfId="25915"/>
    <cellStyle name="Normal 14 3 4 2 8" xfId="679"/>
    <cellStyle name="Normal 14 3 4 2 8 2" xfId="3923"/>
    <cellStyle name="Normal 14 3 4 2 8 2 2" xfId="20023"/>
    <cellStyle name="Normal 14 3 4 2 8 2 2 2" xfId="42610"/>
    <cellStyle name="Normal 14 3 4 2 8 2 3" xfId="10363"/>
    <cellStyle name="Normal 14 3 4 2 8 2 3 2" xfId="32950"/>
    <cellStyle name="Normal 14 3 4 2 8 2 4" xfId="26510"/>
    <cellStyle name="Normal 14 3 4 2 8 3" xfId="16803"/>
    <cellStyle name="Normal 14 3 4 2 8 3 2" xfId="39390"/>
    <cellStyle name="Normal 14 3 4 2 8 4" xfId="13583"/>
    <cellStyle name="Normal 14 3 4 2 8 4 2" xfId="36170"/>
    <cellStyle name="Normal 14 3 4 2 8 5" xfId="7143"/>
    <cellStyle name="Normal 14 3 4 2 8 5 2" xfId="29730"/>
    <cellStyle name="Normal 14 3 4 2 8 6" xfId="23290"/>
    <cellStyle name="Normal 14 3 4 2 9" xfId="3618"/>
    <cellStyle name="Normal 14 3 4 2 9 2" xfId="19718"/>
    <cellStyle name="Normal 14 3 4 2 9 2 2" xfId="42305"/>
    <cellStyle name="Normal 14 3 4 2 9 3" xfId="10058"/>
    <cellStyle name="Normal 14 3 4 2 9 3 2" xfId="32645"/>
    <cellStyle name="Normal 14 3 4 2 9 4" xfId="26205"/>
    <cellStyle name="Normal 14 3 4 3" xfId="427"/>
    <cellStyle name="Normal 14 3 4 3 10" xfId="16594"/>
    <cellStyle name="Normal 14 3 4 3 10 2" xfId="39181"/>
    <cellStyle name="Normal 14 3 4 3 11" xfId="13374"/>
    <cellStyle name="Normal 14 3 4 3 11 2" xfId="35961"/>
    <cellStyle name="Normal 14 3 4 3 12" xfId="6934"/>
    <cellStyle name="Normal 14 3 4 3 12 2" xfId="29521"/>
    <cellStyle name="Normal 14 3 4 3 13" xfId="23081"/>
    <cellStyle name="Normal 14 3 4 3 2" xfId="1127"/>
    <cellStyle name="Normal 14 3 4 3 2 2" xfId="2441"/>
    <cellStyle name="Normal 14 3 4 3 2 2 2" xfId="5662"/>
    <cellStyle name="Normal 14 3 4 3 2 2 2 2" xfId="21762"/>
    <cellStyle name="Normal 14 3 4 3 2 2 2 2 2" xfId="44349"/>
    <cellStyle name="Normal 14 3 4 3 2 2 2 3" xfId="12102"/>
    <cellStyle name="Normal 14 3 4 3 2 2 2 3 2" xfId="34689"/>
    <cellStyle name="Normal 14 3 4 3 2 2 2 4" xfId="28249"/>
    <cellStyle name="Normal 14 3 4 3 2 2 3" xfId="18542"/>
    <cellStyle name="Normal 14 3 4 3 2 2 3 2" xfId="41129"/>
    <cellStyle name="Normal 14 3 4 3 2 2 4" xfId="15322"/>
    <cellStyle name="Normal 14 3 4 3 2 2 4 2" xfId="37909"/>
    <cellStyle name="Normal 14 3 4 3 2 2 5" xfId="8882"/>
    <cellStyle name="Normal 14 3 4 3 2 2 5 2" xfId="31469"/>
    <cellStyle name="Normal 14 3 4 3 2 2 6" xfId="25029"/>
    <cellStyle name="Normal 14 3 4 3 2 3" xfId="4354"/>
    <cellStyle name="Normal 14 3 4 3 2 3 2" xfId="20454"/>
    <cellStyle name="Normal 14 3 4 3 2 3 2 2" xfId="43041"/>
    <cellStyle name="Normal 14 3 4 3 2 3 3" xfId="10794"/>
    <cellStyle name="Normal 14 3 4 3 2 3 3 2" xfId="33381"/>
    <cellStyle name="Normal 14 3 4 3 2 3 4" xfId="26941"/>
    <cellStyle name="Normal 14 3 4 3 2 4" xfId="17234"/>
    <cellStyle name="Normal 14 3 4 3 2 4 2" xfId="39821"/>
    <cellStyle name="Normal 14 3 4 3 2 5" xfId="14014"/>
    <cellStyle name="Normal 14 3 4 3 2 5 2" xfId="36601"/>
    <cellStyle name="Normal 14 3 4 3 2 6" xfId="7574"/>
    <cellStyle name="Normal 14 3 4 3 2 6 2" xfId="30161"/>
    <cellStyle name="Normal 14 3 4 3 2 7" xfId="23721"/>
    <cellStyle name="Normal 14 3 4 3 3" xfId="1474"/>
    <cellStyle name="Normal 14 3 4 3 3 2" xfId="2788"/>
    <cellStyle name="Normal 14 3 4 3 3 2 2" xfId="6009"/>
    <cellStyle name="Normal 14 3 4 3 3 2 2 2" xfId="22109"/>
    <cellStyle name="Normal 14 3 4 3 3 2 2 2 2" xfId="44696"/>
    <cellStyle name="Normal 14 3 4 3 3 2 2 3" xfId="12449"/>
    <cellStyle name="Normal 14 3 4 3 3 2 2 3 2" xfId="35036"/>
    <cellStyle name="Normal 14 3 4 3 3 2 2 4" xfId="28596"/>
    <cellStyle name="Normal 14 3 4 3 3 2 3" xfId="18889"/>
    <cellStyle name="Normal 14 3 4 3 3 2 3 2" xfId="41476"/>
    <cellStyle name="Normal 14 3 4 3 3 2 4" xfId="15669"/>
    <cellStyle name="Normal 14 3 4 3 3 2 4 2" xfId="38256"/>
    <cellStyle name="Normal 14 3 4 3 3 2 5" xfId="9229"/>
    <cellStyle name="Normal 14 3 4 3 3 2 5 2" xfId="31816"/>
    <cellStyle name="Normal 14 3 4 3 3 2 6" xfId="25376"/>
    <cellStyle name="Normal 14 3 4 3 3 3" xfId="4701"/>
    <cellStyle name="Normal 14 3 4 3 3 3 2" xfId="20801"/>
    <cellStyle name="Normal 14 3 4 3 3 3 2 2" xfId="43388"/>
    <cellStyle name="Normal 14 3 4 3 3 3 3" xfId="11141"/>
    <cellStyle name="Normal 14 3 4 3 3 3 3 2" xfId="33728"/>
    <cellStyle name="Normal 14 3 4 3 3 3 4" xfId="27288"/>
    <cellStyle name="Normal 14 3 4 3 3 4" xfId="17581"/>
    <cellStyle name="Normal 14 3 4 3 3 4 2" xfId="40168"/>
    <cellStyle name="Normal 14 3 4 3 3 5" xfId="14361"/>
    <cellStyle name="Normal 14 3 4 3 3 5 2" xfId="36948"/>
    <cellStyle name="Normal 14 3 4 3 3 6" xfId="7921"/>
    <cellStyle name="Normal 14 3 4 3 3 6 2" xfId="30508"/>
    <cellStyle name="Normal 14 3 4 3 3 7" xfId="24068"/>
    <cellStyle name="Normal 14 3 4 3 4" xfId="1596"/>
    <cellStyle name="Normal 14 3 4 3 4 2" xfId="4822"/>
    <cellStyle name="Normal 14 3 4 3 4 2 2" xfId="20922"/>
    <cellStyle name="Normal 14 3 4 3 4 2 2 2" xfId="43509"/>
    <cellStyle name="Normal 14 3 4 3 4 2 3" xfId="11262"/>
    <cellStyle name="Normal 14 3 4 3 4 2 3 2" xfId="33849"/>
    <cellStyle name="Normal 14 3 4 3 4 2 4" xfId="27409"/>
    <cellStyle name="Normal 14 3 4 3 4 3" xfId="17702"/>
    <cellStyle name="Normal 14 3 4 3 4 3 2" xfId="40289"/>
    <cellStyle name="Normal 14 3 4 3 4 4" xfId="14482"/>
    <cellStyle name="Normal 14 3 4 3 4 4 2" xfId="37069"/>
    <cellStyle name="Normal 14 3 4 3 4 5" xfId="8042"/>
    <cellStyle name="Normal 14 3 4 3 4 5 2" xfId="30629"/>
    <cellStyle name="Normal 14 3 4 3 4 6" xfId="24189"/>
    <cellStyle name="Normal 14 3 4 3 5" xfId="2094"/>
    <cellStyle name="Normal 14 3 4 3 5 2" xfId="5315"/>
    <cellStyle name="Normal 14 3 4 3 5 2 2" xfId="21415"/>
    <cellStyle name="Normal 14 3 4 3 5 2 2 2" xfId="44002"/>
    <cellStyle name="Normal 14 3 4 3 5 2 3" xfId="11755"/>
    <cellStyle name="Normal 14 3 4 3 5 2 3 2" xfId="34342"/>
    <cellStyle name="Normal 14 3 4 3 5 2 4" xfId="27902"/>
    <cellStyle name="Normal 14 3 4 3 5 3" xfId="18195"/>
    <cellStyle name="Normal 14 3 4 3 5 3 2" xfId="40782"/>
    <cellStyle name="Normal 14 3 4 3 5 4" xfId="14975"/>
    <cellStyle name="Normal 14 3 4 3 5 4 2" xfId="37562"/>
    <cellStyle name="Normal 14 3 4 3 5 5" xfId="8535"/>
    <cellStyle name="Normal 14 3 4 3 5 5 2" xfId="31122"/>
    <cellStyle name="Normal 14 3 4 3 5 6" xfId="24682"/>
    <cellStyle name="Normal 14 3 4 3 6" xfId="3134"/>
    <cellStyle name="Normal 14 3 4 3 6 2" xfId="6354"/>
    <cellStyle name="Normal 14 3 4 3 6 2 2" xfId="22454"/>
    <cellStyle name="Normal 14 3 4 3 6 2 2 2" xfId="45041"/>
    <cellStyle name="Normal 14 3 4 3 6 2 3" xfId="12794"/>
    <cellStyle name="Normal 14 3 4 3 6 2 3 2" xfId="35381"/>
    <cellStyle name="Normal 14 3 4 3 6 2 4" xfId="28941"/>
    <cellStyle name="Normal 14 3 4 3 6 3" xfId="19234"/>
    <cellStyle name="Normal 14 3 4 3 6 3 2" xfId="41821"/>
    <cellStyle name="Normal 14 3 4 3 6 4" xfId="16014"/>
    <cellStyle name="Normal 14 3 4 3 6 4 2" xfId="38601"/>
    <cellStyle name="Normal 14 3 4 3 6 5" xfId="9574"/>
    <cellStyle name="Normal 14 3 4 3 6 5 2" xfId="32161"/>
    <cellStyle name="Normal 14 3 4 3 6 6" xfId="25721"/>
    <cellStyle name="Normal 14 3 4 3 7" xfId="3424"/>
    <cellStyle name="Normal 14 3 4 3 7 2" xfId="6644"/>
    <cellStyle name="Normal 14 3 4 3 7 2 2" xfId="22744"/>
    <cellStyle name="Normal 14 3 4 3 7 2 2 2" xfId="45331"/>
    <cellStyle name="Normal 14 3 4 3 7 2 3" xfId="13084"/>
    <cellStyle name="Normal 14 3 4 3 7 2 3 2" xfId="35671"/>
    <cellStyle name="Normal 14 3 4 3 7 2 4" xfId="29231"/>
    <cellStyle name="Normal 14 3 4 3 7 3" xfId="19524"/>
    <cellStyle name="Normal 14 3 4 3 7 3 2" xfId="42111"/>
    <cellStyle name="Normal 14 3 4 3 7 4" xfId="16304"/>
    <cellStyle name="Normal 14 3 4 3 7 4 2" xfId="38891"/>
    <cellStyle name="Normal 14 3 4 3 7 5" xfId="9864"/>
    <cellStyle name="Normal 14 3 4 3 7 5 2" xfId="32451"/>
    <cellStyle name="Normal 14 3 4 3 7 6" xfId="26011"/>
    <cellStyle name="Normal 14 3 4 3 8" xfId="775"/>
    <cellStyle name="Normal 14 3 4 3 8 2" xfId="4007"/>
    <cellStyle name="Normal 14 3 4 3 8 2 2" xfId="20107"/>
    <cellStyle name="Normal 14 3 4 3 8 2 2 2" xfId="42694"/>
    <cellStyle name="Normal 14 3 4 3 8 2 3" xfId="10447"/>
    <cellStyle name="Normal 14 3 4 3 8 2 3 2" xfId="33034"/>
    <cellStyle name="Normal 14 3 4 3 8 2 4" xfId="26594"/>
    <cellStyle name="Normal 14 3 4 3 8 3" xfId="16887"/>
    <cellStyle name="Normal 14 3 4 3 8 3 2" xfId="39474"/>
    <cellStyle name="Normal 14 3 4 3 8 4" xfId="13667"/>
    <cellStyle name="Normal 14 3 4 3 8 4 2" xfId="36254"/>
    <cellStyle name="Normal 14 3 4 3 8 5" xfId="7227"/>
    <cellStyle name="Normal 14 3 4 3 8 5 2" xfId="29814"/>
    <cellStyle name="Normal 14 3 4 3 8 6" xfId="23374"/>
    <cellStyle name="Normal 14 3 4 3 9" xfId="3714"/>
    <cellStyle name="Normal 14 3 4 3 9 2" xfId="19814"/>
    <cellStyle name="Normal 14 3 4 3 9 2 2" xfId="42401"/>
    <cellStyle name="Normal 14 3 4 3 9 3" xfId="10154"/>
    <cellStyle name="Normal 14 3 4 3 9 3 2" xfId="32741"/>
    <cellStyle name="Normal 14 3 4 3 9 4" xfId="26301"/>
    <cellStyle name="Normal 14 3 4 4" xfId="922"/>
    <cellStyle name="Normal 14 3 4 4 2" xfId="2241"/>
    <cellStyle name="Normal 14 3 4 4 2 2" xfId="5462"/>
    <cellStyle name="Normal 14 3 4 4 2 2 2" xfId="21562"/>
    <cellStyle name="Normal 14 3 4 4 2 2 2 2" xfId="44149"/>
    <cellStyle name="Normal 14 3 4 4 2 2 3" xfId="11902"/>
    <cellStyle name="Normal 14 3 4 4 2 2 3 2" xfId="34489"/>
    <cellStyle name="Normal 14 3 4 4 2 2 4" xfId="28049"/>
    <cellStyle name="Normal 14 3 4 4 2 3" xfId="18342"/>
    <cellStyle name="Normal 14 3 4 4 2 3 2" xfId="40929"/>
    <cellStyle name="Normal 14 3 4 4 2 4" xfId="15122"/>
    <cellStyle name="Normal 14 3 4 4 2 4 2" xfId="37709"/>
    <cellStyle name="Normal 14 3 4 4 2 5" xfId="8682"/>
    <cellStyle name="Normal 14 3 4 4 2 5 2" xfId="31269"/>
    <cellStyle name="Normal 14 3 4 4 2 6" xfId="24829"/>
    <cellStyle name="Normal 14 3 4 4 3" xfId="4154"/>
    <cellStyle name="Normal 14 3 4 4 3 2" xfId="20254"/>
    <cellStyle name="Normal 14 3 4 4 3 2 2" xfId="42841"/>
    <cellStyle name="Normal 14 3 4 4 3 3" xfId="10594"/>
    <cellStyle name="Normal 14 3 4 4 3 3 2" xfId="33181"/>
    <cellStyle name="Normal 14 3 4 4 3 4" xfId="26741"/>
    <cellStyle name="Normal 14 3 4 4 4" xfId="17034"/>
    <cellStyle name="Normal 14 3 4 4 4 2" xfId="39621"/>
    <cellStyle name="Normal 14 3 4 4 5" xfId="13814"/>
    <cellStyle name="Normal 14 3 4 4 5 2" xfId="36401"/>
    <cellStyle name="Normal 14 3 4 4 6" xfId="7374"/>
    <cellStyle name="Normal 14 3 4 4 6 2" xfId="29961"/>
    <cellStyle name="Normal 14 3 4 4 7" xfId="23521"/>
    <cellStyle name="Normal 14 3 4 5" xfId="1274"/>
    <cellStyle name="Normal 14 3 4 5 2" xfId="2588"/>
    <cellStyle name="Normal 14 3 4 5 2 2" xfId="5809"/>
    <cellStyle name="Normal 14 3 4 5 2 2 2" xfId="21909"/>
    <cellStyle name="Normal 14 3 4 5 2 2 2 2" xfId="44496"/>
    <cellStyle name="Normal 14 3 4 5 2 2 3" xfId="12249"/>
    <cellStyle name="Normal 14 3 4 5 2 2 3 2" xfId="34836"/>
    <cellStyle name="Normal 14 3 4 5 2 2 4" xfId="28396"/>
    <cellStyle name="Normal 14 3 4 5 2 3" xfId="18689"/>
    <cellStyle name="Normal 14 3 4 5 2 3 2" xfId="41276"/>
    <cellStyle name="Normal 14 3 4 5 2 4" xfId="15469"/>
    <cellStyle name="Normal 14 3 4 5 2 4 2" xfId="38056"/>
    <cellStyle name="Normal 14 3 4 5 2 5" xfId="9029"/>
    <cellStyle name="Normal 14 3 4 5 2 5 2" xfId="31616"/>
    <cellStyle name="Normal 14 3 4 5 2 6" xfId="25176"/>
    <cellStyle name="Normal 14 3 4 5 3" xfId="4501"/>
    <cellStyle name="Normal 14 3 4 5 3 2" xfId="20601"/>
    <cellStyle name="Normal 14 3 4 5 3 2 2" xfId="43188"/>
    <cellStyle name="Normal 14 3 4 5 3 3" xfId="10941"/>
    <cellStyle name="Normal 14 3 4 5 3 3 2" xfId="33528"/>
    <cellStyle name="Normal 14 3 4 5 3 4" xfId="27088"/>
    <cellStyle name="Normal 14 3 4 5 4" xfId="17381"/>
    <cellStyle name="Normal 14 3 4 5 4 2" xfId="39968"/>
    <cellStyle name="Normal 14 3 4 5 5" xfId="14161"/>
    <cellStyle name="Normal 14 3 4 5 5 2" xfId="36748"/>
    <cellStyle name="Normal 14 3 4 5 6" xfId="7721"/>
    <cellStyle name="Normal 14 3 4 5 6 2" xfId="30308"/>
    <cellStyle name="Normal 14 3 4 5 7" xfId="23868"/>
    <cellStyle name="Normal 14 3 4 6" xfId="1597"/>
    <cellStyle name="Normal 14 3 4 6 2" xfId="4823"/>
    <cellStyle name="Normal 14 3 4 6 2 2" xfId="20923"/>
    <cellStyle name="Normal 14 3 4 6 2 2 2" xfId="43510"/>
    <cellStyle name="Normal 14 3 4 6 2 3" xfId="11263"/>
    <cellStyle name="Normal 14 3 4 6 2 3 2" xfId="33850"/>
    <cellStyle name="Normal 14 3 4 6 2 4" xfId="27410"/>
    <cellStyle name="Normal 14 3 4 6 3" xfId="17703"/>
    <cellStyle name="Normal 14 3 4 6 3 2" xfId="40290"/>
    <cellStyle name="Normal 14 3 4 6 4" xfId="14483"/>
    <cellStyle name="Normal 14 3 4 6 4 2" xfId="37070"/>
    <cellStyle name="Normal 14 3 4 6 5" xfId="8043"/>
    <cellStyle name="Normal 14 3 4 6 5 2" xfId="30630"/>
    <cellStyle name="Normal 14 3 4 6 6" xfId="24190"/>
    <cellStyle name="Normal 14 3 4 7" xfId="1893"/>
    <cellStyle name="Normal 14 3 4 7 2" xfId="5115"/>
    <cellStyle name="Normal 14 3 4 7 2 2" xfId="21215"/>
    <cellStyle name="Normal 14 3 4 7 2 2 2" xfId="43802"/>
    <cellStyle name="Normal 14 3 4 7 2 3" xfId="11555"/>
    <cellStyle name="Normal 14 3 4 7 2 3 2" xfId="34142"/>
    <cellStyle name="Normal 14 3 4 7 2 4" xfId="27702"/>
    <cellStyle name="Normal 14 3 4 7 3" xfId="17995"/>
    <cellStyle name="Normal 14 3 4 7 3 2" xfId="40582"/>
    <cellStyle name="Normal 14 3 4 7 4" xfId="14775"/>
    <cellStyle name="Normal 14 3 4 7 4 2" xfId="37362"/>
    <cellStyle name="Normal 14 3 4 7 5" xfId="8335"/>
    <cellStyle name="Normal 14 3 4 7 5 2" xfId="30922"/>
    <cellStyle name="Normal 14 3 4 7 6" xfId="24482"/>
    <cellStyle name="Normal 14 3 4 8" xfId="2940"/>
    <cellStyle name="Normal 14 3 4 8 2" xfId="6161"/>
    <cellStyle name="Normal 14 3 4 8 2 2" xfId="22261"/>
    <cellStyle name="Normal 14 3 4 8 2 2 2" xfId="44848"/>
    <cellStyle name="Normal 14 3 4 8 2 3" xfId="12601"/>
    <cellStyle name="Normal 14 3 4 8 2 3 2" xfId="35188"/>
    <cellStyle name="Normal 14 3 4 8 2 4" xfId="28748"/>
    <cellStyle name="Normal 14 3 4 8 3" xfId="19041"/>
    <cellStyle name="Normal 14 3 4 8 3 2" xfId="41628"/>
    <cellStyle name="Normal 14 3 4 8 4" xfId="15821"/>
    <cellStyle name="Normal 14 3 4 8 4 2" xfId="38408"/>
    <cellStyle name="Normal 14 3 4 8 5" xfId="9381"/>
    <cellStyle name="Normal 14 3 4 8 5 2" xfId="31968"/>
    <cellStyle name="Normal 14 3 4 8 6" xfId="25528"/>
    <cellStyle name="Normal 14 3 4 9" xfId="3231"/>
    <cellStyle name="Normal 14 3 4 9 2" xfId="6451"/>
    <cellStyle name="Normal 14 3 4 9 2 2" xfId="22551"/>
    <cellStyle name="Normal 14 3 4 9 2 2 2" xfId="45138"/>
    <cellStyle name="Normal 14 3 4 9 2 3" xfId="12891"/>
    <cellStyle name="Normal 14 3 4 9 2 3 2" xfId="35478"/>
    <cellStyle name="Normal 14 3 4 9 2 4" xfId="29038"/>
    <cellStyle name="Normal 14 3 4 9 3" xfId="19331"/>
    <cellStyle name="Normal 14 3 4 9 3 2" xfId="41918"/>
    <cellStyle name="Normal 14 3 4 9 4" xfId="16111"/>
    <cellStyle name="Normal 14 3 4 9 4 2" xfId="38698"/>
    <cellStyle name="Normal 14 3 4 9 5" xfId="9671"/>
    <cellStyle name="Normal 14 3 4 9 5 2" xfId="32258"/>
    <cellStyle name="Normal 14 3 4 9 6" xfId="25818"/>
    <cellStyle name="Normal 14 3 5" xfId="247"/>
    <cellStyle name="Normal 14 3 5 10" xfId="16415"/>
    <cellStyle name="Normal 14 3 5 10 2" xfId="39002"/>
    <cellStyle name="Normal 14 3 5 11" xfId="13195"/>
    <cellStyle name="Normal 14 3 5 11 2" xfId="35782"/>
    <cellStyle name="Normal 14 3 5 12" xfId="6755"/>
    <cellStyle name="Normal 14 3 5 12 2" xfId="29342"/>
    <cellStyle name="Normal 14 3 5 13" xfId="22902"/>
    <cellStyle name="Normal 14 3 5 2" xfId="972"/>
    <cellStyle name="Normal 14 3 5 2 2" xfId="2290"/>
    <cellStyle name="Normal 14 3 5 2 2 2" xfId="5511"/>
    <cellStyle name="Normal 14 3 5 2 2 2 2" xfId="21611"/>
    <cellStyle name="Normal 14 3 5 2 2 2 2 2" xfId="44198"/>
    <cellStyle name="Normal 14 3 5 2 2 2 3" xfId="11951"/>
    <cellStyle name="Normal 14 3 5 2 2 2 3 2" xfId="34538"/>
    <cellStyle name="Normal 14 3 5 2 2 2 4" xfId="28098"/>
    <cellStyle name="Normal 14 3 5 2 2 3" xfId="18391"/>
    <cellStyle name="Normal 14 3 5 2 2 3 2" xfId="40978"/>
    <cellStyle name="Normal 14 3 5 2 2 4" xfId="15171"/>
    <cellStyle name="Normal 14 3 5 2 2 4 2" xfId="37758"/>
    <cellStyle name="Normal 14 3 5 2 2 5" xfId="8731"/>
    <cellStyle name="Normal 14 3 5 2 2 5 2" xfId="31318"/>
    <cellStyle name="Normal 14 3 5 2 2 6" xfId="24878"/>
    <cellStyle name="Normal 14 3 5 2 3" xfId="4203"/>
    <cellStyle name="Normal 14 3 5 2 3 2" xfId="20303"/>
    <cellStyle name="Normal 14 3 5 2 3 2 2" xfId="42890"/>
    <cellStyle name="Normal 14 3 5 2 3 3" xfId="10643"/>
    <cellStyle name="Normal 14 3 5 2 3 3 2" xfId="33230"/>
    <cellStyle name="Normal 14 3 5 2 3 4" xfId="26790"/>
    <cellStyle name="Normal 14 3 5 2 4" xfId="17083"/>
    <cellStyle name="Normal 14 3 5 2 4 2" xfId="39670"/>
    <cellStyle name="Normal 14 3 5 2 5" xfId="13863"/>
    <cellStyle name="Normal 14 3 5 2 5 2" xfId="36450"/>
    <cellStyle name="Normal 14 3 5 2 6" xfId="7423"/>
    <cellStyle name="Normal 14 3 5 2 6 2" xfId="30010"/>
    <cellStyle name="Normal 14 3 5 2 7" xfId="23570"/>
    <cellStyle name="Normal 14 3 5 3" xfId="1323"/>
    <cellStyle name="Normal 14 3 5 3 2" xfId="2637"/>
    <cellStyle name="Normal 14 3 5 3 2 2" xfId="5858"/>
    <cellStyle name="Normal 14 3 5 3 2 2 2" xfId="21958"/>
    <cellStyle name="Normal 14 3 5 3 2 2 2 2" xfId="44545"/>
    <cellStyle name="Normal 14 3 5 3 2 2 3" xfId="12298"/>
    <cellStyle name="Normal 14 3 5 3 2 2 3 2" xfId="34885"/>
    <cellStyle name="Normal 14 3 5 3 2 2 4" xfId="28445"/>
    <cellStyle name="Normal 14 3 5 3 2 3" xfId="18738"/>
    <cellStyle name="Normal 14 3 5 3 2 3 2" xfId="41325"/>
    <cellStyle name="Normal 14 3 5 3 2 4" xfId="15518"/>
    <cellStyle name="Normal 14 3 5 3 2 4 2" xfId="38105"/>
    <cellStyle name="Normal 14 3 5 3 2 5" xfId="9078"/>
    <cellStyle name="Normal 14 3 5 3 2 5 2" xfId="31665"/>
    <cellStyle name="Normal 14 3 5 3 2 6" xfId="25225"/>
    <cellStyle name="Normal 14 3 5 3 3" xfId="4550"/>
    <cellStyle name="Normal 14 3 5 3 3 2" xfId="20650"/>
    <cellStyle name="Normal 14 3 5 3 3 2 2" xfId="43237"/>
    <cellStyle name="Normal 14 3 5 3 3 3" xfId="10990"/>
    <cellStyle name="Normal 14 3 5 3 3 3 2" xfId="33577"/>
    <cellStyle name="Normal 14 3 5 3 3 4" xfId="27137"/>
    <cellStyle name="Normal 14 3 5 3 4" xfId="17430"/>
    <cellStyle name="Normal 14 3 5 3 4 2" xfId="40017"/>
    <cellStyle name="Normal 14 3 5 3 5" xfId="14210"/>
    <cellStyle name="Normal 14 3 5 3 5 2" xfId="36797"/>
    <cellStyle name="Normal 14 3 5 3 6" xfId="7770"/>
    <cellStyle name="Normal 14 3 5 3 6 2" xfId="30357"/>
    <cellStyle name="Normal 14 3 5 3 7" xfId="23917"/>
    <cellStyle name="Normal 14 3 5 4" xfId="1598"/>
    <cellStyle name="Normal 14 3 5 4 2" xfId="4824"/>
    <cellStyle name="Normal 14 3 5 4 2 2" xfId="20924"/>
    <cellStyle name="Normal 14 3 5 4 2 2 2" xfId="43511"/>
    <cellStyle name="Normal 14 3 5 4 2 3" xfId="11264"/>
    <cellStyle name="Normal 14 3 5 4 2 3 2" xfId="33851"/>
    <cellStyle name="Normal 14 3 5 4 2 4" xfId="27411"/>
    <cellStyle name="Normal 14 3 5 4 3" xfId="17704"/>
    <cellStyle name="Normal 14 3 5 4 3 2" xfId="40291"/>
    <cellStyle name="Normal 14 3 5 4 4" xfId="14484"/>
    <cellStyle name="Normal 14 3 5 4 4 2" xfId="37071"/>
    <cellStyle name="Normal 14 3 5 4 5" xfId="8044"/>
    <cellStyle name="Normal 14 3 5 4 5 2" xfId="30631"/>
    <cellStyle name="Normal 14 3 5 4 6" xfId="24191"/>
    <cellStyle name="Normal 14 3 5 5" xfId="1942"/>
    <cellStyle name="Normal 14 3 5 5 2" xfId="5164"/>
    <cellStyle name="Normal 14 3 5 5 2 2" xfId="21264"/>
    <cellStyle name="Normal 14 3 5 5 2 2 2" xfId="43851"/>
    <cellStyle name="Normal 14 3 5 5 2 3" xfId="11604"/>
    <cellStyle name="Normal 14 3 5 5 2 3 2" xfId="34191"/>
    <cellStyle name="Normal 14 3 5 5 2 4" xfId="27751"/>
    <cellStyle name="Normal 14 3 5 5 3" xfId="18044"/>
    <cellStyle name="Normal 14 3 5 5 3 2" xfId="40631"/>
    <cellStyle name="Normal 14 3 5 5 4" xfId="14824"/>
    <cellStyle name="Normal 14 3 5 5 4 2" xfId="37411"/>
    <cellStyle name="Normal 14 3 5 5 5" xfId="8384"/>
    <cellStyle name="Normal 14 3 5 5 5 2" xfId="30971"/>
    <cellStyle name="Normal 14 3 5 5 6" xfId="24531"/>
    <cellStyle name="Normal 14 3 5 6" xfId="2954"/>
    <cellStyle name="Normal 14 3 5 6 2" xfId="6175"/>
    <cellStyle name="Normal 14 3 5 6 2 2" xfId="22275"/>
    <cellStyle name="Normal 14 3 5 6 2 2 2" xfId="44862"/>
    <cellStyle name="Normal 14 3 5 6 2 3" xfId="12615"/>
    <cellStyle name="Normal 14 3 5 6 2 3 2" xfId="35202"/>
    <cellStyle name="Normal 14 3 5 6 2 4" xfId="28762"/>
    <cellStyle name="Normal 14 3 5 6 3" xfId="19055"/>
    <cellStyle name="Normal 14 3 5 6 3 2" xfId="41642"/>
    <cellStyle name="Normal 14 3 5 6 4" xfId="15835"/>
    <cellStyle name="Normal 14 3 5 6 4 2" xfId="38422"/>
    <cellStyle name="Normal 14 3 5 6 5" xfId="9395"/>
    <cellStyle name="Normal 14 3 5 6 5 2" xfId="31982"/>
    <cellStyle name="Normal 14 3 5 6 6" xfId="25542"/>
    <cellStyle name="Normal 14 3 5 7" xfId="3245"/>
    <cellStyle name="Normal 14 3 5 7 2" xfId="6465"/>
    <cellStyle name="Normal 14 3 5 7 2 2" xfId="22565"/>
    <cellStyle name="Normal 14 3 5 7 2 2 2" xfId="45152"/>
    <cellStyle name="Normal 14 3 5 7 2 3" xfId="12905"/>
    <cellStyle name="Normal 14 3 5 7 2 3 2" xfId="35492"/>
    <cellStyle name="Normal 14 3 5 7 2 4" xfId="29052"/>
    <cellStyle name="Normal 14 3 5 7 3" xfId="19345"/>
    <cellStyle name="Normal 14 3 5 7 3 2" xfId="41932"/>
    <cellStyle name="Normal 14 3 5 7 4" xfId="16125"/>
    <cellStyle name="Normal 14 3 5 7 4 2" xfId="38712"/>
    <cellStyle name="Normal 14 3 5 7 5" xfId="9685"/>
    <cellStyle name="Normal 14 3 5 7 5 2" xfId="32272"/>
    <cellStyle name="Normal 14 3 5 7 6" xfId="25832"/>
    <cellStyle name="Normal 14 3 5 8" xfId="587"/>
    <cellStyle name="Normal 14 3 5 8 2" xfId="3856"/>
    <cellStyle name="Normal 14 3 5 8 2 2" xfId="19956"/>
    <cellStyle name="Normal 14 3 5 8 2 2 2" xfId="42543"/>
    <cellStyle name="Normal 14 3 5 8 2 3" xfId="10296"/>
    <cellStyle name="Normal 14 3 5 8 2 3 2" xfId="32883"/>
    <cellStyle name="Normal 14 3 5 8 2 4" xfId="26443"/>
    <cellStyle name="Normal 14 3 5 8 3" xfId="16736"/>
    <cellStyle name="Normal 14 3 5 8 3 2" xfId="39323"/>
    <cellStyle name="Normal 14 3 5 8 4" xfId="13516"/>
    <cellStyle name="Normal 14 3 5 8 4 2" xfId="36103"/>
    <cellStyle name="Normal 14 3 5 8 5" xfId="7076"/>
    <cellStyle name="Normal 14 3 5 8 5 2" xfId="29663"/>
    <cellStyle name="Normal 14 3 5 8 6" xfId="23223"/>
    <cellStyle name="Normal 14 3 5 9" xfId="3535"/>
    <cellStyle name="Normal 14 3 5 9 2" xfId="19635"/>
    <cellStyle name="Normal 14 3 5 9 2 2" xfId="42222"/>
    <cellStyle name="Normal 14 3 5 9 3" xfId="9975"/>
    <cellStyle name="Normal 14 3 5 9 3 2" xfId="32562"/>
    <cellStyle name="Normal 14 3 5 9 4" xfId="26122"/>
    <cellStyle name="Normal 14 3 6" xfId="350"/>
    <cellStyle name="Normal 14 3 6 10" xfId="16517"/>
    <cellStyle name="Normal 14 3 6 10 2" xfId="39104"/>
    <cellStyle name="Normal 14 3 6 11" xfId="13297"/>
    <cellStyle name="Normal 14 3 6 11 2" xfId="35884"/>
    <cellStyle name="Normal 14 3 6 12" xfId="6857"/>
    <cellStyle name="Normal 14 3 6 12 2" xfId="29444"/>
    <cellStyle name="Normal 14 3 6 13" xfId="23004"/>
    <cellStyle name="Normal 14 3 6 2" xfId="1087"/>
    <cellStyle name="Normal 14 3 6 2 2" xfId="2401"/>
    <cellStyle name="Normal 14 3 6 2 2 2" xfId="5622"/>
    <cellStyle name="Normal 14 3 6 2 2 2 2" xfId="21722"/>
    <cellStyle name="Normal 14 3 6 2 2 2 2 2" xfId="44309"/>
    <cellStyle name="Normal 14 3 6 2 2 2 3" xfId="12062"/>
    <cellStyle name="Normal 14 3 6 2 2 2 3 2" xfId="34649"/>
    <cellStyle name="Normal 14 3 6 2 2 2 4" xfId="28209"/>
    <cellStyle name="Normal 14 3 6 2 2 3" xfId="18502"/>
    <cellStyle name="Normal 14 3 6 2 2 3 2" xfId="41089"/>
    <cellStyle name="Normal 14 3 6 2 2 4" xfId="15282"/>
    <cellStyle name="Normal 14 3 6 2 2 4 2" xfId="37869"/>
    <cellStyle name="Normal 14 3 6 2 2 5" xfId="8842"/>
    <cellStyle name="Normal 14 3 6 2 2 5 2" xfId="31429"/>
    <cellStyle name="Normal 14 3 6 2 2 6" xfId="24989"/>
    <cellStyle name="Normal 14 3 6 2 3" xfId="4314"/>
    <cellStyle name="Normal 14 3 6 2 3 2" xfId="20414"/>
    <cellStyle name="Normal 14 3 6 2 3 2 2" xfId="43001"/>
    <cellStyle name="Normal 14 3 6 2 3 3" xfId="10754"/>
    <cellStyle name="Normal 14 3 6 2 3 3 2" xfId="33341"/>
    <cellStyle name="Normal 14 3 6 2 3 4" xfId="26901"/>
    <cellStyle name="Normal 14 3 6 2 4" xfId="17194"/>
    <cellStyle name="Normal 14 3 6 2 4 2" xfId="39781"/>
    <cellStyle name="Normal 14 3 6 2 5" xfId="13974"/>
    <cellStyle name="Normal 14 3 6 2 5 2" xfId="36561"/>
    <cellStyle name="Normal 14 3 6 2 6" xfId="7534"/>
    <cellStyle name="Normal 14 3 6 2 6 2" xfId="30121"/>
    <cellStyle name="Normal 14 3 6 2 7" xfId="23681"/>
    <cellStyle name="Normal 14 3 6 3" xfId="1434"/>
    <cellStyle name="Normal 14 3 6 3 2" xfId="2748"/>
    <cellStyle name="Normal 14 3 6 3 2 2" xfId="5969"/>
    <cellStyle name="Normal 14 3 6 3 2 2 2" xfId="22069"/>
    <cellStyle name="Normal 14 3 6 3 2 2 2 2" xfId="44656"/>
    <cellStyle name="Normal 14 3 6 3 2 2 3" xfId="12409"/>
    <cellStyle name="Normal 14 3 6 3 2 2 3 2" xfId="34996"/>
    <cellStyle name="Normal 14 3 6 3 2 2 4" xfId="28556"/>
    <cellStyle name="Normal 14 3 6 3 2 3" xfId="18849"/>
    <cellStyle name="Normal 14 3 6 3 2 3 2" xfId="41436"/>
    <cellStyle name="Normal 14 3 6 3 2 4" xfId="15629"/>
    <cellStyle name="Normal 14 3 6 3 2 4 2" xfId="38216"/>
    <cellStyle name="Normal 14 3 6 3 2 5" xfId="9189"/>
    <cellStyle name="Normal 14 3 6 3 2 5 2" xfId="31776"/>
    <cellStyle name="Normal 14 3 6 3 2 6" xfId="25336"/>
    <cellStyle name="Normal 14 3 6 3 3" xfId="4661"/>
    <cellStyle name="Normal 14 3 6 3 3 2" xfId="20761"/>
    <cellStyle name="Normal 14 3 6 3 3 2 2" xfId="43348"/>
    <cellStyle name="Normal 14 3 6 3 3 3" xfId="11101"/>
    <cellStyle name="Normal 14 3 6 3 3 3 2" xfId="33688"/>
    <cellStyle name="Normal 14 3 6 3 3 4" xfId="27248"/>
    <cellStyle name="Normal 14 3 6 3 4" xfId="17541"/>
    <cellStyle name="Normal 14 3 6 3 4 2" xfId="40128"/>
    <cellStyle name="Normal 14 3 6 3 5" xfId="14321"/>
    <cellStyle name="Normal 14 3 6 3 5 2" xfId="36908"/>
    <cellStyle name="Normal 14 3 6 3 6" xfId="7881"/>
    <cellStyle name="Normal 14 3 6 3 6 2" xfId="30468"/>
    <cellStyle name="Normal 14 3 6 3 7" xfId="24028"/>
    <cellStyle name="Normal 14 3 6 4" xfId="1599"/>
    <cellStyle name="Normal 14 3 6 4 2" xfId="4825"/>
    <cellStyle name="Normal 14 3 6 4 2 2" xfId="20925"/>
    <cellStyle name="Normal 14 3 6 4 2 2 2" xfId="43512"/>
    <cellStyle name="Normal 14 3 6 4 2 3" xfId="11265"/>
    <cellStyle name="Normal 14 3 6 4 2 3 2" xfId="33852"/>
    <cellStyle name="Normal 14 3 6 4 2 4" xfId="27412"/>
    <cellStyle name="Normal 14 3 6 4 3" xfId="17705"/>
    <cellStyle name="Normal 14 3 6 4 3 2" xfId="40292"/>
    <cellStyle name="Normal 14 3 6 4 4" xfId="14485"/>
    <cellStyle name="Normal 14 3 6 4 4 2" xfId="37072"/>
    <cellStyle name="Normal 14 3 6 4 5" xfId="8045"/>
    <cellStyle name="Normal 14 3 6 4 5 2" xfId="30632"/>
    <cellStyle name="Normal 14 3 6 4 6" xfId="24192"/>
    <cellStyle name="Normal 14 3 6 5" xfId="2054"/>
    <cellStyle name="Normal 14 3 6 5 2" xfId="5275"/>
    <cellStyle name="Normal 14 3 6 5 2 2" xfId="21375"/>
    <cellStyle name="Normal 14 3 6 5 2 2 2" xfId="43962"/>
    <cellStyle name="Normal 14 3 6 5 2 3" xfId="11715"/>
    <cellStyle name="Normal 14 3 6 5 2 3 2" xfId="34302"/>
    <cellStyle name="Normal 14 3 6 5 2 4" xfId="27862"/>
    <cellStyle name="Normal 14 3 6 5 3" xfId="18155"/>
    <cellStyle name="Normal 14 3 6 5 3 2" xfId="40742"/>
    <cellStyle name="Normal 14 3 6 5 4" xfId="14935"/>
    <cellStyle name="Normal 14 3 6 5 4 2" xfId="37522"/>
    <cellStyle name="Normal 14 3 6 5 5" xfId="8495"/>
    <cellStyle name="Normal 14 3 6 5 5 2" xfId="31082"/>
    <cellStyle name="Normal 14 3 6 5 6" xfId="24642"/>
    <cellStyle name="Normal 14 3 6 6" xfId="3057"/>
    <cellStyle name="Normal 14 3 6 6 2" xfId="6277"/>
    <cellStyle name="Normal 14 3 6 6 2 2" xfId="22377"/>
    <cellStyle name="Normal 14 3 6 6 2 2 2" xfId="44964"/>
    <cellStyle name="Normal 14 3 6 6 2 3" xfId="12717"/>
    <cellStyle name="Normal 14 3 6 6 2 3 2" xfId="35304"/>
    <cellStyle name="Normal 14 3 6 6 2 4" xfId="28864"/>
    <cellStyle name="Normal 14 3 6 6 3" xfId="19157"/>
    <cellStyle name="Normal 14 3 6 6 3 2" xfId="41744"/>
    <cellStyle name="Normal 14 3 6 6 4" xfId="15937"/>
    <cellStyle name="Normal 14 3 6 6 4 2" xfId="38524"/>
    <cellStyle name="Normal 14 3 6 6 5" xfId="9497"/>
    <cellStyle name="Normal 14 3 6 6 5 2" xfId="32084"/>
    <cellStyle name="Normal 14 3 6 6 6" xfId="25644"/>
    <cellStyle name="Normal 14 3 6 7" xfId="3347"/>
    <cellStyle name="Normal 14 3 6 7 2" xfId="6567"/>
    <cellStyle name="Normal 14 3 6 7 2 2" xfId="22667"/>
    <cellStyle name="Normal 14 3 6 7 2 2 2" xfId="45254"/>
    <cellStyle name="Normal 14 3 6 7 2 3" xfId="13007"/>
    <cellStyle name="Normal 14 3 6 7 2 3 2" xfId="35594"/>
    <cellStyle name="Normal 14 3 6 7 2 4" xfId="29154"/>
    <cellStyle name="Normal 14 3 6 7 3" xfId="19447"/>
    <cellStyle name="Normal 14 3 6 7 3 2" xfId="42034"/>
    <cellStyle name="Normal 14 3 6 7 4" xfId="16227"/>
    <cellStyle name="Normal 14 3 6 7 4 2" xfId="38814"/>
    <cellStyle name="Normal 14 3 6 7 5" xfId="9787"/>
    <cellStyle name="Normal 14 3 6 7 5 2" xfId="32374"/>
    <cellStyle name="Normal 14 3 6 7 6" xfId="25934"/>
    <cellStyle name="Normal 14 3 6 8" xfId="735"/>
    <cellStyle name="Normal 14 3 6 8 2" xfId="3967"/>
    <cellStyle name="Normal 14 3 6 8 2 2" xfId="20067"/>
    <cellStyle name="Normal 14 3 6 8 2 2 2" xfId="42654"/>
    <cellStyle name="Normal 14 3 6 8 2 3" xfId="10407"/>
    <cellStyle name="Normal 14 3 6 8 2 3 2" xfId="32994"/>
    <cellStyle name="Normal 14 3 6 8 2 4" xfId="26554"/>
    <cellStyle name="Normal 14 3 6 8 3" xfId="16847"/>
    <cellStyle name="Normal 14 3 6 8 3 2" xfId="39434"/>
    <cellStyle name="Normal 14 3 6 8 4" xfId="13627"/>
    <cellStyle name="Normal 14 3 6 8 4 2" xfId="36214"/>
    <cellStyle name="Normal 14 3 6 8 5" xfId="7187"/>
    <cellStyle name="Normal 14 3 6 8 5 2" xfId="29774"/>
    <cellStyle name="Normal 14 3 6 8 6" xfId="23334"/>
    <cellStyle name="Normal 14 3 6 9" xfId="3637"/>
    <cellStyle name="Normal 14 3 6 9 2" xfId="19737"/>
    <cellStyle name="Normal 14 3 6 9 2 2" xfId="42324"/>
    <cellStyle name="Normal 14 3 6 9 3" xfId="10077"/>
    <cellStyle name="Normal 14 3 6 9 3 2" xfId="32664"/>
    <cellStyle name="Normal 14 3 6 9 4" xfId="26224"/>
    <cellStyle name="Normal 14 3 7" xfId="755"/>
    <cellStyle name="Normal 14 3 7 2" xfId="1107"/>
    <cellStyle name="Normal 14 3 7 2 2" xfId="2421"/>
    <cellStyle name="Normal 14 3 7 2 2 2" xfId="5642"/>
    <cellStyle name="Normal 14 3 7 2 2 2 2" xfId="21742"/>
    <cellStyle name="Normal 14 3 7 2 2 2 2 2" xfId="44329"/>
    <cellStyle name="Normal 14 3 7 2 2 2 3" xfId="12082"/>
    <cellStyle name="Normal 14 3 7 2 2 2 3 2" xfId="34669"/>
    <cellStyle name="Normal 14 3 7 2 2 2 4" xfId="28229"/>
    <cellStyle name="Normal 14 3 7 2 2 3" xfId="18522"/>
    <cellStyle name="Normal 14 3 7 2 2 3 2" xfId="41109"/>
    <cellStyle name="Normal 14 3 7 2 2 4" xfId="15302"/>
    <cellStyle name="Normal 14 3 7 2 2 4 2" xfId="37889"/>
    <cellStyle name="Normal 14 3 7 2 2 5" xfId="8862"/>
    <cellStyle name="Normal 14 3 7 2 2 5 2" xfId="31449"/>
    <cellStyle name="Normal 14 3 7 2 2 6" xfId="25009"/>
    <cellStyle name="Normal 14 3 7 2 3" xfId="4334"/>
    <cellStyle name="Normal 14 3 7 2 3 2" xfId="20434"/>
    <cellStyle name="Normal 14 3 7 2 3 2 2" xfId="43021"/>
    <cellStyle name="Normal 14 3 7 2 3 3" xfId="10774"/>
    <cellStyle name="Normal 14 3 7 2 3 3 2" xfId="33361"/>
    <cellStyle name="Normal 14 3 7 2 3 4" xfId="26921"/>
    <cellStyle name="Normal 14 3 7 2 4" xfId="17214"/>
    <cellStyle name="Normal 14 3 7 2 4 2" xfId="39801"/>
    <cellStyle name="Normal 14 3 7 2 5" xfId="13994"/>
    <cellStyle name="Normal 14 3 7 2 5 2" xfId="36581"/>
    <cellStyle name="Normal 14 3 7 2 6" xfId="7554"/>
    <cellStyle name="Normal 14 3 7 2 6 2" xfId="30141"/>
    <cellStyle name="Normal 14 3 7 2 7" xfId="23701"/>
    <cellStyle name="Normal 14 3 7 3" xfId="1454"/>
    <cellStyle name="Normal 14 3 7 3 2" xfId="2768"/>
    <cellStyle name="Normal 14 3 7 3 2 2" xfId="5989"/>
    <cellStyle name="Normal 14 3 7 3 2 2 2" xfId="22089"/>
    <cellStyle name="Normal 14 3 7 3 2 2 2 2" xfId="44676"/>
    <cellStyle name="Normal 14 3 7 3 2 2 3" xfId="12429"/>
    <cellStyle name="Normal 14 3 7 3 2 2 3 2" xfId="35016"/>
    <cellStyle name="Normal 14 3 7 3 2 2 4" xfId="28576"/>
    <cellStyle name="Normal 14 3 7 3 2 3" xfId="18869"/>
    <cellStyle name="Normal 14 3 7 3 2 3 2" xfId="41456"/>
    <cellStyle name="Normal 14 3 7 3 2 4" xfId="15649"/>
    <cellStyle name="Normal 14 3 7 3 2 4 2" xfId="38236"/>
    <cellStyle name="Normal 14 3 7 3 2 5" xfId="9209"/>
    <cellStyle name="Normal 14 3 7 3 2 5 2" xfId="31796"/>
    <cellStyle name="Normal 14 3 7 3 2 6" xfId="25356"/>
    <cellStyle name="Normal 14 3 7 3 3" xfId="4681"/>
    <cellStyle name="Normal 14 3 7 3 3 2" xfId="20781"/>
    <cellStyle name="Normal 14 3 7 3 3 2 2" xfId="43368"/>
    <cellStyle name="Normal 14 3 7 3 3 3" xfId="11121"/>
    <cellStyle name="Normal 14 3 7 3 3 3 2" xfId="33708"/>
    <cellStyle name="Normal 14 3 7 3 3 4" xfId="27268"/>
    <cellStyle name="Normal 14 3 7 3 4" xfId="17561"/>
    <cellStyle name="Normal 14 3 7 3 4 2" xfId="40148"/>
    <cellStyle name="Normal 14 3 7 3 5" xfId="14341"/>
    <cellStyle name="Normal 14 3 7 3 5 2" xfId="36928"/>
    <cellStyle name="Normal 14 3 7 3 6" xfId="7901"/>
    <cellStyle name="Normal 14 3 7 3 6 2" xfId="30488"/>
    <cellStyle name="Normal 14 3 7 3 7" xfId="24048"/>
    <cellStyle name="Normal 14 3 7 4" xfId="2074"/>
    <cellStyle name="Normal 14 3 7 4 2" xfId="5295"/>
    <cellStyle name="Normal 14 3 7 4 2 2" xfId="21395"/>
    <cellStyle name="Normal 14 3 7 4 2 2 2" xfId="43982"/>
    <cellStyle name="Normal 14 3 7 4 2 3" xfId="11735"/>
    <cellStyle name="Normal 14 3 7 4 2 3 2" xfId="34322"/>
    <cellStyle name="Normal 14 3 7 4 2 4" xfId="27882"/>
    <cellStyle name="Normal 14 3 7 4 3" xfId="18175"/>
    <cellStyle name="Normal 14 3 7 4 3 2" xfId="40762"/>
    <cellStyle name="Normal 14 3 7 4 4" xfId="14955"/>
    <cellStyle name="Normal 14 3 7 4 4 2" xfId="37542"/>
    <cellStyle name="Normal 14 3 7 4 5" xfId="8515"/>
    <cellStyle name="Normal 14 3 7 4 5 2" xfId="31102"/>
    <cellStyle name="Normal 14 3 7 4 6" xfId="24662"/>
    <cellStyle name="Normal 14 3 7 5" xfId="3987"/>
    <cellStyle name="Normal 14 3 7 5 2" xfId="20087"/>
    <cellStyle name="Normal 14 3 7 5 2 2" xfId="42674"/>
    <cellStyle name="Normal 14 3 7 5 3" xfId="10427"/>
    <cellStyle name="Normal 14 3 7 5 3 2" xfId="33014"/>
    <cellStyle name="Normal 14 3 7 5 4" xfId="26574"/>
    <cellStyle name="Normal 14 3 7 6" xfId="16867"/>
    <cellStyle name="Normal 14 3 7 6 2" xfId="39454"/>
    <cellStyle name="Normal 14 3 7 7" xfId="13647"/>
    <cellStyle name="Normal 14 3 7 7 2" xfId="36234"/>
    <cellStyle name="Normal 14 3 7 8" xfId="7207"/>
    <cellStyle name="Normal 14 3 7 8 2" xfId="29794"/>
    <cellStyle name="Normal 14 3 7 9" xfId="23354"/>
    <cellStyle name="Normal 14 3 8" xfId="849"/>
    <cellStyle name="Normal 14 3 8 2" xfId="2168"/>
    <cellStyle name="Normal 14 3 8 2 2" xfId="5389"/>
    <cellStyle name="Normal 14 3 8 2 2 2" xfId="21489"/>
    <cellStyle name="Normal 14 3 8 2 2 2 2" xfId="44076"/>
    <cellStyle name="Normal 14 3 8 2 2 3" xfId="11829"/>
    <cellStyle name="Normal 14 3 8 2 2 3 2" xfId="34416"/>
    <cellStyle name="Normal 14 3 8 2 2 4" xfId="27976"/>
    <cellStyle name="Normal 14 3 8 2 3" xfId="18269"/>
    <cellStyle name="Normal 14 3 8 2 3 2" xfId="40856"/>
    <cellStyle name="Normal 14 3 8 2 4" xfId="15049"/>
    <cellStyle name="Normal 14 3 8 2 4 2" xfId="37636"/>
    <cellStyle name="Normal 14 3 8 2 5" xfId="8609"/>
    <cellStyle name="Normal 14 3 8 2 5 2" xfId="31196"/>
    <cellStyle name="Normal 14 3 8 2 6" xfId="24756"/>
    <cellStyle name="Normal 14 3 8 3" xfId="4081"/>
    <cellStyle name="Normal 14 3 8 3 2" xfId="20181"/>
    <cellStyle name="Normal 14 3 8 3 2 2" xfId="42768"/>
    <cellStyle name="Normal 14 3 8 3 3" xfId="10521"/>
    <cellStyle name="Normal 14 3 8 3 3 2" xfId="33108"/>
    <cellStyle name="Normal 14 3 8 3 4" xfId="26668"/>
    <cellStyle name="Normal 14 3 8 4" xfId="16961"/>
    <cellStyle name="Normal 14 3 8 4 2" xfId="39548"/>
    <cellStyle name="Normal 14 3 8 5" xfId="13741"/>
    <cellStyle name="Normal 14 3 8 5 2" xfId="36328"/>
    <cellStyle name="Normal 14 3 8 6" xfId="7301"/>
    <cellStyle name="Normal 14 3 8 6 2" xfId="29888"/>
    <cellStyle name="Normal 14 3 8 7" xfId="23448"/>
    <cellStyle name="Normal 14 3 9" xfId="1201"/>
    <cellStyle name="Normal 14 3 9 2" xfId="2515"/>
    <cellStyle name="Normal 14 3 9 2 2" xfId="5736"/>
    <cellStyle name="Normal 14 3 9 2 2 2" xfId="21836"/>
    <cellStyle name="Normal 14 3 9 2 2 2 2" xfId="44423"/>
    <cellStyle name="Normal 14 3 9 2 2 3" xfId="12176"/>
    <cellStyle name="Normal 14 3 9 2 2 3 2" xfId="34763"/>
    <cellStyle name="Normal 14 3 9 2 2 4" xfId="28323"/>
    <cellStyle name="Normal 14 3 9 2 3" xfId="18616"/>
    <cellStyle name="Normal 14 3 9 2 3 2" xfId="41203"/>
    <cellStyle name="Normal 14 3 9 2 4" xfId="15396"/>
    <cellStyle name="Normal 14 3 9 2 4 2" xfId="37983"/>
    <cellStyle name="Normal 14 3 9 2 5" xfId="8956"/>
    <cellStyle name="Normal 14 3 9 2 5 2" xfId="31543"/>
    <cellStyle name="Normal 14 3 9 2 6" xfId="25103"/>
    <cellStyle name="Normal 14 3 9 3" xfId="4428"/>
    <cellStyle name="Normal 14 3 9 3 2" xfId="20528"/>
    <cellStyle name="Normal 14 3 9 3 2 2" xfId="43115"/>
    <cellStyle name="Normal 14 3 9 3 3" xfId="10868"/>
    <cellStyle name="Normal 14 3 9 3 3 2" xfId="33455"/>
    <cellStyle name="Normal 14 3 9 3 4" xfId="27015"/>
    <cellStyle name="Normal 14 3 9 4" xfId="17308"/>
    <cellStyle name="Normal 14 3 9 4 2" xfId="39895"/>
    <cellStyle name="Normal 14 3 9 5" xfId="14088"/>
    <cellStyle name="Normal 14 3 9 5 2" xfId="36675"/>
    <cellStyle name="Normal 14 3 9 6" xfId="7648"/>
    <cellStyle name="Normal 14 3 9 6 2" xfId="30235"/>
    <cellStyle name="Normal 14 3 9 7" xfId="23795"/>
    <cellStyle name="Normal 14 4" xfId="113"/>
    <cellStyle name="Normal 14 4 10" xfId="2869"/>
    <cellStyle name="Normal 14 4 10 2" xfId="6090"/>
    <cellStyle name="Normal 14 4 10 2 2" xfId="22190"/>
    <cellStyle name="Normal 14 4 10 2 2 2" xfId="44777"/>
    <cellStyle name="Normal 14 4 10 2 3" xfId="12530"/>
    <cellStyle name="Normal 14 4 10 2 3 2" xfId="35117"/>
    <cellStyle name="Normal 14 4 10 2 4" xfId="28677"/>
    <cellStyle name="Normal 14 4 10 3" xfId="18970"/>
    <cellStyle name="Normal 14 4 10 3 2" xfId="41557"/>
    <cellStyle name="Normal 14 4 10 4" xfId="15750"/>
    <cellStyle name="Normal 14 4 10 4 2" xfId="38337"/>
    <cellStyle name="Normal 14 4 10 5" xfId="9310"/>
    <cellStyle name="Normal 14 4 10 5 2" xfId="31897"/>
    <cellStyle name="Normal 14 4 10 6" xfId="25457"/>
    <cellStyle name="Normal 14 4 11" xfId="3160"/>
    <cellStyle name="Normal 14 4 11 2" xfId="6380"/>
    <cellStyle name="Normal 14 4 11 2 2" xfId="22480"/>
    <cellStyle name="Normal 14 4 11 2 2 2" xfId="45067"/>
    <cellStyle name="Normal 14 4 11 2 3" xfId="12820"/>
    <cellStyle name="Normal 14 4 11 2 3 2" xfId="35407"/>
    <cellStyle name="Normal 14 4 11 2 4" xfId="28967"/>
    <cellStyle name="Normal 14 4 11 3" xfId="19260"/>
    <cellStyle name="Normal 14 4 11 3 2" xfId="41847"/>
    <cellStyle name="Normal 14 4 11 4" xfId="16040"/>
    <cellStyle name="Normal 14 4 11 4 2" xfId="38627"/>
    <cellStyle name="Normal 14 4 11 5" xfId="9600"/>
    <cellStyle name="Normal 14 4 11 5 2" xfId="32187"/>
    <cellStyle name="Normal 14 4 11 6" xfId="25747"/>
    <cellStyle name="Normal 14 4 12" xfId="453"/>
    <cellStyle name="Normal 14 4 12 2" xfId="3740"/>
    <cellStyle name="Normal 14 4 12 2 2" xfId="19840"/>
    <cellStyle name="Normal 14 4 12 2 2 2" xfId="42427"/>
    <cellStyle name="Normal 14 4 12 2 3" xfId="10180"/>
    <cellStyle name="Normal 14 4 12 2 3 2" xfId="32767"/>
    <cellStyle name="Normal 14 4 12 2 4" xfId="26327"/>
    <cellStyle name="Normal 14 4 12 3" xfId="16620"/>
    <cellStyle name="Normal 14 4 12 3 2" xfId="39207"/>
    <cellStyle name="Normal 14 4 12 4" xfId="13400"/>
    <cellStyle name="Normal 14 4 12 4 2" xfId="35987"/>
    <cellStyle name="Normal 14 4 12 5" xfId="6960"/>
    <cellStyle name="Normal 14 4 12 5 2" xfId="29547"/>
    <cellStyle name="Normal 14 4 12 6" xfId="23107"/>
    <cellStyle name="Normal 14 4 13" xfId="3450"/>
    <cellStyle name="Normal 14 4 13 2" xfId="19550"/>
    <cellStyle name="Normal 14 4 13 2 2" xfId="42137"/>
    <cellStyle name="Normal 14 4 13 3" xfId="9890"/>
    <cellStyle name="Normal 14 4 13 3 2" xfId="32477"/>
    <cellStyle name="Normal 14 4 13 4" xfId="26037"/>
    <cellStyle name="Normal 14 4 14" xfId="16330"/>
    <cellStyle name="Normal 14 4 14 2" xfId="38917"/>
    <cellStyle name="Normal 14 4 15" xfId="13110"/>
    <cellStyle name="Normal 14 4 15 2" xfId="35697"/>
    <cellStyle name="Normal 14 4 16" xfId="6670"/>
    <cellStyle name="Normal 14 4 16 2" xfId="29257"/>
    <cellStyle name="Normal 14 4 17" xfId="22817"/>
    <cellStyle name="Normal 14 4 2" xfId="197"/>
    <cellStyle name="Normal 14 4 2 10" xfId="490"/>
    <cellStyle name="Normal 14 4 2 10 2" xfId="3777"/>
    <cellStyle name="Normal 14 4 2 10 2 2" xfId="19877"/>
    <cellStyle name="Normal 14 4 2 10 2 2 2" xfId="42464"/>
    <cellStyle name="Normal 14 4 2 10 2 3" xfId="10217"/>
    <cellStyle name="Normal 14 4 2 10 2 3 2" xfId="32804"/>
    <cellStyle name="Normal 14 4 2 10 2 4" xfId="26364"/>
    <cellStyle name="Normal 14 4 2 10 3" xfId="16657"/>
    <cellStyle name="Normal 14 4 2 10 3 2" xfId="39244"/>
    <cellStyle name="Normal 14 4 2 10 4" xfId="13437"/>
    <cellStyle name="Normal 14 4 2 10 4 2" xfId="36024"/>
    <cellStyle name="Normal 14 4 2 10 5" xfId="6997"/>
    <cellStyle name="Normal 14 4 2 10 5 2" xfId="29584"/>
    <cellStyle name="Normal 14 4 2 10 6" xfId="23144"/>
    <cellStyle name="Normal 14 4 2 11" xfId="3487"/>
    <cellStyle name="Normal 14 4 2 11 2" xfId="19587"/>
    <cellStyle name="Normal 14 4 2 11 2 2" xfId="42174"/>
    <cellStyle name="Normal 14 4 2 11 3" xfId="9927"/>
    <cellStyle name="Normal 14 4 2 11 3 2" xfId="32514"/>
    <cellStyle name="Normal 14 4 2 11 4" xfId="26074"/>
    <cellStyle name="Normal 14 4 2 12" xfId="16367"/>
    <cellStyle name="Normal 14 4 2 12 2" xfId="38954"/>
    <cellStyle name="Normal 14 4 2 13" xfId="13147"/>
    <cellStyle name="Normal 14 4 2 13 2" xfId="35734"/>
    <cellStyle name="Normal 14 4 2 14" xfId="6707"/>
    <cellStyle name="Normal 14 4 2 14 2" xfId="29294"/>
    <cellStyle name="Normal 14 4 2 15" xfId="22854"/>
    <cellStyle name="Normal 14 4 2 2" xfId="297"/>
    <cellStyle name="Normal 14 4 2 2 10" xfId="16464"/>
    <cellStyle name="Normal 14 4 2 2 10 2" xfId="39051"/>
    <cellStyle name="Normal 14 4 2 2 11" xfId="13244"/>
    <cellStyle name="Normal 14 4 2 2 11 2" xfId="35831"/>
    <cellStyle name="Normal 14 4 2 2 12" xfId="6804"/>
    <cellStyle name="Normal 14 4 2 2 12 2" xfId="29391"/>
    <cellStyle name="Normal 14 4 2 2 13" xfId="22951"/>
    <cellStyle name="Normal 14 4 2 2 2" xfId="1016"/>
    <cellStyle name="Normal 14 4 2 2 2 2" xfId="2330"/>
    <cellStyle name="Normal 14 4 2 2 2 2 2" xfId="5551"/>
    <cellStyle name="Normal 14 4 2 2 2 2 2 2" xfId="21651"/>
    <cellStyle name="Normal 14 4 2 2 2 2 2 2 2" xfId="44238"/>
    <cellStyle name="Normal 14 4 2 2 2 2 2 3" xfId="11991"/>
    <cellStyle name="Normal 14 4 2 2 2 2 2 3 2" xfId="34578"/>
    <cellStyle name="Normal 14 4 2 2 2 2 2 4" xfId="28138"/>
    <cellStyle name="Normal 14 4 2 2 2 2 3" xfId="18431"/>
    <cellStyle name="Normal 14 4 2 2 2 2 3 2" xfId="41018"/>
    <cellStyle name="Normal 14 4 2 2 2 2 4" xfId="15211"/>
    <cellStyle name="Normal 14 4 2 2 2 2 4 2" xfId="37798"/>
    <cellStyle name="Normal 14 4 2 2 2 2 5" xfId="8771"/>
    <cellStyle name="Normal 14 4 2 2 2 2 5 2" xfId="31358"/>
    <cellStyle name="Normal 14 4 2 2 2 2 6" xfId="24918"/>
    <cellStyle name="Normal 14 4 2 2 2 3" xfId="4243"/>
    <cellStyle name="Normal 14 4 2 2 2 3 2" xfId="20343"/>
    <cellStyle name="Normal 14 4 2 2 2 3 2 2" xfId="42930"/>
    <cellStyle name="Normal 14 4 2 2 2 3 3" xfId="10683"/>
    <cellStyle name="Normal 14 4 2 2 2 3 3 2" xfId="33270"/>
    <cellStyle name="Normal 14 4 2 2 2 3 4" xfId="26830"/>
    <cellStyle name="Normal 14 4 2 2 2 4" xfId="17123"/>
    <cellStyle name="Normal 14 4 2 2 2 4 2" xfId="39710"/>
    <cellStyle name="Normal 14 4 2 2 2 5" xfId="13903"/>
    <cellStyle name="Normal 14 4 2 2 2 5 2" xfId="36490"/>
    <cellStyle name="Normal 14 4 2 2 2 6" xfId="7463"/>
    <cellStyle name="Normal 14 4 2 2 2 6 2" xfId="30050"/>
    <cellStyle name="Normal 14 4 2 2 2 7" xfId="23610"/>
    <cellStyle name="Normal 14 4 2 2 3" xfId="1363"/>
    <cellStyle name="Normal 14 4 2 2 3 2" xfId="2677"/>
    <cellStyle name="Normal 14 4 2 2 3 2 2" xfId="5898"/>
    <cellStyle name="Normal 14 4 2 2 3 2 2 2" xfId="21998"/>
    <cellStyle name="Normal 14 4 2 2 3 2 2 2 2" xfId="44585"/>
    <cellStyle name="Normal 14 4 2 2 3 2 2 3" xfId="12338"/>
    <cellStyle name="Normal 14 4 2 2 3 2 2 3 2" xfId="34925"/>
    <cellStyle name="Normal 14 4 2 2 3 2 2 4" xfId="28485"/>
    <cellStyle name="Normal 14 4 2 2 3 2 3" xfId="18778"/>
    <cellStyle name="Normal 14 4 2 2 3 2 3 2" xfId="41365"/>
    <cellStyle name="Normal 14 4 2 2 3 2 4" xfId="15558"/>
    <cellStyle name="Normal 14 4 2 2 3 2 4 2" xfId="38145"/>
    <cellStyle name="Normal 14 4 2 2 3 2 5" xfId="9118"/>
    <cellStyle name="Normal 14 4 2 2 3 2 5 2" xfId="31705"/>
    <cellStyle name="Normal 14 4 2 2 3 2 6" xfId="25265"/>
    <cellStyle name="Normal 14 4 2 2 3 3" xfId="4590"/>
    <cellStyle name="Normal 14 4 2 2 3 3 2" xfId="20690"/>
    <cellStyle name="Normal 14 4 2 2 3 3 2 2" xfId="43277"/>
    <cellStyle name="Normal 14 4 2 2 3 3 3" xfId="11030"/>
    <cellStyle name="Normal 14 4 2 2 3 3 3 2" xfId="33617"/>
    <cellStyle name="Normal 14 4 2 2 3 3 4" xfId="27177"/>
    <cellStyle name="Normal 14 4 2 2 3 4" xfId="17470"/>
    <cellStyle name="Normal 14 4 2 2 3 4 2" xfId="40057"/>
    <cellStyle name="Normal 14 4 2 2 3 5" xfId="14250"/>
    <cellStyle name="Normal 14 4 2 2 3 5 2" xfId="36837"/>
    <cellStyle name="Normal 14 4 2 2 3 6" xfId="7810"/>
    <cellStyle name="Normal 14 4 2 2 3 6 2" xfId="30397"/>
    <cellStyle name="Normal 14 4 2 2 3 7" xfId="23957"/>
    <cellStyle name="Normal 14 4 2 2 4" xfId="1600"/>
    <cellStyle name="Normal 14 4 2 2 4 2" xfId="4826"/>
    <cellStyle name="Normal 14 4 2 2 4 2 2" xfId="20926"/>
    <cellStyle name="Normal 14 4 2 2 4 2 2 2" xfId="43513"/>
    <cellStyle name="Normal 14 4 2 2 4 2 3" xfId="11266"/>
    <cellStyle name="Normal 14 4 2 2 4 2 3 2" xfId="33853"/>
    <cellStyle name="Normal 14 4 2 2 4 2 4" xfId="27413"/>
    <cellStyle name="Normal 14 4 2 2 4 3" xfId="17706"/>
    <cellStyle name="Normal 14 4 2 2 4 3 2" xfId="40293"/>
    <cellStyle name="Normal 14 4 2 2 4 4" xfId="14486"/>
    <cellStyle name="Normal 14 4 2 2 4 4 2" xfId="37073"/>
    <cellStyle name="Normal 14 4 2 2 4 5" xfId="8046"/>
    <cellStyle name="Normal 14 4 2 2 4 5 2" xfId="30633"/>
    <cellStyle name="Normal 14 4 2 2 4 6" xfId="24193"/>
    <cellStyle name="Normal 14 4 2 2 5" xfId="1982"/>
    <cellStyle name="Normal 14 4 2 2 5 2" xfId="5204"/>
    <cellStyle name="Normal 14 4 2 2 5 2 2" xfId="21304"/>
    <cellStyle name="Normal 14 4 2 2 5 2 2 2" xfId="43891"/>
    <cellStyle name="Normal 14 4 2 2 5 2 3" xfId="11644"/>
    <cellStyle name="Normal 14 4 2 2 5 2 3 2" xfId="34231"/>
    <cellStyle name="Normal 14 4 2 2 5 2 4" xfId="27791"/>
    <cellStyle name="Normal 14 4 2 2 5 3" xfId="18084"/>
    <cellStyle name="Normal 14 4 2 2 5 3 2" xfId="40671"/>
    <cellStyle name="Normal 14 4 2 2 5 4" xfId="14864"/>
    <cellStyle name="Normal 14 4 2 2 5 4 2" xfId="37451"/>
    <cellStyle name="Normal 14 4 2 2 5 5" xfId="8424"/>
    <cellStyle name="Normal 14 4 2 2 5 5 2" xfId="31011"/>
    <cellStyle name="Normal 14 4 2 2 5 6" xfId="24571"/>
    <cellStyle name="Normal 14 4 2 2 6" xfId="3004"/>
    <cellStyle name="Normal 14 4 2 2 6 2" xfId="6224"/>
    <cellStyle name="Normal 14 4 2 2 6 2 2" xfId="22324"/>
    <cellStyle name="Normal 14 4 2 2 6 2 2 2" xfId="44911"/>
    <cellStyle name="Normal 14 4 2 2 6 2 3" xfId="12664"/>
    <cellStyle name="Normal 14 4 2 2 6 2 3 2" xfId="35251"/>
    <cellStyle name="Normal 14 4 2 2 6 2 4" xfId="28811"/>
    <cellStyle name="Normal 14 4 2 2 6 3" xfId="19104"/>
    <cellStyle name="Normal 14 4 2 2 6 3 2" xfId="41691"/>
    <cellStyle name="Normal 14 4 2 2 6 4" xfId="15884"/>
    <cellStyle name="Normal 14 4 2 2 6 4 2" xfId="38471"/>
    <cellStyle name="Normal 14 4 2 2 6 5" xfId="9444"/>
    <cellStyle name="Normal 14 4 2 2 6 5 2" xfId="32031"/>
    <cellStyle name="Normal 14 4 2 2 6 6" xfId="25591"/>
    <cellStyle name="Normal 14 4 2 2 7" xfId="3294"/>
    <cellStyle name="Normal 14 4 2 2 7 2" xfId="6514"/>
    <cellStyle name="Normal 14 4 2 2 7 2 2" xfId="22614"/>
    <cellStyle name="Normal 14 4 2 2 7 2 2 2" xfId="45201"/>
    <cellStyle name="Normal 14 4 2 2 7 2 3" xfId="12954"/>
    <cellStyle name="Normal 14 4 2 2 7 2 3 2" xfId="35541"/>
    <cellStyle name="Normal 14 4 2 2 7 2 4" xfId="29101"/>
    <cellStyle name="Normal 14 4 2 2 7 3" xfId="19394"/>
    <cellStyle name="Normal 14 4 2 2 7 3 2" xfId="41981"/>
    <cellStyle name="Normal 14 4 2 2 7 4" xfId="16174"/>
    <cellStyle name="Normal 14 4 2 2 7 4 2" xfId="38761"/>
    <cellStyle name="Normal 14 4 2 2 7 5" xfId="9734"/>
    <cellStyle name="Normal 14 4 2 2 7 5 2" xfId="32321"/>
    <cellStyle name="Normal 14 4 2 2 7 6" xfId="25881"/>
    <cellStyle name="Normal 14 4 2 2 8" xfId="652"/>
    <cellStyle name="Normal 14 4 2 2 8 2" xfId="3896"/>
    <cellStyle name="Normal 14 4 2 2 8 2 2" xfId="19996"/>
    <cellStyle name="Normal 14 4 2 2 8 2 2 2" xfId="42583"/>
    <cellStyle name="Normal 14 4 2 2 8 2 3" xfId="10336"/>
    <cellStyle name="Normal 14 4 2 2 8 2 3 2" xfId="32923"/>
    <cellStyle name="Normal 14 4 2 2 8 2 4" xfId="26483"/>
    <cellStyle name="Normal 14 4 2 2 8 3" xfId="16776"/>
    <cellStyle name="Normal 14 4 2 2 8 3 2" xfId="39363"/>
    <cellStyle name="Normal 14 4 2 2 8 4" xfId="13556"/>
    <cellStyle name="Normal 14 4 2 2 8 4 2" xfId="36143"/>
    <cellStyle name="Normal 14 4 2 2 8 5" xfId="7116"/>
    <cellStyle name="Normal 14 4 2 2 8 5 2" xfId="29703"/>
    <cellStyle name="Normal 14 4 2 2 8 6" xfId="23263"/>
    <cellStyle name="Normal 14 4 2 2 9" xfId="3584"/>
    <cellStyle name="Normal 14 4 2 2 9 2" xfId="19684"/>
    <cellStyle name="Normal 14 4 2 2 9 2 2" xfId="42271"/>
    <cellStyle name="Normal 14 4 2 2 9 3" xfId="10024"/>
    <cellStyle name="Normal 14 4 2 2 9 3 2" xfId="32611"/>
    <cellStyle name="Normal 14 4 2 2 9 4" xfId="26171"/>
    <cellStyle name="Normal 14 4 2 3" xfId="393"/>
    <cellStyle name="Normal 14 4 2 3 10" xfId="13340"/>
    <cellStyle name="Normal 14 4 2 3 10 2" xfId="35927"/>
    <cellStyle name="Normal 14 4 2 3 11" xfId="6900"/>
    <cellStyle name="Normal 14 4 2 3 11 2" xfId="29487"/>
    <cellStyle name="Normal 14 4 2 3 12" xfId="23047"/>
    <cellStyle name="Normal 14 4 2 3 2" xfId="1175"/>
    <cellStyle name="Normal 14 4 2 3 2 2" xfId="2489"/>
    <cellStyle name="Normal 14 4 2 3 2 2 2" xfId="5710"/>
    <cellStyle name="Normal 14 4 2 3 2 2 2 2" xfId="21810"/>
    <cellStyle name="Normal 14 4 2 3 2 2 2 2 2" xfId="44397"/>
    <cellStyle name="Normal 14 4 2 3 2 2 2 3" xfId="12150"/>
    <cellStyle name="Normal 14 4 2 3 2 2 2 3 2" xfId="34737"/>
    <cellStyle name="Normal 14 4 2 3 2 2 2 4" xfId="28297"/>
    <cellStyle name="Normal 14 4 2 3 2 2 3" xfId="18590"/>
    <cellStyle name="Normal 14 4 2 3 2 2 3 2" xfId="41177"/>
    <cellStyle name="Normal 14 4 2 3 2 2 4" xfId="15370"/>
    <cellStyle name="Normal 14 4 2 3 2 2 4 2" xfId="37957"/>
    <cellStyle name="Normal 14 4 2 3 2 2 5" xfId="8930"/>
    <cellStyle name="Normal 14 4 2 3 2 2 5 2" xfId="31517"/>
    <cellStyle name="Normal 14 4 2 3 2 2 6" xfId="25077"/>
    <cellStyle name="Normal 14 4 2 3 2 3" xfId="4402"/>
    <cellStyle name="Normal 14 4 2 3 2 3 2" xfId="20502"/>
    <cellStyle name="Normal 14 4 2 3 2 3 2 2" xfId="43089"/>
    <cellStyle name="Normal 14 4 2 3 2 3 3" xfId="10842"/>
    <cellStyle name="Normal 14 4 2 3 2 3 3 2" xfId="33429"/>
    <cellStyle name="Normal 14 4 2 3 2 3 4" xfId="26989"/>
    <cellStyle name="Normal 14 4 2 3 2 4" xfId="17282"/>
    <cellStyle name="Normal 14 4 2 3 2 4 2" xfId="39869"/>
    <cellStyle name="Normal 14 4 2 3 2 5" xfId="14062"/>
    <cellStyle name="Normal 14 4 2 3 2 5 2" xfId="36649"/>
    <cellStyle name="Normal 14 4 2 3 2 6" xfId="7622"/>
    <cellStyle name="Normal 14 4 2 3 2 6 2" xfId="30209"/>
    <cellStyle name="Normal 14 4 2 3 2 7" xfId="23769"/>
    <cellStyle name="Normal 14 4 2 3 3" xfId="1522"/>
    <cellStyle name="Normal 14 4 2 3 3 2" xfId="2836"/>
    <cellStyle name="Normal 14 4 2 3 3 2 2" xfId="6057"/>
    <cellStyle name="Normal 14 4 2 3 3 2 2 2" xfId="22157"/>
    <cellStyle name="Normal 14 4 2 3 3 2 2 2 2" xfId="44744"/>
    <cellStyle name="Normal 14 4 2 3 3 2 2 3" xfId="12497"/>
    <cellStyle name="Normal 14 4 2 3 3 2 2 3 2" xfId="35084"/>
    <cellStyle name="Normal 14 4 2 3 3 2 2 4" xfId="28644"/>
    <cellStyle name="Normal 14 4 2 3 3 2 3" xfId="18937"/>
    <cellStyle name="Normal 14 4 2 3 3 2 3 2" xfId="41524"/>
    <cellStyle name="Normal 14 4 2 3 3 2 4" xfId="15717"/>
    <cellStyle name="Normal 14 4 2 3 3 2 4 2" xfId="38304"/>
    <cellStyle name="Normal 14 4 2 3 3 2 5" xfId="9277"/>
    <cellStyle name="Normal 14 4 2 3 3 2 5 2" xfId="31864"/>
    <cellStyle name="Normal 14 4 2 3 3 2 6" xfId="25424"/>
    <cellStyle name="Normal 14 4 2 3 3 3" xfId="4749"/>
    <cellStyle name="Normal 14 4 2 3 3 3 2" xfId="20849"/>
    <cellStyle name="Normal 14 4 2 3 3 3 2 2" xfId="43436"/>
    <cellStyle name="Normal 14 4 2 3 3 3 3" xfId="11189"/>
    <cellStyle name="Normal 14 4 2 3 3 3 3 2" xfId="33776"/>
    <cellStyle name="Normal 14 4 2 3 3 3 4" xfId="27336"/>
    <cellStyle name="Normal 14 4 2 3 3 4" xfId="17629"/>
    <cellStyle name="Normal 14 4 2 3 3 4 2" xfId="40216"/>
    <cellStyle name="Normal 14 4 2 3 3 5" xfId="14409"/>
    <cellStyle name="Normal 14 4 2 3 3 5 2" xfId="36996"/>
    <cellStyle name="Normal 14 4 2 3 3 6" xfId="7969"/>
    <cellStyle name="Normal 14 4 2 3 3 6 2" xfId="30556"/>
    <cellStyle name="Normal 14 4 2 3 3 7" xfId="24116"/>
    <cellStyle name="Normal 14 4 2 3 4" xfId="2142"/>
    <cellStyle name="Normal 14 4 2 3 4 2" xfId="5363"/>
    <cellStyle name="Normal 14 4 2 3 4 2 2" xfId="21463"/>
    <cellStyle name="Normal 14 4 2 3 4 2 2 2" xfId="44050"/>
    <cellStyle name="Normal 14 4 2 3 4 2 3" xfId="11803"/>
    <cellStyle name="Normal 14 4 2 3 4 2 3 2" xfId="34390"/>
    <cellStyle name="Normal 14 4 2 3 4 2 4" xfId="27950"/>
    <cellStyle name="Normal 14 4 2 3 4 3" xfId="18243"/>
    <cellStyle name="Normal 14 4 2 3 4 3 2" xfId="40830"/>
    <cellStyle name="Normal 14 4 2 3 4 4" xfId="15023"/>
    <cellStyle name="Normal 14 4 2 3 4 4 2" xfId="37610"/>
    <cellStyle name="Normal 14 4 2 3 4 5" xfId="8583"/>
    <cellStyle name="Normal 14 4 2 3 4 5 2" xfId="31170"/>
    <cellStyle name="Normal 14 4 2 3 4 6" xfId="24730"/>
    <cellStyle name="Normal 14 4 2 3 5" xfId="3100"/>
    <cellStyle name="Normal 14 4 2 3 5 2" xfId="6320"/>
    <cellStyle name="Normal 14 4 2 3 5 2 2" xfId="22420"/>
    <cellStyle name="Normal 14 4 2 3 5 2 2 2" xfId="45007"/>
    <cellStyle name="Normal 14 4 2 3 5 2 3" xfId="12760"/>
    <cellStyle name="Normal 14 4 2 3 5 2 3 2" xfId="35347"/>
    <cellStyle name="Normal 14 4 2 3 5 2 4" xfId="28907"/>
    <cellStyle name="Normal 14 4 2 3 5 3" xfId="19200"/>
    <cellStyle name="Normal 14 4 2 3 5 3 2" xfId="41787"/>
    <cellStyle name="Normal 14 4 2 3 5 4" xfId="15980"/>
    <cellStyle name="Normal 14 4 2 3 5 4 2" xfId="38567"/>
    <cellStyle name="Normal 14 4 2 3 5 5" xfId="9540"/>
    <cellStyle name="Normal 14 4 2 3 5 5 2" xfId="32127"/>
    <cellStyle name="Normal 14 4 2 3 5 6" xfId="25687"/>
    <cellStyle name="Normal 14 4 2 3 6" xfId="3390"/>
    <cellStyle name="Normal 14 4 2 3 6 2" xfId="6610"/>
    <cellStyle name="Normal 14 4 2 3 6 2 2" xfId="22710"/>
    <cellStyle name="Normal 14 4 2 3 6 2 2 2" xfId="45297"/>
    <cellStyle name="Normal 14 4 2 3 6 2 3" xfId="13050"/>
    <cellStyle name="Normal 14 4 2 3 6 2 3 2" xfId="35637"/>
    <cellStyle name="Normal 14 4 2 3 6 2 4" xfId="29197"/>
    <cellStyle name="Normal 14 4 2 3 6 3" xfId="19490"/>
    <cellStyle name="Normal 14 4 2 3 6 3 2" xfId="42077"/>
    <cellStyle name="Normal 14 4 2 3 6 4" xfId="16270"/>
    <cellStyle name="Normal 14 4 2 3 6 4 2" xfId="38857"/>
    <cellStyle name="Normal 14 4 2 3 6 5" xfId="9830"/>
    <cellStyle name="Normal 14 4 2 3 6 5 2" xfId="32417"/>
    <cellStyle name="Normal 14 4 2 3 6 6" xfId="25977"/>
    <cellStyle name="Normal 14 4 2 3 7" xfId="823"/>
    <cellStyle name="Normal 14 4 2 3 7 2" xfId="4055"/>
    <cellStyle name="Normal 14 4 2 3 7 2 2" xfId="20155"/>
    <cellStyle name="Normal 14 4 2 3 7 2 2 2" xfId="42742"/>
    <cellStyle name="Normal 14 4 2 3 7 2 3" xfId="10495"/>
    <cellStyle name="Normal 14 4 2 3 7 2 3 2" xfId="33082"/>
    <cellStyle name="Normal 14 4 2 3 7 2 4" xfId="26642"/>
    <cellStyle name="Normal 14 4 2 3 7 3" xfId="16935"/>
    <cellStyle name="Normal 14 4 2 3 7 3 2" xfId="39522"/>
    <cellStyle name="Normal 14 4 2 3 7 4" xfId="13715"/>
    <cellStyle name="Normal 14 4 2 3 7 4 2" xfId="36302"/>
    <cellStyle name="Normal 14 4 2 3 7 5" xfId="7275"/>
    <cellStyle name="Normal 14 4 2 3 7 5 2" xfId="29862"/>
    <cellStyle name="Normal 14 4 2 3 7 6" xfId="23422"/>
    <cellStyle name="Normal 14 4 2 3 8" xfId="3680"/>
    <cellStyle name="Normal 14 4 2 3 8 2" xfId="19780"/>
    <cellStyle name="Normal 14 4 2 3 8 2 2" xfId="42367"/>
    <cellStyle name="Normal 14 4 2 3 8 3" xfId="10120"/>
    <cellStyle name="Normal 14 4 2 3 8 3 2" xfId="32707"/>
    <cellStyle name="Normal 14 4 2 3 8 4" xfId="26267"/>
    <cellStyle name="Normal 14 4 2 3 9" xfId="16560"/>
    <cellStyle name="Normal 14 4 2 3 9 2" xfId="39147"/>
    <cellStyle name="Normal 14 4 2 4" xfId="892"/>
    <cellStyle name="Normal 14 4 2 4 2" xfId="2211"/>
    <cellStyle name="Normal 14 4 2 4 2 2" xfId="5432"/>
    <cellStyle name="Normal 14 4 2 4 2 2 2" xfId="21532"/>
    <cellStyle name="Normal 14 4 2 4 2 2 2 2" xfId="44119"/>
    <cellStyle name="Normal 14 4 2 4 2 2 3" xfId="11872"/>
    <cellStyle name="Normal 14 4 2 4 2 2 3 2" xfId="34459"/>
    <cellStyle name="Normal 14 4 2 4 2 2 4" xfId="28019"/>
    <cellStyle name="Normal 14 4 2 4 2 3" xfId="18312"/>
    <cellStyle name="Normal 14 4 2 4 2 3 2" xfId="40899"/>
    <cellStyle name="Normal 14 4 2 4 2 4" xfId="15092"/>
    <cellStyle name="Normal 14 4 2 4 2 4 2" xfId="37679"/>
    <cellStyle name="Normal 14 4 2 4 2 5" xfId="8652"/>
    <cellStyle name="Normal 14 4 2 4 2 5 2" xfId="31239"/>
    <cellStyle name="Normal 14 4 2 4 2 6" xfId="24799"/>
    <cellStyle name="Normal 14 4 2 4 3" xfId="4124"/>
    <cellStyle name="Normal 14 4 2 4 3 2" xfId="20224"/>
    <cellStyle name="Normal 14 4 2 4 3 2 2" xfId="42811"/>
    <cellStyle name="Normal 14 4 2 4 3 3" xfId="10564"/>
    <cellStyle name="Normal 14 4 2 4 3 3 2" xfId="33151"/>
    <cellStyle name="Normal 14 4 2 4 3 4" xfId="26711"/>
    <cellStyle name="Normal 14 4 2 4 4" xfId="17004"/>
    <cellStyle name="Normal 14 4 2 4 4 2" xfId="39591"/>
    <cellStyle name="Normal 14 4 2 4 5" xfId="13784"/>
    <cellStyle name="Normal 14 4 2 4 5 2" xfId="36371"/>
    <cellStyle name="Normal 14 4 2 4 6" xfId="7344"/>
    <cellStyle name="Normal 14 4 2 4 6 2" xfId="29931"/>
    <cellStyle name="Normal 14 4 2 4 7" xfId="23491"/>
    <cellStyle name="Normal 14 4 2 5" xfId="1244"/>
    <cellStyle name="Normal 14 4 2 5 2" xfId="2558"/>
    <cellStyle name="Normal 14 4 2 5 2 2" xfId="5779"/>
    <cellStyle name="Normal 14 4 2 5 2 2 2" xfId="21879"/>
    <cellStyle name="Normal 14 4 2 5 2 2 2 2" xfId="44466"/>
    <cellStyle name="Normal 14 4 2 5 2 2 3" xfId="12219"/>
    <cellStyle name="Normal 14 4 2 5 2 2 3 2" xfId="34806"/>
    <cellStyle name="Normal 14 4 2 5 2 2 4" xfId="28366"/>
    <cellStyle name="Normal 14 4 2 5 2 3" xfId="18659"/>
    <cellStyle name="Normal 14 4 2 5 2 3 2" xfId="41246"/>
    <cellStyle name="Normal 14 4 2 5 2 4" xfId="15439"/>
    <cellStyle name="Normal 14 4 2 5 2 4 2" xfId="38026"/>
    <cellStyle name="Normal 14 4 2 5 2 5" xfId="8999"/>
    <cellStyle name="Normal 14 4 2 5 2 5 2" xfId="31586"/>
    <cellStyle name="Normal 14 4 2 5 2 6" xfId="25146"/>
    <cellStyle name="Normal 14 4 2 5 3" xfId="4471"/>
    <cellStyle name="Normal 14 4 2 5 3 2" xfId="20571"/>
    <cellStyle name="Normal 14 4 2 5 3 2 2" xfId="43158"/>
    <cellStyle name="Normal 14 4 2 5 3 3" xfId="10911"/>
    <cellStyle name="Normal 14 4 2 5 3 3 2" xfId="33498"/>
    <cellStyle name="Normal 14 4 2 5 3 4" xfId="27058"/>
    <cellStyle name="Normal 14 4 2 5 4" xfId="17351"/>
    <cellStyle name="Normal 14 4 2 5 4 2" xfId="39938"/>
    <cellStyle name="Normal 14 4 2 5 5" xfId="14131"/>
    <cellStyle name="Normal 14 4 2 5 5 2" xfId="36718"/>
    <cellStyle name="Normal 14 4 2 5 6" xfId="7691"/>
    <cellStyle name="Normal 14 4 2 5 6 2" xfId="30278"/>
    <cellStyle name="Normal 14 4 2 5 7" xfId="23838"/>
    <cellStyle name="Normal 14 4 2 6" xfId="1601"/>
    <cellStyle name="Normal 14 4 2 6 2" xfId="4827"/>
    <cellStyle name="Normal 14 4 2 6 2 2" xfId="20927"/>
    <cellStyle name="Normal 14 4 2 6 2 2 2" xfId="43514"/>
    <cellStyle name="Normal 14 4 2 6 2 3" xfId="11267"/>
    <cellStyle name="Normal 14 4 2 6 2 3 2" xfId="33854"/>
    <cellStyle name="Normal 14 4 2 6 2 4" xfId="27414"/>
    <cellStyle name="Normal 14 4 2 6 3" xfId="17707"/>
    <cellStyle name="Normal 14 4 2 6 3 2" xfId="40294"/>
    <cellStyle name="Normal 14 4 2 6 4" xfId="14487"/>
    <cellStyle name="Normal 14 4 2 6 4 2" xfId="37074"/>
    <cellStyle name="Normal 14 4 2 6 5" xfId="8047"/>
    <cellStyle name="Normal 14 4 2 6 5 2" xfId="30634"/>
    <cellStyle name="Normal 14 4 2 6 6" xfId="24194"/>
    <cellStyle name="Normal 14 4 2 7" xfId="1863"/>
    <cellStyle name="Normal 14 4 2 7 2" xfId="5085"/>
    <cellStyle name="Normal 14 4 2 7 2 2" xfId="21185"/>
    <cellStyle name="Normal 14 4 2 7 2 2 2" xfId="43772"/>
    <cellStyle name="Normal 14 4 2 7 2 3" xfId="11525"/>
    <cellStyle name="Normal 14 4 2 7 2 3 2" xfId="34112"/>
    <cellStyle name="Normal 14 4 2 7 2 4" xfId="27672"/>
    <cellStyle name="Normal 14 4 2 7 3" xfId="17965"/>
    <cellStyle name="Normal 14 4 2 7 3 2" xfId="40552"/>
    <cellStyle name="Normal 14 4 2 7 4" xfId="14745"/>
    <cellStyle name="Normal 14 4 2 7 4 2" xfId="37332"/>
    <cellStyle name="Normal 14 4 2 7 5" xfId="8305"/>
    <cellStyle name="Normal 14 4 2 7 5 2" xfId="30892"/>
    <cellStyle name="Normal 14 4 2 7 6" xfId="24452"/>
    <cellStyle name="Normal 14 4 2 8" xfId="2906"/>
    <cellStyle name="Normal 14 4 2 8 2" xfId="6127"/>
    <cellStyle name="Normal 14 4 2 8 2 2" xfId="22227"/>
    <cellStyle name="Normal 14 4 2 8 2 2 2" xfId="44814"/>
    <cellStyle name="Normal 14 4 2 8 2 3" xfId="12567"/>
    <cellStyle name="Normal 14 4 2 8 2 3 2" xfId="35154"/>
    <cellStyle name="Normal 14 4 2 8 2 4" xfId="28714"/>
    <cellStyle name="Normal 14 4 2 8 3" xfId="19007"/>
    <cellStyle name="Normal 14 4 2 8 3 2" xfId="41594"/>
    <cellStyle name="Normal 14 4 2 8 4" xfId="15787"/>
    <cellStyle name="Normal 14 4 2 8 4 2" xfId="38374"/>
    <cellStyle name="Normal 14 4 2 8 5" xfId="9347"/>
    <cellStyle name="Normal 14 4 2 8 5 2" xfId="31934"/>
    <cellStyle name="Normal 14 4 2 8 6" xfId="25494"/>
    <cellStyle name="Normal 14 4 2 9" xfId="3197"/>
    <cellStyle name="Normal 14 4 2 9 2" xfId="6417"/>
    <cellStyle name="Normal 14 4 2 9 2 2" xfId="22517"/>
    <cellStyle name="Normal 14 4 2 9 2 2 2" xfId="45104"/>
    <cellStyle name="Normal 14 4 2 9 2 3" xfId="12857"/>
    <cellStyle name="Normal 14 4 2 9 2 3 2" xfId="35444"/>
    <cellStyle name="Normal 14 4 2 9 2 4" xfId="29004"/>
    <cellStyle name="Normal 14 4 2 9 3" xfId="19297"/>
    <cellStyle name="Normal 14 4 2 9 3 2" xfId="41884"/>
    <cellStyle name="Normal 14 4 2 9 4" xfId="16077"/>
    <cellStyle name="Normal 14 4 2 9 4 2" xfId="38664"/>
    <cellStyle name="Normal 14 4 2 9 5" xfId="9637"/>
    <cellStyle name="Normal 14 4 2 9 5 2" xfId="32224"/>
    <cellStyle name="Normal 14 4 2 9 6" xfId="25784"/>
    <cellStyle name="Normal 14 4 3" xfId="256"/>
    <cellStyle name="Normal 14 4 3 10" xfId="3543"/>
    <cellStyle name="Normal 14 4 3 10 2" xfId="19643"/>
    <cellStyle name="Normal 14 4 3 10 2 2" xfId="42230"/>
    <cellStyle name="Normal 14 4 3 10 3" xfId="9983"/>
    <cellStyle name="Normal 14 4 3 10 3 2" xfId="32570"/>
    <cellStyle name="Normal 14 4 3 10 4" xfId="26130"/>
    <cellStyle name="Normal 14 4 3 11" xfId="16423"/>
    <cellStyle name="Normal 14 4 3 11 2" xfId="39010"/>
    <cellStyle name="Normal 14 4 3 12" xfId="13203"/>
    <cellStyle name="Normal 14 4 3 12 2" xfId="35790"/>
    <cellStyle name="Normal 14 4 3 13" xfId="6763"/>
    <cellStyle name="Normal 14 4 3 13 2" xfId="29350"/>
    <cellStyle name="Normal 14 4 3 14" xfId="22910"/>
    <cellStyle name="Normal 14 4 3 2" xfId="689"/>
    <cellStyle name="Normal 14 4 3 2 2" xfId="1053"/>
    <cellStyle name="Normal 14 4 3 2 2 2" xfId="2367"/>
    <cellStyle name="Normal 14 4 3 2 2 2 2" xfId="5588"/>
    <cellStyle name="Normal 14 4 3 2 2 2 2 2" xfId="21688"/>
    <cellStyle name="Normal 14 4 3 2 2 2 2 2 2" xfId="44275"/>
    <cellStyle name="Normal 14 4 3 2 2 2 2 3" xfId="12028"/>
    <cellStyle name="Normal 14 4 3 2 2 2 2 3 2" xfId="34615"/>
    <cellStyle name="Normal 14 4 3 2 2 2 2 4" xfId="28175"/>
    <cellStyle name="Normal 14 4 3 2 2 2 3" xfId="18468"/>
    <cellStyle name="Normal 14 4 3 2 2 2 3 2" xfId="41055"/>
    <cellStyle name="Normal 14 4 3 2 2 2 4" xfId="15248"/>
    <cellStyle name="Normal 14 4 3 2 2 2 4 2" xfId="37835"/>
    <cellStyle name="Normal 14 4 3 2 2 2 5" xfId="8808"/>
    <cellStyle name="Normal 14 4 3 2 2 2 5 2" xfId="31395"/>
    <cellStyle name="Normal 14 4 3 2 2 2 6" xfId="24955"/>
    <cellStyle name="Normal 14 4 3 2 2 3" xfId="4280"/>
    <cellStyle name="Normal 14 4 3 2 2 3 2" xfId="20380"/>
    <cellStyle name="Normal 14 4 3 2 2 3 2 2" xfId="42967"/>
    <cellStyle name="Normal 14 4 3 2 2 3 3" xfId="10720"/>
    <cellStyle name="Normal 14 4 3 2 2 3 3 2" xfId="33307"/>
    <cellStyle name="Normal 14 4 3 2 2 3 4" xfId="26867"/>
    <cellStyle name="Normal 14 4 3 2 2 4" xfId="17160"/>
    <cellStyle name="Normal 14 4 3 2 2 4 2" xfId="39747"/>
    <cellStyle name="Normal 14 4 3 2 2 5" xfId="13940"/>
    <cellStyle name="Normal 14 4 3 2 2 5 2" xfId="36527"/>
    <cellStyle name="Normal 14 4 3 2 2 6" xfId="7500"/>
    <cellStyle name="Normal 14 4 3 2 2 6 2" xfId="30087"/>
    <cellStyle name="Normal 14 4 3 2 2 7" xfId="23647"/>
    <cellStyle name="Normal 14 4 3 2 3" xfId="1400"/>
    <cellStyle name="Normal 14 4 3 2 3 2" xfId="2714"/>
    <cellStyle name="Normal 14 4 3 2 3 2 2" xfId="5935"/>
    <cellStyle name="Normal 14 4 3 2 3 2 2 2" xfId="22035"/>
    <cellStyle name="Normal 14 4 3 2 3 2 2 2 2" xfId="44622"/>
    <cellStyle name="Normal 14 4 3 2 3 2 2 3" xfId="12375"/>
    <cellStyle name="Normal 14 4 3 2 3 2 2 3 2" xfId="34962"/>
    <cellStyle name="Normal 14 4 3 2 3 2 2 4" xfId="28522"/>
    <cellStyle name="Normal 14 4 3 2 3 2 3" xfId="18815"/>
    <cellStyle name="Normal 14 4 3 2 3 2 3 2" xfId="41402"/>
    <cellStyle name="Normal 14 4 3 2 3 2 4" xfId="15595"/>
    <cellStyle name="Normal 14 4 3 2 3 2 4 2" xfId="38182"/>
    <cellStyle name="Normal 14 4 3 2 3 2 5" xfId="9155"/>
    <cellStyle name="Normal 14 4 3 2 3 2 5 2" xfId="31742"/>
    <cellStyle name="Normal 14 4 3 2 3 2 6" xfId="25302"/>
    <cellStyle name="Normal 14 4 3 2 3 3" xfId="4627"/>
    <cellStyle name="Normal 14 4 3 2 3 3 2" xfId="20727"/>
    <cellStyle name="Normal 14 4 3 2 3 3 2 2" xfId="43314"/>
    <cellStyle name="Normal 14 4 3 2 3 3 3" xfId="11067"/>
    <cellStyle name="Normal 14 4 3 2 3 3 3 2" xfId="33654"/>
    <cellStyle name="Normal 14 4 3 2 3 3 4" xfId="27214"/>
    <cellStyle name="Normal 14 4 3 2 3 4" xfId="17507"/>
    <cellStyle name="Normal 14 4 3 2 3 4 2" xfId="40094"/>
    <cellStyle name="Normal 14 4 3 2 3 5" xfId="14287"/>
    <cellStyle name="Normal 14 4 3 2 3 5 2" xfId="36874"/>
    <cellStyle name="Normal 14 4 3 2 3 6" xfId="7847"/>
    <cellStyle name="Normal 14 4 3 2 3 6 2" xfId="30434"/>
    <cellStyle name="Normal 14 4 3 2 3 7" xfId="23994"/>
    <cellStyle name="Normal 14 4 3 2 4" xfId="2019"/>
    <cellStyle name="Normal 14 4 3 2 4 2" xfId="5241"/>
    <cellStyle name="Normal 14 4 3 2 4 2 2" xfId="21341"/>
    <cellStyle name="Normal 14 4 3 2 4 2 2 2" xfId="43928"/>
    <cellStyle name="Normal 14 4 3 2 4 2 3" xfId="11681"/>
    <cellStyle name="Normal 14 4 3 2 4 2 3 2" xfId="34268"/>
    <cellStyle name="Normal 14 4 3 2 4 2 4" xfId="27828"/>
    <cellStyle name="Normal 14 4 3 2 4 3" xfId="18121"/>
    <cellStyle name="Normal 14 4 3 2 4 3 2" xfId="40708"/>
    <cellStyle name="Normal 14 4 3 2 4 4" xfId="14901"/>
    <cellStyle name="Normal 14 4 3 2 4 4 2" xfId="37488"/>
    <cellStyle name="Normal 14 4 3 2 4 5" xfId="8461"/>
    <cellStyle name="Normal 14 4 3 2 4 5 2" xfId="31048"/>
    <cellStyle name="Normal 14 4 3 2 4 6" xfId="24608"/>
    <cellStyle name="Normal 14 4 3 2 5" xfId="3933"/>
    <cellStyle name="Normal 14 4 3 2 5 2" xfId="20033"/>
    <cellStyle name="Normal 14 4 3 2 5 2 2" xfId="42620"/>
    <cellStyle name="Normal 14 4 3 2 5 3" xfId="10373"/>
    <cellStyle name="Normal 14 4 3 2 5 3 2" xfId="32960"/>
    <cellStyle name="Normal 14 4 3 2 5 4" xfId="26520"/>
    <cellStyle name="Normal 14 4 3 2 6" xfId="16813"/>
    <cellStyle name="Normal 14 4 3 2 6 2" xfId="39400"/>
    <cellStyle name="Normal 14 4 3 2 7" xfId="13593"/>
    <cellStyle name="Normal 14 4 3 2 7 2" xfId="36180"/>
    <cellStyle name="Normal 14 4 3 2 8" xfId="7153"/>
    <cellStyle name="Normal 14 4 3 2 8 2" xfId="29740"/>
    <cellStyle name="Normal 14 4 3 2 9" xfId="23300"/>
    <cellStyle name="Normal 14 4 3 3" xfId="932"/>
    <cellStyle name="Normal 14 4 3 3 2" xfId="2251"/>
    <cellStyle name="Normal 14 4 3 3 2 2" xfId="5472"/>
    <cellStyle name="Normal 14 4 3 3 2 2 2" xfId="21572"/>
    <cellStyle name="Normal 14 4 3 3 2 2 2 2" xfId="44159"/>
    <cellStyle name="Normal 14 4 3 3 2 2 3" xfId="11912"/>
    <cellStyle name="Normal 14 4 3 3 2 2 3 2" xfId="34499"/>
    <cellStyle name="Normal 14 4 3 3 2 2 4" xfId="28059"/>
    <cellStyle name="Normal 14 4 3 3 2 3" xfId="18352"/>
    <cellStyle name="Normal 14 4 3 3 2 3 2" xfId="40939"/>
    <cellStyle name="Normal 14 4 3 3 2 4" xfId="15132"/>
    <cellStyle name="Normal 14 4 3 3 2 4 2" xfId="37719"/>
    <cellStyle name="Normal 14 4 3 3 2 5" xfId="8692"/>
    <cellStyle name="Normal 14 4 3 3 2 5 2" xfId="31279"/>
    <cellStyle name="Normal 14 4 3 3 2 6" xfId="24839"/>
    <cellStyle name="Normal 14 4 3 3 3" xfId="4164"/>
    <cellStyle name="Normal 14 4 3 3 3 2" xfId="20264"/>
    <cellStyle name="Normal 14 4 3 3 3 2 2" xfId="42851"/>
    <cellStyle name="Normal 14 4 3 3 3 3" xfId="10604"/>
    <cellStyle name="Normal 14 4 3 3 3 3 2" xfId="33191"/>
    <cellStyle name="Normal 14 4 3 3 3 4" xfId="26751"/>
    <cellStyle name="Normal 14 4 3 3 4" xfId="17044"/>
    <cellStyle name="Normal 14 4 3 3 4 2" xfId="39631"/>
    <cellStyle name="Normal 14 4 3 3 5" xfId="13824"/>
    <cellStyle name="Normal 14 4 3 3 5 2" xfId="36411"/>
    <cellStyle name="Normal 14 4 3 3 6" xfId="7384"/>
    <cellStyle name="Normal 14 4 3 3 6 2" xfId="29971"/>
    <cellStyle name="Normal 14 4 3 3 7" xfId="23531"/>
    <cellStyle name="Normal 14 4 3 4" xfId="1284"/>
    <cellStyle name="Normal 14 4 3 4 2" xfId="2598"/>
    <cellStyle name="Normal 14 4 3 4 2 2" xfId="5819"/>
    <cellStyle name="Normal 14 4 3 4 2 2 2" xfId="21919"/>
    <cellStyle name="Normal 14 4 3 4 2 2 2 2" xfId="44506"/>
    <cellStyle name="Normal 14 4 3 4 2 2 3" xfId="12259"/>
    <cellStyle name="Normal 14 4 3 4 2 2 3 2" xfId="34846"/>
    <cellStyle name="Normal 14 4 3 4 2 2 4" xfId="28406"/>
    <cellStyle name="Normal 14 4 3 4 2 3" xfId="18699"/>
    <cellStyle name="Normal 14 4 3 4 2 3 2" xfId="41286"/>
    <cellStyle name="Normal 14 4 3 4 2 4" xfId="15479"/>
    <cellStyle name="Normal 14 4 3 4 2 4 2" xfId="38066"/>
    <cellStyle name="Normal 14 4 3 4 2 5" xfId="9039"/>
    <cellStyle name="Normal 14 4 3 4 2 5 2" xfId="31626"/>
    <cellStyle name="Normal 14 4 3 4 2 6" xfId="25186"/>
    <cellStyle name="Normal 14 4 3 4 3" xfId="4511"/>
    <cellStyle name="Normal 14 4 3 4 3 2" xfId="20611"/>
    <cellStyle name="Normal 14 4 3 4 3 2 2" xfId="43198"/>
    <cellStyle name="Normal 14 4 3 4 3 3" xfId="10951"/>
    <cellStyle name="Normal 14 4 3 4 3 3 2" xfId="33538"/>
    <cellStyle name="Normal 14 4 3 4 3 4" xfId="27098"/>
    <cellStyle name="Normal 14 4 3 4 4" xfId="17391"/>
    <cellStyle name="Normal 14 4 3 4 4 2" xfId="39978"/>
    <cellStyle name="Normal 14 4 3 4 5" xfId="14171"/>
    <cellStyle name="Normal 14 4 3 4 5 2" xfId="36758"/>
    <cellStyle name="Normal 14 4 3 4 6" xfId="7731"/>
    <cellStyle name="Normal 14 4 3 4 6 2" xfId="30318"/>
    <cellStyle name="Normal 14 4 3 4 7" xfId="23878"/>
    <cellStyle name="Normal 14 4 3 5" xfId="1602"/>
    <cellStyle name="Normal 14 4 3 5 2" xfId="4828"/>
    <cellStyle name="Normal 14 4 3 5 2 2" xfId="20928"/>
    <cellStyle name="Normal 14 4 3 5 2 2 2" xfId="43515"/>
    <cellStyle name="Normal 14 4 3 5 2 3" xfId="11268"/>
    <cellStyle name="Normal 14 4 3 5 2 3 2" xfId="33855"/>
    <cellStyle name="Normal 14 4 3 5 2 4" xfId="27415"/>
    <cellStyle name="Normal 14 4 3 5 3" xfId="17708"/>
    <cellStyle name="Normal 14 4 3 5 3 2" xfId="40295"/>
    <cellStyle name="Normal 14 4 3 5 4" xfId="14488"/>
    <cellStyle name="Normal 14 4 3 5 4 2" xfId="37075"/>
    <cellStyle name="Normal 14 4 3 5 5" xfId="8048"/>
    <cellStyle name="Normal 14 4 3 5 5 2" xfId="30635"/>
    <cellStyle name="Normal 14 4 3 5 6" xfId="24195"/>
    <cellStyle name="Normal 14 4 3 6" xfId="1903"/>
    <cellStyle name="Normal 14 4 3 6 2" xfId="5125"/>
    <cellStyle name="Normal 14 4 3 6 2 2" xfId="21225"/>
    <cellStyle name="Normal 14 4 3 6 2 2 2" xfId="43812"/>
    <cellStyle name="Normal 14 4 3 6 2 3" xfId="11565"/>
    <cellStyle name="Normal 14 4 3 6 2 3 2" xfId="34152"/>
    <cellStyle name="Normal 14 4 3 6 2 4" xfId="27712"/>
    <cellStyle name="Normal 14 4 3 6 3" xfId="18005"/>
    <cellStyle name="Normal 14 4 3 6 3 2" xfId="40592"/>
    <cellStyle name="Normal 14 4 3 6 4" xfId="14785"/>
    <cellStyle name="Normal 14 4 3 6 4 2" xfId="37372"/>
    <cellStyle name="Normal 14 4 3 6 5" xfId="8345"/>
    <cellStyle name="Normal 14 4 3 6 5 2" xfId="30932"/>
    <cellStyle name="Normal 14 4 3 6 6" xfId="24492"/>
    <cellStyle name="Normal 14 4 3 7" xfId="2963"/>
    <cellStyle name="Normal 14 4 3 7 2" xfId="6183"/>
    <cellStyle name="Normal 14 4 3 7 2 2" xfId="22283"/>
    <cellStyle name="Normal 14 4 3 7 2 2 2" xfId="44870"/>
    <cellStyle name="Normal 14 4 3 7 2 3" xfId="12623"/>
    <cellStyle name="Normal 14 4 3 7 2 3 2" xfId="35210"/>
    <cellStyle name="Normal 14 4 3 7 2 4" xfId="28770"/>
    <cellStyle name="Normal 14 4 3 7 3" xfId="19063"/>
    <cellStyle name="Normal 14 4 3 7 3 2" xfId="41650"/>
    <cellStyle name="Normal 14 4 3 7 4" xfId="15843"/>
    <cellStyle name="Normal 14 4 3 7 4 2" xfId="38430"/>
    <cellStyle name="Normal 14 4 3 7 5" xfId="9403"/>
    <cellStyle name="Normal 14 4 3 7 5 2" xfId="31990"/>
    <cellStyle name="Normal 14 4 3 7 6" xfId="25550"/>
    <cellStyle name="Normal 14 4 3 8" xfId="3253"/>
    <cellStyle name="Normal 14 4 3 8 2" xfId="6473"/>
    <cellStyle name="Normal 14 4 3 8 2 2" xfId="22573"/>
    <cellStyle name="Normal 14 4 3 8 2 2 2" xfId="45160"/>
    <cellStyle name="Normal 14 4 3 8 2 3" xfId="12913"/>
    <cellStyle name="Normal 14 4 3 8 2 3 2" xfId="35500"/>
    <cellStyle name="Normal 14 4 3 8 2 4" xfId="29060"/>
    <cellStyle name="Normal 14 4 3 8 3" xfId="19353"/>
    <cellStyle name="Normal 14 4 3 8 3 2" xfId="41940"/>
    <cellStyle name="Normal 14 4 3 8 4" xfId="16133"/>
    <cellStyle name="Normal 14 4 3 8 4 2" xfId="38720"/>
    <cellStyle name="Normal 14 4 3 8 5" xfId="9693"/>
    <cellStyle name="Normal 14 4 3 8 5 2" xfId="32280"/>
    <cellStyle name="Normal 14 4 3 8 6" xfId="25840"/>
    <cellStyle name="Normal 14 4 3 9" xfId="530"/>
    <cellStyle name="Normal 14 4 3 9 2" xfId="3817"/>
    <cellStyle name="Normal 14 4 3 9 2 2" xfId="19917"/>
    <cellStyle name="Normal 14 4 3 9 2 2 2" xfId="42504"/>
    <cellStyle name="Normal 14 4 3 9 2 3" xfId="10257"/>
    <cellStyle name="Normal 14 4 3 9 2 3 2" xfId="32844"/>
    <cellStyle name="Normal 14 4 3 9 2 4" xfId="26404"/>
    <cellStyle name="Normal 14 4 3 9 3" xfId="16697"/>
    <cellStyle name="Normal 14 4 3 9 3 2" xfId="39284"/>
    <cellStyle name="Normal 14 4 3 9 4" xfId="13477"/>
    <cellStyle name="Normal 14 4 3 9 4 2" xfId="36064"/>
    <cellStyle name="Normal 14 4 3 9 5" xfId="7037"/>
    <cellStyle name="Normal 14 4 3 9 5 2" xfId="29624"/>
    <cellStyle name="Normal 14 4 3 9 6" xfId="23184"/>
    <cellStyle name="Normal 14 4 4" xfId="356"/>
    <cellStyle name="Normal 14 4 4 10" xfId="16523"/>
    <cellStyle name="Normal 14 4 4 10 2" xfId="39110"/>
    <cellStyle name="Normal 14 4 4 11" xfId="13303"/>
    <cellStyle name="Normal 14 4 4 11 2" xfId="35890"/>
    <cellStyle name="Normal 14 4 4 12" xfId="6863"/>
    <cellStyle name="Normal 14 4 4 12 2" xfId="29450"/>
    <cellStyle name="Normal 14 4 4 13" xfId="23010"/>
    <cellStyle name="Normal 14 4 4 2" xfId="954"/>
    <cellStyle name="Normal 14 4 4 2 2" xfId="2273"/>
    <cellStyle name="Normal 14 4 4 2 2 2" xfId="5494"/>
    <cellStyle name="Normal 14 4 4 2 2 2 2" xfId="21594"/>
    <cellStyle name="Normal 14 4 4 2 2 2 2 2" xfId="44181"/>
    <cellStyle name="Normal 14 4 4 2 2 2 3" xfId="11934"/>
    <cellStyle name="Normal 14 4 4 2 2 2 3 2" xfId="34521"/>
    <cellStyle name="Normal 14 4 4 2 2 2 4" xfId="28081"/>
    <cellStyle name="Normal 14 4 4 2 2 3" xfId="18374"/>
    <cellStyle name="Normal 14 4 4 2 2 3 2" xfId="40961"/>
    <cellStyle name="Normal 14 4 4 2 2 4" xfId="15154"/>
    <cellStyle name="Normal 14 4 4 2 2 4 2" xfId="37741"/>
    <cellStyle name="Normal 14 4 4 2 2 5" xfId="8714"/>
    <cellStyle name="Normal 14 4 4 2 2 5 2" xfId="31301"/>
    <cellStyle name="Normal 14 4 4 2 2 6" xfId="24861"/>
    <cellStyle name="Normal 14 4 4 2 3" xfId="4186"/>
    <cellStyle name="Normal 14 4 4 2 3 2" xfId="20286"/>
    <cellStyle name="Normal 14 4 4 2 3 2 2" xfId="42873"/>
    <cellStyle name="Normal 14 4 4 2 3 3" xfId="10626"/>
    <cellStyle name="Normal 14 4 4 2 3 3 2" xfId="33213"/>
    <cellStyle name="Normal 14 4 4 2 3 4" xfId="26773"/>
    <cellStyle name="Normal 14 4 4 2 4" xfId="17066"/>
    <cellStyle name="Normal 14 4 4 2 4 2" xfId="39653"/>
    <cellStyle name="Normal 14 4 4 2 5" xfId="13846"/>
    <cellStyle name="Normal 14 4 4 2 5 2" xfId="36433"/>
    <cellStyle name="Normal 14 4 4 2 6" xfId="7406"/>
    <cellStyle name="Normal 14 4 4 2 6 2" xfId="29993"/>
    <cellStyle name="Normal 14 4 4 2 7" xfId="23553"/>
    <cellStyle name="Normal 14 4 4 3" xfId="1306"/>
    <cellStyle name="Normal 14 4 4 3 2" xfId="2620"/>
    <cellStyle name="Normal 14 4 4 3 2 2" xfId="5841"/>
    <cellStyle name="Normal 14 4 4 3 2 2 2" xfId="21941"/>
    <cellStyle name="Normal 14 4 4 3 2 2 2 2" xfId="44528"/>
    <cellStyle name="Normal 14 4 4 3 2 2 3" xfId="12281"/>
    <cellStyle name="Normal 14 4 4 3 2 2 3 2" xfId="34868"/>
    <cellStyle name="Normal 14 4 4 3 2 2 4" xfId="28428"/>
    <cellStyle name="Normal 14 4 4 3 2 3" xfId="18721"/>
    <cellStyle name="Normal 14 4 4 3 2 3 2" xfId="41308"/>
    <cellStyle name="Normal 14 4 4 3 2 4" xfId="15501"/>
    <cellStyle name="Normal 14 4 4 3 2 4 2" xfId="38088"/>
    <cellStyle name="Normal 14 4 4 3 2 5" xfId="9061"/>
    <cellStyle name="Normal 14 4 4 3 2 5 2" xfId="31648"/>
    <cellStyle name="Normal 14 4 4 3 2 6" xfId="25208"/>
    <cellStyle name="Normal 14 4 4 3 3" xfId="4533"/>
    <cellStyle name="Normal 14 4 4 3 3 2" xfId="20633"/>
    <cellStyle name="Normal 14 4 4 3 3 2 2" xfId="43220"/>
    <cellStyle name="Normal 14 4 4 3 3 3" xfId="10973"/>
    <cellStyle name="Normal 14 4 4 3 3 3 2" xfId="33560"/>
    <cellStyle name="Normal 14 4 4 3 3 4" xfId="27120"/>
    <cellStyle name="Normal 14 4 4 3 4" xfId="17413"/>
    <cellStyle name="Normal 14 4 4 3 4 2" xfId="40000"/>
    <cellStyle name="Normal 14 4 4 3 5" xfId="14193"/>
    <cellStyle name="Normal 14 4 4 3 5 2" xfId="36780"/>
    <cellStyle name="Normal 14 4 4 3 6" xfId="7753"/>
    <cellStyle name="Normal 14 4 4 3 6 2" xfId="30340"/>
    <cellStyle name="Normal 14 4 4 3 7" xfId="23900"/>
    <cellStyle name="Normal 14 4 4 4" xfId="1603"/>
    <cellStyle name="Normal 14 4 4 4 2" xfId="4829"/>
    <cellStyle name="Normal 14 4 4 4 2 2" xfId="20929"/>
    <cellStyle name="Normal 14 4 4 4 2 2 2" xfId="43516"/>
    <cellStyle name="Normal 14 4 4 4 2 3" xfId="11269"/>
    <cellStyle name="Normal 14 4 4 4 2 3 2" xfId="33856"/>
    <cellStyle name="Normal 14 4 4 4 2 4" xfId="27416"/>
    <cellStyle name="Normal 14 4 4 4 3" xfId="17709"/>
    <cellStyle name="Normal 14 4 4 4 3 2" xfId="40296"/>
    <cellStyle name="Normal 14 4 4 4 4" xfId="14489"/>
    <cellStyle name="Normal 14 4 4 4 4 2" xfId="37076"/>
    <cellStyle name="Normal 14 4 4 4 5" xfId="8049"/>
    <cellStyle name="Normal 14 4 4 4 5 2" xfId="30636"/>
    <cellStyle name="Normal 14 4 4 4 6" xfId="24196"/>
    <cellStyle name="Normal 14 4 4 5" xfId="1925"/>
    <cellStyle name="Normal 14 4 4 5 2" xfId="5147"/>
    <cellStyle name="Normal 14 4 4 5 2 2" xfId="21247"/>
    <cellStyle name="Normal 14 4 4 5 2 2 2" xfId="43834"/>
    <cellStyle name="Normal 14 4 4 5 2 3" xfId="11587"/>
    <cellStyle name="Normal 14 4 4 5 2 3 2" xfId="34174"/>
    <cellStyle name="Normal 14 4 4 5 2 4" xfId="27734"/>
    <cellStyle name="Normal 14 4 4 5 3" xfId="18027"/>
    <cellStyle name="Normal 14 4 4 5 3 2" xfId="40614"/>
    <cellStyle name="Normal 14 4 4 5 4" xfId="14807"/>
    <cellStyle name="Normal 14 4 4 5 4 2" xfId="37394"/>
    <cellStyle name="Normal 14 4 4 5 5" xfId="8367"/>
    <cellStyle name="Normal 14 4 4 5 5 2" xfId="30954"/>
    <cellStyle name="Normal 14 4 4 5 6" xfId="24514"/>
    <cellStyle name="Normal 14 4 4 6" xfId="3063"/>
    <cellStyle name="Normal 14 4 4 6 2" xfId="6283"/>
    <cellStyle name="Normal 14 4 4 6 2 2" xfId="22383"/>
    <cellStyle name="Normal 14 4 4 6 2 2 2" xfId="44970"/>
    <cellStyle name="Normal 14 4 4 6 2 3" xfId="12723"/>
    <cellStyle name="Normal 14 4 4 6 2 3 2" xfId="35310"/>
    <cellStyle name="Normal 14 4 4 6 2 4" xfId="28870"/>
    <cellStyle name="Normal 14 4 4 6 3" xfId="19163"/>
    <cellStyle name="Normal 14 4 4 6 3 2" xfId="41750"/>
    <cellStyle name="Normal 14 4 4 6 4" xfId="15943"/>
    <cellStyle name="Normal 14 4 4 6 4 2" xfId="38530"/>
    <cellStyle name="Normal 14 4 4 6 5" xfId="9503"/>
    <cellStyle name="Normal 14 4 4 6 5 2" xfId="32090"/>
    <cellStyle name="Normal 14 4 4 6 6" xfId="25650"/>
    <cellStyle name="Normal 14 4 4 7" xfId="3353"/>
    <cellStyle name="Normal 14 4 4 7 2" xfId="6573"/>
    <cellStyle name="Normal 14 4 4 7 2 2" xfId="22673"/>
    <cellStyle name="Normal 14 4 4 7 2 2 2" xfId="45260"/>
    <cellStyle name="Normal 14 4 4 7 2 3" xfId="13013"/>
    <cellStyle name="Normal 14 4 4 7 2 3 2" xfId="35600"/>
    <cellStyle name="Normal 14 4 4 7 2 4" xfId="29160"/>
    <cellStyle name="Normal 14 4 4 7 3" xfId="19453"/>
    <cellStyle name="Normal 14 4 4 7 3 2" xfId="42040"/>
    <cellStyle name="Normal 14 4 4 7 4" xfId="16233"/>
    <cellStyle name="Normal 14 4 4 7 4 2" xfId="38820"/>
    <cellStyle name="Normal 14 4 4 7 5" xfId="9793"/>
    <cellStyle name="Normal 14 4 4 7 5 2" xfId="32380"/>
    <cellStyle name="Normal 14 4 4 7 6" xfId="25940"/>
    <cellStyle name="Normal 14 4 4 8" xfId="555"/>
    <cellStyle name="Normal 14 4 4 8 2" xfId="3839"/>
    <cellStyle name="Normal 14 4 4 8 2 2" xfId="19939"/>
    <cellStyle name="Normal 14 4 4 8 2 2 2" xfId="42526"/>
    <cellStyle name="Normal 14 4 4 8 2 3" xfId="10279"/>
    <cellStyle name="Normal 14 4 4 8 2 3 2" xfId="32866"/>
    <cellStyle name="Normal 14 4 4 8 2 4" xfId="26426"/>
    <cellStyle name="Normal 14 4 4 8 3" xfId="16719"/>
    <cellStyle name="Normal 14 4 4 8 3 2" xfId="39306"/>
    <cellStyle name="Normal 14 4 4 8 4" xfId="13499"/>
    <cellStyle name="Normal 14 4 4 8 4 2" xfId="36086"/>
    <cellStyle name="Normal 14 4 4 8 5" xfId="7059"/>
    <cellStyle name="Normal 14 4 4 8 5 2" xfId="29646"/>
    <cellStyle name="Normal 14 4 4 8 6" xfId="23206"/>
    <cellStyle name="Normal 14 4 4 9" xfId="3643"/>
    <cellStyle name="Normal 14 4 4 9 2" xfId="19743"/>
    <cellStyle name="Normal 14 4 4 9 2 2" xfId="42330"/>
    <cellStyle name="Normal 14 4 4 9 3" xfId="10083"/>
    <cellStyle name="Normal 14 4 4 9 3 2" xfId="32670"/>
    <cellStyle name="Normal 14 4 4 9 4" xfId="26230"/>
    <cellStyle name="Normal 14 4 5" xfId="785"/>
    <cellStyle name="Normal 14 4 5 2" xfId="1137"/>
    <cellStyle name="Normal 14 4 5 2 2" xfId="2451"/>
    <cellStyle name="Normal 14 4 5 2 2 2" xfId="5672"/>
    <cellStyle name="Normal 14 4 5 2 2 2 2" xfId="21772"/>
    <cellStyle name="Normal 14 4 5 2 2 2 2 2" xfId="44359"/>
    <cellStyle name="Normal 14 4 5 2 2 2 3" xfId="12112"/>
    <cellStyle name="Normal 14 4 5 2 2 2 3 2" xfId="34699"/>
    <cellStyle name="Normal 14 4 5 2 2 2 4" xfId="28259"/>
    <cellStyle name="Normal 14 4 5 2 2 3" xfId="18552"/>
    <cellStyle name="Normal 14 4 5 2 2 3 2" xfId="41139"/>
    <cellStyle name="Normal 14 4 5 2 2 4" xfId="15332"/>
    <cellStyle name="Normal 14 4 5 2 2 4 2" xfId="37919"/>
    <cellStyle name="Normal 14 4 5 2 2 5" xfId="8892"/>
    <cellStyle name="Normal 14 4 5 2 2 5 2" xfId="31479"/>
    <cellStyle name="Normal 14 4 5 2 2 6" xfId="25039"/>
    <cellStyle name="Normal 14 4 5 2 3" xfId="4364"/>
    <cellStyle name="Normal 14 4 5 2 3 2" xfId="20464"/>
    <cellStyle name="Normal 14 4 5 2 3 2 2" xfId="43051"/>
    <cellStyle name="Normal 14 4 5 2 3 3" xfId="10804"/>
    <cellStyle name="Normal 14 4 5 2 3 3 2" xfId="33391"/>
    <cellStyle name="Normal 14 4 5 2 3 4" xfId="26951"/>
    <cellStyle name="Normal 14 4 5 2 4" xfId="17244"/>
    <cellStyle name="Normal 14 4 5 2 4 2" xfId="39831"/>
    <cellStyle name="Normal 14 4 5 2 5" xfId="14024"/>
    <cellStyle name="Normal 14 4 5 2 5 2" xfId="36611"/>
    <cellStyle name="Normal 14 4 5 2 6" xfId="7584"/>
    <cellStyle name="Normal 14 4 5 2 6 2" xfId="30171"/>
    <cellStyle name="Normal 14 4 5 2 7" xfId="23731"/>
    <cellStyle name="Normal 14 4 5 3" xfId="1484"/>
    <cellStyle name="Normal 14 4 5 3 2" xfId="2798"/>
    <cellStyle name="Normal 14 4 5 3 2 2" xfId="6019"/>
    <cellStyle name="Normal 14 4 5 3 2 2 2" xfId="22119"/>
    <cellStyle name="Normal 14 4 5 3 2 2 2 2" xfId="44706"/>
    <cellStyle name="Normal 14 4 5 3 2 2 3" xfId="12459"/>
    <cellStyle name="Normal 14 4 5 3 2 2 3 2" xfId="35046"/>
    <cellStyle name="Normal 14 4 5 3 2 2 4" xfId="28606"/>
    <cellStyle name="Normal 14 4 5 3 2 3" xfId="18899"/>
    <cellStyle name="Normal 14 4 5 3 2 3 2" xfId="41486"/>
    <cellStyle name="Normal 14 4 5 3 2 4" xfId="15679"/>
    <cellStyle name="Normal 14 4 5 3 2 4 2" xfId="38266"/>
    <cellStyle name="Normal 14 4 5 3 2 5" xfId="9239"/>
    <cellStyle name="Normal 14 4 5 3 2 5 2" xfId="31826"/>
    <cellStyle name="Normal 14 4 5 3 2 6" xfId="25386"/>
    <cellStyle name="Normal 14 4 5 3 3" xfId="4711"/>
    <cellStyle name="Normal 14 4 5 3 3 2" xfId="20811"/>
    <cellStyle name="Normal 14 4 5 3 3 2 2" xfId="43398"/>
    <cellStyle name="Normal 14 4 5 3 3 3" xfId="11151"/>
    <cellStyle name="Normal 14 4 5 3 3 3 2" xfId="33738"/>
    <cellStyle name="Normal 14 4 5 3 3 4" xfId="27298"/>
    <cellStyle name="Normal 14 4 5 3 4" xfId="17591"/>
    <cellStyle name="Normal 14 4 5 3 4 2" xfId="40178"/>
    <cellStyle name="Normal 14 4 5 3 5" xfId="14371"/>
    <cellStyle name="Normal 14 4 5 3 5 2" xfId="36958"/>
    <cellStyle name="Normal 14 4 5 3 6" xfId="7931"/>
    <cellStyle name="Normal 14 4 5 3 6 2" xfId="30518"/>
    <cellStyle name="Normal 14 4 5 3 7" xfId="24078"/>
    <cellStyle name="Normal 14 4 5 4" xfId="2104"/>
    <cellStyle name="Normal 14 4 5 4 2" xfId="5325"/>
    <cellStyle name="Normal 14 4 5 4 2 2" xfId="21425"/>
    <cellStyle name="Normal 14 4 5 4 2 2 2" xfId="44012"/>
    <cellStyle name="Normal 14 4 5 4 2 3" xfId="11765"/>
    <cellStyle name="Normal 14 4 5 4 2 3 2" xfId="34352"/>
    <cellStyle name="Normal 14 4 5 4 2 4" xfId="27912"/>
    <cellStyle name="Normal 14 4 5 4 3" xfId="18205"/>
    <cellStyle name="Normal 14 4 5 4 3 2" xfId="40792"/>
    <cellStyle name="Normal 14 4 5 4 4" xfId="14985"/>
    <cellStyle name="Normal 14 4 5 4 4 2" xfId="37572"/>
    <cellStyle name="Normal 14 4 5 4 5" xfId="8545"/>
    <cellStyle name="Normal 14 4 5 4 5 2" xfId="31132"/>
    <cellStyle name="Normal 14 4 5 4 6" xfId="24692"/>
    <cellStyle name="Normal 14 4 5 5" xfId="4017"/>
    <cellStyle name="Normal 14 4 5 5 2" xfId="20117"/>
    <cellStyle name="Normal 14 4 5 5 2 2" xfId="42704"/>
    <cellStyle name="Normal 14 4 5 5 3" xfId="10457"/>
    <cellStyle name="Normal 14 4 5 5 3 2" xfId="33044"/>
    <cellStyle name="Normal 14 4 5 5 4" xfId="26604"/>
    <cellStyle name="Normal 14 4 5 6" xfId="16897"/>
    <cellStyle name="Normal 14 4 5 6 2" xfId="39484"/>
    <cellStyle name="Normal 14 4 5 7" xfId="13677"/>
    <cellStyle name="Normal 14 4 5 7 2" xfId="36264"/>
    <cellStyle name="Normal 14 4 5 8" xfId="7237"/>
    <cellStyle name="Normal 14 4 5 8 2" xfId="29824"/>
    <cellStyle name="Normal 14 4 5 9" xfId="23384"/>
    <cellStyle name="Normal 14 4 6" xfId="855"/>
    <cellStyle name="Normal 14 4 6 2" xfId="2174"/>
    <cellStyle name="Normal 14 4 6 2 2" xfId="5395"/>
    <cellStyle name="Normal 14 4 6 2 2 2" xfId="21495"/>
    <cellStyle name="Normal 14 4 6 2 2 2 2" xfId="44082"/>
    <cellStyle name="Normal 14 4 6 2 2 3" xfId="11835"/>
    <cellStyle name="Normal 14 4 6 2 2 3 2" xfId="34422"/>
    <cellStyle name="Normal 14 4 6 2 2 4" xfId="27982"/>
    <cellStyle name="Normal 14 4 6 2 3" xfId="18275"/>
    <cellStyle name="Normal 14 4 6 2 3 2" xfId="40862"/>
    <cellStyle name="Normal 14 4 6 2 4" xfId="15055"/>
    <cellStyle name="Normal 14 4 6 2 4 2" xfId="37642"/>
    <cellStyle name="Normal 14 4 6 2 5" xfId="8615"/>
    <cellStyle name="Normal 14 4 6 2 5 2" xfId="31202"/>
    <cellStyle name="Normal 14 4 6 2 6" xfId="24762"/>
    <cellStyle name="Normal 14 4 6 3" xfId="4087"/>
    <cellStyle name="Normal 14 4 6 3 2" xfId="20187"/>
    <cellStyle name="Normal 14 4 6 3 2 2" xfId="42774"/>
    <cellStyle name="Normal 14 4 6 3 3" xfId="10527"/>
    <cellStyle name="Normal 14 4 6 3 3 2" xfId="33114"/>
    <cellStyle name="Normal 14 4 6 3 4" xfId="26674"/>
    <cellStyle name="Normal 14 4 6 4" xfId="16967"/>
    <cellStyle name="Normal 14 4 6 4 2" xfId="39554"/>
    <cellStyle name="Normal 14 4 6 5" xfId="13747"/>
    <cellStyle name="Normal 14 4 6 5 2" xfId="36334"/>
    <cellStyle name="Normal 14 4 6 6" xfId="7307"/>
    <cellStyle name="Normal 14 4 6 6 2" xfId="29894"/>
    <cellStyle name="Normal 14 4 6 7" xfId="23454"/>
    <cellStyle name="Normal 14 4 7" xfId="1207"/>
    <cellStyle name="Normal 14 4 7 2" xfId="2521"/>
    <cellStyle name="Normal 14 4 7 2 2" xfId="5742"/>
    <cellStyle name="Normal 14 4 7 2 2 2" xfId="21842"/>
    <cellStyle name="Normal 14 4 7 2 2 2 2" xfId="44429"/>
    <cellStyle name="Normal 14 4 7 2 2 3" xfId="12182"/>
    <cellStyle name="Normal 14 4 7 2 2 3 2" xfId="34769"/>
    <cellStyle name="Normal 14 4 7 2 2 4" xfId="28329"/>
    <cellStyle name="Normal 14 4 7 2 3" xfId="18622"/>
    <cellStyle name="Normal 14 4 7 2 3 2" xfId="41209"/>
    <cellStyle name="Normal 14 4 7 2 4" xfId="15402"/>
    <cellStyle name="Normal 14 4 7 2 4 2" xfId="37989"/>
    <cellStyle name="Normal 14 4 7 2 5" xfId="8962"/>
    <cellStyle name="Normal 14 4 7 2 5 2" xfId="31549"/>
    <cellStyle name="Normal 14 4 7 2 6" xfId="25109"/>
    <cellStyle name="Normal 14 4 7 3" xfId="4434"/>
    <cellStyle name="Normal 14 4 7 3 2" xfId="20534"/>
    <cellStyle name="Normal 14 4 7 3 2 2" xfId="43121"/>
    <cellStyle name="Normal 14 4 7 3 3" xfId="10874"/>
    <cellStyle name="Normal 14 4 7 3 3 2" xfId="33461"/>
    <cellStyle name="Normal 14 4 7 3 4" xfId="27021"/>
    <cellStyle name="Normal 14 4 7 4" xfId="17314"/>
    <cellStyle name="Normal 14 4 7 4 2" xfId="39901"/>
    <cellStyle name="Normal 14 4 7 5" xfId="14094"/>
    <cellStyle name="Normal 14 4 7 5 2" xfId="36681"/>
    <cellStyle name="Normal 14 4 7 6" xfId="7654"/>
    <cellStyle name="Normal 14 4 7 6 2" xfId="30241"/>
    <cellStyle name="Normal 14 4 7 7" xfId="23801"/>
    <cellStyle name="Normal 14 4 8" xfId="1604"/>
    <cellStyle name="Normal 14 4 8 2" xfId="4830"/>
    <cellStyle name="Normal 14 4 8 2 2" xfId="20930"/>
    <cellStyle name="Normal 14 4 8 2 2 2" xfId="43517"/>
    <cellStyle name="Normal 14 4 8 2 3" xfId="11270"/>
    <cellStyle name="Normal 14 4 8 2 3 2" xfId="33857"/>
    <cellStyle name="Normal 14 4 8 2 4" xfId="27417"/>
    <cellStyle name="Normal 14 4 8 3" xfId="17710"/>
    <cellStyle name="Normal 14 4 8 3 2" xfId="40297"/>
    <cellStyle name="Normal 14 4 8 4" xfId="14490"/>
    <cellStyle name="Normal 14 4 8 4 2" xfId="37077"/>
    <cellStyle name="Normal 14 4 8 5" xfId="8050"/>
    <cellStyle name="Normal 14 4 8 5 2" xfId="30637"/>
    <cellStyle name="Normal 14 4 8 6" xfId="24197"/>
    <cellStyle name="Normal 14 4 9" xfId="1826"/>
    <cellStyle name="Normal 14 4 9 2" xfId="5048"/>
    <cellStyle name="Normal 14 4 9 2 2" xfId="21148"/>
    <cellStyle name="Normal 14 4 9 2 2 2" xfId="43735"/>
    <cellStyle name="Normal 14 4 9 2 3" xfId="11488"/>
    <cellStyle name="Normal 14 4 9 2 3 2" xfId="34075"/>
    <cellStyle name="Normal 14 4 9 2 4" xfId="27635"/>
    <cellStyle name="Normal 14 4 9 3" xfId="17928"/>
    <cellStyle name="Normal 14 4 9 3 2" xfId="40515"/>
    <cellStyle name="Normal 14 4 9 4" xfId="14708"/>
    <cellStyle name="Normal 14 4 9 4 2" xfId="37295"/>
    <cellStyle name="Normal 14 4 9 5" xfId="8268"/>
    <cellStyle name="Normal 14 4 9 5 2" xfId="30855"/>
    <cellStyle name="Normal 14 4 9 6" xfId="24415"/>
    <cellStyle name="Normal 14 5" xfId="132"/>
    <cellStyle name="Normal 14 5 10" xfId="470"/>
    <cellStyle name="Normal 14 5 10 2" xfId="3757"/>
    <cellStyle name="Normal 14 5 10 2 2" xfId="19857"/>
    <cellStyle name="Normal 14 5 10 2 2 2" xfId="42444"/>
    <cellStyle name="Normal 14 5 10 2 3" xfId="10197"/>
    <cellStyle name="Normal 14 5 10 2 3 2" xfId="32784"/>
    <cellStyle name="Normal 14 5 10 2 4" xfId="26344"/>
    <cellStyle name="Normal 14 5 10 3" xfId="16637"/>
    <cellStyle name="Normal 14 5 10 3 2" xfId="39224"/>
    <cellStyle name="Normal 14 5 10 4" xfId="13417"/>
    <cellStyle name="Normal 14 5 10 4 2" xfId="36004"/>
    <cellStyle name="Normal 14 5 10 5" xfId="6977"/>
    <cellStyle name="Normal 14 5 10 5 2" xfId="29564"/>
    <cellStyle name="Normal 14 5 10 6" xfId="23124"/>
    <cellStyle name="Normal 14 5 11" xfId="3467"/>
    <cellStyle name="Normal 14 5 11 2" xfId="19567"/>
    <cellStyle name="Normal 14 5 11 2 2" xfId="42154"/>
    <cellStyle name="Normal 14 5 11 3" xfId="9907"/>
    <cellStyle name="Normal 14 5 11 3 2" xfId="32494"/>
    <cellStyle name="Normal 14 5 11 4" xfId="26054"/>
    <cellStyle name="Normal 14 5 12" xfId="16347"/>
    <cellStyle name="Normal 14 5 12 2" xfId="38934"/>
    <cellStyle name="Normal 14 5 13" xfId="13127"/>
    <cellStyle name="Normal 14 5 13 2" xfId="35714"/>
    <cellStyle name="Normal 14 5 14" xfId="6687"/>
    <cellStyle name="Normal 14 5 14 2" xfId="29274"/>
    <cellStyle name="Normal 14 5 15" xfId="22834"/>
    <cellStyle name="Normal 14 5 2" xfId="279"/>
    <cellStyle name="Normal 14 5 2 10" xfId="16446"/>
    <cellStyle name="Normal 14 5 2 10 2" xfId="39033"/>
    <cellStyle name="Normal 14 5 2 11" xfId="13226"/>
    <cellStyle name="Normal 14 5 2 11 2" xfId="35813"/>
    <cellStyle name="Normal 14 5 2 12" xfId="6786"/>
    <cellStyle name="Normal 14 5 2 12 2" xfId="29373"/>
    <cellStyle name="Normal 14 5 2 13" xfId="22933"/>
    <cellStyle name="Normal 14 5 2 2" xfId="996"/>
    <cellStyle name="Normal 14 5 2 2 2" xfId="2310"/>
    <cellStyle name="Normal 14 5 2 2 2 2" xfId="5531"/>
    <cellStyle name="Normal 14 5 2 2 2 2 2" xfId="21631"/>
    <cellStyle name="Normal 14 5 2 2 2 2 2 2" xfId="44218"/>
    <cellStyle name="Normal 14 5 2 2 2 2 3" xfId="11971"/>
    <cellStyle name="Normal 14 5 2 2 2 2 3 2" xfId="34558"/>
    <cellStyle name="Normal 14 5 2 2 2 2 4" xfId="28118"/>
    <cellStyle name="Normal 14 5 2 2 2 3" xfId="18411"/>
    <cellStyle name="Normal 14 5 2 2 2 3 2" xfId="40998"/>
    <cellStyle name="Normal 14 5 2 2 2 4" xfId="15191"/>
    <cellStyle name="Normal 14 5 2 2 2 4 2" xfId="37778"/>
    <cellStyle name="Normal 14 5 2 2 2 5" xfId="8751"/>
    <cellStyle name="Normal 14 5 2 2 2 5 2" xfId="31338"/>
    <cellStyle name="Normal 14 5 2 2 2 6" xfId="24898"/>
    <cellStyle name="Normal 14 5 2 2 3" xfId="4223"/>
    <cellStyle name="Normal 14 5 2 2 3 2" xfId="20323"/>
    <cellStyle name="Normal 14 5 2 2 3 2 2" xfId="42910"/>
    <cellStyle name="Normal 14 5 2 2 3 3" xfId="10663"/>
    <cellStyle name="Normal 14 5 2 2 3 3 2" xfId="33250"/>
    <cellStyle name="Normal 14 5 2 2 3 4" xfId="26810"/>
    <cellStyle name="Normal 14 5 2 2 4" xfId="17103"/>
    <cellStyle name="Normal 14 5 2 2 4 2" xfId="39690"/>
    <cellStyle name="Normal 14 5 2 2 5" xfId="13883"/>
    <cellStyle name="Normal 14 5 2 2 5 2" xfId="36470"/>
    <cellStyle name="Normal 14 5 2 2 6" xfId="7443"/>
    <cellStyle name="Normal 14 5 2 2 6 2" xfId="30030"/>
    <cellStyle name="Normal 14 5 2 2 7" xfId="23590"/>
    <cellStyle name="Normal 14 5 2 3" xfId="1343"/>
    <cellStyle name="Normal 14 5 2 3 2" xfId="2657"/>
    <cellStyle name="Normal 14 5 2 3 2 2" xfId="5878"/>
    <cellStyle name="Normal 14 5 2 3 2 2 2" xfId="21978"/>
    <cellStyle name="Normal 14 5 2 3 2 2 2 2" xfId="44565"/>
    <cellStyle name="Normal 14 5 2 3 2 2 3" xfId="12318"/>
    <cellStyle name="Normal 14 5 2 3 2 2 3 2" xfId="34905"/>
    <cellStyle name="Normal 14 5 2 3 2 2 4" xfId="28465"/>
    <cellStyle name="Normal 14 5 2 3 2 3" xfId="18758"/>
    <cellStyle name="Normal 14 5 2 3 2 3 2" xfId="41345"/>
    <cellStyle name="Normal 14 5 2 3 2 4" xfId="15538"/>
    <cellStyle name="Normal 14 5 2 3 2 4 2" xfId="38125"/>
    <cellStyle name="Normal 14 5 2 3 2 5" xfId="9098"/>
    <cellStyle name="Normal 14 5 2 3 2 5 2" xfId="31685"/>
    <cellStyle name="Normal 14 5 2 3 2 6" xfId="25245"/>
    <cellStyle name="Normal 14 5 2 3 3" xfId="4570"/>
    <cellStyle name="Normal 14 5 2 3 3 2" xfId="20670"/>
    <cellStyle name="Normal 14 5 2 3 3 2 2" xfId="43257"/>
    <cellStyle name="Normal 14 5 2 3 3 3" xfId="11010"/>
    <cellStyle name="Normal 14 5 2 3 3 3 2" xfId="33597"/>
    <cellStyle name="Normal 14 5 2 3 3 4" xfId="27157"/>
    <cellStyle name="Normal 14 5 2 3 4" xfId="17450"/>
    <cellStyle name="Normal 14 5 2 3 4 2" xfId="40037"/>
    <cellStyle name="Normal 14 5 2 3 5" xfId="14230"/>
    <cellStyle name="Normal 14 5 2 3 5 2" xfId="36817"/>
    <cellStyle name="Normal 14 5 2 3 6" xfId="7790"/>
    <cellStyle name="Normal 14 5 2 3 6 2" xfId="30377"/>
    <cellStyle name="Normal 14 5 2 3 7" xfId="23937"/>
    <cellStyle name="Normal 14 5 2 4" xfId="1605"/>
    <cellStyle name="Normal 14 5 2 4 2" xfId="4831"/>
    <cellStyle name="Normal 14 5 2 4 2 2" xfId="20931"/>
    <cellStyle name="Normal 14 5 2 4 2 2 2" xfId="43518"/>
    <cellStyle name="Normal 14 5 2 4 2 3" xfId="11271"/>
    <cellStyle name="Normal 14 5 2 4 2 3 2" xfId="33858"/>
    <cellStyle name="Normal 14 5 2 4 2 4" xfId="27418"/>
    <cellStyle name="Normal 14 5 2 4 3" xfId="17711"/>
    <cellStyle name="Normal 14 5 2 4 3 2" xfId="40298"/>
    <cellStyle name="Normal 14 5 2 4 4" xfId="14491"/>
    <cellStyle name="Normal 14 5 2 4 4 2" xfId="37078"/>
    <cellStyle name="Normal 14 5 2 4 5" xfId="8051"/>
    <cellStyle name="Normal 14 5 2 4 5 2" xfId="30638"/>
    <cellStyle name="Normal 14 5 2 4 6" xfId="24198"/>
    <cellStyle name="Normal 14 5 2 5" xfId="1962"/>
    <cellStyle name="Normal 14 5 2 5 2" xfId="5184"/>
    <cellStyle name="Normal 14 5 2 5 2 2" xfId="21284"/>
    <cellStyle name="Normal 14 5 2 5 2 2 2" xfId="43871"/>
    <cellStyle name="Normal 14 5 2 5 2 3" xfId="11624"/>
    <cellStyle name="Normal 14 5 2 5 2 3 2" xfId="34211"/>
    <cellStyle name="Normal 14 5 2 5 2 4" xfId="27771"/>
    <cellStyle name="Normal 14 5 2 5 3" xfId="18064"/>
    <cellStyle name="Normal 14 5 2 5 3 2" xfId="40651"/>
    <cellStyle name="Normal 14 5 2 5 4" xfId="14844"/>
    <cellStyle name="Normal 14 5 2 5 4 2" xfId="37431"/>
    <cellStyle name="Normal 14 5 2 5 5" xfId="8404"/>
    <cellStyle name="Normal 14 5 2 5 5 2" xfId="30991"/>
    <cellStyle name="Normal 14 5 2 5 6" xfId="24551"/>
    <cellStyle name="Normal 14 5 2 6" xfId="2986"/>
    <cellStyle name="Normal 14 5 2 6 2" xfId="6206"/>
    <cellStyle name="Normal 14 5 2 6 2 2" xfId="22306"/>
    <cellStyle name="Normal 14 5 2 6 2 2 2" xfId="44893"/>
    <cellStyle name="Normal 14 5 2 6 2 3" xfId="12646"/>
    <cellStyle name="Normal 14 5 2 6 2 3 2" xfId="35233"/>
    <cellStyle name="Normal 14 5 2 6 2 4" xfId="28793"/>
    <cellStyle name="Normal 14 5 2 6 3" xfId="19086"/>
    <cellStyle name="Normal 14 5 2 6 3 2" xfId="41673"/>
    <cellStyle name="Normal 14 5 2 6 4" xfId="15866"/>
    <cellStyle name="Normal 14 5 2 6 4 2" xfId="38453"/>
    <cellStyle name="Normal 14 5 2 6 5" xfId="9426"/>
    <cellStyle name="Normal 14 5 2 6 5 2" xfId="32013"/>
    <cellStyle name="Normal 14 5 2 6 6" xfId="25573"/>
    <cellStyle name="Normal 14 5 2 7" xfId="3276"/>
    <cellStyle name="Normal 14 5 2 7 2" xfId="6496"/>
    <cellStyle name="Normal 14 5 2 7 2 2" xfId="22596"/>
    <cellStyle name="Normal 14 5 2 7 2 2 2" xfId="45183"/>
    <cellStyle name="Normal 14 5 2 7 2 3" xfId="12936"/>
    <cellStyle name="Normal 14 5 2 7 2 3 2" xfId="35523"/>
    <cellStyle name="Normal 14 5 2 7 2 4" xfId="29083"/>
    <cellStyle name="Normal 14 5 2 7 3" xfId="19376"/>
    <cellStyle name="Normal 14 5 2 7 3 2" xfId="41963"/>
    <cellStyle name="Normal 14 5 2 7 4" xfId="16156"/>
    <cellStyle name="Normal 14 5 2 7 4 2" xfId="38743"/>
    <cellStyle name="Normal 14 5 2 7 5" xfId="9716"/>
    <cellStyle name="Normal 14 5 2 7 5 2" xfId="32303"/>
    <cellStyle name="Normal 14 5 2 7 6" xfId="25863"/>
    <cellStyle name="Normal 14 5 2 8" xfId="632"/>
    <cellStyle name="Normal 14 5 2 8 2" xfId="3876"/>
    <cellStyle name="Normal 14 5 2 8 2 2" xfId="19976"/>
    <cellStyle name="Normal 14 5 2 8 2 2 2" xfId="42563"/>
    <cellStyle name="Normal 14 5 2 8 2 3" xfId="10316"/>
    <cellStyle name="Normal 14 5 2 8 2 3 2" xfId="32903"/>
    <cellStyle name="Normal 14 5 2 8 2 4" xfId="26463"/>
    <cellStyle name="Normal 14 5 2 8 3" xfId="16756"/>
    <cellStyle name="Normal 14 5 2 8 3 2" xfId="39343"/>
    <cellStyle name="Normal 14 5 2 8 4" xfId="13536"/>
    <cellStyle name="Normal 14 5 2 8 4 2" xfId="36123"/>
    <cellStyle name="Normal 14 5 2 8 5" xfId="7096"/>
    <cellStyle name="Normal 14 5 2 8 5 2" xfId="29683"/>
    <cellStyle name="Normal 14 5 2 8 6" xfId="23243"/>
    <cellStyle name="Normal 14 5 2 9" xfId="3566"/>
    <cellStyle name="Normal 14 5 2 9 2" xfId="19666"/>
    <cellStyle name="Normal 14 5 2 9 2 2" xfId="42253"/>
    <cellStyle name="Normal 14 5 2 9 3" xfId="10006"/>
    <cellStyle name="Normal 14 5 2 9 3 2" xfId="32593"/>
    <cellStyle name="Normal 14 5 2 9 4" xfId="26153"/>
    <cellStyle name="Normal 14 5 3" xfId="373"/>
    <cellStyle name="Normal 14 5 3 10" xfId="16540"/>
    <cellStyle name="Normal 14 5 3 10 2" xfId="39127"/>
    <cellStyle name="Normal 14 5 3 11" xfId="13320"/>
    <cellStyle name="Normal 14 5 3 11 2" xfId="35907"/>
    <cellStyle name="Normal 14 5 3 12" xfId="6880"/>
    <cellStyle name="Normal 14 5 3 12 2" xfId="29467"/>
    <cellStyle name="Normal 14 5 3 13" xfId="23027"/>
    <cellStyle name="Normal 14 5 3 2" xfId="1157"/>
    <cellStyle name="Normal 14 5 3 2 2" xfId="2471"/>
    <cellStyle name="Normal 14 5 3 2 2 2" xfId="5692"/>
    <cellStyle name="Normal 14 5 3 2 2 2 2" xfId="21792"/>
    <cellStyle name="Normal 14 5 3 2 2 2 2 2" xfId="44379"/>
    <cellStyle name="Normal 14 5 3 2 2 2 3" xfId="12132"/>
    <cellStyle name="Normal 14 5 3 2 2 2 3 2" xfId="34719"/>
    <cellStyle name="Normal 14 5 3 2 2 2 4" xfId="28279"/>
    <cellStyle name="Normal 14 5 3 2 2 3" xfId="18572"/>
    <cellStyle name="Normal 14 5 3 2 2 3 2" xfId="41159"/>
    <cellStyle name="Normal 14 5 3 2 2 4" xfId="15352"/>
    <cellStyle name="Normal 14 5 3 2 2 4 2" xfId="37939"/>
    <cellStyle name="Normal 14 5 3 2 2 5" xfId="8912"/>
    <cellStyle name="Normal 14 5 3 2 2 5 2" xfId="31499"/>
    <cellStyle name="Normal 14 5 3 2 2 6" xfId="25059"/>
    <cellStyle name="Normal 14 5 3 2 3" xfId="4384"/>
    <cellStyle name="Normal 14 5 3 2 3 2" xfId="20484"/>
    <cellStyle name="Normal 14 5 3 2 3 2 2" xfId="43071"/>
    <cellStyle name="Normal 14 5 3 2 3 3" xfId="10824"/>
    <cellStyle name="Normal 14 5 3 2 3 3 2" xfId="33411"/>
    <cellStyle name="Normal 14 5 3 2 3 4" xfId="26971"/>
    <cellStyle name="Normal 14 5 3 2 4" xfId="17264"/>
    <cellStyle name="Normal 14 5 3 2 4 2" xfId="39851"/>
    <cellStyle name="Normal 14 5 3 2 5" xfId="14044"/>
    <cellStyle name="Normal 14 5 3 2 5 2" xfId="36631"/>
    <cellStyle name="Normal 14 5 3 2 6" xfId="7604"/>
    <cellStyle name="Normal 14 5 3 2 6 2" xfId="30191"/>
    <cellStyle name="Normal 14 5 3 2 7" xfId="23751"/>
    <cellStyle name="Normal 14 5 3 3" xfId="1504"/>
    <cellStyle name="Normal 14 5 3 3 2" xfId="2818"/>
    <cellStyle name="Normal 14 5 3 3 2 2" xfId="6039"/>
    <cellStyle name="Normal 14 5 3 3 2 2 2" xfId="22139"/>
    <cellStyle name="Normal 14 5 3 3 2 2 2 2" xfId="44726"/>
    <cellStyle name="Normal 14 5 3 3 2 2 3" xfId="12479"/>
    <cellStyle name="Normal 14 5 3 3 2 2 3 2" xfId="35066"/>
    <cellStyle name="Normal 14 5 3 3 2 2 4" xfId="28626"/>
    <cellStyle name="Normal 14 5 3 3 2 3" xfId="18919"/>
    <cellStyle name="Normal 14 5 3 3 2 3 2" xfId="41506"/>
    <cellStyle name="Normal 14 5 3 3 2 4" xfId="15699"/>
    <cellStyle name="Normal 14 5 3 3 2 4 2" xfId="38286"/>
    <cellStyle name="Normal 14 5 3 3 2 5" xfId="9259"/>
    <cellStyle name="Normal 14 5 3 3 2 5 2" xfId="31846"/>
    <cellStyle name="Normal 14 5 3 3 2 6" xfId="25406"/>
    <cellStyle name="Normal 14 5 3 3 3" xfId="4731"/>
    <cellStyle name="Normal 14 5 3 3 3 2" xfId="20831"/>
    <cellStyle name="Normal 14 5 3 3 3 2 2" xfId="43418"/>
    <cellStyle name="Normal 14 5 3 3 3 3" xfId="11171"/>
    <cellStyle name="Normal 14 5 3 3 3 3 2" xfId="33758"/>
    <cellStyle name="Normal 14 5 3 3 3 4" xfId="27318"/>
    <cellStyle name="Normal 14 5 3 3 4" xfId="17611"/>
    <cellStyle name="Normal 14 5 3 3 4 2" xfId="40198"/>
    <cellStyle name="Normal 14 5 3 3 5" xfId="14391"/>
    <cellStyle name="Normal 14 5 3 3 5 2" xfId="36978"/>
    <cellStyle name="Normal 14 5 3 3 6" xfId="7951"/>
    <cellStyle name="Normal 14 5 3 3 6 2" xfId="30538"/>
    <cellStyle name="Normal 14 5 3 3 7" xfId="24098"/>
    <cellStyle name="Normal 14 5 3 4" xfId="1606"/>
    <cellStyle name="Normal 14 5 3 4 2" xfId="4832"/>
    <cellStyle name="Normal 14 5 3 4 2 2" xfId="20932"/>
    <cellStyle name="Normal 14 5 3 4 2 2 2" xfId="43519"/>
    <cellStyle name="Normal 14 5 3 4 2 3" xfId="11272"/>
    <cellStyle name="Normal 14 5 3 4 2 3 2" xfId="33859"/>
    <cellStyle name="Normal 14 5 3 4 2 4" xfId="27419"/>
    <cellStyle name="Normal 14 5 3 4 3" xfId="17712"/>
    <cellStyle name="Normal 14 5 3 4 3 2" xfId="40299"/>
    <cellStyle name="Normal 14 5 3 4 4" xfId="14492"/>
    <cellStyle name="Normal 14 5 3 4 4 2" xfId="37079"/>
    <cellStyle name="Normal 14 5 3 4 5" xfId="8052"/>
    <cellStyle name="Normal 14 5 3 4 5 2" xfId="30639"/>
    <cellStyle name="Normal 14 5 3 4 6" xfId="24199"/>
    <cellStyle name="Normal 14 5 3 5" xfId="2124"/>
    <cellStyle name="Normal 14 5 3 5 2" xfId="5345"/>
    <cellStyle name="Normal 14 5 3 5 2 2" xfId="21445"/>
    <cellStyle name="Normal 14 5 3 5 2 2 2" xfId="44032"/>
    <cellStyle name="Normal 14 5 3 5 2 3" xfId="11785"/>
    <cellStyle name="Normal 14 5 3 5 2 3 2" xfId="34372"/>
    <cellStyle name="Normal 14 5 3 5 2 4" xfId="27932"/>
    <cellStyle name="Normal 14 5 3 5 3" xfId="18225"/>
    <cellStyle name="Normal 14 5 3 5 3 2" xfId="40812"/>
    <cellStyle name="Normal 14 5 3 5 4" xfId="15005"/>
    <cellStyle name="Normal 14 5 3 5 4 2" xfId="37592"/>
    <cellStyle name="Normal 14 5 3 5 5" xfId="8565"/>
    <cellStyle name="Normal 14 5 3 5 5 2" xfId="31152"/>
    <cellStyle name="Normal 14 5 3 5 6" xfId="24712"/>
    <cellStyle name="Normal 14 5 3 6" xfId="3080"/>
    <cellStyle name="Normal 14 5 3 6 2" xfId="6300"/>
    <cellStyle name="Normal 14 5 3 6 2 2" xfId="22400"/>
    <cellStyle name="Normal 14 5 3 6 2 2 2" xfId="44987"/>
    <cellStyle name="Normal 14 5 3 6 2 3" xfId="12740"/>
    <cellStyle name="Normal 14 5 3 6 2 3 2" xfId="35327"/>
    <cellStyle name="Normal 14 5 3 6 2 4" xfId="28887"/>
    <cellStyle name="Normal 14 5 3 6 3" xfId="19180"/>
    <cellStyle name="Normal 14 5 3 6 3 2" xfId="41767"/>
    <cellStyle name="Normal 14 5 3 6 4" xfId="15960"/>
    <cellStyle name="Normal 14 5 3 6 4 2" xfId="38547"/>
    <cellStyle name="Normal 14 5 3 6 5" xfId="9520"/>
    <cellStyle name="Normal 14 5 3 6 5 2" xfId="32107"/>
    <cellStyle name="Normal 14 5 3 6 6" xfId="25667"/>
    <cellStyle name="Normal 14 5 3 7" xfId="3370"/>
    <cellStyle name="Normal 14 5 3 7 2" xfId="6590"/>
    <cellStyle name="Normal 14 5 3 7 2 2" xfId="22690"/>
    <cellStyle name="Normal 14 5 3 7 2 2 2" xfId="45277"/>
    <cellStyle name="Normal 14 5 3 7 2 3" xfId="13030"/>
    <cellStyle name="Normal 14 5 3 7 2 3 2" xfId="35617"/>
    <cellStyle name="Normal 14 5 3 7 2 4" xfId="29177"/>
    <cellStyle name="Normal 14 5 3 7 3" xfId="19470"/>
    <cellStyle name="Normal 14 5 3 7 3 2" xfId="42057"/>
    <cellStyle name="Normal 14 5 3 7 4" xfId="16250"/>
    <cellStyle name="Normal 14 5 3 7 4 2" xfId="38837"/>
    <cellStyle name="Normal 14 5 3 7 5" xfId="9810"/>
    <cellStyle name="Normal 14 5 3 7 5 2" xfId="32397"/>
    <cellStyle name="Normal 14 5 3 7 6" xfId="25957"/>
    <cellStyle name="Normal 14 5 3 8" xfId="805"/>
    <cellStyle name="Normal 14 5 3 8 2" xfId="4037"/>
    <cellStyle name="Normal 14 5 3 8 2 2" xfId="20137"/>
    <cellStyle name="Normal 14 5 3 8 2 2 2" xfId="42724"/>
    <cellStyle name="Normal 14 5 3 8 2 3" xfId="10477"/>
    <cellStyle name="Normal 14 5 3 8 2 3 2" xfId="33064"/>
    <cellStyle name="Normal 14 5 3 8 2 4" xfId="26624"/>
    <cellStyle name="Normal 14 5 3 8 3" xfId="16917"/>
    <cellStyle name="Normal 14 5 3 8 3 2" xfId="39504"/>
    <cellStyle name="Normal 14 5 3 8 4" xfId="13697"/>
    <cellStyle name="Normal 14 5 3 8 4 2" xfId="36284"/>
    <cellStyle name="Normal 14 5 3 8 5" xfId="7257"/>
    <cellStyle name="Normal 14 5 3 8 5 2" xfId="29844"/>
    <cellStyle name="Normal 14 5 3 8 6" xfId="23404"/>
    <cellStyle name="Normal 14 5 3 9" xfId="3660"/>
    <cellStyle name="Normal 14 5 3 9 2" xfId="19760"/>
    <cellStyle name="Normal 14 5 3 9 2 2" xfId="42347"/>
    <cellStyle name="Normal 14 5 3 9 3" xfId="10100"/>
    <cellStyle name="Normal 14 5 3 9 3 2" xfId="32687"/>
    <cellStyle name="Normal 14 5 3 9 4" xfId="26247"/>
    <cellStyle name="Normal 14 5 4" xfId="872"/>
    <cellStyle name="Normal 14 5 4 2" xfId="2191"/>
    <cellStyle name="Normal 14 5 4 2 2" xfId="5412"/>
    <cellStyle name="Normal 14 5 4 2 2 2" xfId="21512"/>
    <cellStyle name="Normal 14 5 4 2 2 2 2" xfId="44099"/>
    <cellStyle name="Normal 14 5 4 2 2 3" xfId="11852"/>
    <cellStyle name="Normal 14 5 4 2 2 3 2" xfId="34439"/>
    <cellStyle name="Normal 14 5 4 2 2 4" xfId="27999"/>
    <cellStyle name="Normal 14 5 4 2 3" xfId="18292"/>
    <cellStyle name="Normal 14 5 4 2 3 2" xfId="40879"/>
    <cellStyle name="Normal 14 5 4 2 4" xfId="15072"/>
    <cellStyle name="Normal 14 5 4 2 4 2" xfId="37659"/>
    <cellStyle name="Normal 14 5 4 2 5" xfId="8632"/>
    <cellStyle name="Normal 14 5 4 2 5 2" xfId="31219"/>
    <cellStyle name="Normal 14 5 4 2 6" xfId="24779"/>
    <cellStyle name="Normal 14 5 4 3" xfId="4104"/>
    <cellStyle name="Normal 14 5 4 3 2" xfId="20204"/>
    <cellStyle name="Normal 14 5 4 3 2 2" xfId="42791"/>
    <cellStyle name="Normal 14 5 4 3 3" xfId="10544"/>
    <cellStyle name="Normal 14 5 4 3 3 2" xfId="33131"/>
    <cellStyle name="Normal 14 5 4 3 4" xfId="26691"/>
    <cellStyle name="Normal 14 5 4 4" xfId="16984"/>
    <cellStyle name="Normal 14 5 4 4 2" xfId="39571"/>
    <cellStyle name="Normal 14 5 4 5" xfId="13764"/>
    <cellStyle name="Normal 14 5 4 5 2" xfId="36351"/>
    <cellStyle name="Normal 14 5 4 6" xfId="7324"/>
    <cellStyle name="Normal 14 5 4 6 2" xfId="29911"/>
    <cellStyle name="Normal 14 5 4 7" xfId="23471"/>
    <cellStyle name="Normal 14 5 5" xfId="1224"/>
    <cellStyle name="Normal 14 5 5 2" xfId="2538"/>
    <cellStyle name="Normal 14 5 5 2 2" xfId="5759"/>
    <cellStyle name="Normal 14 5 5 2 2 2" xfId="21859"/>
    <cellStyle name="Normal 14 5 5 2 2 2 2" xfId="44446"/>
    <cellStyle name="Normal 14 5 5 2 2 3" xfId="12199"/>
    <cellStyle name="Normal 14 5 5 2 2 3 2" xfId="34786"/>
    <cellStyle name="Normal 14 5 5 2 2 4" xfId="28346"/>
    <cellStyle name="Normal 14 5 5 2 3" xfId="18639"/>
    <cellStyle name="Normal 14 5 5 2 3 2" xfId="41226"/>
    <cellStyle name="Normal 14 5 5 2 4" xfId="15419"/>
    <cellStyle name="Normal 14 5 5 2 4 2" xfId="38006"/>
    <cellStyle name="Normal 14 5 5 2 5" xfId="8979"/>
    <cellStyle name="Normal 14 5 5 2 5 2" xfId="31566"/>
    <cellStyle name="Normal 14 5 5 2 6" xfId="25126"/>
    <cellStyle name="Normal 14 5 5 3" xfId="4451"/>
    <cellStyle name="Normal 14 5 5 3 2" xfId="20551"/>
    <cellStyle name="Normal 14 5 5 3 2 2" xfId="43138"/>
    <cellStyle name="Normal 14 5 5 3 3" xfId="10891"/>
    <cellStyle name="Normal 14 5 5 3 3 2" xfId="33478"/>
    <cellStyle name="Normal 14 5 5 3 4" xfId="27038"/>
    <cellStyle name="Normal 14 5 5 4" xfId="17331"/>
    <cellStyle name="Normal 14 5 5 4 2" xfId="39918"/>
    <cellStyle name="Normal 14 5 5 5" xfId="14111"/>
    <cellStyle name="Normal 14 5 5 5 2" xfId="36698"/>
    <cellStyle name="Normal 14 5 5 6" xfId="7671"/>
    <cellStyle name="Normal 14 5 5 6 2" xfId="30258"/>
    <cellStyle name="Normal 14 5 5 7" xfId="23818"/>
    <cellStyle name="Normal 14 5 6" xfId="1607"/>
    <cellStyle name="Normal 14 5 6 2" xfId="4833"/>
    <cellStyle name="Normal 14 5 6 2 2" xfId="20933"/>
    <cellStyle name="Normal 14 5 6 2 2 2" xfId="43520"/>
    <cellStyle name="Normal 14 5 6 2 3" xfId="11273"/>
    <cellStyle name="Normal 14 5 6 2 3 2" xfId="33860"/>
    <cellStyle name="Normal 14 5 6 2 4" xfId="27420"/>
    <cellStyle name="Normal 14 5 6 3" xfId="17713"/>
    <cellStyle name="Normal 14 5 6 3 2" xfId="40300"/>
    <cellStyle name="Normal 14 5 6 4" xfId="14493"/>
    <cellStyle name="Normal 14 5 6 4 2" xfId="37080"/>
    <cellStyle name="Normal 14 5 6 5" xfId="8053"/>
    <cellStyle name="Normal 14 5 6 5 2" xfId="30640"/>
    <cellStyle name="Normal 14 5 6 6" xfId="24200"/>
    <cellStyle name="Normal 14 5 7" xfId="1843"/>
    <cellStyle name="Normal 14 5 7 2" xfId="5065"/>
    <cellStyle name="Normal 14 5 7 2 2" xfId="21165"/>
    <cellStyle name="Normal 14 5 7 2 2 2" xfId="43752"/>
    <cellStyle name="Normal 14 5 7 2 3" xfId="11505"/>
    <cellStyle name="Normal 14 5 7 2 3 2" xfId="34092"/>
    <cellStyle name="Normal 14 5 7 2 4" xfId="27652"/>
    <cellStyle name="Normal 14 5 7 3" xfId="17945"/>
    <cellStyle name="Normal 14 5 7 3 2" xfId="40532"/>
    <cellStyle name="Normal 14 5 7 4" xfId="14725"/>
    <cellStyle name="Normal 14 5 7 4 2" xfId="37312"/>
    <cellStyle name="Normal 14 5 7 5" xfId="8285"/>
    <cellStyle name="Normal 14 5 7 5 2" xfId="30872"/>
    <cellStyle name="Normal 14 5 7 6" xfId="24432"/>
    <cellStyle name="Normal 14 5 8" xfId="2886"/>
    <cellStyle name="Normal 14 5 8 2" xfId="6107"/>
    <cellStyle name="Normal 14 5 8 2 2" xfId="22207"/>
    <cellStyle name="Normal 14 5 8 2 2 2" xfId="44794"/>
    <cellStyle name="Normal 14 5 8 2 3" xfId="12547"/>
    <cellStyle name="Normal 14 5 8 2 3 2" xfId="35134"/>
    <cellStyle name="Normal 14 5 8 2 4" xfId="28694"/>
    <cellStyle name="Normal 14 5 8 3" xfId="18987"/>
    <cellStyle name="Normal 14 5 8 3 2" xfId="41574"/>
    <cellStyle name="Normal 14 5 8 4" xfId="15767"/>
    <cellStyle name="Normal 14 5 8 4 2" xfId="38354"/>
    <cellStyle name="Normal 14 5 8 5" xfId="9327"/>
    <cellStyle name="Normal 14 5 8 5 2" xfId="31914"/>
    <cellStyle name="Normal 14 5 8 6" xfId="25474"/>
    <cellStyle name="Normal 14 5 9" xfId="3177"/>
    <cellStyle name="Normal 14 5 9 2" xfId="6397"/>
    <cellStyle name="Normal 14 5 9 2 2" xfId="22497"/>
    <cellStyle name="Normal 14 5 9 2 2 2" xfId="45084"/>
    <cellStyle name="Normal 14 5 9 2 3" xfId="12837"/>
    <cellStyle name="Normal 14 5 9 2 3 2" xfId="35424"/>
    <cellStyle name="Normal 14 5 9 2 4" xfId="28984"/>
    <cellStyle name="Normal 14 5 9 3" xfId="19277"/>
    <cellStyle name="Normal 14 5 9 3 2" xfId="41864"/>
    <cellStyle name="Normal 14 5 9 4" xfId="16057"/>
    <cellStyle name="Normal 14 5 9 4 2" xfId="38644"/>
    <cellStyle name="Normal 14 5 9 5" xfId="9617"/>
    <cellStyle name="Normal 14 5 9 5 2" xfId="32204"/>
    <cellStyle name="Normal 14 5 9 6" xfId="25764"/>
    <cellStyle name="Normal 14 6" xfId="223"/>
    <cellStyle name="Normal 14 6 10" xfId="510"/>
    <cellStyle name="Normal 14 6 10 2" xfId="3797"/>
    <cellStyle name="Normal 14 6 10 2 2" xfId="19897"/>
    <cellStyle name="Normal 14 6 10 2 2 2" xfId="42484"/>
    <cellStyle name="Normal 14 6 10 2 3" xfId="10237"/>
    <cellStyle name="Normal 14 6 10 2 3 2" xfId="32824"/>
    <cellStyle name="Normal 14 6 10 2 4" xfId="26384"/>
    <cellStyle name="Normal 14 6 10 3" xfId="16677"/>
    <cellStyle name="Normal 14 6 10 3 2" xfId="39264"/>
    <cellStyle name="Normal 14 6 10 4" xfId="13457"/>
    <cellStyle name="Normal 14 6 10 4 2" xfId="36044"/>
    <cellStyle name="Normal 14 6 10 5" xfId="7017"/>
    <cellStyle name="Normal 14 6 10 5 2" xfId="29604"/>
    <cellStyle name="Normal 14 6 10 6" xfId="23164"/>
    <cellStyle name="Normal 14 6 11" xfId="3511"/>
    <cellStyle name="Normal 14 6 11 2" xfId="19611"/>
    <cellStyle name="Normal 14 6 11 2 2" xfId="42198"/>
    <cellStyle name="Normal 14 6 11 3" xfId="9951"/>
    <cellStyle name="Normal 14 6 11 3 2" xfId="32538"/>
    <cellStyle name="Normal 14 6 11 4" xfId="26098"/>
    <cellStyle name="Normal 14 6 12" xfId="16391"/>
    <cellStyle name="Normal 14 6 12 2" xfId="38978"/>
    <cellStyle name="Normal 14 6 13" xfId="13171"/>
    <cellStyle name="Normal 14 6 13 2" xfId="35758"/>
    <cellStyle name="Normal 14 6 14" xfId="6731"/>
    <cellStyle name="Normal 14 6 14 2" xfId="29318"/>
    <cellStyle name="Normal 14 6 15" xfId="22878"/>
    <cellStyle name="Normal 14 6 2" xfId="321"/>
    <cellStyle name="Normal 14 6 2 10" xfId="16488"/>
    <cellStyle name="Normal 14 6 2 10 2" xfId="39075"/>
    <cellStyle name="Normal 14 6 2 11" xfId="13268"/>
    <cellStyle name="Normal 14 6 2 11 2" xfId="35855"/>
    <cellStyle name="Normal 14 6 2 12" xfId="6828"/>
    <cellStyle name="Normal 14 6 2 12 2" xfId="29415"/>
    <cellStyle name="Normal 14 6 2 13" xfId="22975"/>
    <cellStyle name="Normal 14 6 2 2" xfId="1033"/>
    <cellStyle name="Normal 14 6 2 2 2" xfId="2347"/>
    <cellStyle name="Normal 14 6 2 2 2 2" xfId="5568"/>
    <cellStyle name="Normal 14 6 2 2 2 2 2" xfId="21668"/>
    <cellStyle name="Normal 14 6 2 2 2 2 2 2" xfId="44255"/>
    <cellStyle name="Normal 14 6 2 2 2 2 3" xfId="12008"/>
    <cellStyle name="Normal 14 6 2 2 2 2 3 2" xfId="34595"/>
    <cellStyle name="Normal 14 6 2 2 2 2 4" xfId="28155"/>
    <cellStyle name="Normal 14 6 2 2 2 3" xfId="18448"/>
    <cellStyle name="Normal 14 6 2 2 2 3 2" xfId="41035"/>
    <cellStyle name="Normal 14 6 2 2 2 4" xfId="15228"/>
    <cellStyle name="Normal 14 6 2 2 2 4 2" xfId="37815"/>
    <cellStyle name="Normal 14 6 2 2 2 5" xfId="8788"/>
    <cellStyle name="Normal 14 6 2 2 2 5 2" xfId="31375"/>
    <cellStyle name="Normal 14 6 2 2 2 6" xfId="24935"/>
    <cellStyle name="Normal 14 6 2 2 3" xfId="4260"/>
    <cellStyle name="Normal 14 6 2 2 3 2" xfId="20360"/>
    <cellStyle name="Normal 14 6 2 2 3 2 2" xfId="42947"/>
    <cellStyle name="Normal 14 6 2 2 3 3" xfId="10700"/>
    <cellStyle name="Normal 14 6 2 2 3 3 2" xfId="33287"/>
    <cellStyle name="Normal 14 6 2 2 3 4" xfId="26847"/>
    <cellStyle name="Normal 14 6 2 2 4" xfId="17140"/>
    <cellStyle name="Normal 14 6 2 2 4 2" xfId="39727"/>
    <cellStyle name="Normal 14 6 2 2 5" xfId="13920"/>
    <cellStyle name="Normal 14 6 2 2 5 2" xfId="36507"/>
    <cellStyle name="Normal 14 6 2 2 6" xfId="7480"/>
    <cellStyle name="Normal 14 6 2 2 6 2" xfId="30067"/>
    <cellStyle name="Normal 14 6 2 2 7" xfId="23627"/>
    <cellStyle name="Normal 14 6 2 3" xfId="1380"/>
    <cellStyle name="Normal 14 6 2 3 2" xfId="2694"/>
    <cellStyle name="Normal 14 6 2 3 2 2" xfId="5915"/>
    <cellStyle name="Normal 14 6 2 3 2 2 2" xfId="22015"/>
    <cellStyle name="Normal 14 6 2 3 2 2 2 2" xfId="44602"/>
    <cellStyle name="Normal 14 6 2 3 2 2 3" xfId="12355"/>
    <cellStyle name="Normal 14 6 2 3 2 2 3 2" xfId="34942"/>
    <cellStyle name="Normal 14 6 2 3 2 2 4" xfId="28502"/>
    <cellStyle name="Normal 14 6 2 3 2 3" xfId="18795"/>
    <cellStyle name="Normal 14 6 2 3 2 3 2" xfId="41382"/>
    <cellStyle name="Normal 14 6 2 3 2 4" xfId="15575"/>
    <cellStyle name="Normal 14 6 2 3 2 4 2" xfId="38162"/>
    <cellStyle name="Normal 14 6 2 3 2 5" xfId="9135"/>
    <cellStyle name="Normal 14 6 2 3 2 5 2" xfId="31722"/>
    <cellStyle name="Normal 14 6 2 3 2 6" xfId="25282"/>
    <cellStyle name="Normal 14 6 2 3 3" xfId="4607"/>
    <cellStyle name="Normal 14 6 2 3 3 2" xfId="20707"/>
    <cellStyle name="Normal 14 6 2 3 3 2 2" xfId="43294"/>
    <cellStyle name="Normal 14 6 2 3 3 3" xfId="11047"/>
    <cellStyle name="Normal 14 6 2 3 3 3 2" xfId="33634"/>
    <cellStyle name="Normal 14 6 2 3 3 4" xfId="27194"/>
    <cellStyle name="Normal 14 6 2 3 4" xfId="17487"/>
    <cellStyle name="Normal 14 6 2 3 4 2" xfId="40074"/>
    <cellStyle name="Normal 14 6 2 3 5" xfId="14267"/>
    <cellStyle name="Normal 14 6 2 3 5 2" xfId="36854"/>
    <cellStyle name="Normal 14 6 2 3 6" xfId="7827"/>
    <cellStyle name="Normal 14 6 2 3 6 2" xfId="30414"/>
    <cellStyle name="Normal 14 6 2 3 7" xfId="23974"/>
    <cellStyle name="Normal 14 6 2 4" xfId="1608"/>
    <cellStyle name="Normal 14 6 2 4 2" xfId="4834"/>
    <cellStyle name="Normal 14 6 2 4 2 2" xfId="20934"/>
    <cellStyle name="Normal 14 6 2 4 2 2 2" xfId="43521"/>
    <cellStyle name="Normal 14 6 2 4 2 3" xfId="11274"/>
    <cellStyle name="Normal 14 6 2 4 2 3 2" xfId="33861"/>
    <cellStyle name="Normal 14 6 2 4 2 4" xfId="27421"/>
    <cellStyle name="Normal 14 6 2 4 3" xfId="17714"/>
    <cellStyle name="Normal 14 6 2 4 3 2" xfId="40301"/>
    <cellStyle name="Normal 14 6 2 4 4" xfId="14494"/>
    <cellStyle name="Normal 14 6 2 4 4 2" xfId="37081"/>
    <cellStyle name="Normal 14 6 2 4 5" xfId="8054"/>
    <cellStyle name="Normal 14 6 2 4 5 2" xfId="30641"/>
    <cellStyle name="Normal 14 6 2 4 6" xfId="24201"/>
    <cellStyle name="Normal 14 6 2 5" xfId="1999"/>
    <cellStyle name="Normal 14 6 2 5 2" xfId="5221"/>
    <cellStyle name="Normal 14 6 2 5 2 2" xfId="21321"/>
    <cellStyle name="Normal 14 6 2 5 2 2 2" xfId="43908"/>
    <cellStyle name="Normal 14 6 2 5 2 3" xfId="11661"/>
    <cellStyle name="Normal 14 6 2 5 2 3 2" xfId="34248"/>
    <cellStyle name="Normal 14 6 2 5 2 4" xfId="27808"/>
    <cellStyle name="Normal 14 6 2 5 3" xfId="18101"/>
    <cellStyle name="Normal 14 6 2 5 3 2" xfId="40688"/>
    <cellStyle name="Normal 14 6 2 5 4" xfId="14881"/>
    <cellStyle name="Normal 14 6 2 5 4 2" xfId="37468"/>
    <cellStyle name="Normal 14 6 2 5 5" xfId="8441"/>
    <cellStyle name="Normal 14 6 2 5 5 2" xfId="31028"/>
    <cellStyle name="Normal 14 6 2 5 6" xfId="24588"/>
    <cellStyle name="Normal 14 6 2 6" xfId="3028"/>
    <cellStyle name="Normal 14 6 2 6 2" xfId="6248"/>
    <cellStyle name="Normal 14 6 2 6 2 2" xfId="22348"/>
    <cellStyle name="Normal 14 6 2 6 2 2 2" xfId="44935"/>
    <cellStyle name="Normal 14 6 2 6 2 3" xfId="12688"/>
    <cellStyle name="Normal 14 6 2 6 2 3 2" xfId="35275"/>
    <cellStyle name="Normal 14 6 2 6 2 4" xfId="28835"/>
    <cellStyle name="Normal 14 6 2 6 3" xfId="19128"/>
    <cellStyle name="Normal 14 6 2 6 3 2" xfId="41715"/>
    <cellStyle name="Normal 14 6 2 6 4" xfId="15908"/>
    <cellStyle name="Normal 14 6 2 6 4 2" xfId="38495"/>
    <cellStyle name="Normal 14 6 2 6 5" xfId="9468"/>
    <cellStyle name="Normal 14 6 2 6 5 2" xfId="32055"/>
    <cellStyle name="Normal 14 6 2 6 6" xfId="25615"/>
    <cellStyle name="Normal 14 6 2 7" xfId="3318"/>
    <cellStyle name="Normal 14 6 2 7 2" xfId="6538"/>
    <cellStyle name="Normal 14 6 2 7 2 2" xfId="22638"/>
    <cellStyle name="Normal 14 6 2 7 2 2 2" xfId="45225"/>
    <cellStyle name="Normal 14 6 2 7 2 3" xfId="12978"/>
    <cellStyle name="Normal 14 6 2 7 2 3 2" xfId="35565"/>
    <cellStyle name="Normal 14 6 2 7 2 4" xfId="29125"/>
    <cellStyle name="Normal 14 6 2 7 3" xfId="19418"/>
    <cellStyle name="Normal 14 6 2 7 3 2" xfId="42005"/>
    <cellStyle name="Normal 14 6 2 7 4" xfId="16198"/>
    <cellStyle name="Normal 14 6 2 7 4 2" xfId="38785"/>
    <cellStyle name="Normal 14 6 2 7 5" xfId="9758"/>
    <cellStyle name="Normal 14 6 2 7 5 2" xfId="32345"/>
    <cellStyle name="Normal 14 6 2 7 6" xfId="25905"/>
    <cellStyle name="Normal 14 6 2 8" xfId="669"/>
    <cellStyle name="Normal 14 6 2 8 2" xfId="3913"/>
    <cellStyle name="Normal 14 6 2 8 2 2" xfId="20013"/>
    <cellStyle name="Normal 14 6 2 8 2 2 2" xfId="42600"/>
    <cellStyle name="Normal 14 6 2 8 2 3" xfId="10353"/>
    <cellStyle name="Normal 14 6 2 8 2 3 2" xfId="32940"/>
    <cellStyle name="Normal 14 6 2 8 2 4" xfId="26500"/>
    <cellStyle name="Normal 14 6 2 8 3" xfId="16793"/>
    <cellStyle name="Normal 14 6 2 8 3 2" xfId="39380"/>
    <cellStyle name="Normal 14 6 2 8 4" xfId="13573"/>
    <cellStyle name="Normal 14 6 2 8 4 2" xfId="36160"/>
    <cellStyle name="Normal 14 6 2 8 5" xfId="7133"/>
    <cellStyle name="Normal 14 6 2 8 5 2" xfId="29720"/>
    <cellStyle name="Normal 14 6 2 8 6" xfId="23280"/>
    <cellStyle name="Normal 14 6 2 9" xfId="3608"/>
    <cellStyle name="Normal 14 6 2 9 2" xfId="19708"/>
    <cellStyle name="Normal 14 6 2 9 2 2" xfId="42295"/>
    <cellStyle name="Normal 14 6 2 9 3" xfId="10048"/>
    <cellStyle name="Normal 14 6 2 9 3 2" xfId="32635"/>
    <cellStyle name="Normal 14 6 2 9 4" xfId="26195"/>
    <cellStyle name="Normal 14 6 3" xfId="417"/>
    <cellStyle name="Normal 14 6 3 10" xfId="16584"/>
    <cellStyle name="Normal 14 6 3 10 2" xfId="39171"/>
    <cellStyle name="Normal 14 6 3 11" xfId="13364"/>
    <cellStyle name="Normal 14 6 3 11 2" xfId="35951"/>
    <cellStyle name="Normal 14 6 3 12" xfId="6924"/>
    <cellStyle name="Normal 14 6 3 12 2" xfId="29511"/>
    <cellStyle name="Normal 14 6 3 13" xfId="23071"/>
    <cellStyle name="Normal 14 6 3 2" xfId="1117"/>
    <cellStyle name="Normal 14 6 3 2 2" xfId="2431"/>
    <cellStyle name="Normal 14 6 3 2 2 2" xfId="5652"/>
    <cellStyle name="Normal 14 6 3 2 2 2 2" xfId="21752"/>
    <cellStyle name="Normal 14 6 3 2 2 2 2 2" xfId="44339"/>
    <cellStyle name="Normal 14 6 3 2 2 2 3" xfId="12092"/>
    <cellStyle name="Normal 14 6 3 2 2 2 3 2" xfId="34679"/>
    <cellStyle name="Normal 14 6 3 2 2 2 4" xfId="28239"/>
    <cellStyle name="Normal 14 6 3 2 2 3" xfId="18532"/>
    <cellStyle name="Normal 14 6 3 2 2 3 2" xfId="41119"/>
    <cellStyle name="Normal 14 6 3 2 2 4" xfId="15312"/>
    <cellStyle name="Normal 14 6 3 2 2 4 2" xfId="37899"/>
    <cellStyle name="Normal 14 6 3 2 2 5" xfId="8872"/>
    <cellStyle name="Normal 14 6 3 2 2 5 2" xfId="31459"/>
    <cellStyle name="Normal 14 6 3 2 2 6" xfId="25019"/>
    <cellStyle name="Normal 14 6 3 2 3" xfId="4344"/>
    <cellStyle name="Normal 14 6 3 2 3 2" xfId="20444"/>
    <cellStyle name="Normal 14 6 3 2 3 2 2" xfId="43031"/>
    <cellStyle name="Normal 14 6 3 2 3 3" xfId="10784"/>
    <cellStyle name="Normal 14 6 3 2 3 3 2" xfId="33371"/>
    <cellStyle name="Normal 14 6 3 2 3 4" xfId="26931"/>
    <cellStyle name="Normal 14 6 3 2 4" xfId="17224"/>
    <cellStyle name="Normal 14 6 3 2 4 2" xfId="39811"/>
    <cellStyle name="Normal 14 6 3 2 5" xfId="14004"/>
    <cellStyle name="Normal 14 6 3 2 5 2" xfId="36591"/>
    <cellStyle name="Normal 14 6 3 2 6" xfId="7564"/>
    <cellStyle name="Normal 14 6 3 2 6 2" xfId="30151"/>
    <cellStyle name="Normal 14 6 3 2 7" xfId="23711"/>
    <cellStyle name="Normal 14 6 3 3" xfId="1464"/>
    <cellStyle name="Normal 14 6 3 3 2" xfId="2778"/>
    <cellStyle name="Normal 14 6 3 3 2 2" xfId="5999"/>
    <cellStyle name="Normal 14 6 3 3 2 2 2" xfId="22099"/>
    <cellStyle name="Normal 14 6 3 3 2 2 2 2" xfId="44686"/>
    <cellStyle name="Normal 14 6 3 3 2 2 3" xfId="12439"/>
    <cellStyle name="Normal 14 6 3 3 2 2 3 2" xfId="35026"/>
    <cellStyle name="Normal 14 6 3 3 2 2 4" xfId="28586"/>
    <cellStyle name="Normal 14 6 3 3 2 3" xfId="18879"/>
    <cellStyle name="Normal 14 6 3 3 2 3 2" xfId="41466"/>
    <cellStyle name="Normal 14 6 3 3 2 4" xfId="15659"/>
    <cellStyle name="Normal 14 6 3 3 2 4 2" xfId="38246"/>
    <cellStyle name="Normal 14 6 3 3 2 5" xfId="9219"/>
    <cellStyle name="Normal 14 6 3 3 2 5 2" xfId="31806"/>
    <cellStyle name="Normal 14 6 3 3 2 6" xfId="25366"/>
    <cellStyle name="Normal 14 6 3 3 3" xfId="4691"/>
    <cellStyle name="Normal 14 6 3 3 3 2" xfId="20791"/>
    <cellStyle name="Normal 14 6 3 3 3 2 2" xfId="43378"/>
    <cellStyle name="Normal 14 6 3 3 3 3" xfId="11131"/>
    <cellStyle name="Normal 14 6 3 3 3 3 2" xfId="33718"/>
    <cellStyle name="Normal 14 6 3 3 3 4" xfId="27278"/>
    <cellStyle name="Normal 14 6 3 3 4" xfId="17571"/>
    <cellStyle name="Normal 14 6 3 3 4 2" xfId="40158"/>
    <cellStyle name="Normal 14 6 3 3 5" xfId="14351"/>
    <cellStyle name="Normal 14 6 3 3 5 2" xfId="36938"/>
    <cellStyle name="Normal 14 6 3 3 6" xfId="7911"/>
    <cellStyle name="Normal 14 6 3 3 6 2" xfId="30498"/>
    <cellStyle name="Normal 14 6 3 3 7" xfId="24058"/>
    <cellStyle name="Normal 14 6 3 4" xfId="1609"/>
    <cellStyle name="Normal 14 6 3 4 2" xfId="4835"/>
    <cellStyle name="Normal 14 6 3 4 2 2" xfId="20935"/>
    <cellStyle name="Normal 14 6 3 4 2 2 2" xfId="43522"/>
    <cellStyle name="Normal 14 6 3 4 2 3" xfId="11275"/>
    <cellStyle name="Normal 14 6 3 4 2 3 2" xfId="33862"/>
    <cellStyle name="Normal 14 6 3 4 2 4" xfId="27422"/>
    <cellStyle name="Normal 14 6 3 4 3" xfId="17715"/>
    <cellStyle name="Normal 14 6 3 4 3 2" xfId="40302"/>
    <cellStyle name="Normal 14 6 3 4 4" xfId="14495"/>
    <cellStyle name="Normal 14 6 3 4 4 2" xfId="37082"/>
    <cellStyle name="Normal 14 6 3 4 5" xfId="8055"/>
    <cellStyle name="Normal 14 6 3 4 5 2" xfId="30642"/>
    <cellStyle name="Normal 14 6 3 4 6" xfId="24202"/>
    <cellStyle name="Normal 14 6 3 5" xfId="2084"/>
    <cellStyle name="Normal 14 6 3 5 2" xfId="5305"/>
    <cellStyle name="Normal 14 6 3 5 2 2" xfId="21405"/>
    <cellStyle name="Normal 14 6 3 5 2 2 2" xfId="43992"/>
    <cellStyle name="Normal 14 6 3 5 2 3" xfId="11745"/>
    <cellStyle name="Normal 14 6 3 5 2 3 2" xfId="34332"/>
    <cellStyle name="Normal 14 6 3 5 2 4" xfId="27892"/>
    <cellStyle name="Normal 14 6 3 5 3" xfId="18185"/>
    <cellStyle name="Normal 14 6 3 5 3 2" xfId="40772"/>
    <cellStyle name="Normal 14 6 3 5 4" xfId="14965"/>
    <cellStyle name="Normal 14 6 3 5 4 2" xfId="37552"/>
    <cellStyle name="Normal 14 6 3 5 5" xfId="8525"/>
    <cellStyle name="Normal 14 6 3 5 5 2" xfId="31112"/>
    <cellStyle name="Normal 14 6 3 5 6" xfId="24672"/>
    <cellStyle name="Normal 14 6 3 6" xfId="3124"/>
    <cellStyle name="Normal 14 6 3 6 2" xfId="6344"/>
    <cellStyle name="Normal 14 6 3 6 2 2" xfId="22444"/>
    <cellStyle name="Normal 14 6 3 6 2 2 2" xfId="45031"/>
    <cellStyle name="Normal 14 6 3 6 2 3" xfId="12784"/>
    <cellStyle name="Normal 14 6 3 6 2 3 2" xfId="35371"/>
    <cellStyle name="Normal 14 6 3 6 2 4" xfId="28931"/>
    <cellStyle name="Normal 14 6 3 6 3" xfId="19224"/>
    <cellStyle name="Normal 14 6 3 6 3 2" xfId="41811"/>
    <cellStyle name="Normal 14 6 3 6 4" xfId="16004"/>
    <cellStyle name="Normal 14 6 3 6 4 2" xfId="38591"/>
    <cellStyle name="Normal 14 6 3 6 5" xfId="9564"/>
    <cellStyle name="Normal 14 6 3 6 5 2" xfId="32151"/>
    <cellStyle name="Normal 14 6 3 6 6" xfId="25711"/>
    <cellStyle name="Normal 14 6 3 7" xfId="3414"/>
    <cellStyle name="Normal 14 6 3 7 2" xfId="6634"/>
    <cellStyle name="Normal 14 6 3 7 2 2" xfId="22734"/>
    <cellStyle name="Normal 14 6 3 7 2 2 2" xfId="45321"/>
    <cellStyle name="Normal 14 6 3 7 2 3" xfId="13074"/>
    <cellStyle name="Normal 14 6 3 7 2 3 2" xfId="35661"/>
    <cellStyle name="Normal 14 6 3 7 2 4" xfId="29221"/>
    <cellStyle name="Normal 14 6 3 7 3" xfId="19514"/>
    <cellStyle name="Normal 14 6 3 7 3 2" xfId="42101"/>
    <cellStyle name="Normal 14 6 3 7 4" xfId="16294"/>
    <cellStyle name="Normal 14 6 3 7 4 2" xfId="38881"/>
    <cellStyle name="Normal 14 6 3 7 5" xfId="9854"/>
    <cellStyle name="Normal 14 6 3 7 5 2" xfId="32441"/>
    <cellStyle name="Normal 14 6 3 7 6" xfId="26001"/>
    <cellStyle name="Normal 14 6 3 8" xfId="765"/>
    <cellStyle name="Normal 14 6 3 8 2" xfId="3997"/>
    <cellStyle name="Normal 14 6 3 8 2 2" xfId="20097"/>
    <cellStyle name="Normal 14 6 3 8 2 2 2" xfId="42684"/>
    <cellStyle name="Normal 14 6 3 8 2 3" xfId="10437"/>
    <cellStyle name="Normal 14 6 3 8 2 3 2" xfId="33024"/>
    <cellStyle name="Normal 14 6 3 8 2 4" xfId="26584"/>
    <cellStyle name="Normal 14 6 3 8 3" xfId="16877"/>
    <cellStyle name="Normal 14 6 3 8 3 2" xfId="39464"/>
    <cellStyle name="Normal 14 6 3 8 4" xfId="13657"/>
    <cellStyle name="Normal 14 6 3 8 4 2" xfId="36244"/>
    <cellStyle name="Normal 14 6 3 8 5" xfId="7217"/>
    <cellStyle name="Normal 14 6 3 8 5 2" xfId="29804"/>
    <cellStyle name="Normal 14 6 3 8 6" xfId="23364"/>
    <cellStyle name="Normal 14 6 3 9" xfId="3704"/>
    <cellStyle name="Normal 14 6 3 9 2" xfId="19804"/>
    <cellStyle name="Normal 14 6 3 9 2 2" xfId="42391"/>
    <cellStyle name="Normal 14 6 3 9 3" xfId="10144"/>
    <cellStyle name="Normal 14 6 3 9 3 2" xfId="32731"/>
    <cellStyle name="Normal 14 6 3 9 4" xfId="26291"/>
    <cellStyle name="Normal 14 6 4" xfId="912"/>
    <cellStyle name="Normal 14 6 4 2" xfId="2231"/>
    <cellStyle name="Normal 14 6 4 2 2" xfId="5452"/>
    <cellStyle name="Normal 14 6 4 2 2 2" xfId="21552"/>
    <cellStyle name="Normal 14 6 4 2 2 2 2" xfId="44139"/>
    <cellStyle name="Normal 14 6 4 2 2 3" xfId="11892"/>
    <cellStyle name="Normal 14 6 4 2 2 3 2" xfId="34479"/>
    <cellStyle name="Normal 14 6 4 2 2 4" xfId="28039"/>
    <cellStyle name="Normal 14 6 4 2 3" xfId="18332"/>
    <cellStyle name="Normal 14 6 4 2 3 2" xfId="40919"/>
    <cellStyle name="Normal 14 6 4 2 4" xfId="15112"/>
    <cellStyle name="Normal 14 6 4 2 4 2" xfId="37699"/>
    <cellStyle name="Normal 14 6 4 2 5" xfId="8672"/>
    <cellStyle name="Normal 14 6 4 2 5 2" xfId="31259"/>
    <cellStyle name="Normal 14 6 4 2 6" xfId="24819"/>
    <cellStyle name="Normal 14 6 4 3" xfId="4144"/>
    <cellStyle name="Normal 14 6 4 3 2" xfId="20244"/>
    <cellStyle name="Normal 14 6 4 3 2 2" xfId="42831"/>
    <cellStyle name="Normal 14 6 4 3 3" xfId="10584"/>
    <cellStyle name="Normal 14 6 4 3 3 2" xfId="33171"/>
    <cellStyle name="Normal 14 6 4 3 4" xfId="26731"/>
    <cellStyle name="Normal 14 6 4 4" xfId="17024"/>
    <cellStyle name="Normal 14 6 4 4 2" xfId="39611"/>
    <cellStyle name="Normal 14 6 4 5" xfId="13804"/>
    <cellStyle name="Normal 14 6 4 5 2" xfId="36391"/>
    <cellStyle name="Normal 14 6 4 6" xfId="7364"/>
    <cellStyle name="Normal 14 6 4 6 2" xfId="29951"/>
    <cellStyle name="Normal 14 6 4 7" xfId="23511"/>
    <cellStyle name="Normal 14 6 5" xfId="1264"/>
    <cellStyle name="Normal 14 6 5 2" xfId="2578"/>
    <cellStyle name="Normal 14 6 5 2 2" xfId="5799"/>
    <cellStyle name="Normal 14 6 5 2 2 2" xfId="21899"/>
    <cellStyle name="Normal 14 6 5 2 2 2 2" xfId="44486"/>
    <cellStyle name="Normal 14 6 5 2 2 3" xfId="12239"/>
    <cellStyle name="Normal 14 6 5 2 2 3 2" xfId="34826"/>
    <cellStyle name="Normal 14 6 5 2 2 4" xfId="28386"/>
    <cellStyle name="Normal 14 6 5 2 3" xfId="18679"/>
    <cellStyle name="Normal 14 6 5 2 3 2" xfId="41266"/>
    <cellStyle name="Normal 14 6 5 2 4" xfId="15459"/>
    <cellStyle name="Normal 14 6 5 2 4 2" xfId="38046"/>
    <cellStyle name="Normal 14 6 5 2 5" xfId="9019"/>
    <cellStyle name="Normal 14 6 5 2 5 2" xfId="31606"/>
    <cellStyle name="Normal 14 6 5 2 6" xfId="25166"/>
    <cellStyle name="Normal 14 6 5 3" xfId="4491"/>
    <cellStyle name="Normal 14 6 5 3 2" xfId="20591"/>
    <cellStyle name="Normal 14 6 5 3 2 2" xfId="43178"/>
    <cellStyle name="Normal 14 6 5 3 3" xfId="10931"/>
    <cellStyle name="Normal 14 6 5 3 3 2" xfId="33518"/>
    <cellStyle name="Normal 14 6 5 3 4" xfId="27078"/>
    <cellStyle name="Normal 14 6 5 4" xfId="17371"/>
    <cellStyle name="Normal 14 6 5 4 2" xfId="39958"/>
    <cellStyle name="Normal 14 6 5 5" xfId="14151"/>
    <cellStyle name="Normal 14 6 5 5 2" xfId="36738"/>
    <cellStyle name="Normal 14 6 5 6" xfId="7711"/>
    <cellStyle name="Normal 14 6 5 6 2" xfId="30298"/>
    <cellStyle name="Normal 14 6 5 7" xfId="23858"/>
    <cellStyle name="Normal 14 6 6" xfId="1610"/>
    <cellStyle name="Normal 14 6 6 2" xfId="4836"/>
    <cellStyle name="Normal 14 6 6 2 2" xfId="20936"/>
    <cellStyle name="Normal 14 6 6 2 2 2" xfId="43523"/>
    <cellStyle name="Normal 14 6 6 2 3" xfId="11276"/>
    <cellStyle name="Normal 14 6 6 2 3 2" xfId="33863"/>
    <cellStyle name="Normal 14 6 6 2 4" xfId="27423"/>
    <cellStyle name="Normal 14 6 6 3" xfId="17716"/>
    <cellStyle name="Normal 14 6 6 3 2" xfId="40303"/>
    <cellStyle name="Normal 14 6 6 4" xfId="14496"/>
    <cellStyle name="Normal 14 6 6 4 2" xfId="37083"/>
    <cellStyle name="Normal 14 6 6 5" xfId="8056"/>
    <cellStyle name="Normal 14 6 6 5 2" xfId="30643"/>
    <cellStyle name="Normal 14 6 6 6" xfId="24203"/>
    <cellStyle name="Normal 14 6 7" xfId="1883"/>
    <cellStyle name="Normal 14 6 7 2" xfId="5105"/>
    <cellStyle name="Normal 14 6 7 2 2" xfId="21205"/>
    <cellStyle name="Normal 14 6 7 2 2 2" xfId="43792"/>
    <cellStyle name="Normal 14 6 7 2 3" xfId="11545"/>
    <cellStyle name="Normal 14 6 7 2 3 2" xfId="34132"/>
    <cellStyle name="Normal 14 6 7 2 4" xfId="27692"/>
    <cellStyle name="Normal 14 6 7 3" xfId="17985"/>
    <cellStyle name="Normal 14 6 7 3 2" xfId="40572"/>
    <cellStyle name="Normal 14 6 7 4" xfId="14765"/>
    <cellStyle name="Normal 14 6 7 4 2" xfId="37352"/>
    <cellStyle name="Normal 14 6 7 5" xfId="8325"/>
    <cellStyle name="Normal 14 6 7 5 2" xfId="30912"/>
    <cellStyle name="Normal 14 6 7 6" xfId="24472"/>
    <cellStyle name="Normal 14 6 8" xfId="2930"/>
    <cellStyle name="Normal 14 6 8 2" xfId="6151"/>
    <cellStyle name="Normal 14 6 8 2 2" xfId="22251"/>
    <cellStyle name="Normal 14 6 8 2 2 2" xfId="44838"/>
    <cellStyle name="Normal 14 6 8 2 3" xfId="12591"/>
    <cellStyle name="Normal 14 6 8 2 3 2" xfId="35178"/>
    <cellStyle name="Normal 14 6 8 2 4" xfId="28738"/>
    <cellStyle name="Normal 14 6 8 3" xfId="19031"/>
    <cellStyle name="Normal 14 6 8 3 2" xfId="41618"/>
    <cellStyle name="Normal 14 6 8 4" xfId="15811"/>
    <cellStyle name="Normal 14 6 8 4 2" xfId="38398"/>
    <cellStyle name="Normal 14 6 8 5" xfId="9371"/>
    <cellStyle name="Normal 14 6 8 5 2" xfId="31958"/>
    <cellStyle name="Normal 14 6 8 6" xfId="25518"/>
    <cellStyle name="Normal 14 6 9" xfId="3221"/>
    <cellStyle name="Normal 14 6 9 2" xfId="6441"/>
    <cellStyle name="Normal 14 6 9 2 2" xfId="22541"/>
    <cellStyle name="Normal 14 6 9 2 2 2" xfId="45128"/>
    <cellStyle name="Normal 14 6 9 2 3" xfId="12881"/>
    <cellStyle name="Normal 14 6 9 2 3 2" xfId="35468"/>
    <cellStyle name="Normal 14 6 9 2 4" xfId="29028"/>
    <cellStyle name="Normal 14 6 9 3" xfId="19321"/>
    <cellStyle name="Normal 14 6 9 3 2" xfId="41908"/>
    <cellStyle name="Normal 14 6 9 4" xfId="16101"/>
    <cellStyle name="Normal 14 6 9 4 2" xfId="38688"/>
    <cellStyle name="Normal 14 6 9 5" xfId="9661"/>
    <cellStyle name="Normal 14 6 9 5 2" xfId="32248"/>
    <cellStyle name="Normal 14 6 9 6" xfId="25808"/>
    <cellStyle name="Normal 14 7" xfId="242"/>
    <cellStyle name="Normal 14 7 10" xfId="16410"/>
    <cellStyle name="Normal 14 7 10 2" xfId="38997"/>
    <cellStyle name="Normal 14 7 11" xfId="13190"/>
    <cellStyle name="Normal 14 7 11 2" xfId="35777"/>
    <cellStyle name="Normal 14 7 12" xfId="6750"/>
    <cellStyle name="Normal 14 7 12 2" xfId="29337"/>
    <cellStyle name="Normal 14 7 13" xfId="22897"/>
    <cellStyle name="Normal 14 7 2" xfId="961"/>
    <cellStyle name="Normal 14 7 2 2" xfId="2280"/>
    <cellStyle name="Normal 14 7 2 2 2" xfId="5501"/>
    <cellStyle name="Normal 14 7 2 2 2 2" xfId="21601"/>
    <cellStyle name="Normal 14 7 2 2 2 2 2" xfId="44188"/>
    <cellStyle name="Normal 14 7 2 2 2 3" xfId="11941"/>
    <cellStyle name="Normal 14 7 2 2 2 3 2" xfId="34528"/>
    <cellStyle name="Normal 14 7 2 2 2 4" xfId="28088"/>
    <cellStyle name="Normal 14 7 2 2 3" xfId="18381"/>
    <cellStyle name="Normal 14 7 2 2 3 2" xfId="40968"/>
    <cellStyle name="Normal 14 7 2 2 4" xfId="15161"/>
    <cellStyle name="Normal 14 7 2 2 4 2" xfId="37748"/>
    <cellStyle name="Normal 14 7 2 2 5" xfId="8721"/>
    <cellStyle name="Normal 14 7 2 2 5 2" xfId="31308"/>
    <cellStyle name="Normal 14 7 2 2 6" xfId="24868"/>
    <cellStyle name="Normal 14 7 2 3" xfId="4193"/>
    <cellStyle name="Normal 14 7 2 3 2" xfId="20293"/>
    <cellStyle name="Normal 14 7 2 3 2 2" xfId="42880"/>
    <cellStyle name="Normal 14 7 2 3 3" xfId="10633"/>
    <cellStyle name="Normal 14 7 2 3 3 2" xfId="33220"/>
    <cellStyle name="Normal 14 7 2 3 4" xfId="26780"/>
    <cellStyle name="Normal 14 7 2 4" xfId="17073"/>
    <cellStyle name="Normal 14 7 2 4 2" xfId="39660"/>
    <cellStyle name="Normal 14 7 2 5" xfId="13853"/>
    <cellStyle name="Normal 14 7 2 5 2" xfId="36440"/>
    <cellStyle name="Normal 14 7 2 6" xfId="7413"/>
    <cellStyle name="Normal 14 7 2 6 2" xfId="30000"/>
    <cellStyle name="Normal 14 7 2 7" xfId="23560"/>
    <cellStyle name="Normal 14 7 3" xfId="1313"/>
    <cellStyle name="Normal 14 7 3 2" xfId="2627"/>
    <cellStyle name="Normal 14 7 3 2 2" xfId="5848"/>
    <cellStyle name="Normal 14 7 3 2 2 2" xfId="21948"/>
    <cellStyle name="Normal 14 7 3 2 2 2 2" xfId="44535"/>
    <cellStyle name="Normal 14 7 3 2 2 3" xfId="12288"/>
    <cellStyle name="Normal 14 7 3 2 2 3 2" xfId="34875"/>
    <cellStyle name="Normal 14 7 3 2 2 4" xfId="28435"/>
    <cellStyle name="Normal 14 7 3 2 3" xfId="18728"/>
    <cellStyle name="Normal 14 7 3 2 3 2" xfId="41315"/>
    <cellStyle name="Normal 14 7 3 2 4" xfId="15508"/>
    <cellStyle name="Normal 14 7 3 2 4 2" xfId="38095"/>
    <cellStyle name="Normal 14 7 3 2 5" xfId="9068"/>
    <cellStyle name="Normal 14 7 3 2 5 2" xfId="31655"/>
    <cellStyle name="Normal 14 7 3 2 6" xfId="25215"/>
    <cellStyle name="Normal 14 7 3 3" xfId="4540"/>
    <cellStyle name="Normal 14 7 3 3 2" xfId="20640"/>
    <cellStyle name="Normal 14 7 3 3 2 2" xfId="43227"/>
    <cellStyle name="Normal 14 7 3 3 3" xfId="10980"/>
    <cellStyle name="Normal 14 7 3 3 3 2" xfId="33567"/>
    <cellStyle name="Normal 14 7 3 3 4" xfId="27127"/>
    <cellStyle name="Normal 14 7 3 4" xfId="17420"/>
    <cellStyle name="Normal 14 7 3 4 2" xfId="40007"/>
    <cellStyle name="Normal 14 7 3 5" xfId="14200"/>
    <cellStyle name="Normal 14 7 3 5 2" xfId="36787"/>
    <cellStyle name="Normal 14 7 3 6" xfId="7760"/>
    <cellStyle name="Normal 14 7 3 6 2" xfId="30347"/>
    <cellStyle name="Normal 14 7 3 7" xfId="23907"/>
    <cellStyle name="Normal 14 7 4" xfId="1611"/>
    <cellStyle name="Normal 14 7 4 2" xfId="4837"/>
    <cellStyle name="Normal 14 7 4 2 2" xfId="20937"/>
    <cellStyle name="Normal 14 7 4 2 2 2" xfId="43524"/>
    <cellStyle name="Normal 14 7 4 2 3" xfId="11277"/>
    <cellStyle name="Normal 14 7 4 2 3 2" xfId="33864"/>
    <cellStyle name="Normal 14 7 4 2 4" xfId="27424"/>
    <cellStyle name="Normal 14 7 4 3" xfId="17717"/>
    <cellStyle name="Normal 14 7 4 3 2" xfId="40304"/>
    <cellStyle name="Normal 14 7 4 4" xfId="14497"/>
    <cellStyle name="Normal 14 7 4 4 2" xfId="37084"/>
    <cellStyle name="Normal 14 7 4 5" xfId="8057"/>
    <cellStyle name="Normal 14 7 4 5 2" xfId="30644"/>
    <cellStyle name="Normal 14 7 4 6" xfId="24204"/>
    <cellStyle name="Normal 14 7 5" xfId="1932"/>
    <cellStyle name="Normal 14 7 5 2" xfId="5154"/>
    <cellStyle name="Normal 14 7 5 2 2" xfId="21254"/>
    <cellStyle name="Normal 14 7 5 2 2 2" xfId="43841"/>
    <cellStyle name="Normal 14 7 5 2 3" xfId="11594"/>
    <cellStyle name="Normal 14 7 5 2 3 2" xfId="34181"/>
    <cellStyle name="Normal 14 7 5 2 4" xfId="27741"/>
    <cellStyle name="Normal 14 7 5 3" xfId="18034"/>
    <cellStyle name="Normal 14 7 5 3 2" xfId="40621"/>
    <cellStyle name="Normal 14 7 5 4" xfId="14814"/>
    <cellStyle name="Normal 14 7 5 4 2" xfId="37401"/>
    <cellStyle name="Normal 14 7 5 5" xfId="8374"/>
    <cellStyle name="Normal 14 7 5 5 2" xfId="30961"/>
    <cellStyle name="Normal 14 7 5 6" xfId="24521"/>
    <cellStyle name="Normal 14 7 6" xfId="2949"/>
    <cellStyle name="Normal 14 7 6 2" xfId="6170"/>
    <cellStyle name="Normal 14 7 6 2 2" xfId="22270"/>
    <cellStyle name="Normal 14 7 6 2 2 2" xfId="44857"/>
    <cellStyle name="Normal 14 7 6 2 3" xfId="12610"/>
    <cellStyle name="Normal 14 7 6 2 3 2" xfId="35197"/>
    <cellStyle name="Normal 14 7 6 2 4" xfId="28757"/>
    <cellStyle name="Normal 14 7 6 3" xfId="19050"/>
    <cellStyle name="Normal 14 7 6 3 2" xfId="41637"/>
    <cellStyle name="Normal 14 7 6 4" xfId="15830"/>
    <cellStyle name="Normal 14 7 6 4 2" xfId="38417"/>
    <cellStyle name="Normal 14 7 6 5" xfId="9390"/>
    <cellStyle name="Normal 14 7 6 5 2" xfId="31977"/>
    <cellStyle name="Normal 14 7 6 6" xfId="25537"/>
    <cellStyle name="Normal 14 7 7" xfId="3240"/>
    <cellStyle name="Normal 14 7 7 2" xfId="6460"/>
    <cellStyle name="Normal 14 7 7 2 2" xfId="22560"/>
    <cellStyle name="Normal 14 7 7 2 2 2" xfId="45147"/>
    <cellStyle name="Normal 14 7 7 2 3" xfId="12900"/>
    <cellStyle name="Normal 14 7 7 2 3 2" xfId="35487"/>
    <cellStyle name="Normal 14 7 7 2 4" xfId="29047"/>
    <cellStyle name="Normal 14 7 7 3" xfId="19340"/>
    <cellStyle name="Normal 14 7 7 3 2" xfId="41927"/>
    <cellStyle name="Normal 14 7 7 4" xfId="16120"/>
    <cellStyle name="Normal 14 7 7 4 2" xfId="38707"/>
    <cellStyle name="Normal 14 7 7 5" xfId="9680"/>
    <cellStyle name="Normal 14 7 7 5 2" xfId="32267"/>
    <cellStyle name="Normal 14 7 7 6" xfId="25827"/>
    <cellStyle name="Normal 14 7 8" xfId="575"/>
    <cellStyle name="Normal 14 7 8 2" xfId="3846"/>
    <cellStyle name="Normal 14 7 8 2 2" xfId="19946"/>
    <cellStyle name="Normal 14 7 8 2 2 2" xfId="42533"/>
    <cellStyle name="Normal 14 7 8 2 3" xfId="10286"/>
    <cellStyle name="Normal 14 7 8 2 3 2" xfId="32873"/>
    <cellStyle name="Normal 14 7 8 2 4" xfId="26433"/>
    <cellStyle name="Normal 14 7 8 3" xfId="16726"/>
    <cellStyle name="Normal 14 7 8 3 2" xfId="39313"/>
    <cellStyle name="Normal 14 7 8 4" xfId="13506"/>
    <cellStyle name="Normal 14 7 8 4 2" xfId="36093"/>
    <cellStyle name="Normal 14 7 8 5" xfId="7066"/>
    <cellStyle name="Normal 14 7 8 5 2" xfId="29653"/>
    <cellStyle name="Normal 14 7 8 6" xfId="23213"/>
    <cellStyle name="Normal 14 7 9" xfId="3530"/>
    <cellStyle name="Normal 14 7 9 2" xfId="19630"/>
    <cellStyle name="Normal 14 7 9 2 2" xfId="42217"/>
    <cellStyle name="Normal 14 7 9 3" xfId="9970"/>
    <cellStyle name="Normal 14 7 9 3 2" xfId="32557"/>
    <cellStyle name="Normal 14 7 9 4" xfId="26117"/>
    <cellStyle name="Normal 14 8" xfId="340"/>
    <cellStyle name="Normal 14 8 10" xfId="16507"/>
    <cellStyle name="Normal 14 8 10 2" xfId="39094"/>
    <cellStyle name="Normal 14 8 11" xfId="13287"/>
    <cellStyle name="Normal 14 8 11 2" xfId="35874"/>
    <cellStyle name="Normal 14 8 12" xfId="6847"/>
    <cellStyle name="Normal 14 8 12 2" xfId="29434"/>
    <cellStyle name="Normal 14 8 13" xfId="22994"/>
    <cellStyle name="Normal 14 8 2" xfId="1078"/>
    <cellStyle name="Normal 14 8 2 2" xfId="2392"/>
    <cellStyle name="Normal 14 8 2 2 2" xfId="5613"/>
    <cellStyle name="Normal 14 8 2 2 2 2" xfId="21713"/>
    <cellStyle name="Normal 14 8 2 2 2 2 2" xfId="44300"/>
    <cellStyle name="Normal 14 8 2 2 2 3" xfId="12053"/>
    <cellStyle name="Normal 14 8 2 2 2 3 2" xfId="34640"/>
    <cellStyle name="Normal 14 8 2 2 2 4" xfId="28200"/>
    <cellStyle name="Normal 14 8 2 2 3" xfId="18493"/>
    <cellStyle name="Normal 14 8 2 2 3 2" xfId="41080"/>
    <cellStyle name="Normal 14 8 2 2 4" xfId="15273"/>
    <cellStyle name="Normal 14 8 2 2 4 2" xfId="37860"/>
    <cellStyle name="Normal 14 8 2 2 5" xfId="8833"/>
    <cellStyle name="Normal 14 8 2 2 5 2" xfId="31420"/>
    <cellStyle name="Normal 14 8 2 2 6" xfId="24980"/>
    <cellStyle name="Normal 14 8 2 3" xfId="4305"/>
    <cellStyle name="Normal 14 8 2 3 2" xfId="20405"/>
    <cellStyle name="Normal 14 8 2 3 2 2" xfId="42992"/>
    <cellStyle name="Normal 14 8 2 3 3" xfId="10745"/>
    <cellStyle name="Normal 14 8 2 3 3 2" xfId="33332"/>
    <cellStyle name="Normal 14 8 2 3 4" xfId="26892"/>
    <cellStyle name="Normal 14 8 2 4" xfId="17185"/>
    <cellStyle name="Normal 14 8 2 4 2" xfId="39772"/>
    <cellStyle name="Normal 14 8 2 5" xfId="13965"/>
    <cellStyle name="Normal 14 8 2 5 2" xfId="36552"/>
    <cellStyle name="Normal 14 8 2 6" xfId="7525"/>
    <cellStyle name="Normal 14 8 2 6 2" xfId="30112"/>
    <cellStyle name="Normal 14 8 2 7" xfId="23672"/>
    <cellStyle name="Normal 14 8 3" xfId="1425"/>
    <cellStyle name="Normal 14 8 3 2" xfId="2739"/>
    <cellStyle name="Normal 14 8 3 2 2" xfId="5960"/>
    <cellStyle name="Normal 14 8 3 2 2 2" xfId="22060"/>
    <cellStyle name="Normal 14 8 3 2 2 2 2" xfId="44647"/>
    <cellStyle name="Normal 14 8 3 2 2 3" xfId="12400"/>
    <cellStyle name="Normal 14 8 3 2 2 3 2" xfId="34987"/>
    <cellStyle name="Normal 14 8 3 2 2 4" xfId="28547"/>
    <cellStyle name="Normal 14 8 3 2 3" xfId="18840"/>
    <cellStyle name="Normal 14 8 3 2 3 2" xfId="41427"/>
    <cellStyle name="Normal 14 8 3 2 4" xfId="15620"/>
    <cellStyle name="Normal 14 8 3 2 4 2" xfId="38207"/>
    <cellStyle name="Normal 14 8 3 2 5" xfId="9180"/>
    <cellStyle name="Normal 14 8 3 2 5 2" xfId="31767"/>
    <cellStyle name="Normal 14 8 3 2 6" xfId="25327"/>
    <cellStyle name="Normal 14 8 3 3" xfId="4652"/>
    <cellStyle name="Normal 14 8 3 3 2" xfId="20752"/>
    <cellStyle name="Normal 14 8 3 3 2 2" xfId="43339"/>
    <cellStyle name="Normal 14 8 3 3 3" xfId="11092"/>
    <cellStyle name="Normal 14 8 3 3 3 2" xfId="33679"/>
    <cellStyle name="Normal 14 8 3 3 4" xfId="27239"/>
    <cellStyle name="Normal 14 8 3 4" xfId="17532"/>
    <cellStyle name="Normal 14 8 3 4 2" xfId="40119"/>
    <cellStyle name="Normal 14 8 3 5" xfId="14312"/>
    <cellStyle name="Normal 14 8 3 5 2" xfId="36899"/>
    <cellStyle name="Normal 14 8 3 6" xfId="7872"/>
    <cellStyle name="Normal 14 8 3 6 2" xfId="30459"/>
    <cellStyle name="Normal 14 8 3 7" xfId="24019"/>
    <cellStyle name="Normal 14 8 4" xfId="1612"/>
    <cellStyle name="Normal 14 8 4 2" xfId="4838"/>
    <cellStyle name="Normal 14 8 4 2 2" xfId="20938"/>
    <cellStyle name="Normal 14 8 4 2 2 2" xfId="43525"/>
    <cellStyle name="Normal 14 8 4 2 3" xfId="11278"/>
    <cellStyle name="Normal 14 8 4 2 3 2" xfId="33865"/>
    <cellStyle name="Normal 14 8 4 2 4" xfId="27425"/>
    <cellStyle name="Normal 14 8 4 3" xfId="17718"/>
    <cellStyle name="Normal 14 8 4 3 2" xfId="40305"/>
    <cellStyle name="Normal 14 8 4 4" xfId="14498"/>
    <cellStyle name="Normal 14 8 4 4 2" xfId="37085"/>
    <cellStyle name="Normal 14 8 4 5" xfId="8058"/>
    <cellStyle name="Normal 14 8 4 5 2" xfId="30645"/>
    <cellStyle name="Normal 14 8 4 6" xfId="24205"/>
    <cellStyle name="Normal 14 8 5" xfId="2045"/>
    <cellStyle name="Normal 14 8 5 2" xfId="5266"/>
    <cellStyle name="Normal 14 8 5 2 2" xfId="21366"/>
    <cellStyle name="Normal 14 8 5 2 2 2" xfId="43953"/>
    <cellStyle name="Normal 14 8 5 2 3" xfId="11706"/>
    <cellStyle name="Normal 14 8 5 2 3 2" xfId="34293"/>
    <cellStyle name="Normal 14 8 5 2 4" xfId="27853"/>
    <cellStyle name="Normal 14 8 5 3" xfId="18146"/>
    <cellStyle name="Normal 14 8 5 3 2" xfId="40733"/>
    <cellStyle name="Normal 14 8 5 4" xfId="14926"/>
    <cellStyle name="Normal 14 8 5 4 2" xfId="37513"/>
    <cellStyle name="Normal 14 8 5 5" xfId="8486"/>
    <cellStyle name="Normal 14 8 5 5 2" xfId="31073"/>
    <cellStyle name="Normal 14 8 5 6" xfId="24633"/>
    <cellStyle name="Normal 14 8 6" xfId="3047"/>
    <cellStyle name="Normal 14 8 6 2" xfId="6267"/>
    <cellStyle name="Normal 14 8 6 2 2" xfId="22367"/>
    <cellStyle name="Normal 14 8 6 2 2 2" xfId="44954"/>
    <cellStyle name="Normal 14 8 6 2 3" xfId="12707"/>
    <cellStyle name="Normal 14 8 6 2 3 2" xfId="35294"/>
    <cellStyle name="Normal 14 8 6 2 4" xfId="28854"/>
    <cellStyle name="Normal 14 8 6 3" xfId="19147"/>
    <cellStyle name="Normal 14 8 6 3 2" xfId="41734"/>
    <cellStyle name="Normal 14 8 6 4" xfId="15927"/>
    <cellStyle name="Normal 14 8 6 4 2" xfId="38514"/>
    <cellStyle name="Normal 14 8 6 5" xfId="9487"/>
    <cellStyle name="Normal 14 8 6 5 2" xfId="32074"/>
    <cellStyle name="Normal 14 8 6 6" xfId="25634"/>
    <cellStyle name="Normal 14 8 7" xfId="3337"/>
    <cellStyle name="Normal 14 8 7 2" xfId="6557"/>
    <cellStyle name="Normal 14 8 7 2 2" xfId="22657"/>
    <cellStyle name="Normal 14 8 7 2 2 2" xfId="45244"/>
    <cellStyle name="Normal 14 8 7 2 3" xfId="12997"/>
    <cellStyle name="Normal 14 8 7 2 3 2" xfId="35584"/>
    <cellStyle name="Normal 14 8 7 2 4" xfId="29144"/>
    <cellStyle name="Normal 14 8 7 3" xfId="19437"/>
    <cellStyle name="Normal 14 8 7 3 2" xfId="42024"/>
    <cellStyle name="Normal 14 8 7 4" xfId="16217"/>
    <cellStyle name="Normal 14 8 7 4 2" xfId="38804"/>
    <cellStyle name="Normal 14 8 7 5" xfId="9777"/>
    <cellStyle name="Normal 14 8 7 5 2" xfId="32364"/>
    <cellStyle name="Normal 14 8 7 6" xfId="25924"/>
    <cellStyle name="Normal 14 8 8" xfId="726"/>
    <cellStyle name="Normal 14 8 8 2" xfId="3958"/>
    <cellStyle name="Normal 14 8 8 2 2" xfId="20058"/>
    <cellStyle name="Normal 14 8 8 2 2 2" xfId="42645"/>
    <cellStyle name="Normal 14 8 8 2 3" xfId="10398"/>
    <cellStyle name="Normal 14 8 8 2 3 2" xfId="32985"/>
    <cellStyle name="Normal 14 8 8 2 4" xfId="26545"/>
    <cellStyle name="Normal 14 8 8 3" xfId="16838"/>
    <cellStyle name="Normal 14 8 8 3 2" xfId="39425"/>
    <cellStyle name="Normal 14 8 8 4" xfId="13618"/>
    <cellStyle name="Normal 14 8 8 4 2" xfId="36205"/>
    <cellStyle name="Normal 14 8 8 5" xfId="7178"/>
    <cellStyle name="Normal 14 8 8 5 2" xfId="29765"/>
    <cellStyle name="Normal 14 8 8 6" xfId="23325"/>
    <cellStyle name="Normal 14 8 9" xfId="3627"/>
    <cellStyle name="Normal 14 8 9 2" xfId="19727"/>
    <cellStyle name="Normal 14 8 9 2 2" xfId="42314"/>
    <cellStyle name="Normal 14 8 9 3" xfId="10067"/>
    <cellStyle name="Normal 14 8 9 3 2" xfId="32654"/>
    <cellStyle name="Normal 14 8 9 4" xfId="26214"/>
    <cellStyle name="Normal 14 9" xfId="745"/>
    <cellStyle name="Normal 14 9 2" xfId="1097"/>
    <cellStyle name="Normal 14 9 2 2" xfId="2411"/>
    <cellStyle name="Normal 14 9 2 2 2" xfId="5632"/>
    <cellStyle name="Normal 14 9 2 2 2 2" xfId="21732"/>
    <cellStyle name="Normal 14 9 2 2 2 2 2" xfId="44319"/>
    <cellStyle name="Normal 14 9 2 2 2 3" xfId="12072"/>
    <cellStyle name="Normal 14 9 2 2 2 3 2" xfId="34659"/>
    <cellStyle name="Normal 14 9 2 2 2 4" xfId="28219"/>
    <cellStyle name="Normal 14 9 2 2 3" xfId="18512"/>
    <cellStyle name="Normal 14 9 2 2 3 2" xfId="41099"/>
    <cellStyle name="Normal 14 9 2 2 4" xfId="15292"/>
    <cellStyle name="Normal 14 9 2 2 4 2" xfId="37879"/>
    <cellStyle name="Normal 14 9 2 2 5" xfId="8852"/>
    <cellStyle name="Normal 14 9 2 2 5 2" xfId="31439"/>
    <cellStyle name="Normal 14 9 2 2 6" xfId="24999"/>
    <cellStyle name="Normal 14 9 2 3" xfId="4324"/>
    <cellStyle name="Normal 14 9 2 3 2" xfId="20424"/>
    <cellStyle name="Normal 14 9 2 3 2 2" xfId="43011"/>
    <cellStyle name="Normal 14 9 2 3 3" xfId="10764"/>
    <cellStyle name="Normal 14 9 2 3 3 2" xfId="33351"/>
    <cellStyle name="Normal 14 9 2 3 4" xfId="26911"/>
    <cellStyle name="Normal 14 9 2 4" xfId="17204"/>
    <cellStyle name="Normal 14 9 2 4 2" xfId="39791"/>
    <cellStyle name="Normal 14 9 2 5" xfId="13984"/>
    <cellStyle name="Normal 14 9 2 5 2" xfId="36571"/>
    <cellStyle name="Normal 14 9 2 6" xfId="7544"/>
    <cellStyle name="Normal 14 9 2 6 2" xfId="30131"/>
    <cellStyle name="Normal 14 9 2 7" xfId="23691"/>
    <cellStyle name="Normal 14 9 3" xfId="1444"/>
    <cellStyle name="Normal 14 9 3 2" xfId="2758"/>
    <cellStyle name="Normal 14 9 3 2 2" xfId="5979"/>
    <cellStyle name="Normal 14 9 3 2 2 2" xfId="22079"/>
    <cellStyle name="Normal 14 9 3 2 2 2 2" xfId="44666"/>
    <cellStyle name="Normal 14 9 3 2 2 3" xfId="12419"/>
    <cellStyle name="Normal 14 9 3 2 2 3 2" xfId="35006"/>
    <cellStyle name="Normal 14 9 3 2 2 4" xfId="28566"/>
    <cellStyle name="Normal 14 9 3 2 3" xfId="18859"/>
    <cellStyle name="Normal 14 9 3 2 3 2" xfId="41446"/>
    <cellStyle name="Normal 14 9 3 2 4" xfId="15639"/>
    <cellStyle name="Normal 14 9 3 2 4 2" xfId="38226"/>
    <cellStyle name="Normal 14 9 3 2 5" xfId="9199"/>
    <cellStyle name="Normal 14 9 3 2 5 2" xfId="31786"/>
    <cellStyle name="Normal 14 9 3 2 6" xfId="25346"/>
    <cellStyle name="Normal 14 9 3 3" xfId="4671"/>
    <cellStyle name="Normal 14 9 3 3 2" xfId="20771"/>
    <cellStyle name="Normal 14 9 3 3 2 2" xfId="43358"/>
    <cellStyle name="Normal 14 9 3 3 3" xfId="11111"/>
    <cellStyle name="Normal 14 9 3 3 3 2" xfId="33698"/>
    <cellStyle name="Normal 14 9 3 3 4" xfId="27258"/>
    <cellStyle name="Normal 14 9 3 4" xfId="17551"/>
    <cellStyle name="Normal 14 9 3 4 2" xfId="40138"/>
    <cellStyle name="Normal 14 9 3 5" xfId="14331"/>
    <cellStyle name="Normal 14 9 3 5 2" xfId="36918"/>
    <cellStyle name="Normal 14 9 3 6" xfId="7891"/>
    <cellStyle name="Normal 14 9 3 6 2" xfId="30478"/>
    <cellStyle name="Normal 14 9 3 7" xfId="24038"/>
    <cellStyle name="Normal 14 9 4" xfId="2064"/>
    <cellStyle name="Normal 14 9 4 2" xfId="5285"/>
    <cellStyle name="Normal 14 9 4 2 2" xfId="21385"/>
    <cellStyle name="Normal 14 9 4 2 2 2" xfId="43972"/>
    <cellStyle name="Normal 14 9 4 2 3" xfId="11725"/>
    <cellStyle name="Normal 14 9 4 2 3 2" xfId="34312"/>
    <cellStyle name="Normal 14 9 4 2 4" xfId="27872"/>
    <cellStyle name="Normal 14 9 4 3" xfId="18165"/>
    <cellStyle name="Normal 14 9 4 3 2" xfId="40752"/>
    <cellStyle name="Normal 14 9 4 4" xfId="14945"/>
    <cellStyle name="Normal 14 9 4 4 2" xfId="37532"/>
    <cellStyle name="Normal 14 9 4 5" xfId="8505"/>
    <cellStyle name="Normal 14 9 4 5 2" xfId="31092"/>
    <cellStyle name="Normal 14 9 4 6" xfId="24652"/>
    <cellStyle name="Normal 14 9 5" xfId="3977"/>
    <cellStyle name="Normal 14 9 5 2" xfId="20077"/>
    <cellStyle name="Normal 14 9 5 2 2" xfId="42664"/>
    <cellStyle name="Normal 14 9 5 3" xfId="10417"/>
    <cellStyle name="Normal 14 9 5 3 2" xfId="33004"/>
    <cellStyle name="Normal 14 9 5 4" xfId="26564"/>
    <cellStyle name="Normal 14 9 6" xfId="16857"/>
    <cellStyle name="Normal 14 9 6 2" xfId="39444"/>
    <cellStyle name="Normal 14 9 7" xfId="13637"/>
    <cellStyle name="Normal 14 9 7 2" xfId="36224"/>
    <cellStyle name="Normal 14 9 8" xfId="7197"/>
    <cellStyle name="Normal 14 9 8 2" xfId="29784"/>
    <cellStyle name="Normal 14 9 9" xfId="23344"/>
    <cellStyle name="Normal 15" xfId="130"/>
    <cellStyle name="Normal 15 10" xfId="1841"/>
    <cellStyle name="Normal 15 10 2" xfId="5063"/>
    <cellStyle name="Normal 15 10 2 2" xfId="21163"/>
    <cellStyle name="Normal 15 10 2 2 2" xfId="43750"/>
    <cellStyle name="Normal 15 10 2 3" xfId="11503"/>
    <cellStyle name="Normal 15 10 2 3 2" xfId="34090"/>
    <cellStyle name="Normal 15 10 2 4" xfId="27650"/>
    <cellStyle name="Normal 15 10 3" xfId="17943"/>
    <cellStyle name="Normal 15 10 3 2" xfId="40530"/>
    <cellStyle name="Normal 15 10 4" xfId="14723"/>
    <cellStyle name="Normal 15 10 4 2" xfId="37310"/>
    <cellStyle name="Normal 15 10 5" xfId="8283"/>
    <cellStyle name="Normal 15 10 5 2" xfId="30870"/>
    <cellStyle name="Normal 15 10 6" xfId="24430"/>
    <cellStyle name="Normal 15 11" xfId="2884"/>
    <cellStyle name="Normal 15 11 2" xfId="6105"/>
    <cellStyle name="Normal 15 11 2 2" xfId="22205"/>
    <cellStyle name="Normal 15 11 2 2 2" xfId="44792"/>
    <cellStyle name="Normal 15 11 2 3" xfId="12545"/>
    <cellStyle name="Normal 15 11 2 3 2" xfId="35132"/>
    <cellStyle name="Normal 15 11 2 4" xfId="28692"/>
    <cellStyle name="Normal 15 11 3" xfId="18985"/>
    <cellStyle name="Normal 15 11 3 2" xfId="41572"/>
    <cellStyle name="Normal 15 11 4" xfId="15765"/>
    <cellStyle name="Normal 15 11 4 2" xfId="38352"/>
    <cellStyle name="Normal 15 11 5" xfId="9325"/>
    <cellStyle name="Normal 15 11 5 2" xfId="31912"/>
    <cellStyle name="Normal 15 11 6" xfId="25472"/>
    <cellStyle name="Normal 15 12" xfId="3175"/>
    <cellStyle name="Normal 15 12 2" xfId="6395"/>
    <cellStyle name="Normal 15 12 2 2" xfId="22495"/>
    <cellStyle name="Normal 15 12 2 2 2" xfId="45082"/>
    <cellStyle name="Normal 15 12 2 3" xfId="12835"/>
    <cellStyle name="Normal 15 12 2 3 2" xfId="35422"/>
    <cellStyle name="Normal 15 12 2 4" xfId="28982"/>
    <cellStyle name="Normal 15 12 3" xfId="19275"/>
    <cellStyle name="Normal 15 12 3 2" xfId="41862"/>
    <cellStyle name="Normal 15 12 4" xfId="16055"/>
    <cellStyle name="Normal 15 12 4 2" xfId="38642"/>
    <cellStyle name="Normal 15 12 5" xfId="9615"/>
    <cellStyle name="Normal 15 12 5 2" xfId="32202"/>
    <cellStyle name="Normal 15 12 6" xfId="25762"/>
    <cellStyle name="Normal 15 13" xfId="468"/>
    <cellStyle name="Normal 15 13 2" xfId="3755"/>
    <cellStyle name="Normal 15 13 2 2" xfId="19855"/>
    <cellStyle name="Normal 15 13 2 2 2" xfId="42442"/>
    <cellStyle name="Normal 15 13 2 3" xfId="10195"/>
    <cellStyle name="Normal 15 13 2 3 2" xfId="32782"/>
    <cellStyle name="Normal 15 13 2 4" xfId="26342"/>
    <cellStyle name="Normal 15 13 3" xfId="16635"/>
    <cellStyle name="Normal 15 13 3 2" xfId="39222"/>
    <cellStyle name="Normal 15 13 4" xfId="13415"/>
    <cellStyle name="Normal 15 13 4 2" xfId="36002"/>
    <cellStyle name="Normal 15 13 5" xfId="6975"/>
    <cellStyle name="Normal 15 13 5 2" xfId="29562"/>
    <cellStyle name="Normal 15 13 6" xfId="23122"/>
    <cellStyle name="Normal 15 14" xfId="3465"/>
    <cellStyle name="Normal 15 14 2" xfId="19565"/>
    <cellStyle name="Normal 15 14 2 2" xfId="42152"/>
    <cellStyle name="Normal 15 14 3" xfId="9905"/>
    <cellStyle name="Normal 15 14 3 2" xfId="32492"/>
    <cellStyle name="Normal 15 14 4" xfId="26052"/>
    <cellStyle name="Normal 15 15" xfId="16345"/>
    <cellStyle name="Normal 15 15 2" xfId="38932"/>
    <cellStyle name="Normal 15 16" xfId="13125"/>
    <cellStyle name="Normal 15 16 2" xfId="35712"/>
    <cellStyle name="Normal 15 17" xfId="6685"/>
    <cellStyle name="Normal 15 17 2" xfId="29272"/>
    <cellStyle name="Normal 15 18" xfId="22832"/>
    <cellStyle name="Normal 15 2" xfId="147"/>
    <cellStyle name="Normal 15 2 10" xfId="485"/>
    <cellStyle name="Normal 15 2 10 2" xfId="3772"/>
    <cellStyle name="Normal 15 2 10 2 2" xfId="19872"/>
    <cellStyle name="Normal 15 2 10 2 2 2" xfId="42459"/>
    <cellStyle name="Normal 15 2 10 2 3" xfId="10212"/>
    <cellStyle name="Normal 15 2 10 2 3 2" xfId="32799"/>
    <cellStyle name="Normal 15 2 10 2 4" xfId="26359"/>
    <cellStyle name="Normal 15 2 10 3" xfId="16652"/>
    <cellStyle name="Normal 15 2 10 3 2" xfId="39239"/>
    <cellStyle name="Normal 15 2 10 4" xfId="13432"/>
    <cellStyle name="Normal 15 2 10 4 2" xfId="36019"/>
    <cellStyle name="Normal 15 2 10 5" xfId="6992"/>
    <cellStyle name="Normal 15 2 10 5 2" xfId="29579"/>
    <cellStyle name="Normal 15 2 10 6" xfId="23139"/>
    <cellStyle name="Normal 15 2 11" xfId="3482"/>
    <cellStyle name="Normal 15 2 11 2" xfId="19582"/>
    <cellStyle name="Normal 15 2 11 2 2" xfId="42169"/>
    <cellStyle name="Normal 15 2 11 3" xfId="9922"/>
    <cellStyle name="Normal 15 2 11 3 2" xfId="32509"/>
    <cellStyle name="Normal 15 2 11 4" xfId="26069"/>
    <cellStyle name="Normal 15 2 12" xfId="16362"/>
    <cellStyle name="Normal 15 2 12 2" xfId="38949"/>
    <cellStyle name="Normal 15 2 13" xfId="13142"/>
    <cellStyle name="Normal 15 2 13 2" xfId="35729"/>
    <cellStyle name="Normal 15 2 14" xfId="6702"/>
    <cellStyle name="Normal 15 2 14 2" xfId="29289"/>
    <cellStyle name="Normal 15 2 15" xfId="22849"/>
    <cellStyle name="Normal 15 2 2" xfId="293"/>
    <cellStyle name="Normal 15 2 2 10" xfId="13240"/>
    <cellStyle name="Normal 15 2 2 10 2" xfId="35827"/>
    <cellStyle name="Normal 15 2 2 11" xfId="6800"/>
    <cellStyle name="Normal 15 2 2 11 2" xfId="29387"/>
    <cellStyle name="Normal 15 2 2 12" xfId="22947"/>
    <cellStyle name="Normal 15 2 2 2" xfId="1011"/>
    <cellStyle name="Normal 15 2 2 2 2" xfId="2325"/>
    <cellStyle name="Normal 15 2 2 2 2 2" xfId="5546"/>
    <cellStyle name="Normal 15 2 2 2 2 2 2" xfId="21646"/>
    <cellStyle name="Normal 15 2 2 2 2 2 2 2" xfId="44233"/>
    <cellStyle name="Normal 15 2 2 2 2 2 3" xfId="11986"/>
    <cellStyle name="Normal 15 2 2 2 2 2 3 2" xfId="34573"/>
    <cellStyle name="Normal 15 2 2 2 2 2 4" xfId="28133"/>
    <cellStyle name="Normal 15 2 2 2 2 3" xfId="18426"/>
    <cellStyle name="Normal 15 2 2 2 2 3 2" xfId="41013"/>
    <cellStyle name="Normal 15 2 2 2 2 4" xfId="15206"/>
    <cellStyle name="Normal 15 2 2 2 2 4 2" xfId="37793"/>
    <cellStyle name="Normal 15 2 2 2 2 5" xfId="8766"/>
    <cellStyle name="Normal 15 2 2 2 2 5 2" xfId="31353"/>
    <cellStyle name="Normal 15 2 2 2 2 6" xfId="24913"/>
    <cellStyle name="Normal 15 2 2 2 3" xfId="4238"/>
    <cellStyle name="Normal 15 2 2 2 3 2" xfId="20338"/>
    <cellStyle name="Normal 15 2 2 2 3 2 2" xfId="42925"/>
    <cellStyle name="Normal 15 2 2 2 3 3" xfId="10678"/>
    <cellStyle name="Normal 15 2 2 2 3 3 2" xfId="33265"/>
    <cellStyle name="Normal 15 2 2 2 3 4" xfId="26825"/>
    <cellStyle name="Normal 15 2 2 2 4" xfId="17118"/>
    <cellStyle name="Normal 15 2 2 2 4 2" xfId="39705"/>
    <cellStyle name="Normal 15 2 2 2 5" xfId="13898"/>
    <cellStyle name="Normal 15 2 2 2 5 2" xfId="36485"/>
    <cellStyle name="Normal 15 2 2 2 6" xfId="7458"/>
    <cellStyle name="Normal 15 2 2 2 6 2" xfId="30045"/>
    <cellStyle name="Normal 15 2 2 2 7" xfId="23605"/>
    <cellStyle name="Normal 15 2 2 3" xfId="1358"/>
    <cellStyle name="Normal 15 2 2 3 2" xfId="2672"/>
    <cellStyle name="Normal 15 2 2 3 2 2" xfId="5893"/>
    <cellStyle name="Normal 15 2 2 3 2 2 2" xfId="21993"/>
    <cellStyle name="Normal 15 2 2 3 2 2 2 2" xfId="44580"/>
    <cellStyle name="Normal 15 2 2 3 2 2 3" xfId="12333"/>
    <cellStyle name="Normal 15 2 2 3 2 2 3 2" xfId="34920"/>
    <cellStyle name="Normal 15 2 2 3 2 2 4" xfId="28480"/>
    <cellStyle name="Normal 15 2 2 3 2 3" xfId="18773"/>
    <cellStyle name="Normal 15 2 2 3 2 3 2" xfId="41360"/>
    <cellStyle name="Normal 15 2 2 3 2 4" xfId="15553"/>
    <cellStyle name="Normal 15 2 2 3 2 4 2" xfId="38140"/>
    <cellStyle name="Normal 15 2 2 3 2 5" xfId="9113"/>
    <cellStyle name="Normal 15 2 2 3 2 5 2" xfId="31700"/>
    <cellStyle name="Normal 15 2 2 3 2 6" xfId="25260"/>
    <cellStyle name="Normal 15 2 2 3 3" xfId="4585"/>
    <cellStyle name="Normal 15 2 2 3 3 2" xfId="20685"/>
    <cellStyle name="Normal 15 2 2 3 3 2 2" xfId="43272"/>
    <cellStyle name="Normal 15 2 2 3 3 3" xfId="11025"/>
    <cellStyle name="Normal 15 2 2 3 3 3 2" xfId="33612"/>
    <cellStyle name="Normal 15 2 2 3 3 4" xfId="27172"/>
    <cellStyle name="Normal 15 2 2 3 4" xfId="17465"/>
    <cellStyle name="Normal 15 2 2 3 4 2" xfId="40052"/>
    <cellStyle name="Normal 15 2 2 3 5" xfId="14245"/>
    <cellStyle name="Normal 15 2 2 3 5 2" xfId="36832"/>
    <cellStyle name="Normal 15 2 2 3 6" xfId="7805"/>
    <cellStyle name="Normal 15 2 2 3 6 2" xfId="30392"/>
    <cellStyle name="Normal 15 2 2 3 7" xfId="23952"/>
    <cellStyle name="Normal 15 2 2 4" xfId="1977"/>
    <cellStyle name="Normal 15 2 2 4 2" xfId="5199"/>
    <cellStyle name="Normal 15 2 2 4 2 2" xfId="21299"/>
    <cellStyle name="Normal 15 2 2 4 2 2 2" xfId="43886"/>
    <cellStyle name="Normal 15 2 2 4 2 3" xfId="11639"/>
    <cellStyle name="Normal 15 2 2 4 2 3 2" xfId="34226"/>
    <cellStyle name="Normal 15 2 2 4 2 4" xfId="27786"/>
    <cellStyle name="Normal 15 2 2 4 3" xfId="18079"/>
    <cellStyle name="Normal 15 2 2 4 3 2" xfId="40666"/>
    <cellStyle name="Normal 15 2 2 4 4" xfId="14859"/>
    <cellStyle name="Normal 15 2 2 4 4 2" xfId="37446"/>
    <cellStyle name="Normal 15 2 2 4 5" xfId="8419"/>
    <cellStyle name="Normal 15 2 2 4 5 2" xfId="31006"/>
    <cellStyle name="Normal 15 2 2 4 6" xfId="24566"/>
    <cellStyle name="Normal 15 2 2 5" xfId="3000"/>
    <cellStyle name="Normal 15 2 2 5 2" xfId="6220"/>
    <cellStyle name="Normal 15 2 2 5 2 2" xfId="22320"/>
    <cellStyle name="Normal 15 2 2 5 2 2 2" xfId="44907"/>
    <cellStyle name="Normal 15 2 2 5 2 3" xfId="12660"/>
    <cellStyle name="Normal 15 2 2 5 2 3 2" xfId="35247"/>
    <cellStyle name="Normal 15 2 2 5 2 4" xfId="28807"/>
    <cellStyle name="Normal 15 2 2 5 3" xfId="19100"/>
    <cellStyle name="Normal 15 2 2 5 3 2" xfId="41687"/>
    <cellStyle name="Normal 15 2 2 5 4" xfId="15880"/>
    <cellStyle name="Normal 15 2 2 5 4 2" xfId="38467"/>
    <cellStyle name="Normal 15 2 2 5 5" xfId="9440"/>
    <cellStyle name="Normal 15 2 2 5 5 2" xfId="32027"/>
    <cellStyle name="Normal 15 2 2 5 6" xfId="25587"/>
    <cellStyle name="Normal 15 2 2 6" xfId="3290"/>
    <cellStyle name="Normal 15 2 2 6 2" xfId="6510"/>
    <cellStyle name="Normal 15 2 2 6 2 2" xfId="22610"/>
    <cellStyle name="Normal 15 2 2 6 2 2 2" xfId="45197"/>
    <cellStyle name="Normal 15 2 2 6 2 3" xfId="12950"/>
    <cellStyle name="Normal 15 2 2 6 2 3 2" xfId="35537"/>
    <cellStyle name="Normal 15 2 2 6 2 4" xfId="29097"/>
    <cellStyle name="Normal 15 2 2 6 3" xfId="19390"/>
    <cellStyle name="Normal 15 2 2 6 3 2" xfId="41977"/>
    <cellStyle name="Normal 15 2 2 6 4" xfId="16170"/>
    <cellStyle name="Normal 15 2 2 6 4 2" xfId="38757"/>
    <cellStyle name="Normal 15 2 2 6 5" xfId="9730"/>
    <cellStyle name="Normal 15 2 2 6 5 2" xfId="32317"/>
    <cellStyle name="Normal 15 2 2 6 6" xfId="25877"/>
    <cellStyle name="Normal 15 2 2 7" xfId="647"/>
    <cellStyle name="Normal 15 2 2 7 2" xfId="3891"/>
    <cellStyle name="Normal 15 2 2 7 2 2" xfId="19991"/>
    <cellStyle name="Normal 15 2 2 7 2 2 2" xfId="42578"/>
    <cellStyle name="Normal 15 2 2 7 2 3" xfId="10331"/>
    <cellStyle name="Normal 15 2 2 7 2 3 2" xfId="32918"/>
    <cellStyle name="Normal 15 2 2 7 2 4" xfId="26478"/>
    <cellStyle name="Normal 15 2 2 7 3" xfId="16771"/>
    <cellStyle name="Normal 15 2 2 7 3 2" xfId="39358"/>
    <cellStyle name="Normal 15 2 2 7 4" xfId="13551"/>
    <cellStyle name="Normal 15 2 2 7 4 2" xfId="36138"/>
    <cellStyle name="Normal 15 2 2 7 5" xfId="7111"/>
    <cellStyle name="Normal 15 2 2 7 5 2" xfId="29698"/>
    <cellStyle name="Normal 15 2 2 7 6" xfId="23258"/>
    <cellStyle name="Normal 15 2 2 8" xfId="3580"/>
    <cellStyle name="Normal 15 2 2 8 2" xfId="19680"/>
    <cellStyle name="Normal 15 2 2 8 2 2" xfId="42267"/>
    <cellStyle name="Normal 15 2 2 8 3" xfId="10020"/>
    <cellStyle name="Normal 15 2 2 8 3 2" xfId="32607"/>
    <cellStyle name="Normal 15 2 2 8 4" xfId="26167"/>
    <cellStyle name="Normal 15 2 2 9" xfId="16460"/>
    <cellStyle name="Normal 15 2 2 9 2" xfId="39047"/>
    <cellStyle name="Normal 15 2 3" xfId="388"/>
    <cellStyle name="Normal 15 2 3 10" xfId="13335"/>
    <cellStyle name="Normal 15 2 3 10 2" xfId="35922"/>
    <cellStyle name="Normal 15 2 3 11" xfId="6895"/>
    <cellStyle name="Normal 15 2 3 11 2" xfId="29482"/>
    <cellStyle name="Normal 15 2 3 12" xfId="23042"/>
    <cellStyle name="Normal 15 2 3 2" xfId="1172"/>
    <cellStyle name="Normal 15 2 3 2 2" xfId="2486"/>
    <cellStyle name="Normal 15 2 3 2 2 2" xfId="5707"/>
    <cellStyle name="Normal 15 2 3 2 2 2 2" xfId="21807"/>
    <cellStyle name="Normal 15 2 3 2 2 2 2 2" xfId="44394"/>
    <cellStyle name="Normal 15 2 3 2 2 2 3" xfId="12147"/>
    <cellStyle name="Normal 15 2 3 2 2 2 3 2" xfId="34734"/>
    <cellStyle name="Normal 15 2 3 2 2 2 4" xfId="28294"/>
    <cellStyle name="Normal 15 2 3 2 2 3" xfId="18587"/>
    <cellStyle name="Normal 15 2 3 2 2 3 2" xfId="41174"/>
    <cellStyle name="Normal 15 2 3 2 2 4" xfId="15367"/>
    <cellStyle name="Normal 15 2 3 2 2 4 2" xfId="37954"/>
    <cellStyle name="Normal 15 2 3 2 2 5" xfId="8927"/>
    <cellStyle name="Normal 15 2 3 2 2 5 2" xfId="31514"/>
    <cellStyle name="Normal 15 2 3 2 2 6" xfId="25074"/>
    <cellStyle name="Normal 15 2 3 2 3" xfId="4399"/>
    <cellStyle name="Normal 15 2 3 2 3 2" xfId="20499"/>
    <cellStyle name="Normal 15 2 3 2 3 2 2" xfId="43086"/>
    <cellStyle name="Normal 15 2 3 2 3 3" xfId="10839"/>
    <cellStyle name="Normal 15 2 3 2 3 3 2" xfId="33426"/>
    <cellStyle name="Normal 15 2 3 2 3 4" xfId="26986"/>
    <cellStyle name="Normal 15 2 3 2 4" xfId="17279"/>
    <cellStyle name="Normal 15 2 3 2 4 2" xfId="39866"/>
    <cellStyle name="Normal 15 2 3 2 5" xfId="14059"/>
    <cellStyle name="Normal 15 2 3 2 5 2" xfId="36646"/>
    <cellStyle name="Normal 15 2 3 2 6" xfId="7619"/>
    <cellStyle name="Normal 15 2 3 2 6 2" xfId="30206"/>
    <cellStyle name="Normal 15 2 3 2 7" xfId="23766"/>
    <cellStyle name="Normal 15 2 3 3" xfId="1519"/>
    <cellStyle name="Normal 15 2 3 3 2" xfId="2833"/>
    <cellStyle name="Normal 15 2 3 3 2 2" xfId="6054"/>
    <cellStyle name="Normal 15 2 3 3 2 2 2" xfId="22154"/>
    <cellStyle name="Normal 15 2 3 3 2 2 2 2" xfId="44741"/>
    <cellStyle name="Normal 15 2 3 3 2 2 3" xfId="12494"/>
    <cellStyle name="Normal 15 2 3 3 2 2 3 2" xfId="35081"/>
    <cellStyle name="Normal 15 2 3 3 2 2 4" xfId="28641"/>
    <cellStyle name="Normal 15 2 3 3 2 3" xfId="18934"/>
    <cellStyle name="Normal 15 2 3 3 2 3 2" xfId="41521"/>
    <cellStyle name="Normal 15 2 3 3 2 4" xfId="15714"/>
    <cellStyle name="Normal 15 2 3 3 2 4 2" xfId="38301"/>
    <cellStyle name="Normal 15 2 3 3 2 5" xfId="9274"/>
    <cellStyle name="Normal 15 2 3 3 2 5 2" xfId="31861"/>
    <cellStyle name="Normal 15 2 3 3 2 6" xfId="25421"/>
    <cellStyle name="Normal 15 2 3 3 3" xfId="4746"/>
    <cellStyle name="Normal 15 2 3 3 3 2" xfId="20846"/>
    <cellStyle name="Normal 15 2 3 3 3 2 2" xfId="43433"/>
    <cellStyle name="Normal 15 2 3 3 3 3" xfId="11186"/>
    <cellStyle name="Normal 15 2 3 3 3 3 2" xfId="33773"/>
    <cellStyle name="Normal 15 2 3 3 3 4" xfId="27333"/>
    <cellStyle name="Normal 15 2 3 3 4" xfId="17626"/>
    <cellStyle name="Normal 15 2 3 3 4 2" xfId="40213"/>
    <cellStyle name="Normal 15 2 3 3 5" xfId="14406"/>
    <cellStyle name="Normal 15 2 3 3 5 2" xfId="36993"/>
    <cellStyle name="Normal 15 2 3 3 6" xfId="7966"/>
    <cellStyle name="Normal 15 2 3 3 6 2" xfId="30553"/>
    <cellStyle name="Normal 15 2 3 3 7" xfId="24113"/>
    <cellStyle name="Normal 15 2 3 4" xfId="2139"/>
    <cellStyle name="Normal 15 2 3 4 2" xfId="5360"/>
    <cellStyle name="Normal 15 2 3 4 2 2" xfId="21460"/>
    <cellStyle name="Normal 15 2 3 4 2 2 2" xfId="44047"/>
    <cellStyle name="Normal 15 2 3 4 2 3" xfId="11800"/>
    <cellStyle name="Normal 15 2 3 4 2 3 2" xfId="34387"/>
    <cellStyle name="Normal 15 2 3 4 2 4" xfId="27947"/>
    <cellStyle name="Normal 15 2 3 4 3" xfId="18240"/>
    <cellStyle name="Normal 15 2 3 4 3 2" xfId="40827"/>
    <cellStyle name="Normal 15 2 3 4 4" xfId="15020"/>
    <cellStyle name="Normal 15 2 3 4 4 2" xfId="37607"/>
    <cellStyle name="Normal 15 2 3 4 5" xfId="8580"/>
    <cellStyle name="Normal 15 2 3 4 5 2" xfId="31167"/>
    <cellStyle name="Normal 15 2 3 4 6" xfId="24727"/>
    <cellStyle name="Normal 15 2 3 5" xfId="3095"/>
    <cellStyle name="Normal 15 2 3 5 2" xfId="6315"/>
    <cellStyle name="Normal 15 2 3 5 2 2" xfId="22415"/>
    <cellStyle name="Normal 15 2 3 5 2 2 2" xfId="45002"/>
    <cellStyle name="Normal 15 2 3 5 2 3" xfId="12755"/>
    <cellStyle name="Normal 15 2 3 5 2 3 2" xfId="35342"/>
    <cellStyle name="Normal 15 2 3 5 2 4" xfId="28902"/>
    <cellStyle name="Normal 15 2 3 5 3" xfId="19195"/>
    <cellStyle name="Normal 15 2 3 5 3 2" xfId="41782"/>
    <cellStyle name="Normal 15 2 3 5 4" xfId="15975"/>
    <cellStyle name="Normal 15 2 3 5 4 2" xfId="38562"/>
    <cellStyle name="Normal 15 2 3 5 5" xfId="9535"/>
    <cellStyle name="Normal 15 2 3 5 5 2" xfId="32122"/>
    <cellStyle name="Normal 15 2 3 5 6" xfId="25682"/>
    <cellStyle name="Normal 15 2 3 6" xfId="3385"/>
    <cellStyle name="Normal 15 2 3 6 2" xfId="6605"/>
    <cellStyle name="Normal 15 2 3 6 2 2" xfId="22705"/>
    <cellStyle name="Normal 15 2 3 6 2 2 2" xfId="45292"/>
    <cellStyle name="Normal 15 2 3 6 2 3" xfId="13045"/>
    <cellStyle name="Normal 15 2 3 6 2 3 2" xfId="35632"/>
    <cellStyle name="Normal 15 2 3 6 2 4" xfId="29192"/>
    <cellStyle name="Normal 15 2 3 6 3" xfId="19485"/>
    <cellStyle name="Normal 15 2 3 6 3 2" xfId="42072"/>
    <cellStyle name="Normal 15 2 3 6 4" xfId="16265"/>
    <cellStyle name="Normal 15 2 3 6 4 2" xfId="38852"/>
    <cellStyle name="Normal 15 2 3 6 5" xfId="9825"/>
    <cellStyle name="Normal 15 2 3 6 5 2" xfId="32412"/>
    <cellStyle name="Normal 15 2 3 6 6" xfId="25972"/>
    <cellStyle name="Normal 15 2 3 7" xfId="820"/>
    <cellStyle name="Normal 15 2 3 7 2" xfId="4052"/>
    <cellStyle name="Normal 15 2 3 7 2 2" xfId="20152"/>
    <cellStyle name="Normal 15 2 3 7 2 2 2" xfId="42739"/>
    <cellStyle name="Normal 15 2 3 7 2 3" xfId="10492"/>
    <cellStyle name="Normal 15 2 3 7 2 3 2" xfId="33079"/>
    <cellStyle name="Normal 15 2 3 7 2 4" xfId="26639"/>
    <cellStyle name="Normal 15 2 3 7 3" xfId="16932"/>
    <cellStyle name="Normal 15 2 3 7 3 2" xfId="39519"/>
    <cellStyle name="Normal 15 2 3 7 4" xfId="13712"/>
    <cellStyle name="Normal 15 2 3 7 4 2" xfId="36299"/>
    <cellStyle name="Normal 15 2 3 7 5" xfId="7272"/>
    <cellStyle name="Normal 15 2 3 7 5 2" xfId="29859"/>
    <cellStyle name="Normal 15 2 3 7 6" xfId="23419"/>
    <cellStyle name="Normal 15 2 3 8" xfId="3675"/>
    <cellStyle name="Normal 15 2 3 8 2" xfId="19775"/>
    <cellStyle name="Normal 15 2 3 8 2 2" xfId="42362"/>
    <cellStyle name="Normal 15 2 3 8 3" xfId="10115"/>
    <cellStyle name="Normal 15 2 3 8 3 2" xfId="32702"/>
    <cellStyle name="Normal 15 2 3 8 4" xfId="26262"/>
    <cellStyle name="Normal 15 2 3 9" xfId="16555"/>
    <cellStyle name="Normal 15 2 3 9 2" xfId="39142"/>
    <cellStyle name="Normal 15 2 4" xfId="887"/>
    <cellStyle name="Normal 15 2 4 2" xfId="2206"/>
    <cellStyle name="Normal 15 2 4 2 2" xfId="5427"/>
    <cellStyle name="Normal 15 2 4 2 2 2" xfId="21527"/>
    <cellStyle name="Normal 15 2 4 2 2 2 2" xfId="44114"/>
    <cellStyle name="Normal 15 2 4 2 2 3" xfId="11867"/>
    <cellStyle name="Normal 15 2 4 2 2 3 2" xfId="34454"/>
    <cellStyle name="Normal 15 2 4 2 2 4" xfId="28014"/>
    <cellStyle name="Normal 15 2 4 2 3" xfId="18307"/>
    <cellStyle name="Normal 15 2 4 2 3 2" xfId="40894"/>
    <cellStyle name="Normal 15 2 4 2 4" xfId="15087"/>
    <cellStyle name="Normal 15 2 4 2 4 2" xfId="37674"/>
    <cellStyle name="Normal 15 2 4 2 5" xfId="8647"/>
    <cellStyle name="Normal 15 2 4 2 5 2" xfId="31234"/>
    <cellStyle name="Normal 15 2 4 2 6" xfId="24794"/>
    <cellStyle name="Normal 15 2 4 3" xfId="4119"/>
    <cellStyle name="Normal 15 2 4 3 2" xfId="20219"/>
    <cellStyle name="Normal 15 2 4 3 2 2" xfId="42806"/>
    <cellStyle name="Normal 15 2 4 3 3" xfId="10559"/>
    <cellStyle name="Normal 15 2 4 3 3 2" xfId="33146"/>
    <cellStyle name="Normal 15 2 4 3 4" xfId="26706"/>
    <cellStyle name="Normal 15 2 4 4" xfId="16999"/>
    <cellStyle name="Normal 15 2 4 4 2" xfId="39586"/>
    <cellStyle name="Normal 15 2 4 5" xfId="13779"/>
    <cellStyle name="Normal 15 2 4 5 2" xfId="36366"/>
    <cellStyle name="Normal 15 2 4 6" xfId="7339"/>
    <cellStyle name="Normal 15 2 4 6 2" xfId="29926"/>
    <cellStyle name="Normal 15 2 4 7" xfId="23486"/>
    <cellStyle name="Normal 15 2 5" xfId="1239"/>
    <cellStyle name="Normal 15 2 5 2" xfId="2553"/>
    <cellStyle name="Normal 15 2 5 2 2" xfId="5774"/>
    <cellStyle name="Normal 15 2 5 2 2 2" xfId="21874"/>
    <cellStyle name="Normal 15 2 5 2 2 2 2" xfId="44461"/>
    <cellStyle name="Normal 15 2 5 2 2 3" xfId="12214"/>
    <cellStyle name="Normal 15 2 5 2 2 3 2" xfId="34801"/>
    <cellStyle name="Normal 15 2 5 2 2 4" xfId="28361"/>
    <cellStyle name="Normal 15 2 5 2 3" xfId="18654"/>
    <cellStyle name="Normal 15 2 5 2 3 2" xfId="41241"/>
    <cellStyle name="Normal 15 2 5 2 4" xfId="15434"/>
    <cellStyle name="Normal 15 2 5 2 4 2" xfId="38021"/>
    <cellStyle name="Normal 15 2 5 2 5" xfId="8994"/>
    <cellStyle name="Normal 15 2 5 2 5 2" xfId="31581"/>
    <cellStyle name="Normal 15 2 5 2 6" xfId="25141"/>
    <cellStyle name="Normal 15 2 5 3" xfId="4466"/>
    <cellStyle name="Normal 15 2 5 3 2" xfId="20566"/>
    <cellStyle name="Normal 15 2 5 3 2 2" xfId="43153"/>
    <cellStyle name="Normal 15 2 5 3 3" xfId="10906"/>
    <cellStyle name="Normal 15 2 5 3 3 2" xfId="33493"/>
    <cellStyle name="Normal 15 2 5 3 4" xfId="27053"/>
    <cellStyle name="Normal 15 2 5 4" xfId="17346"/>
    <cellStyle name="Normal 15 2 5 4 2" xfId="39933"/>
    <cellStyle name="Normal 15 2 5 5" xfId="14126"/>
    <cellStyle name="Normal 15 2 5 5 2" xfId="36713"/>
    <cellStyle name="Normal 15 2 5 6" xfId="7686"/>
    <cellStyle name="Normal 15 2 5 6 2" xfId="30273"/>
    <cellStyle name="Normal 15 2 5 7" xfId="23833"/>
    <cellStyle name="Normal 15 2 6" xfId="1613"/>
    <cellStyle name="Normal 15 2 6 2" xfId="4839"/>
    <cellStyle name="Normal 15 2 6 2 2" xfId="20939"/>
    <cellStyle name="Normal 15 2 6 2 2 2" xfId="43526"/>
    <cellStyle name="Normal 15 2 6 2 3" xfId="11279"/>
    <cellStyle name="Normal 15 2 6 2 3 2" xfId="33866"/>
    <cellStyle name="Normal 15 2 6 2 4" xfId="27426"/>
    <cellStyle name="Normal 15 2 6 3" xfId="17719"/>
    <cellStyle name="Normal 15 2 6 3 2" xfId="40306"/>
    <cellStyle name="Normal 15 2 6 4" xfId="14499"/>
    <cellStyle name="Normal 15 2 6 4 2" xfId="37086"/>
    <cellStyle name="Normal 15 2 6 5" xfId="8059"/>
    <cellStyle name="Normal 15 2 6 5 2" xfId="30646"/>
    <cellStyle name="Normal 15 2 6 6" xfId="24206"/>
    <cellStyle name="Normal 15 2 7" xfId="1858"/>
    <cellStyle name="Normal 15 2 7 2" xfId="5080"/>
    <cellStyle name="Normal 15 2 7 2 2" xfId="21180"/>
    <cellStyle name="Normal 15 2 7 2 2 2" xfId="43767"/>
    <cellStyle name="Normal 15 2 7 2 3" xfId="11520"/>
    <cellStyle name="Normal 15 2 7 2 3 2" xfId="34107"/>
    <cellStyle name="Normal 15 2 7 2 4" xfId="27667"/>
    <cellStyle name="Normal 15 2 7 3" xfId="17960"/>
    <cellStyle name="Normal 15 2 7 3 2" xfId="40547"/>
    <cellStyle name="Normal 15 2 7 4" xfId="14740"/>
    <cellStyle name="Normal 15 2 7 4 2" xfId="37327"/>
    <cellStyle name="Normal 15 2 7 5" xfId="8300"/>
    <cellStyle name="Normal 15 2 7 5 2" xfId="30887"/>
    <cellStyle name="Normal 15 2 7 6" xfId="24447"/>
    <cellStyle name="Normal 15 2 8" xfId="2901"/>
    <cellStyle name="Normal 15 2 8 2" xfId="6122"/>
    <cellStyle name="Normal 15 2 8 2 2" xfId="22222"/>
    <cellStyle name="Normal 15 2 8 2 2 2" xfId="44809"/>
    <cellStyle name="Normal 15 2 8 2 3" xfId="12562"/>
    <cellStyle name="Normal 15 2 8 2 3 2" xfId="35149"/>
    <cellStyle name="Normal 15 2 8 2 4" xfId="28709"/>
    <cellStyle name="Normal 15 2 8 3" xfId="19002"/>
    <cellStyle name="Normal 15 2 8 3 2" xfId="41589"/>
    <cellStyle name="Normal 15 2 8 4" xfId="15782"/>
    <cellStyle name="Normal 15 2 8 4 2" xfId="38369"/>
    <cellStyle name="Normal 15 2 8 5" xfId="9342"/>
    <cellStyle name="Normal 15 2 8 5 2" xfId="31929"/>
    <cellStyle name="Normal 15 2 8 6" xfId="25489"/>
    <cellStyle name="Normal 15 2 9" xfId="3192"/>
    <cellStyle name="Normal 15 2 9 2" xfId="6412"/>
    <cellStyle name="Normal 15 2 9 2 2" xfId="22512"/>
    <cellStyle name="Normal 15 2 9 2 2 2" xfId="45099"/>
    <cellStyle name="Normal 15 2 9 2 3" xfId="12852"/>
    <cellStyle name="Normal 15 2 9 2 3 2" xfId="35439"/>
    <cellStyle name="Normal 15 2 9 2 4" xfId="28999"/>
    <cellStyle name="Normal 15 2 9 3" xfId="19292"/>
    <cellStyle name="Normal 15 2 9 3 2" xfId="41879"/>
    <cellStyle name="Normal 15 2 9 4" xfId="16072"/>
    <cellStyle name="Normal 15 2 9 4 2" xfId="38659"/>
    <cellStyle name="Normal 15 2 9 5" xfId="9632"/>
    <cellStyle name="Normal 15 2 9 5 2" xfId="32219"/>
    <cellStyle name="Normal 15 2 9 6" xfId="25779"/>
    <cellStyle name="Normal 15 3" xfId="278"/>
    <cellStyle name="Normal 15 3 10" xfId="525"/>
    <cellStyle name="Normal 15 3 10 2" xfId="3812"/>
    <cellStyle name="Normal 15 3 10 2 2" xfId="19912"/>
    <cellStyle name="Normal 15 3 10 2 2 2" xfId="42499"/>
    <cellStyle name="Normal 15 3 10 2 3" xfId="10252"/>
    <cellStyle name="Normal 15 3 10 2 3 2" xfId="32839"/>
    <cellStyle name="Normal 15 3 10 2 4" xfId="26399"/>
    <cellStyle name="Normal 15 3 10 3" xfId="16692"/>
    <cellStyle name="Normal 15 3 10 3 2" xfId="39279"/>
    <cellStyle name="Normal 15 3 10 4" xfId="13472"/>
    <cellStyle name="Normal 15 3 10 4 2" xfId="36059"/>
    <cellStyle name="Normal 15 3 10 5" xfId="7032"/>
    <cellStyle name="Normal 15 3 10 5 2" xfId="29619"/>
    <cellStyle name="Normal 15 3 10 6" xfId="23179"/>
    <cellStyle name="Normal 15 3 11" xfId="3565"/>
    <cellStyle name="Normal 15 3 11 2" xfId="19665"/>
    <cellStyle name="Normal 15 3 11 2 2" xfId="42252"/>
    <cellStyle name="Normal 15 3 11 3" xfId="10005"/>
    <cellStyle name="Normal 15 3 11 3 2" xfId="32592"/>
    <cellStyle name="Normal 15 3 11 4" xfId="26152"/>
    <cellStyle name="Normal 15 3 12" xfId="16445"/>
    <cellStyle name="Normal 15 3 12 2" xfId="39032"/>
    <cellStyle name="Normal 15 3 13" xfId="13225"/>
    <cellStyle name="Normal 15 3 13 2" xfId="35812"/>
    <cellStyle name="Normal 15 3 14" xfId="6785"/>
    <cellStyle name="Normal 15 3 14 2" xfId="29372"/>
    <cellStyle name="Normal 15 3 15" xfId="22932"/>
    <cellStyle name="Normal 15 3 2" xfId="684"/>
    <cellStyle name="Normal 15 3 2 2" xfId="1048"/>
    <cellStyle name="Normal 15 3 2 2 2" xfId="2362"/>
    <cellStyle name="Normal 15 3 2 2 2 2" xfId="5583"/>
    <cellStyle name="Normal 15 3 2 2 2 2 2" xfId="21683"/>
    <cellStyle name="Normal 15 3 2 2 2 2 2 2" xfId="44270"/>
    <cellStyle name="Normal 15 3 2 2 2 2 3" xfId="12023"/>
    <cellStyle name="Normal 15 3 2 2 2 2 3 2" xfId="34610"/>
    <cellStyle name="Normal 15 3 2 2 2 2 4" xfId="28170"/>
    <cellStyle name="Normal 15 3 2 2 2 3" xfId="18463"/>
    <cellStyle name="Normal 15 3 2 2 2 3 2" xfId="41050"/>
    <cellStyle name="Normal 15 3 2 2 2 4" xfId="15243"/>
    <cellStyle name="Normal 15 3 2 2 2 4 2" xfId="37830"/>
    <cellStyle name="Normal 15 3 2 2 2 5" xfId="8803"/>
    <cellStyle name="Normal 15 3 2 2 2 5 2" xfId="31390"/>
    <cellStyle name="Normal 15 3 2 2 2 6" xfId="24950"/>
    <cellStyle name="Normal 15 3 2 2 3" xfId="4275"/>
    <cellStyle name="Normal 15 3 2 2 3 2" xfId="20375"/>
    <cellStyle name="Normal 15 3 2 2 3 2 2" xfId="42962"/>
    <cellStyle name="Normal 15 3 2 2 3 3" xfId="10715"/>
    <cellStyle name="Normal 15 3 2 2 3 3 2" xfId="33302"/>
    <cellStyle name="Normal 15 3 2 2 3 4" xfId="26862"/>
    <cellStyle name="Normal 15 3 2 2 4" xfId="17155"/>
    <cellStyle name="Normal 15 3 2 2 4 2" xfId="39742"/>
    <cellStyle name="Normal 15 3 2 2 5" xfId="13935"/>
    <cellStyle name="Normal 15 3 2 2 5 2" xfId="36522"/>
    <cellStyle name="Normal 15 3 2 2 6" xfId="7495"/>
    <cellStyle name="Normal 15 3 2 2 6 2" xfId="30082"/>
    <cellStyle name="Normal 15 3 2 2 7" xfId="23642"/>
    <cellStyle name="Normal 15 3 2 3" xfId="1395"/>
    <cellStyle name="Normal 15 3 2 3 2" xfId="2709"/>
    <cellStyle name="Normal 15 3 2 3 2 2" xfId="5930"/>
    <cellStyle name="Normal 15 3 2 3 2 2 2" xfId="22030"/>
    <cellStyle name="Normal 15 3 2 3 2 2 2 2" xfId="44617"/>
    <cellStyle name="Normal 15 3 2 3 2 2 3" xfId="12370"/>
    <cellStyle name="Normal 15 3 2 3 2 2 3 2" xfId="34957"/>
    <cellStyle name="Normal 15 3 2 3 2 2 4" xfId="28517"/>
    <cellStyle name="Normal 15 3 2 3 2 3" xfId="18810"/>
    <cellStyle name="Normal 15 3 2 3 2 3 2" xfId="41397"/>
    <cellStyle name="Normal 15 3 2 3 2 4" xfId="15590"/>
    <cellStyle name="Normal 15 3 2 3 2 4 2" xfId="38177"/>
    <cellStyle name="Normal 15 3 2 3 2 5" xfId="9150"/>
    <cellStyle name="Normal 15 3 2 3 2 5 2" xfId="31737"/>
    <cellStyle name="Normal 15 3 2 3 2 6" xfId="25297"/>
    <cellStyle name="Normal 15 3 2 3 3" xfId="4622"/>
    <cellStyle name="Normal 15 3 2 3 3 2" xfId="20722"/>
    <cellStyle name="Normal 15 3 2 3 3 2 2" xfId="43309"/>
    <cellStyle name="Normal 15 3 2 3 3 3" xfId="11062"/>
    <cellStyle name="Normal 15 3 2 3 3 3 2" xfId="33649"/>
    <cellStyle name="Normal 15 3 2 3 3 4" xfId="27209"/>
    <cellStyle name="Normal 15 3 2 3 4" xfId="17502"/>
    <cellStyle name="Normal 15 3 2 3 4 2" xfId="40089"/>
    <cellStyle name="Normal 15 3 2 3 5" xfId="14282"/>
    <cellStyle name="Normal 15 3 2 3 5 2" xfId="36869"/>
    <cellStyle name="Normal 15 3 2 3 6" xfId="7842"/>
    <cellStyle name="Normal 15 3 2 3 6 2" xfId="30429"/>
    <cellStyle name="Normal 15 3 2 3 7" xfId="23989"/>
    <cellStyle name="Normal 15 3 2 4" xfId="2014"/>
    <cellStyle name="Normal 15 3 2 4 2" xfId="5236"/>
    <cellStyle name="Normal 15 3 2 4 2 2" xfId="21336"/>
    <cellStyle name="Normal 15 3 2 4 2 2 2" xfId="43923"/>
    <cellStyle name="Normal 15 3 2 4 2 3" xfId="11676"/>
    <cellStyle name="Normal 15 3 2 4 2 3 2" xfId="34263"/>
    <cellStyle name="Normal 15 3 2 4 2 4" xfId="27823"/>
    <cellStyle name="Normal 15 3 2 4 3" xfId="18116"/>
    <cellStyle name="Normal 15 3 2 4 3 2" xfId="40703"/>
    <cellStyle name="Normal 15 3 2 4 4" xfId="14896"/>
    <cellStyle name="Normal 15 3 2 4 4 2" xfId="37483"/>
    <cellStyle name="Normal 15 3 2 4 5" xfId="8456"/>
    <cellStyle name="Normal 15 3 2 4 5 2" xfId="31043"/>
    <cellStyle name="Normal 15 3 2 4 6" xfId="24603"/>
    <cellStyle name="Normal 15 3 2 5" xfId="3928"/>
    <cellStyle name="Normal 15 3 2 5 2" xfId="20028"/>
    <cellStyle name="Normal 15 3 2 5 2 2" xfId="42615"/>
    <cellStyle name="Normal 15 3 2 5 3" xfId="10368"/>
    <cellStyle name="Normal 15 3 2 5 3 2" xfId="32955"/>
    <cellStyle name="Normal 15 3 2 5 4" xfId="26515"/>
    <cellStyle name="Normal 15 3 2 6" xfId="16808"/>
    <cellStyle name="Normal 15 3 2 6 2" xfId="39395"/>
    <cellStyle name="Normal 15 3 2 7" xfId="13588"/>
    <cellStyle name="Normal 15 3 2 7 2" xfId="36175"/>
    <cellStyle name="Normal 15 3 2 8" xfId="7148"/>
    <cellStyle name="Normal 15 3 2 8 2" xfId="29735"/>
    <cellStyle name="Normal 15 3 2 9" xfId="23295"/>
    <cellStyle name="Normal 15 3 3" xfId="803"/>
    <cellStyle name="Normal 15 3 3 2" xfId="1155"/>
    <cellStyle name="Normal 15 3 3 2 2" xfId="2469"/>
    <cellStyle name="Normal 15 3 3 2 2 2" xfId="5690"/>
    <cellStyle name="Normal 15 3 3 2 2 2 2" xfId="21790"/>
    <cellStyle name="Normal 15 3 3 2 2 2 2 2" xfId="44377"/>
    <cellStyle name="Normal 15 3 3 2 2 2 3" xfId="12130"/>
    <cellStyle name="Normal 15 3 3 2 2 2 3 2" xfId="34717"/>
    <cellStyle name="Normal 15 3 3 2 2 2 4" xfId="28277"/>
    <cellStyle name="Normal 15 3 3 2 2 3" xfId="18570"/>
    <cellStyle name="Normal 15 3 3 2 2 3 2" xfId="41157"/>
    <cellStyle name="Normal 15 3 3 2 2 4" xfId="15350"/>
    <cellStyle name="Normal 15 3 3 2 2 4 2" xfId="37937"/>
    <cellStyle name="Normal 15 3 3 2 2 5" xfId="8910"/>
    <cellStyle name="Normal 15 3 3 2 2 5 2" xfId="31497"/>
    <cellStyle name="Normal 15 3 3 2 2 6" xfId="25057"/>
    <cellStyle name="Normal 15 3 3 2 3" xfId="4382"/>
    <cellStyle name="Normal 15 3 3 2 3 2" xfId="20482"/>
    <cellStyle name="Normal 15 3 3 2 3 2 2" xfId="43069"/>
    <cellStyle name="Normal 15 3 3 2 3 3" xfId="10822"/>
    <cellStyle name="Normal 15 3 3 2 3 3 2" xfId="33409"/>
    <cellStyle name="Normal 15 3 3 2 3 4" xfId="26969"/>
    <cellStyle name="Normal 15 3 3 2 4" xfId="17262"/>
    <cellStyle name="Normal 15 3 3 2 4 2" xfId="39849"/>
    <cellStyle name="Normal 15 3 3 2 5" xfId="14042"/>
    <cellStyle name="Normal 15 3 3 2 5 2" xfId="36629"/>
    <cellStyle name="Normal 15 3 3 2 6" xfId="7602"/>
    <cellStyle name="Normal 15 3 3 2 6 2" xfId="30189"/>
    <cellStyle name="Normal 15 3 3 2 7" xfId="23749"/>
    <cellStyle name="Normal 15 3 3 3" xfId="1502"/>
    <cellStyle name="Normal 15 3 3 3 2" xfId="2816"/>
    <cellStyle name="Normal 15 3 3 3 2 2" xfId="6037"/>
    <cellStyle name="Normal 15 3 3 3 2 2 2" xfId="22137"/>
    <cellStyle name="Normal 15 3 3 3 2 2 2 2" xfId="44724"/>
    <cellStyle name="Normal 15 3 3 3 2 2 3" xfId="12477"/>
    <cellStyle name="Normal 15 3 3 3 2 2 3 2" xfId="35064"/>
    <cellStyle name="Normal 15 3 3 3 2 2 4" xfId="28624"/>
    <cellStyle name="Normal 15 3 3 3 2 3" xfId="18917"/>
    <cellStyle name="Normal 15 3 3 3 2 3 2" xfId="41504"/>
    <cellStyle name="Normal 15 3 3 3 2 4" xfId="15697"/>
    <cellStyle name="Normal 15 3 3 3 2 4 2" xfId="38284"/>
    <cellStyle name="Normal 15 3 3 3 2 5" xfId="9257"/>
    <cellStyle name="Normal 15 3 3 3 2 5 2" xfId="31844"/>
    <cellStyle name="Normal 15 3 3 3 2 6" xfId="25404"/>
    <cellStyle name="Normal 15 3 3 3 3" xfId="4729"/>
    <cellStyle name="Normal 15 3 3 3 3 2" xfId="20829"/>
    <cellStyle name="Normal 15 3 3 3 3 2 2" xfId="43416"/>
    <cellStyle name="Normal 15 3 3 3 3 3" xfId="11169"/>
    <cellStyle name="Normal 15 3 3 3 3 3 2" xfId="33756"/>
    <cellStyle name="Normal 15 3 3 3 3 4" xfId="27316"/>
    <cellStyle name="Normal 15 3 3 3 4" xfId="17609"/>
    <cellStyle name="Normal 15 3 3 3 4 2" xfId="40196"/>
    <cellStyle name="Normal 15 3 3 3 5" xfId="14389"/>
    <cellStyle name="Normal 15 3 3 3 5 2" xfId="36976"/>
    <cellStyle name="Normal 15 3 3 3 6" xfId="7949"/>
    <cellStyle name="Normal 15 3 3 3 6 2" xfId="30536"/>
    <cellStyle name="Normal 15 3 3 3 7" xfId="24096"/>
    <cellStyle name="Normal 15 3 3 4" xfId="2122"/>
    <cellStyle name="Normal 15 3 3 4 2" xfId="5343"/>
    <cellStyle name="Normal 15 3 3 4 2 2" xfId="21443"/>
    <cellStyle name="Normal 15 3 3 4 2 2 2" xfId="44030"/>
    <cellStyle name="Normal 15 3 3 4 2 3" xfId="11783"/>
    <cellStyle name="Normal 15 3 3 4 2 3 2" xfId="34370"/>
    <cellStyle name="Normal 15 3 3 4 2 4" xfId="27930"/>
    <cellStyle name="Normal 15 3 3 4 3" xfId="18223"/>
    <cellStyle name="Normal 15 3 3 4 3 2" xfId="40810"/>
    <cellStyle name="Normal 15 3 3 4 4" xfId="15003"/>
    <cellStyle name="Normal 15 3 3 4 4 2" xfId="37590"/>
    <cellStyle name="Normal 15 3 3 4 5" xfId="8563"/>
    <cellStyle name="Normal 15 3 3 4 5 2" xfId="31150"/>
    <cellStyle name="Normal 15 3 3 4 6" xfId="24710"/>
    <cellStyle name="Normal 15 3 3 5" xfId="4035"/>
    <cellStyle name="Normal 15 3 3 5 2" xfId="20135"/>
    <cellStyle name="Normal 15 3 3 5 2 2" xfId="42722"/>
    <cellStyle name="Normal 15 3 3 5 3" xfId="10475"/>
    <cellStyle name="Normal 15 3 3 5 3 2" xfId="33062"/>
    <cellStyle name="Normal 15 3 3 5 4" xfId="26622"/>
    <cellStyle name="Normal 15 3 3 6" xfId="16915"/>
    <cellStyle name="Normal 15 3 3 6 2" xfId="39502"/>
    <cellStyle name="Normal 15 3 3 7" xfId="13695"/>
    <cellStyle name="Normal 15 3 3 7 2" xfId="36282"/>
    <cellStyle name="Normal 15 3 3 8" xfId="7255"/>
    <cellStyle name="Normal 15 3 3 8 2" xfId="29842"/>
    <cellStyle name="Normal 15 3 3 9" xfId="23402"/>
    <cellStyle name="Normal 15 3 4" xfId="927"/>
    <cellStyle name="Normal 15 3 4 2" xfId="2246"/>
    <cellStyle name="Normal 15 3 4 2 2" xfId="5467"/>
    <cellStyle name="Normal 15 3 4 2 2 2" xfId="21567"/>
    <cellStyle name="Normal 15 3 4 2 2 2 2" xfId="44154"/>
    <cellStyle name="Normal 15 3 4 2 2 3" xfId="11907"/>
    <cellStyle name="Normal 15 3 4 2 2 3 2" xfId="34494"/>
    <cellStyle name="Normal 15 3 4 2 2 4" xfId="28054"/>
    <cellStyle name="Normal 15 3 4 2 3" xfId="18347"/>
    <cellStyle name="Normal 15 3 4 2 3 2" xfId="40934"/>
    <cellStyle name="Normal 15 3 4 2 4" xfId="15127"/>
    <cellStyle name="Normal 15 3 4 2 4 2" xfId="37714"/>
    <cellStyle name="Normal 15 3 4 2 5" xfId="8687"/>
    <cellStyle name="Normal 15 3 4 2 5 2" xfId="31274"/>
    <cellStyle name="Normal 15 3 4 2 6" xfId="24834"/>
    <cellStyle name="Normal 15 3 4 3" xfId="4159"/>
    <cellStyle name="Normal 15 3 4 3 2" xfId="20259"/>
    <cellStyle name="Normal 15 3 4 3 2 2" xfId="42846"/>
    <cellStyle name="Normal 15 3 4 3 3" xfId="10599"/>
    <cellStyle name="Normal 15 3 4 3 3 2" xfId="33186"/>
    <cellStyle name="Normal 15 3 4 3 4" xfId="26746"/>
    <cellStyle name="Normal 15 3 4 4" xfId="17039"/>
    <cellStyle name="Normal 15 3 4 4 2" xfId="39626"/>
    <cellStyle name="Normal 15 3 4 5" xfId="13819"/>
    <cellStyle name="Normal 15 3 4 5 2" xfId="36406"/>
    <cellStyle name="Normal 15 3 4 6" xfId="7379"/>
    <cellStyle name="Normal 15 3 4 6 2" xfId="29966"/>
    <cellStyle name="Normal 15 3 4 7" xfId="23526"/>
    <cellStyle name="Normal 15 3 5" xfId="1279"/>
    <cellStyle name="Normal 15 3 5 2" xfId="2593"/>
    <cellStyle name="Normal 15 3 5 2 2" xfId="5814"/>
    <cellStyle name="Normal 15 3 5 2 2 2" xfId="21914"/>
    <cellStyle name="Normal 15 3 5 2 2 2 2" xfId="44501"/>
    <cellStyle name="Normal 15 3 5 2 2 3" xfId="12254"/>
    <cellStyle name="Normal 15 3 5 2 2 3 2" xfId="34841"/>
    <cellStyle name="Normal 15 3 5 2 2 4" xfId="28401"/>
    <cellStyle name="Normal 15 3 5 2 3" xfId="18694"/>
    <cellStyle name="Normal 15 3 5 2 3 2" xfId="41281"/>
    <cellStyle name="Normal 15 3 5 2 4" xfId="15474"/>
    <cellStyle name="Normal 15 3 5 2 4 2" xfId="38061"/>
    <cellStyle name="Normal 15 3 5 2 5" xfId="9034"/>
    <cellStyle name="Normal 15 3 5 2 5 2" xfId="31621"/>
    <cellStyle name="Normal 15 3 5 2 6" xfId="25181"/>
    <cellStyle name="Normal 15 3 5 3" xfId="4506"/>
    <cellStyle name="Normal 15 3 5 3 2" xfId="20606"/>
    <cellStyle name="Normal 15 3 5 3 2 2" xfId="43193"/>
    <cellStyle name="Normal 15 3 5 3 3" xfId="10946"/>
    <cellStyle name="Normal 15 3 5 3 3 2" xfId="33533"/>
    <cellStyle name="Normal 15 3 5 3 4" xfId="27093"/>
    <cellStyle name="Normal 15 3 5 4" xfId="17386"/>
    <cellStyle name="Normal 15 3 5 4 2" xfId="39973"/>
    <cellStyle name="Normal 15 3 5 5" xfId="14166"/>
    <cellStyle name="Normal 15 3 5 5 2" xfId="36753"/>
    <cellStyle name="Normal 15 3 5 6" xfId="7726"/>
    <cellStyle name="Normal 15 3 5 6 2" xfId="30313"/>
    <cellStyle name="Normal 15 3 5 7" xfId="23873"/>
    <cellStyle name="Normal 15 3 6" xfId="1614"/>
    <cellStyle name="Normal 15 3 6 2" xfId="4840"/>
    <cellStyle name="Normal 15 3 6 2 2" xfId="20940"/>
    <cellStyle name="Normal 15 3 6 2 2 2" xfId="43527"/>
    <cellStyle name="Normal 15 3 6 2 3" xfId="11280"/>
    <cellStyle name="Normal 15 3 6 2 3 2" xfId="33867"/>
    <cellStyle name="Normal 15 3 6 2 4" xfId="27427"/>
    <cellStyle name="Normal 15 3 6 3" xfId="17720"/>
    <cellStyle name="Normal 15 3 6 3 2" xfId="40307"/>
    <cellStyle name="Normal 15 3 6 4" xfId="14500"/>
    <cellStyle name="Normal 15 3 6 4 2" xfId="37087"/>
    <cellStyle name="Normal 15 3 6 5" xfId="8060"/>
    <cellStyle name="Normal 15 3 6 5 2" xfId="30647"/>
    <cellStyle name="Normal 15 3 6 6" xfId="24207"/>
    <cellStyle name="Normal 15 3 7" xfId="1898"/>
    <cellStyle name="Normal 15 3 7 2" xfId="5120"/>
    <cellStyle name="Normal 15 3 7 2 2" xfId="21220"/>
    <cellStyle name="Normal 15 3 7 2 2 2" xfId="43807"/>
    <cellStyle name="Normal 15 3 7 2 3" xfId="11560"/>
    <cellStyle name="Normal 15 3 7 2 3 2" xfId="34147"/>
    <cellStyle name="Normal 15 3 7 2 4" xfId="27707"/>
    <cellStyle name="Normal 15 3 7 3" xfId="18000"/>
    <cellStyle name="Normal 15 3 7 3 2" xfId="40587"/>
    <cellStyle name="Normal 15 3 7 4" xfId="14780"/>
    <cellStyle name="Normal 15 3 7 4 2" xfId="37367"/>
    <cellStyle name="Normal 15 3 7 5" xfId="8340"/>
    <cellStyle name="Normal 15 3 7 5 2" xfId="30927"/>
    <cellStyle name="Normal 15 3 7 6" xfId="24487"/>
    <cellStyle name="Normal 15 3 8" xfId="2985"/>
    <cellStyle name="Normal 15 3 8 2" xfId="6205"/>
    <cellStyle name="Normal 15 3 8 2 2" xfId="22305"/>
    <cellStyle name="Normal 15 3 8 2 2 2" xfId="44892"/>
    <cellStyle name="Normal 15 3 8 2 3" xfId="12645"/>
    <cellStyle name="Normal 15 3 8 2 3 2" xfId="35232"/>
    <cellStyle name="Normal 15 3 8 2 4" xfId="28792"/>
    <cellStyle name="Normal 15 3 8 3" xfId="19085"/>
    <cellStyle name="Normal 15 3 8 3 2" xfId="41672"/>
    <cellStyle name="Normal 15 3 8 4" xfId="15865"/>
    <cellStyle name="Normal 15 3 8 4 2" xfId="38452"/>
    <cellStyle name="Normal 15 3 8 5" xfId="9425"/>
    <cellStyle name="Normal 15 3 8 5 2" xfId="32012"/>
    <cellStyle name="Normal 15 3 8 6" xfId="25572"/>
    <cellStyle name="Normal 15 3 9" xfId="3275"/>
    <cellStyle name="Normal 15 3 9 2" xfId="6495"/>
    <cellStyle name="Normal 15 3 9 2 2" xfId="22595"/>
    <cellStyle name="Normal 15 3 9 2 2 2" xfId="45182"/>
    <cellStyle name="Normal 15 3 9 2 3" xfId="12935"/>
    <cellStyle name="Normal 15 3 9 2 3 2" xfId="35522"/>
    <cellStyle name="Normal 15 3 9 2 4" xfId="29082"/>
    <cellStyle name="Normal 15 3 9 3" xfId="19375"/>
    <cellStyle name="Normal 15 3 9 3 2" xfId="41962"/>
    <cellStyle name="Normal 15 3 9 4" xfId="16155"/>
    <cellStyle name="Normal 15 3 9 4 2" xfId="38742"/>
    <cellStyle name="Normal 15 3 9 5" xfId="9715"/>
    <cellStyle name="Normal 15 3 9 5 2" xfId="32302"/>
    <cellStyle name="Normal 15 3 9 6" xfId="25862"/>
    <cellStyle name="Normal 15 4" xfId="371"/>
    <cellStyle name="Normal 15 4 10" xfId="16538"/>
    <cellStyle name="Normal 15 4 10 2" xfId="39125"/>
    <cellStyle name="Normal 15 4 11" xfId="13318"/>
    <cellStyle name="Normal 15 4 11 2" xfId="35905"/>
    <cellStyle name="Normal 15 4 12" xfId="6878"/>
    <cellStyle name="Normal 15 4 12 2" xfId="29465"/>
    <cellStyle name="Normal 15 4 13" xfId="23025"/>
    <cellStyle name="Normal 15 4 2" xfId="760"/>
    <cellStyle name="Normal 15 4 2 2" xfId="1112"/>
    <cellStyle name="Normal 15 4 2 2 2" xfId="2426"/>
    <cellStyle name="Normal 15 4 2 2 2 2" xfId="5647"/>
    <cellStyle name="Normal 15 4 2 2 2 2 2" xfId="21747"/>
    <cellStyle name="Normal 15 4 2 2 2 2 2 2" xfId="44334"/>
    <cellStyle name="Normal 15 4 2 2 2 2 3" xfId="12087"/>
    <cellStyle name="Normal 15 4 2 2 2 2 3 2" xfId="34674"/>
    <cellStyle name="Normal 15 4 2 2 2 2 4" xfId="28234"/>
    <cellStyle name="Normal 15 4 2 2 2 3" xfId="18527"/>
    <cellStyle name="Normal 15 4 2 2 2 3 2" xfId="41114"/>
    <cellStyle name="Normal 15 4 2 2 2 4" xfId="15307"/>
    <cellStyle name="Normal 15 4 2 2 2 4 2" xfId="37894"/>
    <cellStyle name="Normal 15 4 2 2 2 5" xfId="8867"/>
    <cellStyle name="Normal 15 4 2 2 2 5 2" xfId="31454"/>
    <cellStyle name="Normal 15 4 2 2 2 6" xfId="25014"/>
    <cellStyle name="Normal 15 4 2 2 3" xfId="4339"/>
    <cellStyle name="Normal 15 4 2 2 3 2" xfId="20439"/>
    <cellStyle name="Normal 15 4 2 2 3 2 2" xfId="43026"/>
    <cellStyle name="Normal 15 4 2 2 3 3" xfId="10779"/>
    <cellStyle name="Normal 15 4 2 2 3 3 2" xfId="33366"/>
    <cellStyle name="Normal 15 4 2 2 3 4" xfId="26926"/>
    <cellStyle name="Normal 15 4 2 2 4" xfId="17219"/>
    <cellStyle name="Normal 15 4 2 2 4 2" xfId="39806"/>
    <cellStyle name="Normal 15 4 2 2 5" xfId="13999"/>
    <cellStyle name="Normal 15 4 2 2 5 2" xfId="36586"/>
    <cellStyle name="Normal 15 4 2 2 6" xfId="7559"/>
    <cellStyle name="Normal 15 4 2 2 6 2" xfId="30146"/>
    <cellStyle name="Normal 15 4 2 2 7" xfId="23706"/>
    <cellStyle name="Normal 15 4 2 3" xfId="1459"/>
    <cellStyle name="Normal 15 4 2 3 2" xfId="2773"/>
    <cellStyle name="Normal 15 4 2 3 2 2" xfId="5994"/>
    <cellStyle name="Normal 15 4 2 3 2 2 2" xfId="22094"/>
    <cellStyle name="Normal 15 4 2 3 2 2 2 2" xfId="44681"/>
    <cellStyle name="Normal 15 4 2 3 2 2 3" xfId="12434"/>
    <cellStyle name="Normal 15 4 2 3 2 2 3 2" xfId="35021"/>
    <cellStyle name="Normal 15 4 2 3 2 2 4" xfId="28581"/>
    <cellStyle name="Normal 15 4 2 3 2 3" xfId="18874"/>
    <cellStyle name="Normal 15 4 2 3 2 3 2" xfId="41461"/>
    <cellStyle name="Normal 15 4 2 3 2 4" xfId="15654"/>
    <cellStyle name="Normal 15 4 2 3 2 4 2" xfId="38241"/>
    <cellStyle name="Normal 15 4 2 3 2 5" xfId="9214"/>
    <cellStyle name="Normal 15 4 2 3 2 5 2" xfId="31801"/>
    <cellStyle name="Normal 15 4 2 3 2 6" xfId="25361"/>
    <cellStyle name="Normal 15 4 2 3 3" xfId="4686"/>
    <cellStyle name="Normal 15 4 2 3 3 2" xfId="20786"/>
    <cellStyle name="Normal 15 4 2 3 3 2 2" xfId="43373"/>
    <cellStyle name="Normal 15 4 2 3 3 3" xfId="11126"/>
    <cellStyle name="Normal 15 4 2 3 3 3 2" xfId="33713"/>
    <cellStyle name="Normal 15 4 2 3 3 4" xfId="27273"/>
    <cellStyle name="Normal 15 4 2 3 4" xfId="17566"/>
    <cellStyle name="Normal 15 4 2 3 4 2" xfId="40153"/>
    <cellStyle name="Normal 15 4 2 3 5" xfId="14346"/>
    <cellStyle name="Normal 15 4 2 3 5 2" xfId="36933"/>
    <cellStyle name="Normal 15 4 2 3 6" xfId="7906"/>
    <cellStyle name="Normal 15 4 2 3 6 2" xfId="30493"/>
    <cellStyle name="Normal 15 4 2 3 7" xfId="24053"/>
    <cellStyle name="Normal 15 4 2 4" xfId="2079"/>
    <cellStyle name="Normal 15 4 2 4 2" xfId="5300"/>
    <cellStyle name="Normal 15 4 2 4 2 2" xfId="21400"/>
    <cellStyle name="Normal 15 4 2 4 2 2 2" xfId="43987"/>
    <cellStyle name="Normal 15 4 2 4 2 3" xfId="11740"/>
    <cellStyle name="Normal 15 4 2 4 2 3 2" xfId="34327"/>
    <cellStyle name="Normal 15 4 2 4 2 4" xfId="27887"/>
    <cellStyle name="Normal 15 4 2 4 3" xfId="18180"/>
    <cellStyle name="Normal 15 4 2 4 3 2" xfId="40767"/>
    <cellStyle name="Normal 15 4 2 4 4" xfId="14960"/>
    <cellStyle name="Normal 15 4 2 4 4 2" xfId="37547"/>
    <cellStyle name="Normal 15 4 2 4 5" xfId="8520"/>
    <cellStyle name="Normal 15 4 2 4 5 2" xfId="31107"/>
    <cellStyle name="Normal 15 4 2 4 6" xfId="24667"/>
    <cellStyle name="Normal 15 4 2 5" xfId="3992"/>
    <cellStyle name="Normal 15 4 2 5 2" xfId="20092"/>
    <cellStyle name="Normal 15 4 2 5 2 2" xfId="42679"/>
    <cellStyle name="Normal 15 4 2 5 3" xfId="10432"/>
    <cellStyle name="Normal 15 4 2 5 3 2" xfId="33019"/>
    <cellStyle name="Normal 15 4 2 5 4" xfId="26579"/>
    <cellStyle name="Normal 15 4 2 6" xfId="16872"/>
    <cellStyle name="Normal 15 4 2 6 2" xfId="39459"/>
    <cellStyle name="Normal 15 4 2 7" xfId="13652"/>
    <cellStyle name="Normal 15 4 2 7 2" xfId="36239"/>
    <cellStyle name="Normal 15 4 2 8" xfId="7212"/>
    <cellStyle name="Normal 15 4 2 8 2" xfId="29799"/>
    <cellStyle name="Normal 15 4 2 9" xfId="23359"/>
    <cellStyle name="Normal 15 4 3" xfId="994"/>
    <cellStyle name="Normal 15 4 3 2" xfId="2308"/>
    <cellStyle name="Normal 15 4 3 2 2" xfId="5529"/>
    <cellStyle name="Normal 15 4 3 2 2 2" xfId="21629"/>
    <cellStyle name="Normal 15 4 3 2 2 2 2" xfId="44216"/>
    <cellStyle name="Normal 15 4 3 2 2 3" xfId="11969"/>
    <cellStyle name="Normal 15 4 3 2 2 3 2" xfId="34556"/>
    <cellStyle name="Normal 15 4 3 2 2 4" xfId="28116"/>
    <cellStyle name="Normal 15 4 3 2 3" xfId="18409"/>
    <cellStyle name="Normal 15 4 3 2 3 2" xfId="40996"/>
    <cellStyle name="Normal 15 4 3 2 4" xfId="15189"/>
    <cellStyle name="Normal 15 4 3 2 4 2" xfId="37776"/>
    <cellStyle name="Normal 15 4 3 2 5" xfId="8749"/>
    <cellStyle name="Normal 15 4 3 2 5 2" xfId="31336"/>
    <cellStyle name="Normal 15 4 3 2 6" xfId="24896"/>
    <cellStyle name="Normal 15 4 3 3" xfId="4221"/>
    <cellStyle name="Normal 15 4 3 3 2" xfId="20321"/>
    <cellStyle name="Normal 15 4 3 3 2 2" xfId="42908"/>
    <cellStyle name="Normal 15 4 3 3 3" xfId="10661"/>
    <cellStyle name="Normal 15 4 3 3 3 2" xfId="33248"/>
    <cellStyle name="Normal 15 4 3 3 4" xfId="26808"/>
    <cellStyle name="Normal 15 4 3 4" xfId="17101"/>
    <cellStyle name="Normal 15 4 3 4 2" xfId="39688"/>
    <cellStyle name="Normal 15 4 3 5" xfId="13881"/>
    <cellStyle name="Normal 15 4 3 5 2" xfId="36468"/>
    <cellStyle name="Normal 15 4 3 6" xfId="7441"/>
    <cellStyle name="Normal 15 4 3 6 2" xfId="30028"/>
    <cellStyle name="Normal 15 4 3 7" xfId="23588"/>
    <cellStyle name="Normal 15 4 4" xfId="1341"/>
    <cellStyle name="Normal 15 4 4 2" xfId="2655"/>
    <cellStyle name="Normal 15 4 4 2 2" xfId="5876"/>
    <cellStyle name="Normal 15 4 4 2 2 2" xfId="21976"/>
    <cellStyle name="Normal 15 4 4 2 2 2 2" xfId="44563"/>
    <cellStyle name="Normal 15 4 4 2 2 3" xfId="12316"/>
    <cellStyle name="Normal 15 4 4 2 2 3 2" xfId="34903"/>
    <cellStyle name="Normal 15 4 4 2 2 4" xfId="28463"/>
    <cellStyle name="Normal 15 4 4 2 3" xfId="18756"/>
    <cellStyle name="Normal 15 4 4 2 3 2" xfId="41343"/>
    <cellStyle name="Normal 15 4 4 2 4" xfId="15536"/>
    <cellStyle name="Normal 15 4 4 2 4 2" xfId="38123"/>
    <cellStyle name="Normal 15 4 4 2 5" xfId="9096"/>
    <cellStyle name="Normal 15 4 4 2 5 2" xfId="31683"/>
    <cellStyle name="Normal 15 4 4 2 6" xfId="25243"/>
    <cellStyle name="Normal 15 4 4 3" xfId="4568"/>
    <cellStyle name="Normal 15 4 4 3 2" xfId="20668"/>
    <cellStyle name="Normal 15 4 4 3 2 2" xfId="43255"/>
    <cellStyle name="Normal 15 4 4 3 3" xfId="11008"/>
    <cellStyle name="Normal 15 4 4 3 3 2" xfId="33595"/>
    <cellStyle name="Normal 15 4 4 3 4" xfId="27155"/>
    <cellStyle name="Normal 15 4 4 4" xfId="17448"/>
    <cellStyle name="Normal 15 4 4 4 2" xfId="40035"/>
    <cellStyle name="Normal 15 4 4 5" xfId="14228"/>
    <cellStyle name="Normal 15 4 4 5 2" xfId="36815"/>
    <cellStyle name="Normal 15 4 4 6" xfId="7788"/>
    <cellStyle name="Normal 15 4 4 6 2" xfId="30375"/>
    <cellStyle name="Normal 15 4 4 7" xfId="23935"/>
    <cellStyle name="Normal 15 4 5" xfId="1960"/>
    <cellStyle name="Normal 15 4 5 2" xfId="5182"/>
    <cellStyle name="Normal 15 4 5 2 2" xfId="21282"/>
    <cellStyle name="Normal 15 4 5 2 2 2" xfId="43869"/>
    <cellStyle name="Normal 15 4 5 2 3" xfId="11622"/>
    <cellStyle name="Normal 15 4 5 2 3 2" xfId="34209"/>
    <cellStyle name="Normal 15 4 5 2 4" xfId="27769"/>
    <cellStyle name="Normal 15 4 5 3" xfId="18062"/>
    <cellStyle name="Normal 15 4 5 3 2" xfId="40649"/>
    <cellStyle name="Normal 15 4 5 4" xfId="14842"/>
    <cellStyle name="Normal 15 4 5 4 2" xfId="37429"/>
    <cellStyle name="Normal 15 4 5 5" xfId="8402"/>
    <cellStyle name="Normal 15 4 5 5 2" xfId="30989"/>
    <cellStyle name="Normal 15 4 5 6" xfId="24549"/>
    <cellStyle name="Normal 15 4 6" xfId="3078"/>
    <cellStyle name="Normal 15 4 6 2" xfId="6298"/>
    <cellStyle name="Normal 15 4 6 2 2" xfId="22398"/>
    <cellStyle name="Normal 15 4 6 2 2 2" xfId="44985"/>
    <cellStyle name="Normal 15 4 6 2 3" xfId="12738"/>
    <cellStyle name="Normal 15 4 6 2 3 2" xfId="35325"/>
    <cellStyle name="Normal 15 4 6 2 4" xfId="28885"/>
    <cellStyle name="Normal 15 4 6 3" xfId="19178"/>
    <cellStyle name="Normal 15 4 6 3 2" xfId="41765"/>
    <cellStyle name="Normal 15 4 6 4" xfId="15958"/>
    <cellStyle name="Normal 15 4 6 4 2" xfId="38545"/>
    <cellStyle name="Normal 15 4 6 5" xfId="9518"/>
    <cellStyle name="Normal 15 4 6 5 2" xfId="32105"/>
    <cellStyle name="Normal 15 4 6 6" xfId="25665"/>
    <cellStyle name="Normal 15 4 7" xfId="3368"/>
    <cellStyle name="Normal 15 4 7 2" xfId="6588"/>
    <cellStyle name="Normal 15 4 7 2 2" xfId="22688"/>
    <cellStyle name="Normal 15 4 7 2 2 2" xfId="45275"/>
    <cellStyle name="Normal 15 4 7 2 3" xfId="13028"/>
    <cellStyle name="Normal 15 4 7 2 3 2" xfId="35615"/>
    <cellStyle name="Normal 15 4 7 2 4" xfId="29175"/>
    <cellStyle name="Normal 15 4 7 3" xfId="19468"/>
    <cellStyle name="Normal 15 4 7 3 2" xfId="42055"/>
    <cellStyle name="Normal 15 4 7 4" xfId="16248"/>
    <cellStyle name="Normal 15 4 7 4 2" xfId="38835"/>
    <cellStyle name="Normal 15 4 7 5" xfId="9808"/>
    <cellStyle name="Normal 15 4 7 5 2" xfId="32395"/>
    <cellStyle name="Normal 15 4 7 6" xfId="25955"/>
    <cellStyle name="Normal 15 4 8" xfId="630"/>
    <cellStyle name="Normal 15 4 8 2" xfId="3874"/>
    <cellStyle name="Normal 15 4 8 2 2" xfId="19974"/>
    <cellStyle name="Normal 15 4 8 2 2 2" xfId="42561"/>
    <cellStyle name="Normal 15 4 8 2 3" xfId="10314"/>
    <cellStyle name="Normal 15 4 8 2 3 2" xfId="32901"/>
    <cellStyle name="Normal 15 4 8 2 4" xfId="26461"/>
    <cellStyle name="Normal 15 4 8 3" xfId="16754"/>
    <cellStyle name="Normal 15 4 8 3 2" xfId="39341"/>
    <cellStyle name="Normal 15 4 8 4" xfId="13534"/>
    <cellStyle name="Normal 15 4 8 4 2" xfId="36121"/>
    <cellStyle name="Normal 15 4 8 5" xfId="7094"/>
    <cellStyle name="Normal 15 4 8 5 2" xfId="29681"/>
    <cellStyle name="Normal 15 4 8 6" xfId="23241"/>
    <cellStyle name="Normal 15 4 9" xfId="3658"/>
    <cellStyle name="Normal 15 4 9 2" xfId="19758"/>
    <cellStyle name="Normal 15 4 9 2 2" xfId="42345"/>
    <cellStyle name="Normal 15 4 9 3" xfId="10098"/>
    <cellStyle name="Normal 15 4 9 3 2" xfId="32685"/>
    <cellStyle name="Normal 15 4 9 4" xfId="26245"/>
    <cellStyle name="Normal 15 5" xfId="711"/>
    <cellStyle name="Normal 15 5 2" xfId="1073"/>
    <cellStyle name="Normal 15 5 2 2" xfId="2387"/>
    <cellStyle name="Normal 15 5 2 2 2" xfId="5608"/>
    <cellStyle name="Normal 15 5 2 2 2 2" xfId="21708"/>
    <cellStyle name="Normal 15 5 2 2 2 2 2" xfId="44295"/>
    <cellStyle name="Normal 15 5 2 2 2 3" xfId="12048"/>
    <cellStyle name="Normal 15 5 2 2 2 3 2" xfId="34635"/>
    <cellStyle name="Normal 15 5 2 2 2 4" xfId="28195"/>
    <cellStyle name="Normal 15 5 2 2 3" xfId="18488"/>
    <cellStyle name="Normal 15 5 2 2 3 2" xfId="41075"/>
    <cellStyle name="Normal 15 5 2 2 4" xfId="15268"/>
    <cellStyle name="Normal 15 5 2 2 4 2" xfId="37855"/>
    <cellStyle name="Normal 15 5 2 2 5" xfId="8828"/>
    <cellStyle name="Normal 15 5 2 2 5 2" xfId="31415"/>
    <cellStyle name="Normal 15 5 2 2 6" xfId="24975"/>
    <cellStyle name="Normal 15 5 2 3" xfId="4300"/>
    <cellStyle name="Normal 15 5 2 3 2" xfId="20400"/>
    <cellStyle name="Normal 15 5 2 3 2 2" xfId="42987"/>
    <cellStyle name="Normal 15 5 2 3 3" xfId="10740"/>
    <cellStyle name="Normal 15 5 2 3 3 2" xfId="33327"/>
    <cellStyle name="Normal 15 5 2 3 4" xfId="26887"/>
    <cellStyle name="Normal 15 5 2 4" xfId="17180"/>
    <cellStyle name="Normal 15 5 2 4 2" xfId="39767"/>
    <cellStyle name="Normal 15 5 2 5" xfId="13960"/>
    <cellStyle name="Normal 15 5 2 5 2" xfId="36547"/>
    <cellStyle name="Normal 15 5 2 6" xfId="7520"/>
    <cellStyle name="Normal 15 5 2 6 2" xfId="30107"/>
    <cellStyle name="Normal 15 5 2 7" xfId="23667"/>
    <cellStyle name="Normal 15 5 3" xfId="1420"/>
    <cellStyle name="Normal 15 5 3 2" xfId="2734"/>
    <cellStyle name="Normal 15 5 3 2 2" xfId="5955"/>
    <cellStyle name="Normal 15 5 3 2 2 2" xfId="22055"/>
    <cellStyle name="Normal 15 5 3 2 2 2 2" xfId="44642"/>
    <cellStyle name="Normal 15 5 3 2 2 3" xfId="12395"/>
    <cellStyle name="Normal 15 5 3 2 2 3 2" xfId="34982"/>
    <cellStyle name="Normal 15 5 3 2 2 4" xfId="28542"/>
    <cellStyle name="Normal 15 5 3 2 3" xfId="18835"/>
    <cellStyle name="Normal 15 5 3 2 3 2" xfId="41422"/>
    <cellStyle name="Normal 15 5 3 2 4" xfId="15615"/>
    <cellStyle name="Normal 15 5 3 2 4 2" xfId="38202"/>
    <cellStyle name="Normal 15 5 3 2 5" xfId="9175"/>
    <cellStyle name="Normal 15 5 3 2 5 2" xfId="31762"/>
    <cellStyle name="Normal 15 5 3 2 6" xfId="25322"/>
    <cellStyle name="Normal 15 5 3 3" xfId="4647"/>
    <cellStyle name="Normal 15 5 3 3 2" xfId="20747"/>
    <cellStyle name="Normal 15 5 3 3 2 2" xfId="43334"/>
    <cellStyle name="Normal 15 5 3 3 3" xfId="11087"/>
    <cellStyle name="Normal 15 5 3 3 3 2" xfId="33674"/>
    <cellStyle name="Normal 15 5 3 3 4" xfId="27234"/>
    <cellStyle name="Normal 15 5 3 4" xfId="17527"/>
    <cellStyle name="Normal 15 5 3 4 2" xfId="40114"/>
    <cellStyle name="Normal 15 5 3 5" xfId="14307"/>
    <cellStyle name="Normal 15 5 3 5 2" xfId="36894"/>
    <cellStyle name="Normal 15 5 3 6" xfId="7867"/>
    <cellStyle name="Normal 15 5 3 6 2" xfId="30454"/>
    <cellStyle name="Normal 15 5 3 7" xfId="24014"/>
    <cellStyle name="Normal 15 5 4" xfId="2040"/>
    <cellStyle name="Normal 15 5 4 2" xfId="5261"/>
    <cellStyle name="Normal 15 5 4 2 2" xfId="21361"/>
    <cellStyle name="Normal 15 5 4 2 2 2" xfId="43948"/>
    <cellStyle name="Normal 15 5 4 2 3" xfId="11701"/>
    <cellStyle name="Normal 15 5 4 2 3 2" xfId="34288"/>
    <cellStyle name="Normal 15 5 4 2 4" xfId="27848"/>
    <cellStyle name="Normal 15 5 4 3" xfId="18141"/>
    <cellStyle name="Normal 15 5 4 3 2" xfId="40728"/>
    <cellStyle name="Normal 15 5 4 4" xfId="14921"/>
    <cellStyle name="Normal 15 5 4 4 2" xfId="37508"/>
    <cellStyle name="Normal 15 5 4 5" xfId="8481"/>
    <cellStyle name="Normal 15 5 4 5 2" xfId="31068"/>
    <cellStyle name="Normal 15 5 4 6" xfId="24628"/>
    <cellStyle name="Normal 15 5 5" xfId="3953"/>
    <cellStyle name="Normal 15 5 5 2" xfId="20053"/>
    <cellStyle name="Normal 15 5 5 2 2" xfId="42640"/>
    <cellStyle name="Normal 15 5 5 3" xfId="10393"/>
    <cellStyle name="Normal 15 5 5 3 2" xfId="32980"/>
    <cellStyle name="Normal 15 5 5 4" xfId="26540"/>
    <cellStyle name="Normal 15 5 6" xfId="16833"/>
    <cellStyle name="Normal 15 5 6 2" xfId="39420"/>
    <cellStyle name="Normal 15 5 7" xfId="13613"/>
    <cellStyle name="Normal 15 5 7 2" xfId="36200"/>
    <cellStyle name="Normal 15 5 8" xfId="7173"/>
    <cellStyle name="Normal 15 5 8 2" xfId="29760"/>
    <cellStyle name="Normal 15 5 9" xfId="23320"/>
    <cellStyle name="Normal 15 6" xfId="740"/>
    <cellStyle name="Normal 15 6 2" xfId="1092"/>
    <cellStyle name="Normal 15 6 2 2" xfId="2406"/>
    <cellStyle name="Normal 15 6 2 2 2" xfId="5627"/>
    <cellStyle name="Normal 15 6 2 2 2 2" xfId="21727"/>
    <cellStyle name="Normal 15 6 2 2 2 2 2" xfId="44314"/>
    <cellStyle name="Normal 15 6 2 2 2 3" xfId="12067"/>
    <cellStyle name="Normal 15 6 2 2 2 3 2" xfId="34654"/>
    <cellStyle name="Normal 15 6 2 2 2 4" xfId="28214"/>
    <cellStyle name="Normal 15 6 2 2 3" xfId="18507"/>
    <cellStyle name="Normal 15 6 2 2 3 2" xfId="41094"/>
    <cellStyle name="Normal 15 6 2 2 4" xfId="15287"/>
    <cellStyle name="Normal 15 6 2 2 4 2" xfId="37874"/>
    <cellStyle name="Normal 15 6 2 2 5" xfId="8847"/>
    <cellStyle name="Normal 15 6 2 2 5 2" xfId="31434"/>
    <cellStyle name="Normal 15 6 2 2 6" xfId="24994"/>
    <cellStyle name="Normal 15 6 2 3" xfId="4319"/>
    <cellStyle name="Normal 15 6 2 3 2" xfId="20419"/>
    <cellStyle name="Normal 15 6 2 3 2 2" xfId="43006"/>
    <cellStyle name="Normal 15 6 2 3 3" xfId="10759"/>
    <cellStyle name="Normal 15 6 2 3 3 2" xfId="33346"/>
    <cellStyle name="Normal 15 6 2 3 4" xfId="26906"/>
    <cellStyle name="Normal 15 6 2 4" xfId="17199"/>
    <cellStyle name="Normal 15 6 2 4 2" xfId="39786"/>
    <cellStyle name="Normal 15 6 2 5" xfId="13979"/>
    <cellStyle name="Normal 15 6 2 5 2" xfId="36566"/>
    <cellStyle name="Normal 15 6 2 6" xfId="7539"/>
    <cellStyle name="Normal 15 6 2 6 2" xfId="30126"/>
    <cellStyle name="Normal 15 6 2 7" xfId="23686"/>
    <cellStyle name="Normal 15 6 3" xfId="1439"/>
    <cellStyle name="Normal 15 6 3 2" xfId="2753"/>
    <cellStyle name="Normal 15 6 3 2 2" xfId="5974"/>
    <cellStyle name="Normal 15 6 3 2 2 2" xfId="22074"/>
    <cellStyle name="Normal 15 6 3 2 2 2 2" xfId="44661"/>
    <cellStyle name="Normal 15 6 3 2 2 3" xfId="12414"/>
    <cellStyle name="Normal 15 6 3 2 2 3 2" xfId="35001"/>
    <cellStyle name="Normal 15 6 3 2 2 4" xfId="28561"/>
    <cellStyle name="Normal 15 6 3 2 3" xfId="18854"/>
    <cellStyle name="Normal 15 6 3 2 3 2" xfId="41441"/>
    <cellStyle name="Normal 15 6 3 2 4" xfId="15634"/>
    <cellStyle name="Normal 15 6 3 2 4 2" xfId="38221"/>
    <cellStyle name="Normal 15 6 3 2 5" xfId="9194"/>
    <cellStyle name="Normal 15 6 3 2 5 2" xfId="31781"/>
    <cellStyle name="Normal 15 6 3 2 6" xfId="25341"/>
    <cellStyle name="Normal 15 6 3 3" xfId="4666"/>
    <cellStyle name="Normal 15 6 3 3 2" xfId="20766"/>
    <cellStyle name="Normal 15 6 3 3 2 2" xfId="43353"/>
    <cellStyle name="Normal 15 6 3 3 3" xfId="11106"/>
    <cellStyle name="Normal 15 6 3 3 3 2" xfId="33693"/>
    <cellStyle name="Normal 15 6 3 3 4" xfId="27253"/>
    <cellStyle name="Normal 15 6 3 4" xfId="17546"/>
    <cellStyle name="Normal 15 6 3 4 2" xfId="40133"/>
    <cellStyle name="Normal 15 6 3 5" xfId="14326"/>
    <cellStyle name="Normal 15 6 3 5 2" xfId="36913"/>
    <cellStyle name="Normal 15 6 3 6" xfId="7886"/>
    <cellStyle name="Normal 15 6 3 6 2" xfId="30473"/>
    <cellStyle name="Normal 15 6 3 7" xfId="24033"/>
    <cellStyle name="Normal 15 6 4" xfId="2059"/>
    <cellStyle name="Normal 15 6 4 2" xfId="5280"/>
    <cellStyle name="Normal 15 6 4 2 2" xfId="21380"/>
    <cellStyle name="Normal 15 6 4 2 2 2" xfId="43967"/>
    <cellStyle name="Normal 15 6 4 2 3" xfId="11720"/>
    <cellStyle name="Normal 15 6 4 2 3 2" xfId="34307"/>
    <cellStyle name="Normal 15 6 4 2 4" xfId="27867"/>
    <cellStyle name="Normal 15 6 4 3" xfId="18160"/>
    <cellStyle name="Normal 15 6 4 3 2" xfId="40747"/>
    <cellStyle name="Normal 15 6 4 4" xfId="14940"/>
    <cellStyle name="Normal 15 6 4 4 2" xfId="37527"/>
    <cellStyle name="Normal 15 6 4 5" xfId="8500"/>
    <cellStyle name="Normal 15 6 4 5 2" xfId="31087"/>
    <cellStyle name="Normal 15 6 4 6" xfId="24647"/>
    <cellStyle name="Normal 15 6 5" xfId="3972"/>
    <cellStyle name="Normal 15 6 5 2" xfId="20072"/>
    <cellStyle name="Normal 15 6 5 2 2" xfId="42659"/>
    <cellStyle name="Normal 15 6 5 3" xfId="10412"/>
    <cellStyle name="Normal 15 6 5 3 2" xfId="32999"/>
    <cellStyle name="Normal 15 6 5 4" xfId="26559"/>
    <cellStyle name="Normal 15 6 6" xfId="16852"/>
    <cellStyle name="Normal 15 6 6 2" xfId="39439"/>
    <cellStyle name="Normal 15 6 7" xfId="13632"/>
    <cellStyle name="Normal 15 6 7 2" xfId="36219"/>
    <cellStyle name="Normal 15 6 8" xfId="7192"/>
    <cellStyle name="Normal 15 6 8 2" xfId="29779"/>
    <cellStyle name="Normal 15 6 9" xfId="23339"/>
    <cellStyle name="Normal 15 7" xfId="870"/>
    <cellStyle name="Normal 15 7 2" xfId="2189"/>
    <cellStyle name="Normal 15 7 2 2" xfId="5410"/>
    <cellStyle name="Normal 15 7 2 2 2" xfId="21510"/>
    <cellStyle name="Normal 15 7 2 2 2 2" xfId="44097"/>
    <cellStyle name="Normal 15 7 2 2 3" xfId="11850"/>
    <cellStyle name="Normal 15 7 2 2 3 2" xfId="34437"/>
    <cellStyle name="Normal 15 7 2 2 4" xfId="27997"/>
    <cellStyle name="Normal 15 7 2 3" xfId="18290"/>
    <cellStyle name="Normal 15 7 2 3 2" xfId="40877"/>
    <cellStyle name="Normal 15 7 2 4" xfId="15070"/>
    <cellStyle name="Normal 15 7 2 4 2" xfId="37657"/>
    <cellStyle name="Normal 15 7 2 5" xfId="8630"/>
    <cellStyle name="Normal 15 7 2 5 2" xfId="31217"/>
    <cellStyle name="Normal 15 7 2 6" xfId="24777"/>
    <cellStyle name="Normal 15 7 3" xfId="4102"/>
    <cellStyle name="Normal 15 7 3 2" xfId="20202"/>
    <cellStyle name="Normal 15 7 3 2 2" xfId="42789"/>
    <cellStyle name="Normal 15 7 3 3" xfId="10542"/>
    <cellStyle name="Normal 15 7 3 3 2" xfId="33129"/>
    <cellStyle name="Normal 15 7 3 4" xfId="26689"/>
    <cellStyle name="Normal 15 7 4" xfId="16982"/>
    <cellStyle name="Normal 15 7 4 2" xfId="39569"/>
    <cellStyle name="Normal 15 7 5" xfId="13762"/>
    <cellStyle name="Normal 15 7 5 2" xfId="36349"/>
    <cellStyle name="Normal 15 7 6" xfId="7322"/>
    <cellStyle name="Normal 15 7 6 2" xfId="29909"/>
    <cellStyle name="Normal 15 7 7" xfId="23469"/>
    <cellStyle name="Normal 15 8" xfId="1222"/>
    <cellStyle name="Normal 15 8 2" xfId="2536"/>
    <cellStyle name="Normal 15 8 2 2" xfId="5757"/>
    <cellStyle name="Normal 15 8 2 2 2" xfId="21857"/>
    <cellStyle name="Normal 15 8 2 2 2 2" xfId="44444"/>
    <cellStyle name="Normal 15 8 2 2 3" xfId="12197"/>
    <cellStyle name="Normal 15 8 2 2 3 2" xfId="34784"/>
    <cellStyle name="Normal 15 8 2 2 4" xfId="28344"/>
    <cellStyle name="Normal 15 8 2 3" xfId="18637"/>
    <cellStyle name="Normal 15 8 2 3 2" xfId="41224"/>
    <cellStyle name="Normal 15 8 2 4" xfId="15417"/>
    <cellStyle name="Normal 15 8 2 4 2" xfId="38004"/>
    <cellStyle name="Normal 15 8 2 5" xfId="8977"/>
    <cellStyle name="Normal 15 8 2 5 2" xfId="31564"/>
    <cellStyle name="Normal 15 8 2 6" xfId="25124"/>
    <cellStyle name="Normal 15 8 3" xfId="4449"/>
    <cellStyle name="Normal 15 8 3 2" xfId="20549"/>
    <cellStyle name="Normal 15 8 3 2 2" xfId="43136"/>
    <cellStyle name="Normal 15 8 3 3" xfId="10889"/>
    <cellStyle name="Normal 15 8 3 3 2" xfId="33476"/>
    <cellStyle name="Normal 15 8 3 4" xfId="27036"/>
    <cellStyle name="Normal 15 8 4" xfId="17329"/>
    <cellStyle name="Normal 15 8 4 2" xfId="39916"/>
    <cellStyle name="Normal 15 8 5" xfId="14109"/>
    <cellStyle name="Normal 15 8 5 2" xfId="36696"/>
    <cellStyle name="Normal 15 8 6" xfId="7669"/>
    <cellStyle name="Normal 15 8 6 2" xfId="30256"/>
    <cellStyle name="Normal 15 8 7" xfId="23816"/>
    <cellStyle name="Normal 15 9" xfId="1615"/>
    <cellStyle name="Normal 15 9 2" xfId="4841"/>
    <cellStyle name="Normal 15 9 2 2" xfId="20941"/>
    <cellStyle name="Normal 15 9 2 2 2" xfId="43528"/>
    <cellStyle name="Normal 15 9 2 3" xfId="11281"/>
    <cellStyle name="Normal 15 9 2 3 2" xfId="33868"/>
    <cellStyle name="Normal 15 9 2 4" xfId="27428"/>
    <cellStyle name="Normal 15 9 3" xfId="17721"/>
    <cellStyle name="Normal 15 9 3 2" xfId="40308"/>
    <cellStyle name="Normal 15 9 4" xfId="14501"/>
    <cellStyle name="Normal 15 9 4 2" xfId="37088"/>
    <cellStyle name="Normal 15 9 5" xfId="8061"/>
    <cellStyle name="Normal 15 9 5 2" xfId="30648"/>
    <cellStyle name="Normal 15 9 6" xfId="24208"/>
    <cellStyle name="Normal 16" xfId="217"/>
    <cellStyle name="Normal 16 10" xfId="2924"/>
    <cellStyle name="Normal 16 10 2" xfId="6145"/>
    <cellStyle name="Normal 16 10 2 2" xfId="22245"/>
    <cellStyle name="Normal 16 10 2 2 2" xfId="44832"/>
    <cellStyle name="Normal 16 10 2 3" xfId="12585"/>
    <cellStyle name="Normal 16 10 2 3 2" xfId="35172"/>
    <cellStyle name="Normal 16 10 2 4" xfId="28732"/>
    <cellStyle name="Normal 16 10 3" xfId="19025"/>
    <cellStyle name="Normal 16 10 3 2" xfId="41612"/>
    <cellStyle name="Normal 16 10 4" xfId="15805"/>
    <cellStyle name="Normal 16 10 4 2" xfId="38392"/>
    <cellStyle name="Normal 16 10 5" xfId="9365"/>
    <cellStyle name="Normal 16 10 5 2" xfId="31952"/>
    <cellStyle name="Normal 16 10 6" xfId="25512"/>
    <cellStyle name="Normal 16 11" xfId="3215"/>
    <cellStyle name="Normal 16 11 2" xfId="6435"/>
    <cellStyle name="Normal 16 11 2 2" xfId="22535"/>
    <cellStyle name="Normal 16 11 2 2 2" xfId="45122"/>
    <cellStyle name="Normal 16 11 2 3" xfId="12875"/>
    <cellStyle name="Normal 16 11 2 3 2" xfId="35462"/>
    <cellStyle name="Normal 16 11 2 4" xfId="29022"/>
    <cellStyle name="Normal 16 11 3" xfId="19315"/>
    <cellStyle name="Normal 16 11 3 2" xfId="41902"/>
    <cellStyle name="Normal 16 11 4" xfId="16095"/>
    <cellStyle name="Normal 16 11 4 2" xfId="38682"/>
    <cellStyle name="Normal 16 11 5" xfId="9655"/>
    <cellStyle name="Normal 16 11 5 2" xfId="32242"/>
    <cellStyle name="Normal 16 11 6" xfId="25802"/>
    <cellStyle name="Normal 16 12" xfId="508"/>
    <cellStyle name="Normal 16 12 2" xfId="3795"/>
    <cellStyle name="Normal 16 12 2 2" xfId="19895"/>
    <cellStyle name="Normal 16 12 2 2 2" xfId="42482"/>
    <cellStyle name="Normal 16 12 2 3" xfId="10235"/>
    <cellStyle name="Normal 16 12 2 3 2" xfId="32822"/>
    <cellStyle name="Normal 16 12 2 4" xfId="26382"/>
    <cellStyle name="Normal 16 12 3" xfId="16675"/>
    <cellStyle name="Normal 16 12 3 2" xfId="39262"/>
    <cellStyle name="Normal 16 12 4" xfId="13455"/>
    <cellStyle name="Normal 16 12 4 2" xfId="36042"/>
    <cellStyle name="Normal 16 12 5" xfId="7015"/>
    <cellStyle name="Normal 16 12 5 2" xfId="29602"/>
    <cellStyle name="Normal 16 12 6" xfId="23162"/>
    <cellStyle name="Normal 16 13" xfId="3505"/>
    <cellStyle name="Normal 16 13 2" xfId="19605"/>
    <cellStyle name="Normal 16 13 2 2" xfId="42192"/>
    <cellStyle name="Normal 16 13 3" xfId="9945"/>
    <cellStyle name="Normal 16 13 3 2" xfId="32532"/>
    <cellStyle name="Normal 16 13 4" xfId="26092"/>
    <cellStyle name="Normal 16 14" xfId="16385"/>
    <cellStyle name="Normal 16 14 2" xfId="38972"/>
    <cellStyle name="Normal 16 15" xfId="13165"/>
    <cellStyle name="Normal 16 15 2" xfId="35752"/>
    <cellStyle name="Normal 16 16" xfId="6725"/>
    <cellStyle name="Normal 16 16 2" xfId="29312"/>
    <cellStyle name="Normal 16 17" xfId="22872"/>
    <cellStyle name="Normal 16 2" xfId="315"/>
    <cellStyle name="Normal 16 2 10" xfId="13262"/>
    <cellStyle name="Normal 16 2 10 2" xfId="35849"/>
    <cellStyle name="Normal 16 2 11" xfId="6822"/>
    <cellStyle name="Normal 16 2 11 2" xfId="29409"/>
    <cellStyle name="Normal 16 2 12" xfId="22969"/>
    <cellStyle name="Normal 16 2 2" xfId="1031"/>
    <cellStyle name="Normal 16 2 2 2" xfId="2345"/>
    <cellStyle name="Normal 16 2 2 2 2" xfId="5566"/>
    <cellStyle name="Normal 16 2 2 2 2 2" xfId="21666"/>
    <cellStyle name="Normal 16 2 2 2 2 2 2" xfId="44253"/>
    <cellStyle name="Normal 16 2 2 2 2 3" xfId="12006"/>
    <cellStyle name="Normal 16 2 2 2 2 3 2" xfId="34593"/>
    <cellStyle name="Normal 16 2 2 2 2 4" xfId="28153"/>
    <cellStyle name="Normal 16 2 2 2 3" xfId="18446"/>
    <cellStyle name="Normal 16 2 2 2 3 2" xfId="41033"/>
    <cellStyle name="Normal 16 2 2 2 4" xfId="15226"/>
    <cellStyle name="Normal 16 2 2 2 4 2" xfId="37813"/>
    <cellStyle name="Normal 16 2 2 2 5" xfId="8786"/>
    <cellStyle name="Normal 16 2 2 2 5 2" xfId="31373"/>
    <cellStyle name="Normal 16 2 2 2 6" xfId="24933"/>
    <cellStyle name="Normal 16 2 2 3" xfId="4258"/>
    <cellStyle name="Normal 16 2 2 3 2" xfId="20358"/>
    <cellStyle name="Normal 16 2 2 3 2 2" xfId="42945"/>
    <cellStyle name="Normal 16 2 2 3 3" xfId="10698"/>
    <cellStyle name="Normal 16 2 2 3 3 2" xfId="33285"/>
    <cellStyle name="Normal 16 2 2 3 4" xfId="26845"/>
    <cellStyle name="Normal 16 2 2 4" xfId="17138"/>
    <cellStyle name="Normal 16 2 2 4 2" xfId="39725"/>
    <cellStyle name="Normal 16 2 2 5" xfId="13918"/>
    <cellStyle name="Normal 16 2 2 5 2" xfId="36505"/>
    <cellStyle name="Normal 16 2 2 6" xfId="7478"/>
    <cellStyle name="Normal 16 2 2 6 2" xfId="30065"/>
    <cellStyle name="Normal 16 2 2 7" xfId="23625"/>
    <cellStyle name="Normal 16 2 3" xfId="1378"/>
    <cellStyle name="Normal 16 2 3 2" xfId="2692"/>
    <cellStyle name="Normal 16 2 3 2 2" xfId="5913"/>
    <cellStyle name="Normal 16 2 3 2 2 2" xfId="22013"/>
    <cellStyle name="Normal 16 2 3 2 2 2 2" xfId="44600"/>
    <cellStyle name="Normal 16 2 3 2 2 3" xfId="12353"/>
    <cellStyle name="Normal 16 2 3 2 2 3 2" xfId="34940"/>
    <cellStyle name="Normal 16 2 3 2 2 4" xfId="28500"/>
    <cellStyle name="Normal 16 2 3 2 3" xfId="18793"/>
    <cellStyle name="Normal 16 2 3 2 3 2" xfId="41380"/>
    <cellStyle name="Normal 16 2 3 2 4" xfId="15573"/>
    <cellStyle name="Normal 16 2 3 2 4 2" xfId="38160"/>
    <cellStyle name="Normal 16 2 3 2 5" xfId="9133"/>
    <cellStyle name="Normal 16 2 3 2 5 2" xfId="31720"/>
    <cellStyle name="Normal 16 2 3 2 6" xfId="25280"/>
    <cellStyle name="Normal 16 2 3 3" xfId="4605"/>
    <cellStyle name="Normal 16 2 3 3 2" xfId="20705"/>
    <cellStyle name="Normal 16 2 3 3 2 2" xfId="43292"/>
    <cellStyle name="Normal 16 2 3 3 3" xfId="11045"/>
    <cellStyle name="Normal 16 2 3 3 3 2" xfId="33632"/>
    <cellStyle name="Normal 16 2 3 3 4" xfId="27192"/>
    <cellStyle name="Normal 16 2 3 4" xfId="17485"/>
    <cellStyle name="Normal 16 2 3 4 2" xfId="40072"/>
    <cellStyle name="Normal 16 2 3 5" xfId="14265"/>
    <cellStyle name="Normal 16 2 3 5 2" xfId="36852"/>
    <cellStyle name="Normal 16 2 3 6" xfId="7825"/>
    <cellStyle name="Normal 16 2 3 6 2" xfId="30412"/>
    <cellStyle name="Normal 16 2 3 7" xfId="23972"/>
    <cellStyle name="Normal 16 2 4" xfId="1997"/>
    <cellStyle name="Normal 16 2 4 2" xfId="5219"/>
    <cellStyle name="Normal 16 2 4 2 2" xfId="21319"/>
    <cellStyle name="Normal 16 2 4 2 2 2" xfId="43906"/>
    <cellStyle name="Normal 16 2 4 2 3" xfId="11659"/>
    <cellStyle name="Normal 16 2 4 2 3 2" xfId="34246"/>
    <cellStyle name="Normal 16 2 4 2 4" xfId="27806"/>
    <cellStyle name="Normal 16 2 4 3" xfId="18099"/>
    <cellStyle name="Normal 16 2 4 3 2" xfId="40686"/>
    <cellStyle name="Normal 16 2 4 4" xfId="14879"/>
    <cellStyle name="Normal 16 2 4 4 2" xfId="37466"/>
    <cellStyle name="Normal 16 2 4 5" xfId="8439"/>
    <cellStyle name="Normal 16 2 4 5 2" xfId="31026"/>
    <cellStyle name="Normal 16 2 4 6" xfId="24586"/>
    <cellStyle name="Normal 16 2 5" xfId="3022"/>
    <cellStyle name="Normal 16 2 5 2" xfId="6242"/>
    <cellStyle name="Normal 16 2 5 2 2" xfId="22342"/>
    <cellStyle name="Normal 16 2 5 2 2 2" xfId="44929"/>
    <cellStyle name="Normal 16 2 5 2 3" xfId="12682"/>
    <cellStyle name="Normal 16 2 5 2 3 2" xfId="35269"/>
    <cellStyle name="Normal 16 2 5 2 4" xfId="28829"/>
    <cellStyle name="Normal 16 2 5 3" xfId="19122"/>
    <cellStyle name="Normal 16 2 5 3 2" xfId="41709"/>
    <cellStyle name="Normal 16 2 5 4" xfId="15902"/>
    <cellStyle name="Normal 16 2 5 4 2" xfId="38489"/>
    <cellStyle name="Normal 16 2 5 5" xfId="9462"/>
    <cellStyle name="Normal 16 2 5 5 2" xfId="32049"/>
    <cellStyle name="Normal 16 2 5 6" xfId="25609"/>
    <cellStyle name="Normal 16 2 6" xfId="3312"/>
    <cellStyle name="Normal 16 2 6 2" xfId="6532"/>
    <cellStyle name="Normal 16 2 6 2 2" xfId="22632"/>
    <cellStyle name="Normal 16 2 6 2 2 2" xfId="45219"/>
    <cellStyle name="Normal 16 2 6 2 3" xfId="12972"/>
    <cellStyle name="Normal 16 2 6 2 3 2" xfId="35559"/>
    <cellStyle name="Normal 16 2 6 2 4" xfId="29119"/>
    <cellStyle name="Normal 16 2 6 3" xfId="19412"/>
    <cellStyle name="Normal 16 2 6 3 2" xfId="41999"/>
    <cellStyle name="Normal 16 2 6 4" xfId="16192"/>
    <cellStyle name="Normal 16 2 6 4 2" xfId="38779"/>
    <cellStyle name="Normal 16 2 6 5" xfId="9752"/>
    <cellStyle name="Normal 16 2 6 5 2" xfId="32339"/>
    <cellStyle name="Normal 16 2 6 6" xfId="25899"/>
    <cellStyle name="Normal 16 2 7" xfId="667"/>
    <cellStyle name="Normal 16 2 7 2" xfId="3911"/>
    <cellStyle name="Normal 16 2 7 2 2" xfId="20011"/>
    <cellStyle name="Normal 16 2 7 2 2 2" xfId="42598"/>
    <cellStyle name="Normal 16 2 7 2 3" xfId="10351"/>
    <cellStyle name="Normal 16 2 7 2 3 2" xfId="32938"/>
    <cellStyle name="Normal 16 2 7 2 4" xfId="26498"/>
    <cellStyle name="Normal 16 2 7 3" xfId="16791"/>
    <cellStyle name="Normal 16 2 7 3 2" xfId="39378"/>
    <cellStyle name="Normal 16 2 7 4" xfId="13571"/>
    <cellStyle name="Normal 16 2 7 4 2" xfId="36158"/>
    <cellStyle name="Normal 16 2 7 5" xfId="7131"/>
    <cellStyle name="Normal 16 2 7 5 2" xfId="29718"/>
    <cellStyle name="Normal 16 2 7 6" xfId="23278"/>
    <cellStyle name="Normal 16 2 8" xfId="3602"/>
    <cellStyle name="Normal 16 2 8 2" xfId="19702"/>
    <cellStyle name="Normal 16 2 8 2 2" xfId="42289"/>
    <cellStyle name="Normal 16 2 8 3" xfId="10042"/>
    <cellStyle name="Normal 16 2 8 3 2" xfId="32629"/>
    <cellStyle name="Normal 16 2 8 4" xfId="26189"/>
    <cellStyle name="Normal 16 2 9" xfId="16482"/>
    <cellStyle name="Normal 16 2 9 2" xfId="39069"/>
    <cellStyle name="Normal 16 3" xfId="411"/>
    <cellStyle name="Normal 16 3 2" xfId="3118"/>
    <cellStyle name="Normal 16 3 2 2" xfId="6338"/>
    <cellStyle name="Normal 16 3 2 2 2" xfId="22438"/>
    <cellStyle name="Normal 16 3 2 2 2 2" xfId="45025"/>
    <cellStyle name="Normal 16 3 2 2 3" xfId="12778"/>
    <cellStyle name="Normal 16 3 2 2 3 2" xfId="35365"/>
    <cellStyle name="Normal 16 3 2 2 4" xfId="28925"/>
    <cellStyle name="Normal 16 3 2 3" xfId="19218"/>
    <cellStyle name="Normal 16 3 2 3 2" xfId="41805"/>
    <cellStyle name="Normal 16 3 2 4" xfId="15998"/>
    <cellStyle name="Normal 16 3 2 4 2" xfId="38585"/>
    <cellStyle name="Normal 16 3 2 5" xfId="9558"/>
    <cellStyle name="Normal 16 3 2 5 2" xfId="32145"/>
    <cellStyle name="Normal 16 3 2 6" xfId="25705"/>
    <cellStyle name="Normal 16 3 3" xfId="3408"/>
    <cellStyle name="Normal 16 3 3 2" xfId="6628"/>
    <cellStyle name="Normal 16 3 3 2 2" xfId="22728"/>
    <cellStyle name="Normal 16 3 3 2 2 2" xfId="45315"/>
    <cellStyle name="Normal 16 3 3 2 3" xfId="13068"/>
    <cellStyle name="Normal 16 3 3 2 3 2" xfId="35655"/>
    <cellStyle name="Normal 16 3 3 2 4" xfId="29215"/>
    <cellStyle name="Normal 16 3 3 3" xfId="19508"/>
    <cellStyle name="Normal 16 3 3 3 2" xfId="42095"/>
    <cellStyle name="Normal 16 3 3 4" xfId="16288"/>
    <cellStyle name="Normal 16 3 3 4 2" xfId="38875"/>
    <cellStyle name="Normal 16 3 3 5" xfId="9848"/>
    <cellStyle name="Normal 16 3 3 5 2" xfId="32435"/>
    <cellStyle name="Normal 16 3 3 6" xfId="25995"/>
    <cellStyle name="Normal 16 3 4" xfId="707"/>
    <cellStyle name="Normal 16 3 5" xfId="3698"/>
    <cellStyle name="Normal 16 3 5 2" xfId="19798"/>
    <cellStyle name="Normal 16 3 5 2 2" xfId="42385"/>
    <cellStyle name="Normal 16 3 5 3" xfId="10138"/>
    <cellStyle name="Normal 16 3 5 3 2" xfId="32725"/>
    <cellStyle name="Normal 16 3 5 4" xfId="26285"/>
    <cellStyle name="Normal 16 3 6" xfId="16578"/>
    <cellStyle name="Normal 16 3 6 2" xfId="39165"/>
    <cellStyle name="Normal 16 3 7" xfId="13358"/>
    <cellStyle name="Normal 16 3 7 2" xfId="35945"/>
    <cellStyle name="Normal 16 3 8" xfId="6918"/>
    <cellStyle name="Normal 16 3 8 2" xfId="29505"/>
    <cellStyle name="Normal 16 3 9" xfId="23065"/>
    <cellStyle name="Normal 16 4" xfId="710"/>
    <cellStyle name="Normal 16 4 2" xfId="2039"/>
    <cellStyle name="Normal 16 5" xfId="780"/>
    <cellStyle name="Normal 16 5 2" xfId="1132"/>
    <cellStyle name="Normal 16 5 2 2" xfId="2446"/>
    <cellStyle name="Normal 16 5 2 2 2" xfId="5667"/>
    <cellStyle name="Normal 16 5 2 2 2 2" xfId="21767"/>
    <cellStyle name="Normal 16 5 2 2 2 2 2" xfId="44354"/>
    <cellStyle name="Normal 16 5 2 2 2 3" xfId="12107"/>
    <cellStyle name="Normal 16 5 2 2 2 3 2" xfId="34694"/>
    <cellStyle name="Normal 16 5 2 2 2 4" xfId="28254"/>
    <cellStyle name="Normal 16 5 2 2 3" xfId="18547"/>
    <cellStyle name="Normal 16 5 2 2 3 2" xfId="41134"/>
    <cellStyle name="Normal 16 5 2 2 4" xfId="15327"/>
    <cellStyle name="Normal 16 5 2 2 4 2" xfId="37914"/>
    <cellStyle name="Normal 16 5 2 2 5" xfId="8887"/>
    <cellStyle name="Normal 16 5 2 2 5 2" xfId="31474"/>
    <cellStyle name="Normal 16 5 2 2 6" xfId="25034"/>
    <cellStyle name="Normal 16 5 2 3" xfId="4359"/>
    <cellStyle name="Normal 16 5 2 3 2" xfId="20459"/>
    <cellStyle name="Normal 16 5 2 3 2 2" xfId="43046"/>
    <cellStyle name="Normal 16 5 2 3 3" xfId="10799"/>
    <cellStyle name="Normal 16 5 2 3 3 2" xfId="33386"/>
    <cellStyle name="Normal 16 5 2 3 4" xfId="26946"/>
    <cellStyle name="Normal 16 5 2 4" xfId="17239"/>
    <cellStyle name="Normal 16 5 2 4 2" xfId="39826"/>
    <cellStyle name="Normal 16 5 2 5" xfId="14019"/>
    <cellStyle name="Normal 16 5 2 5 2" xfId="36606"/>
    <cellStyle name="Normal 16 5 2 6" xfId="7579"/>
    <cellStyle name="Normal 16 5 2 6 2" xfId="30166"/>
    <cellStyle name="Normal 16 5 2 7" xfId="23726"/>
    <cellStyle name="Normal 16 5 3" xfId="1479"/>
    <cellStyle name="Normal 16 5 3 2" xfId="2793"/>
    <cellStyle name="Normal 16 5 3 2 2" xfId="6014"/>
    <cellStyle name="Normal 16 5 3 2 2 2" xfId="22114"/>
    <cellStyle name="Normal 16 5 3 2 2 2 2" xfId="44701"/>
    <cellStyle name="Normal 16 5 3 2 2 3" xfId="12454"/>
    <cellStyle name="Normal 16 5 3 2 2 3 2" xfId="35041"/>
    <cellStyle name="Normal 16 5 3 2 2 4" xfId="28601"/>
    <cellStyle name="Normal 16 5 3 2 3" xfId="18894"/>
    <cellStyle name="Normal 16 5 3 2 3 2" xfId="41481"/>
    <cellStyle name="Normal 16 5 3 2 4" xfId="15674"/>
    <cellStyle name="Normal 16 5 3 2 4 2" xfId="38261"/>
    <cellStyle name="Normal 16 5 3 2 5" xfId="9234"/>
    <cellStyle name="Normal 16 5 3 2 5 2" xfId="31821"/>
    <cellStyle name="Normal 16 5 3 2 6" xfId="25381"/>
    <cellStyle name="Normal 16 5 3 3" xfId="4706"/>
    <cellStyle name="Normal 16 5 3 3 2" xfId="20806"/>
    <cellStyle name="Normal 16 5 3 3 2 2" xfId="43393"/>
    <cellStyle name="Normal 16 5 3 3 3" xfId="11146"/>
    <cellStyle name="Normal 16 5 3 3 3 2" xfId="33733"/>
    <cellStyle name="Normal 16 5 3 3 4" xfId="27293"/>
    <cellStyle name="Normal 16 5 3 4" xfId="17586"/>
    <cellStyle name="Normal 16 5 3 4 2" xfId="40173"/>
    <cellStyle name="Normal 16 5 3 5" xfId="14366"/>
    <cellStyle name="Normal 16 5 3 5 2" xfId="36953"/>
    <cellStyle name="Normal 16 5 3 6" xfId="7926"/>
    <cellStyle name="Normal 16 5 3 6 2" xfId="30513"/>
    <cellStyle name="Normal 16 5 3 7" xfId="24073"/>
    <cellStyle name="Normal 16 5 4" xfId="2099"/>
    <cellStyle name="Normal 16 5 4 2" xfId="5320"/>
    <cellStyle name="Normal 16 5 4 2 2" xfId="21420"/>
    <cellStyle name="Normal 16 5 4 2 2 2" xfId="44007"/>
    <cellStyle name="Normal 16 5 4 2 3" xfId="11760"/>
    <cellStyle name="Normal 16 5 4 2 3 2" xfId="34347"/>
    <cellStyle name="Normal 16 5 4 2 4" xfId="27907"/>
    <cellStyle name="Normal 16 5 4 3" xfId="18200"/>
    <cellStyle name="Normal 16 5 4 3 2" xfId="40787"/>
    <cellStyle name="Normal 16 5 4 4" xfId="14980"/>
    <cellStyle name="Normal 16 5 4 4 2" xfId="37567"/>
    <cellStyle name="Normal 16 5 4 5" xfId="8540"/>
    <cellStyle name="Normal 16 5 4 5 2" xfId="31127"/>
    <cellStyle name="Normal 16 5 4 6" xfId="24687"/>
    <cellStyle name="Normal 16 5 5" xfId="4012"/>
    <cellStyle name="Normal 16 5 5 2" xfId="20112"/>
    <cellStyle name="Normal 16 5 5 2 2" xfId="42699"/>
    <cellStyle name="Normal 16 5 5 3" xfId="10452"/>
    <cellStyle name="Normal 16 5 5 3 2" xfId="33039"/>
    <cellStyle name="Normal 16 5 5 4" xfId="26599"/>
    <cellStyle name="Normal 16 5 6" xfId="16892"/>
    <cellStyle name="Normal 16 5 6 2" xfId="39479"/>
    <cellStyle name="Normal 16 5 7" xfId="13672"/>
    <cellStyle name="Normal 16 5 7 2" xfId="36259"/>
    <cellStyle name="Normal 16 5 8" xfId="7232"/>
    <cellStyle name="Normal 16 5 8 2" xfId="29819"/>
    <cellStyle name="Normal 16 5 9" xfId="23379"/>
    <cellStyle name="Normal 16 6" xfId="910"/>
    <cellStyle name="Normal 16 6 2" xfId="2229"/>
    <cellStyle name="Normal 16 6 2 2" xfId="5450"/>
    <cellStyle name="Normal 16 6 2 2 2" xfId="21550"/>
    <cellStyle name="Normal 16 6 2 2 2 2" xfId="44137"/>
    <cellStyle name="Normal 16 6 2 2 3" xfId="11890"/>
    <cellStyle name="Normal 16 6 2 2 3 2" xfId="34477"/>
    <cellStyle name="Normal 16 6 2 2 4" xfId="28037"/>
    <cellStyle name="Normal 16 6 2 3" xfId="18330"/>
    <cellStyle name="Normal 16 6 2 3 2" xfId="40917"/>
    <cellStyle name="Normal 16 6 2 4" xfId="15110"/>
    <cellStyle name="Normal 16 6 2 4 2" xfId="37697"/>
    <cellStyle name="Normal 16 6 2 5" xfId="8670"/>
    <cellStyle name="Normal 16 6 2 5 2" xfId="31257"/>
    <cellStyle name="Normal 16 6 2 6" xfId="24817"/>
    <cellStyle name="Normal 16 6 3" xfId="4142"/>
    <cellStyle name="Normal 16 6 3 2" xfId="20242"/>
    <cellStyle name="Normal 16 6 3 2 2" xfId="42829"/>
    <cellStyle name="Normal 16 6 3 3" xfId="10582"/>
    <cellStyle name="Normal 16 6 3 3 2" xfId="33169"/>
    <cellStyle name="Normal 16 6 3 4" xfId="26729"/>
    <cellStyle name="Normal 16 6 4" xfId="17022"/>
    <cellStyle name="Normal 16 6 4 2" xfId="39609"/>
    <cellStyle name="Normal 16 6 5" xfId="13802"/>
    <cellStyle name="Normal 16 6 5 2" xfId="36389"/>
    <cellStyle name="Normal 16 6 6" xfId="7362"/>
    <cellStyle name="Normal 16 6 6 2" xfId="29949"/>
    <cellStyle name="Normal 16 6 7" xfId="23509"/>
    <cellStyle name="Normal 16 7" xfId="1262"/>
    <cellStyle name="Normal 16 7 2" xfId="2576"/>
    <cellStyle name="Normal 16 7 2 2" xfId="5797"/>
    <cellStyle name="Normal 16 7 2 2 2" xfId="21897"/>
    <cellStyle name="Normal 16 7 2 2 2 2" xfId="44484"/>
    <cellStyle name="Normal 16 7 2 2 3" xfId="12237"/>
    <cellStyle name="Normal 16 7 2 2 3 2" xfId="34824"/>
    <cellStyle name="Normal 16 7 2 2 4" xfId="28384"/>
    <cellStyle name="Normal 16 7 2 3" xfId="18677"/>
    <cellStyle name="Normal 16 7 2 3 2" xfId="41264"/>
    <cellStyle name="Normal 16 7 2 4" xfId="15457"/>
    <cellStyle name="Normal 16 7 2 4 2" xfId="38044"/>
    <cellStyle name="Normal 16 7 2 5" xfId="9017"/>
    <cellStyle name="Normal 16 7 2 5 2" xfId="31604"/>
    <cellStyle name="Normal 16 7 2 6" xfId="25164"/>
    <cellStyle name="Normal 16 7 3" xfId="4489"/>
    <cellStyle name="Normal 16 7 3 2" xfId="20589"/>
    <cellStyle name="Normal 16 7 3 2 2" xfId="43176"/>
    <cellStyle name="Normal 16 7 3 3" xfId="10929"/>
    <cellStyle name="Normal 16 7 3 3 2" xfId="33516"/>
    <cellStyle name="Normal 16 7 3 4" xfId="27076"/>
    <cellStyle name="Normal 16 7 4" xfId="17369"/>
    <cellStyle name="Normal 16 7 4 2" xfId="39956"/>
    <cellStyle name="Normal 16 7 5" xfId="14149"/>
    <cellStyle name="Normal 16 7 5 2" xfId="36736"/>
    <cellStyle name="Normal 16 7 6" xfId="7709"/>
    <cellStyle name="Normal 16 7 6 2" xfId="30296"/>
    <cellStyle name="Normal 16 7 7" xfId="23856"/>
    <cellStyle name="Normal 16 8" xfId="1616"/>
    <cellStyle name="Normal 16 8 2" xfId="4842"/>
    <cellStyle name="Normal 16 8 2 2" xfId="20942"/>
    <cellStyle name="Normal 16 8 2 2 2" xfId="43529"/>
    <cellStyle name="Normal 16 8 2 3" xfId="11282"/>
    <cellStyle name="Normal 16 8 2 3 2" xfId="33869"/>
    <cellStyle name="Normal 16 8 2 4" xfId="27429"/>
    <cellStyle name="Normal 16 8 3" xfId="17722"/>
    <cellStyle name="Normal 16 8 3 2" xfId="40309"/>
    <cellStyle name="Normal 16 8 4" xfId="14502"/>
    <cellStyle name="Normal 16 8 4 2" xfId="37089"/>
    <cellStyle name="Normal 16 8 5" xfId="8062"/>
    <cellStyle name="Normal 16 8 5 2" xfId="30649"/>
    <cellStyle name="Normal 16 8 6" xfId="24209"/>
    <cellStyle name="Normal 16 9" xfId="1881"/>
    <cellStyle name="Normal 16 9 2" xfId="5103"/>
    <cellStyle name="Normal 16 9 2 2" xfId="21203"/>
    <cellStyle name="Normal 16 9 2 2 2" xfId="43790"/>
    <cellStyle name="Normal 16 9 2 3" xfId="11543"/>
    <cellStyle name="Normal 16 9 2 3 2" xfId="34130"/>
    <cellStyle name="Normal 16 9 2 4" xfId="27690"/>
    <cellStyle name="Normal 16 9 3" xfId="17983"/>
    <cellStyle name="Normal 16 9 3 2" xfId="40570"/>
    <cellStyle name="Normal 16 9 4" xfId="14763"/>
    <cellStyle name="Normal 16 9 4 2" xfId="37350"/>
    <cellStyle name="Normal 16 9 5" xfId="8323"/>
    <cellStyle name="Normal 16 9 5 2" xfId="30910"/>
    <cellStyle name="Normal 16 9 6" xfId="24470"/>
    <cellStyle name="Normal 17" xfId="218"/>
    <cellStyle name="Normal 17 10" xfId="16386"/>
    <cellStyle name="Normal 17 10 2" xfId="38973"/>
    <cellStyle name="Normal 17 11" xfId="13166"/>
    <cellStyle name="Normal 17 11 2" xfId="35753"/>
    <cellStyle name="Normal 17 12" xfId="6726"/>
    <cellStyle name="Normal 17 12 2" xfId="29313"/>
    <cellStyle name="Normal 17 13" xfId="22873"/>
    <cellStyle name="Normal 17 2" xfId="316"/>
    <cellStyle name="Normal 17 2 2" xfId="3023"/>
    <cellStyle name="Normal 17 2 2 2" xfId="6243"/>
    <cellStyle name="Normal 17 2 2 2 2" xfId="22343"/>
    <cellStyle name="Normal 17 2 2 2 2 2" xfId="44930"/>
    <cellStyle name="Normal 17 2 2 2 3" xfId="12683"/>
    <cellStyle name="Normal 17 2 2 2 3 2" xfId="35270"/>
    <cellStyle name="Normal 17 2 2 2 4" xfId="28830"/>
    <cellStyle name="Normal 17 2 2 3" xfId="19123"/>
    <cellStyle name="Normal 17 2 2 3 2" xfId="41710"/>
    <cellStyle name="Normal 17 2 2 4" xfId="15903"/>
    <cellStyle name="Normal 17 2 2 4 2" xfId="38490"/>
    <cellStyle name="Normal 17 2 2 5" xfId="9463"/>
    <cellStyle name="Normal 17 2 2 5 2" xfId="32050"/>
    <cellStyle name="Normal 17 2 2 6" xfId="25610"/>
    <cellStyle name="Normal 17 2 3" xfId="3313"/>
    <cellStyle name="Normal 17 2 3 2" xfId="6533"/>
    <cellStyle name="Normal 17 2 3 2 2" xfId="22633"/>
    <cellStyle name="Normal 17 2 3 2 2 2" xfId="45220"/>
    <cellStyle name="Normal 17 2 3 2 3" xfId="12973"/>
    <cellStyle name="Normal 17 2 3 2 3 2" xfId="35560"/>
    <cellStyle name="Normal 17 2 3 2 4" xfId="29120"/>
    <cellStyle name="Normal 17 2 3 3" xfId="19413"/>
    <cellStyle name="Normal 17 2 3 3 2" xfId="42000"/>
    <cellStyle name="Normal 17 2 3 4" xfId="16193"/>
    <cellStyle name="Normal 17 2 3 4 2" xfId="38780"/>
    <cellStyle name="Normal 17 2 3 5" xfId="9753"/>
    <cellStyle name="Normal 17 2 3 5 2" xfId="32340"/>
    <cellStyle name="Normal 17 2 3 6" xfId="25900"/>
    <cellStyle name="Normal 17 2 4" xfId="565"/>
    <cellStyle name="Normal 17 2 5" xfId="3603"/>
    <cellStyle name="Normal 17 2 5 2" xfId="19703"/>
    <cellStyle name="Normal 17 2 5 2 2" xfId="42290"/>
    <cellStyle name="Normal 17 2 5 3" xfId="10043"/>
    <cellStyle name="Normal 17 2 5 3 2" xfId="32630"/>
    <cellStyle name="Normal 17 2 5 4" xfId="26190"/>
    <cellStyle name="Normal 17 2 6" xfId="16483"/>
    <cellStyle name="Normal 17 2 6 2" xfId="39070"/>
    <cellStyle name="Normal 17 2 7" xfId="13263"/>
    <cellStyle name="Normal 17 2 7 2" xfId="35850"/>
    <cellStyle name="Normal 17 2 8" xfId="6823"/>
    <cellStyle name="Normal 17 2 8 2" xfId="29410"/>
    <cellStyle name="Normal 17 2 9" xfId="22970"/>
    <cellStyle name="Normal 17 3" xfId="412"/>
    <cellStyle name="Normal 17 3 10" xfId="23066"/>
    <cellStyle name="Normal 17 3 2" xfId="2269"/>
    <cellStyle name="Normal 17 3 2 2" xfId="5490"/>
    <cellStyle name="Normal 17 3 2 2 2" xfId="21590"/>
    <cellStyle name="Normal 17 3 2 2 2 2" xfId="44177"/>
    <cellStyle name="Normal 17 3 2 2 3" xfId="11930"/>
    <cellStyle name="Normal 17 3 2 2 3 2" xfId="34517"/>
    <cellStyle name="Normal 17 3 2 2 4" xfId="28077"/>
    <cellStyle name="Normal 17 3 2 3" xfId="18370"/>
    <cellStyle name="Normal 17 3 2 3 2" xfId="40957"/>
    <cellStyle name="Normal 17 3 2 4" xfId="15150"/>
    <cellStyle name="Normal 17 3 2 4 2" xfId="37737"/>
    <cellStyle name="Normal 17 3 2 5" xfId="8710"/>
    <cellStyle name="Normal 17 3 2 5 2" xfId="31297"/>
    <cellStyle name="Normal 17 3 2 6" xfId="24857"/>
    <cellStyle name="Normal 17 3 3" xfId="3119"/>
    <cellStyle name="Normal 17 3 3 2" xfId="6339"/>
    <cellStyle name="Normal 17 3 3 2 2" xfId="22439"/>
    <cellStyle name="Normal 17 3 3 2 2 2" xfId="45026"/>
    <cellStyle name="Normal 17 3 3 2 3" xfId="12779"/>
    <cellStyle name="Normal 17 3 3 2 3 2" xfId="35366"/>
    <cellStyle name="Normal 17 3 3 2 4" xfId="28926"/>
    <cellStyle name="Normal 17 3 3 3" xfId="19219"/>
    <cellStyle name="Normal 17 3 3 3 2" xfId="41806"/>
    <cellStyle name="Normal 17 3 3 4" xfId="15999"/>
    <cellStyle name="Normal 17 3 3 4 2" xfId="38586"/>
    <cellStyle name="Normal 17 3 3 5" xfId="9559"/>
    <cellStyle name="Normal 17 3 3 5 2" xfId="32146"/>
    <cellStyle name="Normal 17 3 3 6" xfId="25706"/>
    <cellStyle name="Normal 17 3 4" xfId="3409"/>
    <cellStyle name="Normal 17 3 4 2" xfId="6629"/>
    <cellStyle name="Normal 17 3 4 2 2" xfId="22729"/>
    <cellStyle name="Normal 17 3 4 2 2 2" xfId="45316"/>
    <cellStyle name="Normal 17 3 4 2 3" xfId="13069"/>
    <cellStyle name="Normal 17 3 4 2 3 2" xfId="35656"/>
    <cellStyle name="Normal 17 3 4 2 4" xfId="29216"/>
    <cellStyle name="Normal 17 3 4 3" xfId="19509"/>
    <cellStyle name="Normal 17 3 4 3 2" xfId="42096"/>
    <cellStyle name="Normal 17 3 4 4" xfId="16289"/>
    <cellStyle name="Normal 17 3 4 4 2" xfId="38876"/>
    <cellStyle name="Normal 17 3 4 5" xfId="9849"/>
    <cellStyle name="Normal 17 3 4 5 2" xfId="32436"/>
    <cellStyle name="Normal 17 3 4 6" xfId="25996"/>
    <cellStyle name="Normal 17 3 5" xfId="950"/>
    <cellStyle name="Normal 17 3 5 2" xfId="4182"/>
    <cellStyle name="Normal 17 3 5 2 2" xfId="20282"/>
    <cellStyle name="Normal 17 3 5 2 2 2" xfId="42869"/>
    <cellStyle name="Normal 17 3 5 2 3" xfId="10622"/>
    <cellStyle name="Normal 17 3 5 2 3 2" xfId="33209"/>
    <cellStyle name="Normal 17 3 5 2 4" xfId="26769"/>
    <cellStyle name="Normal 17 3 5 3" xfId="17062"/>
    <cellStyle name="Normal 17 3 5 3 2" xfId="39649"/>
    <cellStyle name="Normal 17 3 5 4" xfId="13842"/>
    <cellStyle name="Normal 17 3 5 4 2" xfId="36429"/>
    <cellStyle name="Normal 17 3 5 5" xfId="7402"/>
    <cellStyle name="Normal 17 3 5 5 2" xfId="29989"/>
    <cellStyle name="Normal 17 3 5 6" xfId="23549"/>
    <cellStyle name="Normal 17 3 6" xfId="3699"/>
    <cellStyle name="Normal 17 3 6 2" xfId="19799"/>
    <cellStyle name="Normal 17 3 6 2 2" xfId="42386"/>
    <cellStyle name="Normal 17 3 6 3" xfId="10139"/>
    <cellStyle name="Normal 17 3 6 3 2" xfId="32726"/>
    <cellStyle name="Normal 17 3 6 4" xfId="26286"/>
    <cellStyle name="Normal 17 3 7" xfId="16579"/>
    <cellStyle name="Normal 17 3 7 2" xfId="39166"/>
    <cellStyle name="Normal 17 3 8" xfId="13359"/>
    <cellStyle name="Normal 17 3 8 2" xfId="35946"/>
    <cellStyle name="Normal 17 3 9" xfId="6919"/>
    <cellStyle name="Normal 17 3 9 2" xfId="29506"/>
    <cellStyle name="Normal 17 4" xfId="1302"/>
    <cellStyle name="Normal 17 4 2" xfId="2616"/>
    <cellStyle name="Normal 17 4 2 2" xfId="5837"/>
    <cellStyle name="Normal 17 4 2 2 2" xfId="21937"/>
    <cellStyle name="Normal 17 4 2 2 2 2" xfId="44524"/>
    <cellStyle name="Normal 17 4 2 2 3" xfId="12277"/>
    <cellStyle name="Normal 17 4 2 2 3 2" xfId="34864"/>
    <cellStyle name="Normal 17 4 2 2 4" xfId="28424"/>
    <cellStyle name="Normal 17 4 2 3" xfId="18717"/>
    <cellStyle name="Normal 17 4 2 3 2" xfId="41304"/>
    <cellStyle name="Normal 17 4 2 4" xfId="15497"/>
    <cellStyle name="Normal 17 4 2 4 2" xfId="38084"/>
    <cellStyle name="Normal 17 4 2 5" xfId="9057"/>
    <cellStyle name="Normal 17 4 2 5 2" xfId="31644"/>
    <cellStyle name="Normal 17 4 2 6" xfId="25204"/>
    <cellStyle name="Normal 17 4 3" xfId="4529"/>
    <cellStyle name="Normal 17 4 3 2" xfId="20629"/>
    <cellStyle name="Normal 17 4 3 2 2" xfId="43216"/>
    <cellStyle name="Normal 17 4 3 3" xfId="10969"/>
    <cellStyle name="Normal 17 4 3 3 2" xfId="33556"/>
    <cellStyle name="Normal 17 4 3 4" xfId="27116"/>
    <cellStyle name="Normal 17 4 4" xfId="17409"/>
    <cellStyle name="Normal 17 4 4 2" xfId="39996"/>
    <cellStyle name="Normal 17 4 5" xfId="14189"/>
    <cellStyle name="Normal 17 4 5 2" xfId="36776"/>
    <cellStyle name="Normal 17 4 6" xfId="7749"/>
    <cellStyle name="Normal 17 4 6 2" xfId="30336"/>
    <cellStyle name="Normal 17 4 7" xfId="23896"/>
    <cellStyle name="Normal 17 5" xfId="1921"/>
    <cellStyle name="Normal 17 5 2" xfId="5143"/>
    <cellStyle name="Normal 17 5 2 2" xfId="21243"/>
    <cellStyle name="Normal 17 5 2 2 2" xfId="43830"/>
    <cellStyle name="Normal 17 5 2 3" xfId="11583"/>
    <cellStyle name="Normal 17 5 2 3 2" xfId="34170"/>
    <cellStyle name="Normal 17 5 2 4" xfId="27730"/>
    <cellStyle name="Normal 17 5 3" xfId="18023"/>
    <cellStyle name="Normal 17 5 3 2" xfId="40610"/>
    <cellStyle name="Normal 17 5 4" xfId="14803"/>
    <cellStyle name="Normal 17 5 4 2" xfId="37390"/>
    <cellStyle name="Normal 17 5 5" xfId="8363"/>
    <cellStyle name="Normal 17 5 5 2" xfId="30950"/>
    <cellStyle name="Normal 17 5 6" xfId="24510"/>
    <cellStyle name="Normal 17 6" xfId="2925"/>
    <cellStyle name="Normal 17 6 2" xfId="6146"/>
    <cellStyle name="Normal 17 6 2 2" xfId="22246"/>
    <cellStyle name="Normal 17 6 2 2 2" xfId="44833"/>
    <cellStyle name="Normal 17 6 2 3" xfId="12586"/>
    <cellStyle name="Normal 17 6 2 3 2" xfId="35173"/>
    <cellStyle name="Normal 17 6 2 4" xfId="28733"/>
    <cellStyle name="Normal 17 6 3" xfId="19026"/>
    <cellStyle name="Normal 17 6 3 2" xfId="41613"/>
    <cellStyle name="Normal 17 6 4" xfId="15806"/>
    <cellStyle name="Normal 17 6 4 2" xfId="38393"/>
    <cellStyle name="Normal 17 6 5" xfId="9366"/>
    <cellStyle name="Normal 17 6 5 2" xfId="31953"/>
    <cellStyle name="Normal 17 6 6" xfId="25513"/>
    <cellStyle name="Normal 17 7" xfId="3216"/>
    <cellStyle name="Normal 17 7 2" xfId="6436"/>
    <cellStyle name="Normal 17 7 2 2" xfId="22536"/>
    <cellStyle name="Normal 17 7 2 2 2" xfId="45123"/>
    <cellStyle name="Normal 17 7 2 3" xfId="12876"/>
    <cellStyle name="Normal 17 7 2 3 2" xfId="35463"/>
    <cellStyle name="Normal 17 7 2 4" xfId="29023"/>
    <cellStyle name="Normal 17 7 3" xfId="19316"/>
    <cellStyle name="Normal 17 7 3 2" xfId="41903"/>
    <cellStyle name="Normal 17 7 4" xfId="16096"/>
    <cellStyle name="Normal 17 7 4 2" xfId="38683"/>
    <cellStyle name="Normal 17 7 5" xfId="9656"/>
    <cellStyle name="Normal 17 7 5 2" xfId="32243"/>
    <cellStyle name="Normal 17 7 6" xfId="25803"/>
    <cellStyle name="Normal 17 8" xfId="548"/>
    <cellStyle name="Normal 17 8 2" xfId="3835"/>
    <cellStyle name="Normal 17 8 2 2" xfId="19935"/>
    <cellStyle name="Normal 17 8 2 2 2" xfId="42522"/>
    <cellStyle name="Normal 17 8 2 3" xfId="10275"/>
    <cellStyle name="Normal 17 8 2 3 2" xfId="32862"/>
    <cellStyle name="Normal 17 8 2 4" xfId="26422"/>
    <cellStyle name="Normal 17 8 3" xfId="16715"/>
    <cellStyle name="Normal 17 8 3 2" xfId="39302"/>
    <cellStyle name="Normal 17 8 4" xfId="13495"/>
    <cellStyle name="Normal 17 8 4 2" xfId="36082"/>
    <cellStyle name="Normal 17 8 5" xfId="7055"/>
    <cellStyle name="Normal 17 8 5 2" xfId="29642"/>
    <cellStyle name="Normal 17 8 6" xfId="23202"/>
    <cellStyle name="Normal 17 9" xfId="3506"/>
    <cellStyle name="Normal 17 9 2" xfId="19606"/>
    <cellStyle name="Normal 17 9 2 2" xfId="42193"/>
    <cellStyle name="Normal 17 9 3" xfId="9946"/>
    <cellStyle name="Normal 17 9 3 2" xfId="32533"/>
    <cellStyle name="Normal 17 9 4" xfId="26093"/>
    <cellStyle name="Normal 18" xfId="435"/>
    <cellStyle name="Normal 18 10" xfId="13382"/>
    <cellStyle name="Normal 18 10 2" xfId="35969"/>
    <cellStyle name="Normal 18 11" xfId="6942"/>
    <cellStyle name="Normal 18 11 2" xfId="29529"/>
    <cellStyle name="Normal 18 12" xfId="23089"/>
    <cellStyle name="Normal 18 2" xfId="1071"/>
    <cellStyle name="Normal 18 2 2" xfId="2385"/>
    <cellStyle name="Normal 18 2 2 2" xfId="5606"/>
    <cellStyle name="Normal 18 2 2 2 2" xfId="21706"/>
    <cellStyle name="Normal 18 2 2 2 2 2" xfId="44293"/>
    <cellStyle name="Normal 18 2 2 2 3" xfId="12046"/>
    <cellStyle name="Normal 18 2 2 2 3 2" xfId="34633"/>
    <cellStyle name="Normal 18 2 2 2 4" xfId="28193"/>
    <cellStyle name="Normal 18 2 2 3" xfId="18486"/>
    <cellStyle name="Normal 18 2 2 3 2" xfId="41073"/>
    <cellStyle name="Normal 18 2 2 4" xfId="15266"/>
    <cellStyle name="Normal 18 2 2 4 2" xfId="37853"/>
    <cellStyle name="Normal 18 2 2 5" xfId="8826"/>
    <cellStyle name="Normal 18 2 2 5 2" xfId="31413"/>
    <cellStyle name="Normal 18 2 2 6" xfId="24973"/>
    <cellStyle name="Normal 18 2 3" xfId="4298"/>
    <cellStyle name="Normal 18 2 3 2" xfId="20398"/>
    <cellStyle name="Normal 18 2 3 2 2" xfId="42985"/>
    <cellStyle name="Normal 18 2 3 3" xfId="10738"/>
    <cellStyle name="Normal 18 2 3 3 2" xfId="33325"/>
    <cellStyle name="Normal 18 2 3 4" xfId="26885"/>
    <cellStyle name="Normal 18 2 4" xfId="17178"/>
    <cellStyle name="Normal 18 2 4 2" xfId="39765"/>
    <cellStyle name="Normal 18 2 5" xfId="13958"/>
    <cellStyle name="Normal 18 2 5 2" xfId="36545"/>
    <cellStyle name="Normal 18 2 6" xfId="7518"/>
    <cellStyle name="Normal 18 2 6 2" xfId="30105"/>
    <cellStyle name="Normal 18 2 7" xfId="23665"/>
    <cellStyle name="Normal 18 3" xfId="1418"/>
    <cellStyle name="Normal 18 3 2" xfId="2732"/>
    <cellStyle name="Normal 18 3 2 2" xfId="5953"/>
    <cellStyle name="Normal 18 3 2 2 2" xfId="22053"/>
    <cellStyle name="Normal 18 3 2 2 2 2" xfId="44640"/>
    <cellStyle name="Normal 18 3 2 2 3" xfId="12393"/>
    <cellStyle name="Normal 18 3 2 2 3 2" xfId="34980"/>
    <cellStyle name="Normal 18 3 2 2 4" xfId="28540"/>
    <cellStyle name="Normal 18 3 2 3" xfId="18833"/>
    <cellStyle name="Normal 18 3 2 3 2" xfId="41420"/>
    <cellStyle name="Normal 18 3 2 4" xfId="15613"/>
    <cellStyle name="Normal 18 3 2 4 2" xfId="38200"/>
    <cellStyle name="Normal 18 3 2 5" xfId="9173"/>
    <cellStyle name="Normal 18 3 2 5 2" xfId="31760"/>
    <cellStyle name="Normal 18 3 2 6" xfId="25320"/>
    <cellStyle name="Normal 18 3 3" xfId="4645"/>
    <cellStyle name="Normal 18 3 3 2" xfId="20745"/>
    <cellStyle name="Normal 18 3 3 2 2" xfId="43332"/>
    <cellStyle name="Normal 18 3 3 3" xfId="11085"/>
    <cellStyle name="Normal 18 3 3 3 2" xfId="33672"/>
    <cellStyle name="Normal 18 3 3 4" xfId="27232"/>
    <cellStyle name="Normal 18 3 4" xfId="17525"/>
    <cellStyle name="Normal 18 3 4 2" xfId="40112"/>
    <cellStyle name="Normal 18 3 5" xfId="14305"/>
    <cellStyle name="Normal 18 3 5 2" xfId="36892"/>
    <cellStyle name="Normal 18 3 6" xfId="7865"/>
    <cellStyle name="Normal 18 3 6 2" xfId="30452"/>
    <cellStyle name="Normal 18 3 7" xfId="24012"/>
    <cellStyle name="Normal 18 4" xfId="2037"/>
    <cellStyle name="Normal 18 4 2" xfId="5259"/>
    <cellStyle name="Normal 18 4 2 2" xfId="21359"/>
    <cellStyle name="Normal 18 4 2 2 2" xfId="43946"/>
    <cellStyle name="Normal 18 4 2 3" xfId="11699"/>
    <cellStyle name="Normal 18 4 2 3 2" xfId="34286"/>
    <cellStyle name="Normal 18 4 2 4" xfId="27846"/>
    <cellStyle name="Normal 18 4 3" xfId="18139"/>
    <cellStyle name="Normal 18 4 3 2" xfId="40726"/>
    <cellStyle name="Normal 18 4 4" xfId="14919"/>
    <cellStyle name="Normal 18 4 4 2" xfId="37506"/>
    <cellStyle name="Normal 18 4 5" xfId="8479"/>
    <cellStyle name="Normal 18 4 5 2" xfId="31066"/>
    <cellStyle name="Normal 18 4 6" xfId="24626"/>
    <cellStyle name="Normal 18 5" xfId="3142"/>
    <cellStyle name="Normal 18 5 2" xfId="6362"/>
    <cellStyle name="Normal 18 5 2 2" xfId="22462"/>
    <cellStyle name="Normal 18 5 2 2 2" xfId="45049"/>
    <cellStyle name="Normal 18 5 2 3" xfId="12802"/>
    <cellStyle name="Normal 18 5 2 3 2" xfId="35389"/>
    <cellStyle name="Normal 18 5 2 4" xfId="28949"/>
    <cellStyle name="Normal 18 5 3" xfId="19242"/>
    <cellStyle name="Normal 18 5 3 2" xfId="41829"/>
    <cellStyle name="Normal 18 5 4" xfId="16022"/>
    <cellStyle name="Normal 18 5 4 2" xfId="38609"/>
    <cellStyle name="Normal 18 5 5" xfId="9582"/>
    <cellStyle name="Normal 18 5 5 2" xfId="32169"/>
    <cellStyle name="Normal 18 5 6" xfId="25729"/>
    <cellStyle name="Normal 18 6" xfId="3432"/>
    <cellStyle name="Normal 18 6 2" xfId="6652"/>
    <cellStyle name="Normal 18 6 2 2" xfId="22752"/>
    <cellStyle name="Normal 18 6 2 2 2" xfId="45339"/>
    <cellStyle name="Normal 18 6 2 3" xfId="13092"/>
    <cellStyle name="Normal 18 6 2 3 2" xfId="35679"/>
    <cellStyle name="Normal 18 6 2 4" xfId="29239"/>
    <cellStyle name="Normal 18 6 3" xfId="19532"/>
    <cellStyle name="Normal 18 6 3 2" xfId="42119"/>
    <cellStyle name="Normal 18 6 4" xfId="16312"/>
    <cellStyle name="Normal 18 6 4 2" xfId="38899"/>
    <cellStyle name="Normal 18 6 5" xfId="9872"/>
    <cellStyle name="Normal 18 6 5 2" xfId="32459"/>
    <cellStyle name="Normal 18 6 6" xfId="26019"/>
    <cellStyle name="Normal 18 7" xfId="708"/>
    <cellStyle name="Normal 18 7 2" xfId="3951"/>
    <cellStyle name="Normal 18 7 2 2" xfId="20051"/>
    <cellStyle name="Normal 18 7 2 2 2" xfId="42638"/>
    <cellStyle name="Normal 18 7 2 3" xfId="10391"/>
    <cellStyle name="Normal 18 7 2 3 2" xfId="32978"/>
    <cellStyle name="Normal 18 7 2 4" xfId="26538"/>
    <cellStyle name="Normal 18 7 3" xfId="16831"/>
    <cellStyle name="Normal 18 7 3 2" xfId="39418"/>
    <cellStyle name="Normal 18 7 4" xfId="13611"/>
    <cellStyle name="Normal 18 7 4 2" xfId="36198"/>
    <cellStyle name="Normal 18 7 5" xfId="7171"/>
    <cellStyle name="Normal 18 7 5 2" xfId="29758"/>
    <cellStyle name="Normal 18 7 6" xfId="23318"/>
    <cellStyle name="Normal 18 8" xfId="3722"/>
    <cellStyle name="Normal 18 8 2" xfId="19822"/>
    <cellStyle name="Normal 18 8 2 2" xfId="42409"/>
    <cellStyle name="Normal 18 8 3" xfId="10162"/>
    <cellStyle name="Normal 18 8 3 2" xfId="32749"/>
    <cellStyle name="Normal 18 8 4" xfId="26309"/>
    <cellStyle name="Normal 18 9" xfId="16602"/>
    <cellStyle name="Normal 18 9 2" xfId="39189"/>
    <cellStyle name="Normal 19" xfId="2851"/>
    <cellStyle name="Normal 19 2" xfId="6072"/>
    <cellStyle name="Normal 19 2 2" xfId="22172"/>
    <cellStyle name="Normal 19 2 2 2" xfId="44759"/>
    <cellStyle name="Normal 19 2 3" xfId="12512"/>
    <cellStyle name="Normal 19 2 3 2" xfId="35099"/>
    <cellStyle name="Normal 19 2 4" xfId="28659"/>
    <cellStyle name="Normal 19 3" xfId="18952"/>
    <cellStyle name="Normal 19 3 2" xfId="41539"/>
    <cellStyle name="Normal 19 4" xfId="15732"/>
    <cellStyle name="Normal 19 4 2" xfId="38319"/>
    <cellStyle name="Normal 19 5" xfId="9292"/>
    <cellStyle name="Normal 19 5 2" xfId="31879"/>
    <cellStyle name="Normal 19 6" xfId="25439"/>
    <cellStyle name="Normal 2" xfId="86"/>
    <cellStyle name="Normal 2 2" xfId="92"/>
    <cellStyle name="Normal 2 2 2" xfId="198"/>
    <cellStyle name="Normal 2 2 2 2" xfId="270"/>
    <cellStyle name="Normal 2 2 2 2 2" xfId="2977"/>
    <cellStyle name="Normal 2 2 2 2 2 2" xfId="6197"/>
    <cellStyle name="Normal 2 2 2 2 2 2 2" xfId="22297"/>
    <cellStyle name="Normal 2 2 2 2 2 2 2 2" xfId="44884"/>
    <cellStyle name="Normal 2 2 2 2 2 2 3" xfId="12637"/>
    <cellStyle name="Normal 2 2 2 2 2 2 3 2" xfId="35224"/>
    <cellStyle name="Normal 2 2 2 2 2 2 4" xfId="28784"/>
    <cellStyle name="Normal 2 2 2 2 2 3" xfId="19077"/>
    <cellStyle name="Normal 2 2 2 2 2 3 2" xfId="41664"/>
    <cellStyle name="Normal 2 2 2 2 2 4" xfId="15857"/>
    <cellStyle name="Normal 2 2 2 2 2 4 2" xfId="38444"/>
    <cellStyle name="Normal 2 2 2 2 2 5" xfId="9417"/>
    <cellStyle name="Normal 2 2 2 2 2 5 2" xfId="32004"/>
    <cellStyle name="Normal 2 2 2 2 2 6" xfId="25564"/>
    <cellStyle name="Normal 2 2 2 2 3" xfId="3267"/>
    <cellStyle name="Normal 2 2 2 2 3 2" xfId="6487"/>
    <cellStyle name="Normal 2 2 2 2 3 2 2" xfId="22587"/>
    <cellStyle name="Normal 2 2 2 2 3 2 2 2" xfId="45174"/>
    <cellStyle name="Normal 2 2 2 2 3 2 3" xfId="12927"/>
    <cellStyle name="Normal 2 2 2 2 3 2 3 2" xfId="35514"/>
    <cellStyle name="Normal 2 2 2 2 3 2 4" xfId="29074"/>
    <cellStyle name="Normal 2 2 2 2 3 3" xfId="19367"/>
    <cellStyle name="Normal 2 2 2 2 3 3 2" xfId="41954"/>
    <cellStyle name="Normal 2 2 2 2 3 4" xfId="16147"/>
    <cellStyle name="Normal 2 2 2 2 3 4 2" xfId="38734"/>
    <cellStyle name="Normal 2 2 2 2 3 5" xfId="9707"/>
    <cellStyle name="Normal 2 2 2 2 3 5 2" xfId="32294"/>
    <cellStyle name="Normal 2 2 2 2 3 6" xfId="25854"/>
    <cellStyle name="Normal 2 2 2 2 4" xfId="1538"/>
    <cellStyle name="Normal 2 2 2 2 4 2" xfId="4765"/>
    <cellStyle name="Normal 2 2 2 2 4 2 2" xfId="20865"/>
    <cellStyle name="Normal 2 2 2 2 4 2 2 2" xfId="43452"/>
    <cellStyle name="Normal 2 2 2 2 4 2 3" xfId="11205"/>
    <cellStyle name="Normal 2 2 2 2 4 2 3 2" xfId="33792"/>
    <cellStyle name="Normal 2 2 2 2 4 2 4" xfId="27352"/>
    <cellStyle name="Normal 2 2 2 2 4 3" xfId="17645"/>
    <cellStyle name="Normal 2 2 2 2 4 3 2" xfId="40232"/>
    <cellStyle name="Normal 2 2 2 2 4 4" xfId="14425"/>
    <cellStyle name="Normal 2 2 2 2 4 4 2" xfId="37012"/>
    <cellStyle name="Normal 2 2 2 2 4 5" xfId="7985"/>
    <cellStyle name="Normal 2 2 2 2 4 5 2" xfId="30572"/>
    <cellStyle name="Normal 2 2 2 2 4 6" xfId="24132"/>
    <cellStyle name="Normal 2 2 2 2 5" xfId="3557"/>
    <cellStyle name="Normal 2 2 2 2 5 2" xfId="19657"/>
    <cellStyle name="Normal 2 2 2 2 5 2 2" xfId="42244"/>
    <cellStyle name="Normal 2 2 2 2 5 3" xfId="9997"/>
    <cellStyle name="Normal 2 2 2 2 5 3 2" xfId="32584"/>
    <cellStyle name="Normal 2 2 2 2 5 4" xfId="26144"/>
    <cellStyle name="Normal 2 2 2 2 6" xfId="16437"/>
    <cellStyle name="Normal 2 2 2 2 6 2" xfId="39024"/>
    <cellStyle name="Normal 2 2 2 2 7" xfId="13217"/>
    <cellStyle name="Normal 2 2 2 2 7 2" xfId="35804"/>
    <cellStyle name="Normal 2 2 2 2 8" xfId="6777"/>
    <cellStyle name="Normal 2 2 2 2 8 2" xfId="29364"/>
    <cellStyle name="Normal 2 2 2 2 9" xfId="22924"/>
    <cellStyle name="Normal 2 2 2 3" xfId="1617"/>
    <cellStyle name="Normal 2 2 3" xfId="150"/>
    <cellStyle name="Normal 2 2 3 10" xfId="2904"/>
    <cellStyle name="Normal 2 2 3 10 2" xfId="6125"/>
    <cellStyle name="Normal 2 2 3 10 2 2" xfId="22225"/>
    <cellStyle name="Normal 2 2 3 10 2 2 2" xfId="44812"/>
    <cellStyle name="Normal 2 2 3 10 2 3" xfId="12565"/>
    <cellStyle name="Normal 2 2 3 10 2 3 2" xfId="35152"/>
    <cellStyle name="Normal 2 2 3 10 2 4" xfId="28712"/>
    <cellStyle name="Normal 2 2 3 10 3" xfId="19005"/>
    <cellStyle name="Normal 2 2 3 10 3 2" xfId="41592"/>
    <cellStyle name="Normal 2 2 3 10 4" xfId="15785"/>
    <cellStyle name="Normal 2 2 3 10 4 2" xfId="38372"/>
    <cellStyle name="Normal 2 2 3 10 5" xfId="9345"/>
    <cellStyle name="Normal 2 2 3 10 5 2" xfId="31932"/>
    <cellStyle name="Normal 2 2 3 10 6" xfId="25492"/>
    <cellStyle name="Normal 2 2 3 11" xfId="3195"/>
    <cellStyle name="Normal 2 2 3 11 2" xfId="6415"/>
    <cellStyle name="Normal 2 2 3 11 2 2" xfId="22515"/>
    <cellStyle name="Normal 2 2 3 11 2 2 2" xfId="45102"/>
    <cellStyle name="Normal 2 2 3 11 2 3" xfId="12855"/>
    <cellStyle name="Normal 2 2 3 11 2 3 2" xfId="35442"/>
    <cellStyle name="Normal 2 2 3 11 2 4" xfId="29002"/>
    <cellStyle name="Normal 2 2 3 11 3" xfId="19295"/>
    <cellStyle name="Normal 2 2 3 11 3 2" xfId="41882"/>
    <cellStyle name="Normal 2 2 3 11 4" xfId="16075"/>
    <cellStyle name="Normal 2 2 3 11 4 2" xfId="38662"/>
    <cellStyle name="Normal 2 2 3 11 5" xfId="9635"/>
    <cellStyle name="Normal 2 2 3 11 5 2" xfId="32222"/>
    <cellStyle name="Normal 2 2 3 11 6" xfId="25782"/>
    <cellStyle name="Normal 2 2 3 12" xfId="488"/>
    <cellStyle name="Normal 2 2 3 12 2" xfId="3775"/>
    <cellStyle name="Normal 2 2 3 12 2 2" xfId="19875"/>
    <cellStyle name="Normal 2 2 3 12 2 2 2" xfId="42462"/>
    <cellStyle name="Normal 2 2 3 12 2 3" xfId="10215"/>
    <cellStyle name="Normal 2 2 3 12 2 3 2" xfId="32802"/>
    <cellStyle name="Normal 2 2 3 12 2 4" xfId="26362"/>
    <cellStyle name="Normal 2 2 3 12 3" xfId="16655"/>
    <cellStyle name="Normal 2 2 3 12 3 2" xfId="39242"/>
    <cellStyle name="Normal 2 2 3 12 4" xfId="13435"/>
    <cellStyle name="Normal 2 2 3 12 4 2" xfId="36022"/>
    <cellStyle name="Normal 2 2 3 12 5" xfId="6995"/>
    <cellStyle name="Normal 2 2 3 12 5 2" xfId="29582"/>
    <cellStyle name="Normal 2 2 3 12 6" xfId="23142"/>
    <cellStyle name="Normal 2 2 3 13" xfId="3485"/>
    <cellStyle name="Normal 2 2 3 13 2" xfId="19585"/>
    <cellStyle name="Normal 2 2 3 13 2 2" xfId="42172"/>
    <cellStyle name="Normal 2 2 3 13 3" xfId="9925"/>
    <cellStyle name="Normal 2 2 3 13 3 2" xfId="32512"/>
    <cellStyle name="Normal 2 2 3 13 4" xfId="26072"/>
    <cellStyle name="Normal 2 2 3 14" xfId="16365"/>
    <cellStyle name="Normal 2 2 3 14 2" xfId="38952"/>
    <cellStyle name="Normal 2 2 3 15" xfId="13145"/>
    <cellStyle name="Normal 2 2 3 15 2" xfId="35732"/>
    <cellStyle name="Normal 2 2 3 16" xfId="6705"/>
    <cellStyle name="Normal 2 2 3 16 2" xfId="29292"/>
    <cellStyle name="Normal 2 2 3 17" xfId="22852"/>
    <cellStyle name="Normal 2 2 3 2" xfId="295"/>
    <cellStyle name="Normal 2 2 3 2 10" xfId="3582"/>
    <cellStyle name="Normal 2 2 3 2 10 2" xfId="19682"/>
    <cellStyle name="Normal 2 2 3 2 10 2 2" xfId="42269"/>
    <cellStyle name="Normal 2 2 3 2 10 3" xfId="10022"/>
    <cellStyle name="Normal 2 2 3 2 10 3 2" xfId="32609"/>
    <cellStyle name="Normal 2 2 3 2 10 4" xfId="26169"/>
    <cellStyle name="Normal 2 2 3 2 11" xfId="16462"/>
    <cellStyle name="Normal 2 2 3 2 11 2" xfId="39049"/>
    <cellStyle name="Normal 2 2 3 2 12" xfId="13242"/>
    <cellStyle name="Normal 2 2 3 2 12 2" xfId="35829"/>
    <cellStyle name="Normal 2 2 3 2 13" xfId="6802"/>
    <cellStyle name="Normal 2 2 3 2 13 2" xfId="29389"/>
    <cellStyle name="Normal 2 2 3 2 14" xfId="22949"/>
    <cellStyle name="Normal 2 2 3 2 2" xfId="687"/>
    <cellStyle name="Normal 2 2 3 2 2 10" xfId="23298"/>
    <cellStyle name="Normal 2 2 3 2 2 2" xfId="1051"/>
    <cellStyle name="Normal 2 2 3 2 2 2 2" xfId="2365"/>
    <cellStyle name="Normal 2 2 3 2 2 2 2 2" xfId="5586"/>
    <cellStyle name="Normal 2 2 3 2 2 2 2 2 2" xfId="21686"/>
    <cellStyle name="Normal 2 2 3 2 2 2 2 2 2 2" xfId="44273"/>
    <cellStyle name="Normal 2 2 3 2 2 2 2 2 3" xfId="12026"/>
    <cellStyle name="Normal 2 2 3 2 2 2 2 2 3 2" xfId="34613"/>
    <cellStyle name="Normal 2 2 3 2 2 2 2 2 4" xfId="28173"/>
    <cellStyle name="Normal 2 2 3 2 2 2 2 3" xfId="18466"/>
    <cellStyle name="Normal 2 2 3 2 2 2 2 3 2" xfId="41053"/>
    <cellStyle name="Normal 2 2 3 2 2 2 2 4" xfId="15246"/>
    <cellStyle name="Normal 2 2 3 2 2 2 2 4 2" xfId="37833"/>
    <cellStyle name="Normal 2 2 3 2 2 2 2 5" xfId="8806"/>
    <cellStyle name="Normal 2 2 3 2 2 2 2 5 2" xfId="31393"/>
    <cellStyle name="Normal 2 2 3 2 2 2 2 6" xfId="24953"/>
    <cellStyle name="Normal 2 2 3 2 2 2 3" xfId="4278"/>
    <cellStyle name="Normal 2 2 3 2 2 2 3 2" xfId="20378"/>
    <cellStyle name="Normal 2 2 3 2 2 2 3 2 2" xfId="42965"/>
    <cellStyle name="Normal 2 2 3 2 2 2 3 3" xfId="10718"/>
    <cellStyle name="Normal 2 2 3 2 2 2 3 3 2" xfId="33305"/>
    <cellStyle name="Normal 2 2 3 2 2 2 3 4" xfId="26865"/>
    <cellStyle name="Normal 2 2 3 2 2 2 4" xfId="17158"/>
    <cellStyle name="Normal 2 2 3 2 2 2 4 2" xfId="39745"/>
    <cellStyle name="Normal 2 2 3 2 2 2 5" xfId="13938"/>
    <cellStyle name="Normal 2 2 3 2 2 2 5 2" xfId="36525"/>
    <cellStyle name="Normal 2 2 3 2 2 2 6" xfId="7498"/>
    <cellStyle name="Normal 2 2 3 2 2 2 6 2" xfId="30085"/>
    <cellStyle name="Normal 2 2 3 2 2 2 7" xfId="23645"/>
    <cellStyle name="Normal 2 2 3 2 2 3" xfId="1398"/>
    <cellStyle name="Normal 2 2 3 2 2 3 2" xfId="2712"/>
    <cellStyle name="Normal 2 2 3 2 2 3 2 2" xfId="5933"/>
    <cellStyle name="Normal 2 2 3 2 2 3 2 2 2" xfId="22033"/>
    <cellStyle name="Normal 2 2 3 2 2 3 2 2 2 2" xfId="44620"/>
    <cellStyle name="Normal 2 2 3 2 2 3 2 2 3" xfId="12373"/>
    <cellStyle name="Normal 2 2 3 2 2 3 2 2 3 2" xfId="34960"/>
    <cellStyle name="Normal 2 2 3 2 2 3 2 2 4" xfId="28520"/>
    <cellStyle name="Normal 2 2 3 2 2 3 2 3" xfId="18813"/>
    <cellStyle name="Normal 2 2 3 2 2 3 2 3 2" xfId="41400"/>
    <cellStyle name="Normal 2 2 3 2 2 3 2 4" xfId="15593"/>
    <cellStyle name="Normal 2 2 3 2 2 3 2 4 2" xfId="38180"/>
    <cellStyle name="Normal 2 2 3 2 2 3 2 5" xfId="9153"/>
    <cellStyle name="Normal 2 2 3 2 2 3 2 5 2" xfId="31740"/>
    <cellStyle name="Normal 2 2 3 2 2 3 2 6" xfId="25300"/>
    <cellStyle name="Normal 2 2 3 2 2 3 3" xfId="4625"/>
    <cellStyle name="Normal 2 2 3 2 2 3 3 2" xfId="20725"/>
    <cellStyle name="Normal 2 2 3 2 2 3 3 2 2" xfId="43312"/>
    <cellStyle name="Normal 2 2 3 2 2 3 3 3" xfId="11065"/>
    <cellStyle name="Normal 2 2 3 2 2 3 3 3 2" xfId="33652"/>
    <cellStyle name="Normal 2 2 3 2 2 3 3 4" xfId="27212"/>
    <cellStyle name="Normal 2 2 3 2 2 3 4" xfId="17505"/>
    <cellStyle name="Normal 2 2 3 2 2 3 4 2" xfId="40092"/>
    <cellStyle name="Normal 2 2 3 2 2 3 5" xfId="14285"/>
    <cellStyle name="Normal 2 2 3 2 2 3 5 2" xfId="36872"/>
    <cellStyle name="Normal 2 2 3 2 2 3 6" xfId="7845"/>
    <cellStyle name="Normal 2 2 3 2 2 3 6 2" xfId="30432"/>
    <cellStyle name="Normal 2 2 3 2 2 3 7" xfId="23992"/>
    <cellStyle name="Normal 2 2 3 2 2 4" xfId="1618"/>
    <cellStyle name="Normal 2 2 3 2 2 4 2" xfId="4843"/>
    <cellStyle name="Normal 2 2 3 2 2 4 2 2" xfId="20943"/>
    <cellStyle name="Normal 2 2 3 2 2 4 2 2 2" xfId="43530"/>
    <cellStyle name="Normal 2 2 3 2 2 4 2 3" xfId="11283"/>
    <cellStyle name="Normal 2 2 3 2 2 4 2 3 2" xfId="33870"/>
    <cellStyle name="Normal 2 2 3 2 2 4 2 4" xfId="27430"/>
    <cellStyle name="Normal 2 2 3 2 2 4 3" xfId="17723"/>
    <cellStyle name="Normal 2 2 3 2 2 4 3 2" xfId="40310"/>
    <cellStyle name="Normal 2 2 3 2 2 4 4" xfId="14503"/>
    <cellStyle name="Normal 2 2 3 2 2 4 4 2" xfId="37090"/>
    <cellStyle name="Normal 2 2 3 2 2 4 5" xfId="8063"/>
    <cellStyle name="Normal 2 2 3 2 2 4 5 2" xfId="30650"/>
    <cellStyle name="Normal 2 2 3 2 2 4 6" xfId="24210"/>
    <cellStyle name="Normal 2 2 3 2 2 5" xfId="2017"/>
    <cellStyle name="Normal 2 2 3 2 2 5 2" xfId="5239"/>
    <cellStyle name="Normal 2 2 3 2 2 5 2 2" xfId="21339"/>
    <cellStyle name="Normal 2 2 3 2 2 5 2 2 2" xfId="43926"/>
    <cellStyle name="Normal 2 2 3 2 2 5 2 3" xfId="11679"/>
    <cellStyle name="Normal 2 2 3 2 2 5 2 3 2" xfId="34266"/>
    <cellStyle name="Normal 2 2 3 2 2 5 2 4" xfId="27826"/>
    <cellStyle name="Normal 2 2 3 2 2 5 3" xfId="18119"/>
    <cellStyle name="Normal 2 2 3 2 2 5 3 2" xfId="40706"/>
    <cellStyle name="Normal 2 2 3 2 2 5 4" xfId="14899"/>
    <cellStyle name="Normal 2 2 3 2 2 5 4 2" xfId="37486"/>
    <cellStyle name="Normal 2 2 3 2 2 5 5" xfId="8459"/>
    <cellStyle name="Normal 2 2 3 2 2 5 5 2" xfId="31046"/>
    <cellStyle name="Normal 2 2 3 2 2 5 6" xfId="24606"/>
    <cellStyle name="Normal 2 2 3 2 2 6" xfId="3931"/>
    <cellStyle name="Normal 2 2 3 2 2 6 2" xfId="20031"/>
    <cellStyle name="Normal 2 2 3 2 2 6 2 2" xfId="42618"/>
    <cellStyle name="Normal 2 2 3 2 2 6 3" xfId="10371"/>
    <cellStyle name="Normal 2 2 3 2 2 6 3 2" xfId="32958"/>
    <cellStyle name="Normal 2 2 3 2 2 6 4" xfId="26518"/>
    <cellStyle name="Normal 2 2 3 2 2 7" xfId="16811"/>
    <cellStyle name="Normal 2 2 3 2 2 7 2" xfId="39398"/>
    <cellStyle name="Normal 2 2 3 2 2 8" xfId="13591"/>
    <cellStyle name="Normal 2 2 3 2 2 8 2" xfId="36178"/>
    <cellStyle name="Normal 2 2 3 2 2 9" xfId="7151"/>
    <cellStyle name="Normal 2 2 3 2 2 9 2" xfId="29738"/>
    <cellStyle name="Normal 2 2 3 2 3" xfId="930"/>
    <cellStyle name="Normal 2 2 3 2 3 2" xfId="2249"/>
    <cellStyle name="Normal 2 2 3 2 3 2 2" xfId="5470"/>
    <cellStyle name="Normal 2 2 3 2 3 2 2 2" xfId="21570"/>
    <cellStyle name="Normal 2 2 3 2 3 2 2 2 2" xfId="44157"/>
    <cellStyle name="Normal 2 2 3 2 3 2 2 3" xfId="11910"/>
    <cellStyle name="Normal 2 2 3 2 3 2 2 3 2" xfId="34497"/>
    <cellStyle name="Normal 2 2 3 2 3 2 2 4" xfId="28057"/>
    <cellStyle name="Normal 2 2 3 2 3 2 3" xfId="18350"/>
    <cellStyle name="Normal 2 2 3 2 3 2 3 2" xfId="40937"/>
    <cellStyle name="Normal 2 2 3 2 3 2 4" xfId="15130"/>
    <cellStyle name="Normal 2 2 3 2 3 2 4 2" xfId="37717"/>
    <cellStyle name="Normal 2 2 3 2 3 2 5" xfId="8690"/>
    <cellStyle name="Normal 2 2 3 2 3 2 5 2" xfId="31277"/>
    <cellStyle name="Normal 2 2 3 2 3 2 6" xfId="24837"/>
    <cellStyle name="Normal 2 2 3 2 3 3" xfId="4162"/>
    <cellStyle name="Normal 2 2 3 2 3 3 2" xfId="20262"/>
    <cellStyle name="Normal 2 2 3 2 3 3 2 2" xfId="42849"/>
    <cellStyle name="Normal 2 2 3 2 3 3 3" xfId="10602"/>
    <cellStyle name="Normal 2 2 3 2 3 3 3 2" xfId="33189"/>
    <cellStyle name="Normal 2 2 3 2 3 3 4" xfId="26749"/>
    <cellStyle name="Normal 2 2 3 2 3 4" xfId="17042"/>
    <cellStyle name="Normal 2 2 3 2 3 4 2" xfId="39629"/>
    <cellStyle name="Normal 2 2 3 2 3 5" xfId="13822"/>
    <cellStyle name="Normal 2 2 3 2 3 5 2" xfId="36409"/>
    <cellStyle name="Normal 2 2 3 2 3 6" xfId="7382"/>
    <cellStyle name="Normal 2 2 3 2 3 6 2" xfId="29969"/>
    <cellStyle name="Normal 2 2 3 2 3 7" xfId="23529"/>
    <cellStyle name="Normal 2 2 3 2 4" xfId="1282"/>
    <cellStyle name="Normal 2 2 3 2 4 2" xfId="2596"/>
    <cellStyle name="Normal 2 2 3 2 4 2 2" xfId="5817"/>
    <cellStyle name="Normal 2 2 3 2 4 2 2 2" xfId="21917"/>
    <cellStyle name="Normal 2 2 3 2 4 2 2 2 2" xfId="44504"/>
    <cellStyle name="Normal 2 2 3 2 4 2 2 3" xfId="12257"/>
    <cellStyle name="Normal 2 2 3 2 4 2 2 3 2" xfId="34844"/>
    <cellStyle name="Normal 2 2 3 2 4 2 2 4" xfId="28404"/>
    <cellStyle name="Normal 2 2 3 2 4 2 3" xfId="18697"/>
    <cellStyle name="Normal 2 2 3 2 4 2 3 2" xfId="41284"/>
    <cellStyle name="Normal 2 2 3 2 4 2 4" xfId="15477"/>
    <cellStyle name="Normal 2 2 3 2 4 2 4 2" xfId="38064"/>
    <cellStyle name="Normal 2 2 3 2 4 2 5" xfId="9037"/>
    <cellStyle name="Normal 2 2 3 2 4 2 5 2" xfId="31624"/>
    <cellStyle name="Normal 2 2 3 2 4 2 6" xfId="25184"/>
    <cellStyle name="Normal 2 2 3 2 4 3" xfId="4509"/>
    <cellStyle name="Normal 2 2 3 2 4 3 2" xfId="20609"/>
    <cellStyle name="Normal 2 2 3 2 4 3 2 2" xfId="43196"/>
    <cellStyle name="Normal 2 2 3 2 4 3 3" xfId="10949"/>
    <cellStyle name="Normal 2 2 3 2 4 3 3 2" xfId="33536"/>
    <cellStyle name="Normal 2 2 3 2 4 3 4" xfId="27096"/>
    <cellStyle name="Normal 2 2 3 2 4 4" xfId="17389"/>
    <cellStyle name="Normal 2 2 3 2 4 4 2" xfId="39976"/>
    <cellStyle name="Normal 2 2 3 2 4 5" xfId="14169"/>
    <cellStyle name="Normal 2 2 3 2 4 5 2" xfId="36756"/>
    <cellStyle name="Normal 2 2 3 2 4 6" xfId="7729"/>
    <cellStyle name="Normal 2 2 3 2 4 6 2" xfId="30316"/>
    <cellStyle name="Normal 2 2 3 2 4 7" xfId="23876"/>
    <cellStyle name="Normal 2 2 3 2 5" xfId="1619"/>
    <cellStyle name="Normal 2 2 3 2 5 2" xfId="4844"/>
    <cellStyle name="Normal 2 2 3 2 5 2 2" xfId="20944"/>
    <cellStyle name="Normal 2 2 3 2 5 2 2 2" xfId="43531"/>
    <cellStyle name="Normal 2 2 3 2 5 2 3" xfId="11284"/>
    <cellStyle name="Normal 2 2 3 2 5 2 3 2" xfId="33871"/>
    <cellStyle name="Normal 2 2 3 2 5 2 4" xfId="27431"/>
    <cellStyle name="Normal 2 2 3 2 5 3" xfId="17724"/>
    <cellStyle name="Normal 2 2 3 2 5 3 2" xfId="40311"/>
    <cellStyle name="Normal 2 2 3 2 5 4" xfId="14504"/>
    <cellStyle name="Normal 2 2 3 2 5 4 2" xfId="37091"/>
    <cellStyle name="Normal 2 2 3 2 5 5" xfId="8064"/>
    <cellStyle name="Normal 2 2 3 2 5 5 2" xfId="30651"/>
    <cellStyle name="Normal 2 2 3 2 5 6" xfId="24211"/>
    <cellStyle name="Normal 2 2 3 2 6" xfId="1901"/>
    <cellStyle name="Normal 2 2 3 2 6 2" xfId="5123"/>
    <cellStyle name="Normal 2 2 3 2 6 2 2" xfId="21223"/>
    <cellStyle name="Normal 2 2 3 2 6 2 2 2" xfId="43810"/>
    <cellStyle name="Normal 2 2 3 2 6 2 3" xfId="11563"/>
    <cellStyle name="Normal 2 2 3 2 6 2 3 2" xfId="34150"/>
    <cellStyle name="Normal 2 2 3 2 6 2 4" xfId="27710"/>
    <cellStyle name="Normal 2 2 3 2 6 3" xfId="18003"/>
    <cellStyle name="Normal 2 2 3 2 6 3 2" xfId="40590"/>
    <cellStyle name="Normal 2 2 3 2 6 4" xfId="14783"/>
    <cellStyle name="Normal 2 2 3 2 6 4 2" xfId="37370"/>
    <cellStyle name="Normal 2 2 3 2 6 5" xfId="8343"/>
    <cellStyle name="Normal 2 2 3 2 6 5 2" xfId="30930"/>
    <cellStyle name="Normal 2 2 3 2 6 6" xfId="24490"/>
    <cellStyle name="Normal 2 2 3 2 7" xfId="3002"/>
    <cellStyle name="Normal 2 2 3 2 7 2" xfId="6222"/>
    <cellStyle name="Normal 2 2 3 2 7 2 2" xfId="22322"/>
    <cellStyle name="Normal 2 2 3 2 7 2 2 2" xfId="44909"/>
    <cellStyle name="Normal 2 2 3 2 7 2 3" xfId="12662"/>
    <cellStyle name="Normal 2 2 3 2 7 2 3 2" xfId="35249"/>
    <cellStyle name="Normal 2 2 3 2 7 2 4" xfId="28809"/>
    <cellStyle name="Normal 2 2 3 2 7 3" xfId="19102"/>
    <cellStyle name="Normal 2 2 3 2 7 3 2" xfId="41689"/>
    <cellStyle name="Normal 2 2 3 2 7 4" xfId="15882"/>
    <cellStyle name="Normal 2 2 3 2 7 4 2" xfId="38469"/>
    <cellStyle name="Normal 2 2 3 2 7 5" xfId="9442"/>
    <cellStyle name="Normal 2 2 3 2 7 5 2" xfId="32029"/>
    <cellStyle name="Normal 2 2 3 2 7 6" xfId="25589"/>
    <cellStyle name="Normal 2 2 3 2 8" xfId="3292"/>
    <cellStyle name="Normal 2 2 3 2 8 2" xfId="6512"/>
    <cellStyle name="Normal 2 2 3 2 8 2 2" xfId="22612"/>
    <cellStyle name="Normal 2 2 3 2 8 2 2 2" xfId="45199"/>
    <cellStyle name="Normal 2 2 3 2 8 2 3" xfId="12952"/>
    <cellStyle name="Normal 2 2 3 2 8 2 3 2" xfId="35539"/>
    <cellStyle name="Normal 2 2 3 2 8 2 4" xfId="29099"/>
    <cellStyle name="Normal 2 2 3 2 8 3" xfId="19392"/>
    <cellStyle name="Normal 2 2 3 2 8 3 2" xfId="41979"/>
    <cellStyle name="Normal 2 2 3 2 8 4" xfId="16172"/>
    <cellStyle name="Normal 2 2 3 2 8 4 2" xfId="38759"/>
    <cellStyle name="Normal 2 2 3 2 8 5" xfId="9732"/>
    <cellStyle name="Normal 2 2 3 2 8 5 2" xfId="32319"/>
    <cellStyle name="Normal 2 2 3 2 8 6" xfId="25879"/>
    <cellStyle name="Normal 2 2 3 2 9" xfId="528"/>
    <cellStyle name="Normal 2 2 3 2 9 2" xfId="3815"/>
    <cellStyle name="Normal 2 2 3 2 9 2 2" xfId="19915"/>
    <cellStyle name="Normal 2 2 3 2 9 2 2 2" xfId="42502"/>
    <cellStyle name="Normal 2 2 3 2 9 2 3" xfId="10255"/>
    <cellStyle name="Normal 2 2 3 2 9 2 3 2" xfId="32842"/>
    <cellStyle name="Normal 2 2 3 2 9 2 4" xfId="26402"/>
    <cellStyle name="Normal 2 2 3 2 9 3" xfId="16695"/>
    <cellStyle name="Normal 2 2 3 2 9 3 2" xfId="39282"/>
    <cellStyle name="Normal 2 2 3 2 9 4" xfId="13475"/>
    <cellStyle name="Normal 2 2 3 2 9 4 2" xfId="36062"/>
    <cellStyle name="Normal 2 2 3 2 9 5" xfId="7035"/>
    <cellStyle name="Normal 2 2 3 2 9 5 2" xfId="29622"/>
    <cellStyle name="Normal 2 2 3 2 9 6" xfId="23182"/>
    <cellStyle name="Normal 2 2 3 3" xfId="391"/>
    <cellStyle name="Normal 2 2 3 3 10" xfId="16558"/>
    <cellStyle name="Normal 2 2 3 3 10 2" xfId="39145"/>
    <cellStyle name="Normal 2 2 3 3 11" xfId="13338"/>
    <cellStyle name="Normal 2 2 3 3 11 2" xfId="35925"/>
    <cellStyle name="Normal 2 2 3 3 12" xfId="6898"/>
    <cellStyle name="Normal 2 2 3 3 12 2" xfId="29485"/>
    <cellStyle name="Normal 2 2 3 3 13" xfId="23045"/>
    <cellStyle name="Normal 2 2 3 3 2" xfId="1014"/>
    <cellStyle name="Normal 2 2 3 3 2 2" xfId="2328"/>
    <cellStyle name="Normal 2 2 3 3 2 2 2" xfId="5549"/>
    <cellStyle name="Normal 2 2 3 3 2 2 2 2" xfId="21649"/>
    <cellStyle name="Normal 2 2 3 3 2 2 2 2 2" xfId="44236"/>
    <cellStyle name="Normal 2 2 3 3 2 2 2 3" xfId="11989"/>
    <cellStyle name="Normal 2 2 3 3 2 2 2 3 2" xfId="34576"/>
    <cellStyle name="Normal 2 2 3 3 2 2 2 4" xfId="28136"/>
    <cellStyle name="Normal 2 2 3 3 2 2 3" xfId="18429"/>
    <cellStyle name="Normal 2 2 3 3 2 2 3 2" xfId="41016"/>
    <cellStyle name="Normal 2 2 3 3 2 2 4" xfId="15209"/>
    <cellStyle name="Normal 2 2 3 3 2 2 4 2" xfId="37796"/>
    <cellStyle name="Normal 2 2 3 3 2 2 5" xfId="8769"/>
    <cellStyle name="Normal 2 2 3 3 2 2 5 2" xfId="31356"/>
    <cellStyle name="Normal 2 2 3 3 2 2 6" xfId="24916"/>
    <cellStyle name="Normal 2 2 3 3 2 3" xfId="4241"/>
    <cellStyle name="Normal 2 2 3 3 2 3 2" xfId="20341"/>
    <cellStyle name="Normal 2 2 3 3 2 3 2 2" xfId="42928"/>
    <cellStyle name="Normal 2 2 3 3 2 3 3" xfId="10681"/>
    <cellStyle name="Normal 2 2 3 3 2 3 3 2" xfId="33268"/>
    <cellStyle name="Normal 2 2 3 3 2 3 4" xfId="26828"/>
    <cellStyle name="Normal 2 2 3 3 2 4" xfId="17121"/>
    <cellStyle name="Normal 2 2 3 3 2 4 2" xfId="39708"/>
    <cellStyle name="Normal 2 2 3 3 2 5" xfId="13901"/>
    <cellStyle name="Normal 2 2 3 3 2 5 2" xfId="36488"/>
    <cellStyle name="Normal 2 2 3 3 2 6" xfId="7461"/>
    <cellStyle name="Normal 2 2 3 3 2 6 2" xfId="30048"/>
    <cellStyle name="Normal 2 2 3 3 2 7" xfId="23608"/>
    <cellStyle name="Normal 2 2 3 3 3" xfId="1361"/>
    <cellStyle name="Normal 2 2 3 3 3 2" xfId="2675"/>
    <cellStyle name="Normal 2 2 3 3 3 2 2" xfId="5896"/>
    <cellStyle name="Normal 2 2 3 3 3 2 2 2" xfId="21996"/>
    <cellStyle name="Normal 2 2 3 3 3 2 2 2 2" xfId="44583"/>
    <cellStyle name="Normal 2 2 3 3 3 2 2 3" xfId="12336"/>
    <cellStyle name="Normal 2 2 3 3 3 2 2 3 2" xfId="34923"/>
    <cellStyle name="Normal 2 2 3 3 3 2 2 4" xfId="28483"/>
    <cellStyle name="Normal 2 2 3 3 3 2 3" xfId="18776"/>
    <cellStyle name="Normal 2 2 3 3 3 2 3 2" xfId="41363"/>
    <cellStyle name="Normal 2 2 3 3 3 2 4" xfId="15556"/>
    <cellStyle name="Normal 2 2 3 3 3 2 4 2" xfId="38143"/>
    <cellStyle name="Normal 2 2 3 3 3 2 5" xfId="9116"/>
    <cellStyle name="Normal 2 2 3 3 3 2 5 2" xfId="31703"/>
    <cellStyle name="Normal 2 2 3 3 3 2 6" xfId="25263"/>
    <cellStyle name="Normal 2 2 3 3 3 3" xfId="4588"/>
    <cellStyle name="Normal 2 2 3 3 3 3 2" xfId="20688"/>
    <cellStyle name="Normal 2 2 3 3 3 3 2 2" xfId="43275"/>
    <cellStyle name="Normal 2 2 3 3 3 3 3" xfId="11028"/>
    <cellStyle name="Normal 2 2 3 3 3 3 3 2" xfId="33615"/>
    <cellStyle name="Normal 2 2 3 3 3 3 4" xfId="27175"/>
    <cellStyle name="Normal 2 2 3 3 3 4" xfId="17468"/>
    <cellStyle name="Normal 2 2 3 3 3 4 2" xfId="40055"/>
    <cellStyle name="Normal 2 2 3 3 3 5" xfId="14248"/>
    <cellStyle name="Normal 2 2 3 3 3 5 2" xfId="36835"/>
    <cellStyle name="Normal 2 2 3 3 3 6" xfId="7808"/>
    <cellStyle name="Normal 2 2 3 3 3 6 2" xfId="30395"/>
    <cellStyle name="Normal 2 2 3 3 3 7" xfId="23955"/>
    <cellStyle name="Normal 2 2 3 3 4" xfId="1620"/>
    <cellStyle name="Normal 2 2 3 3 4 2" xfId="4845"/>
    <cellStyle name="Normal 2 2 3 3 4 2 2" xfId="20945"/>
    <cellStyle name="Normal 2 2 3 3 4 2 2 2" xfId="43532"/>
    <cellStyle name="Normal 2 2 3 3 4 2 3" xfId="11285"/>
    <cellStyle name="Normal 2 2 3 3 4 2 3 2" xfId="33872"/>
    <cellStyle name="Normal 2 2 3 3 4 2 4" xfId="27432"/>
    <cellStyle name="Normal 2 2 3 3 4 3" xfId="17725"/>
    <cellStyle name="Normal 2 2 3 3 4 3 2" xfId="40312"/>
    <cellStyle name="Normal 2 2 3 3 4 4" xfId="14505"/>
    <cellStyle name="Normal 2 2 3 3 4 4 2" xfId="37092"/>
    <cellStyle name="Normal 2 2 3 3 4 5" xfId="8065"/>
    <cellStyle name="Normal 2 2 3 3 4 5 2" xfId="30652"/>
    <cellStyle name="Normal 2 2 3 3 4 6" xfId="24212"/>
    <cellStyle name="Normal 2 2 3 3 5" xfId="1980"/>
    <cellStyle name="Normal 2 2 3 3 5 2" xfId="5202"/>
    <cellStyle name="Normal 2 2 3 3 5 2 2" xfId="21302"/>
    <cellStyle name="Normal 2 2 3 3 5 2 2 2" xfId="43889"/>
    <cellStyle name="Normal 2 2 3 3 5 2 3" xfId="11642"/>
    <cellStyle name="Normal 2 2 3 3 5 2 3 2" xfId="34229"/>
    <cellStyle name="Normal 2 2 3 3 5 2 4" xfId="27789"/>
    <cellStyle name="Normal 2 2 3 3 5 3" xfId="18082"/>
    <cellStyle name="Normal 2 2 3 3 5 3 2" xfId="40669"/>
    <cellStyle name="Normal 2 2 3 3 5 4" xfId="14862"/>
    <cellStyle name="Normal 2 2 3 3 5 4 2" xfId="37449"/>
    <cellStyle name="Normal 2 2 3 3 5 5" xfId="8422"/>
    <cellStyle name="Normal 2 2 3 3 5 5 2" xfId="31009"/>
    <cellStyle name="Normal 2 2 3 3 5 6" xfId="24569"/>
    <cellStyle name="Normal 2 2 3 3 6" xfId="3098"/>
    <cellStyle name="Normal 2 2 3 3 6 2" xfId="6318"/>
    <cellStyle name="Normal 2 2 3 3 6 2 2" xfId="22418"/>
    <cellStyle name="Normal 2 2 3 3 6 2 2 2" xfId="45005"/>
    <cellStyle name="Normal 2 2 3 3 6 2 3" xfId="12758"/>
    <cellStyle name="Normal 2 2 3 3 6 2 3 2" xfId="35345"/>
    <cellStyle name="Normal 2 2 3 3 6 2 4" xfId="28905"/>
    <cellStyle name="Normal 2 2 3 3 6 3" xfId="19198"/>
    <cellStyle name="Normal 2 2 3 3 6 3 2" xfId="41785"/>
    <cellStyle name="Normal 2 2 3 3 6 4" xfId="15978"/>
    <cellStyle name="Normal 2 2 3 3 6 4 2" xfId="38565"/>
    <cellStyle name="Normal 2 2 3 3 6 5" xfId="9538"/>
    <cellStyle name="Normal 2 2 3 3 6 5 2" xfId="32125"/>
    <cellStyle name="Normal 2 2 3 3 6 6" xfId="25685"/>
    <cellStyle name="Normal 2 2 3 3 7" xfId="3388"/>
    <cellStyle name="Normal 2 2 3 3 7 2" xfId="6608"/>
    <cellStyle name="Normal 2 2 3 3 7 2 2" xfId="22708"/>
    <cellStyle name="Normal 2 2 3 3 7 2 2 2" xfId="45295"/>
    <cellStyle name="Normal 2 2 3 3 7 2 3" xfId="13048"/>
    <cellStyle name="Normal 2 2 3 3 7 2 3 2" xfId="35635"/>
    <cellStyle name="Normal 2 2 3 3 7 2 4" xfId="29195"/>
    <cellStyle name="Normal 2 2 3 3 7 3" xfId="19488"/>
    <cellStyle name="Normal 2 2 3 3 7 3 2" xfId="42075"/>
    <cellStyle name="Normal 2 2 3 3 7 4" xfId="16268"/>
    <cellStyle name="Normal 2 2 3 3 7 4 2" xfId="38855"/>
    <cellStyle name="Normal 2 2 3 3 7 5" xfId="9828"/>
    <cellStyle name="Normal 2 2 3 3 7 5 2" xfId="32415"/>
    <cellStyle name="Normal 2 2 3 3 7 6" xfId="25975"/>
    <cellStyle name="Normal 2 2 3 3 8" xfId="650"/>
    <cellStyle name="Normal 2 2 3 3 8 2" xfId="3894"/>
    <cellStyle name="Normal 2 2 3 3 8 2 2" xfId="19994"/>
    <cellStyle name="Normal 2 2 3 3 8 2 2 2" xfId="42581"/>
    <cellStyle name="Normal 2 2 3 3 8 2 3" xfId="10334"/>
    <cellStyle name="Normal 2 2 3 3 8 2 3 2" xfId="32921"/>
    <cellStyle name="Normal 2 2 3 3 8 2 4" xfId="26481"/>
    <cellStyle name="Normal 2 2 3 3 8 3" xfId="16774"/>
    <cellStyle name="Normal 2 2 3 3 8 3 2" xfId="39361"/>
    <cellStyle name="Normal 2 2 3 3 8 4" xfId="13554"/>
    <cellStyle name="Normal 2 2 3 3 8 4 2" xfId="36141"/>
    <cellStyle name="Normal 2 2 3 3 8 5" xfId="7114"/>
    <cellStyle name="Normal 2 2 3 3 8 5 2" xfId="29701"/>
    <cellStyle name="Normal 2 2 3 3 8 6" xfId="23261"/>
    <cellStyle name="Normal 2 2 3 3 9" xfId="3678"/>
    <cellStyle name="Normal 2 2 3 3 9 2" xfId="19778"/>
    <cellStyle name="Normal 2 2 3 3 9 2 2" xfId="42365"/>
    <cellStyle name="Normal 2 2 3 3 9 3" xfId="10118"/>
    <cellStyle name="Normal 2 2 3 3 9 3 2" xfId="32705"/>
    <cellStyle name="Normal 2 2 3 3 9 4" xfId="26265"/>
    <cellStyle name="Normal 2 2 3 4" xfId="714"/>
    <cellStyle name="Normal 2 2 3 4 2" xfId="1076"/>
    <cellStyle name="Normal 2 2 3 4 2 2" xfId="2390"/>
    <cellStyle name="Normal 2 2 3 4 2 2 2" xfId="5611"/>
    <cellStyle name="Normal 2 2 3 4 2 2 2 2" xfId="21711"/>
    <cellStyle name="Normal 2 2 3 4 2 2 2 2 2" xfId="44298"/>
    <cellStyle name="Normal 2 2 3 4 2 2 2 3" xfId="12051"/>
    <cellStyle name="Normal 2 2 3 4 2 2 2 3 2" xfId="34638"/>
    <cellStyle name="Normal 2 2 3 4 2 2 2 4" xfId="28198"/>
    <cellStyle name="Normal 2 2 3 4 2 2 3" xfId="18491"/>
    <cellStyle name="Normal 2 2 3 4 2 2 3 2" xfId="41078"/>
    <cellStyle name="Normal 2 2 3 4 2 2 4" xfId="15271"/>
    <cellStyle name="Normal 2 2 3 4 2 2 4 2" xfId="37858"/>
    <cellStyle name="Normal 2 2 3 4 2 2 5" xfId="8831"/>
    <cellStyle name="Normal 2 2 3 4 2 2 5 2" xfId="31418"/>
    <cellStyle name="Normal 2 2 3 4 2 2 6" xfId="24978"/>
    <cellStyle name="Normal 2 2 3 4 2 3" xfId="4303"/>
    <cellStyle name="Normal 2 2 3 4 2 3 2" xfId="20403"/>
    <cellStyle name="Normal 2 2 3 4 2 3 2 2" xfId="42990"/>
    <cellStyle name="Normal 2 2 3 4 2 3 3" xfId="10743"/>
    <cellStyle name="Normal 2 2 3 4 2 3 3 2" xfId="33330"/>
    <cellStyle name="Normal 2 2 3 4 2 3 4" xfId="26890"/>
    <cellStyle name="Normal 2 2 3 4 2 4" xfId="17183"/>
    <cellStyle name="Normal 2 2 3 4 2 4 2" xfId="39770"/>
    <cellStyle name="Normal 2 2 3 4 2 5" xfId="13963"/>
    <cellStyle name="Normal 2 2 3 4 2 5 2" xfId="36550"/>
    <cellStyle name="Normal 2 2 3 4 2 6" xfId="7523"/>
    <cellStyle name="Normal 2 2 3 4 2 6 2" xfId="30110"/>
    <cellStyle name="Normal 2 2 3 4 2 7" xfId="23670"/>
    <cellStyle name="Normal 2 2 3 4 3" xfId="1423"/>
    <cellStyle name="Normal 2 2 3 4 3 2" xfId="2737"/>
    <cellStyle name="Normal 2 2 3 4 3 2 2" xfId="5958"/>
    <cellStyle name="Normal 2 2 3 4 3 2 2 2" xfId="22058"/>
    <cellStyle name="Normal 2 2 3 4 3 2 2 2 2" xfId="44645"/>
    <cellStyle name="Normal 2 2 3 4 3 2 2 3" xfId="12398"/>
    <cellStyle name="Normal 2 2 3 4 3 2 2 3 2" xfId="34985"/>
    <cellStyle name="Normal 2 2 3 4 3 2 2 4" xfId="28545"/>
    <cellStyle name="Normal 2 2 3 4 3 2 3" xfId="18838"/>
    <cellStyle name="Normal 2 2 3 4 3 2 3 2" xfId="41425"/>
    <cellStyle name="Normal 2 2 3 4 3 2 4" xfId="15618"/>
    <cellStyle name="Normal 2 2 3 4 3 2 4 2" xfId="38205"/>
    <cellStyle name="Normal 2 2 3 4 3 2 5" xfId="9178"/>
    <cellStyle name="Normal 2 2 3 4 3 2 5 2" xfId="31765"/>
    <cellStyle name="Normal 2 2 3 4 3 2 6" xfId="25325"/>
    <cellStyle name="Normal 2 2 3 4 3 3" xfId="4650"/>
    <cellStyle name="Normal 2 2 3 4 3 3 2" xfId="20750"/>
    <cellStyle name="Normal 2 2 3 4 3 3 2 2" xfId="43337"/>
    <cellStyle name="Normal 2 2 3 4 3 3 3" xfId="11090"/>
    <cellStyle name="Normal 2 2 3 4 3 3 3 2" xfId="33677"/>
    <cellStyle name="Normal 2 2 3 4 3 3 4" xfId="27237"/>
    <cellStyle name="Normal 2 2 3 4 3 4" xfId="17530"/>
    <cellStyle name="Normal 2 2 3 4 3 4 2" xfId="40117"/>
    <cellStyle name="Normal 2 2 3 4 3 5" xfId="14310"/>
    <cellStyle name="Normal 2 2 3 4 3 5 2" xfId="36897"/>
    <cellStyle name="Normal 2 2 3 4 3 6" xfId="7870"/>
    <cellStyle name="Normal 2 2 3 4 3 6 2" xfId="30457"/>
    <cellStyle name="Normal 2 2 3 4 3 7" xfId="24017"/>
    <cellStyle name="Normal 2 2 3 4 4" xfId="2043"/>
    <cellStyle name="Normal 2 2 3 4 4 2" xfId="5264"/>
    <cellStyle name="Normal 2 2 3 4 4 2 2" xfId="21364"/>
    <cellStyle name="Normal 2 2 3 4 4 2 2 2" xfId="43951"/>
    <cellStyle name="Normal 2 2 3 4 4 2 3" xfId="11704"/>
    <cellStyle name="Normal 2 2 3 4 4 2 3 2" xfId="34291"/>
    <cellStyle name="Normal 2 2 3 4 4 2 4" xfId="27851"/>
    <cellStyle name="Normal 2 2 3 4 4 3" xfId="18144"/>
    <cellStyle name="Normal 2 2 3 4 4 3 2" xfId="40731"/>
    <cellStyle name="Normal 2 2 3 4 4 4" xfId="14924"/>
    <cellStyle name="Normal 2 2 3 4 4 4 2" xfId="37511"/>
    <cellStyle name="Normal 2 2 3 4 4 5" xfId="8484"/>
    <cellStyle name="Normal 2 2 3 4 4 5 2" xfId="31071"/>
    <cellStyle name="Normal 2 2 3 4 4 6" xfId="24631"/>
    <cellStyle name="Normal 2 2 3 4 5" xfId="3956"/>
    <cellStyle name="Normal 2 2 3 4 5 2" xfId="20056"/>
    <cellStyle name="Normal 2 2 3 4 5 2 2" xfId="42643"/>
    <cellStyle name="Normal 2 2 3 4 5 3" xfId="10396"/>
    <cellStyle name="Normal 2 2 3 4 5 3 2" xfId="32983"/>
    <cellStyle name="Normal 2 2 3 4 5 4" xfId="26543"/>
    <cellStyle name="Normal 2 2 3 4 6" xfId="16836"/>
    <cellStyle name="Normal 2 2 3 4 6 2" xfId="39423"/>
    <cellStyle name="Normal 2 2 3 4 7" xfId="13616"/>
    <cellStyle name="Normal 2 2 3 4 7 2" xfId="36203"/>
    <cellStyle name="Normal 2 2 3 4 8" xfId="7176"/>
    <cellStyle name="Normal 2 2 3 4 8 2" xfId="29763"/>
    <cellStyle name="Normal 2 2 3 4 9" xfId="23323"/>
    <cellStyle name="Normal 2 2 3 5" xfId="783"/>
    <cellStyle name="Normal 2 2 3 5 2" xfId="1135"/>
    <cellStyle name="Normal 2 2 3 5 2 2" xfId="2449"/>
    <cellStyle name="Normal 2 2 3 5 2 2 2" xfId="5670"/>
    <cellStyle name="Normal 2 2 3 5 2 2 2 2" xfId="21770"/>
    <cellStyle name="Normal 2 2 3 5 2 2 2 2 2" xfId="44357"/>
    <cellStyle name="Normal 2 2 3 5 2 2 2 3" xfId="12110"/>
    <cellStyle name="Normal 2 2 3 5 2 2 2 3 2" xfId="34697"/>
    <cellStyle name="Normal 2 2 3 5 2 2 2 4" xfId="28257"/>
    <cellStyle name="Normal 2 2 3 5 2 2 3" xfId="18550"/>
    <cellStyle name="Normal 2 2 3 5 2 2 3 2" xfId="41137"/>
    <cellStyle name="Normal 2 2 3 5 2 2 4" xfId="15330"/>
    <cellStyle name="Normal 2 2 3 5 2 2 4 2" xfId="37917"/>
    <cellStyle name="Normal 2 2 3 5 2 2 5" xfId="8890"/>
    <cellStyle name="Normal 2 2 3 5 2 2 5 2" xfId="31477"/>
    <cellStyle name="Normal 2 2 3 5 2 2 6" xfId="25037"/>
    <cellStyle name="Normal 2 2 3 5 2 3" xfId="4362"/>
    <cellStyle name="Normal 2 2 3 5 2 3 2" xfId="20462"/>
    <cellStyle name="Normal 2 2 3 5 2 3 2 2" xfId="43049"/>
    <cellStyle name="Normal 2 2 3 5 2 3 3" xfId="10802"/>
    <cellStyle name="Normal 2 2 3 5 2 3 3 2" xfId="33389"/>
    <cellStyle name="Normal 2 2 3 5 2 3 4" xfId="26949"/>
    <cellStyle name="Normal 2 2 3 5 2 4" xfId="17242"/>
    <cellStyle name="Normal 2 2 3 5 2 4 2" xfId="39829"/>
    <cellStyle name="Normal 2 2 3 5 2 5" xfId="14022"/>
    <cellStyle name="Normal 2 2 3 5 2 5 2" xfId="36609"/>
    <cellStyle name="Normal 2 2 3 5 2 6" xfId="7582"/>
    <cellStyle name="Normal 2 2 3 5 2 6 2" xfId="30169"/>
    <cellStyle name="Normal 2 2 3 5 2 7" xfId="23729"/>
    <cellStyle name="Normal 2 2 3 5 3" xfId="1482"/>
    <cellStyle name="Normal 2 2 3 5 3 2" xfId="2796"/>
    <cellStyle name="Normal 2 2 3 5 3 2 2" xfId="6017"/>
    <cellStyle name="Normal 2 2 3 5 3 2 2 2" xfId="22117"/>
    <cellStyle name="Normal 2 2 3 5 3 2 2 2 2" xfId="44704"/>
    <cellStyle name="Normal 2 2 3 5 3 2 2 3" xfId="12457"/>
    <cellStyle name="Normal 2 2 3 5 3 2 2 3 2" xfId="35044"/>
    <cellStyle name="Normal 2 2 3 5 3 2 2 4" xfId="28604"/>
    <cellStyle name="Normal 2 2 3 5 3 2 3" xfId="18897"/>
    <cellStyle name="Normal 2 2 3 5 3 2 3 2" xfId="41484"/>
    <cellStyle name="Normal 2 2 3 5 3 2 4" xfId="15677"/>
    <cellStyle name="Normal 2 2 3 5 3 2 4 2" xfId="38264"/>
    <cellStyle name="Normal 2 2 3 5 3 2 5" xfId="9237"/>
    <cellStyle name="Normal 2 2 3 5 3 2 5 2" xfId="31824"/>
    <cellStyle name="Normal 2 2 3 5 3 2 6" xfId="25384"/>
    <cellStyle name="Normal 2 2 3 5 3 3" xfId="4709"/>
    <cellStyle name="Normal 2 2 3 5 3 3 2" xfId="20809"/>
    <cellStyle name="Normal 2 2 3 5 3 3 2 2" xfId="43396"/>
    <cellStyle name="Normal 2 2 3 5 3 3 3" xfId="11149"/>
    <cellStyle name="Normal 2 2 3 5 3 3 3 2" xfId="33736"/>
    <cellStyle name="Normal 2 2 3 5 3 3 4" xfId="27296"/>
    <cellStyle name="Normal 2 2 3 5 3 4" xfId="17589"/>
    <cellStyle name="Normal 2 2 3 5 3 4 2" xfId="40176"/>
    <cellStyle name="Normal 2 2 3 5 3 5" xfId="14369"/>
    <cellStyle name="Normal 2 2 3 5 3 5 2" xfId="36956"/>
    <cellStyle name="Normal 2 2 3 5 3 6" xfId="7929"/>
    <cellStyle name="Normal 2 2 3 5 3 6 2" xfId="30516"/>
    <cellStyle name="Normal 2 2 3 5 3 7" xfId="24076"/>
    <cellStyle name="Normal 2 2 3 5 4" xfId="2102"/>
    <cellStyle name="Normal 2 2 3 5 4 2" xfId="5323"/>
    <cellStyle name="Normal 2 2 3 5 4 2 2" xfId="21423"/>
    <cellStyle name="Normal 2 2 3 5 4 2 2 2" xfId="44010"/>
    <cellStyle name="Normal 2 2 3 5 4 2 3" xfId="11763"/>
    <cellStyle name="Normal 2 2 3 5 4 2 3 2" xfId="34350"/>
    <cellStyle name="Normal 2 2 3 5 4 2 4" xfId="27910"/>
    <cellStyle name="Normal 2 2 3 5 4 3" xfId="18203"/>
    <cellStyle name="Normal 2 2 3 5 4 3 2" xfId="40790"/>
    <cellStyle name="Normal 2 2 3 5 4 4" xfId="14983"/>
    <cellStyle name="Normal 2 2 3 5 4 4 2" xfId="37570"/>
    <cellStyle name="Normal 2 2 3 5 4 5" xfId="8543"/>
    <cellStyle name="Normal 2 2 3 5 4 5 2" xfId="31130"/>
    <cellStyle name="Normal 2 2 3 5 4 6" xfId="24690"/>
    <cellStyle name="Normal 2 2 3 5 5" xfId="4015"/>
    <cellStyle name="Normal 2 2 3 5 5 2" xfId="20115"/>
    <cellStyle name="Normal 2 2 3 5 5 2 2" xfId="42702"/>
    <cellStyle name="Normal 2 2 3 5 5 3" xfId="10455"/>
    <cellStyle name="Normal 2 2 3 5 5 3 2" xfId="33042"/>
    <cellStyle name="Normal 2 2 3 5 5 4" xfId="26602"/>
    <cellStyle name="Normal 2 2 3 5 6" xfId="16895"/>
    <cellStyle name="Normal 2 2 3 5 6 2" xfId="39482"/>
    <cellStyle name="Normal 2 2 3 5 7" xfId="13675"/>
    <cellStyle name="Normal 2 2 3 5 7 2" xfId="36262"/>
    <cellStyle name="Normal 2 2 3 5 8" xfId="7235"/>
    <cellStyle name="Normal 2 2 3 5 8 2" xfId="29822"/>
    <cellStyle name="Normal 2 2 3 5 9" xfId="23382"/>
    <cellStyle name="Normal 2 2 3 6" xfId="890"/>
    <cellStyle name="Normal 2 2 3 6 2" xfId="2209"/>
    <cellStyle name="Normal 2 2 3 6 2 2" xfId="5430"/>
    <cellStyle name="Normal 2 2 3 6 2 2 2" xfId="21530"/>
    <cellStyle name="Normal 2 2 3 6 2 2 2 2" xfId="44117"/>
    <cellStyle name="Normal 2 2 3 6 2 2 3" xfId="11870"/>
    <cellStyle name="Normal 2 2 3 6 2 2 3 2" xfId="34457"/>
    <cellStyle name="Normal 2 2 3 6 2 2 4" xfId="28017"/>
    <cellStyle name="Normal 2 2 3 6 2 3" xfId="18310"/>
    <cellStyle name="Normal 2 2 3 6 2 3 2" xfId="40897"/>
    <cellStyle name="Normal 2 2 3 6 2 4" xfId="15090"/>
    <cellStyle name="Normal 2 2 3 6 2 4 2" xfId="37677"/>
    <cellStyle name="Normal 2 2 3 6 2 5" xfId="8650"/>
    <cellStyle name="Normal 2 2 3 6 2 5 2" xfId="31237"/>
    <cellStyle name="Normal 2 2 3 6 2 6" xfId="24797"/>
    <cellStyle name="Normal 2 2 3 6 3" xfId="4122"/>
    <cellStyle name="Normal 2 2 3 6 3 2" xfId="20222"/>
    <cellStyle name="Normal 2 2 3 6 3 2 2" xfId="42809"/>
    <cellStyle name="Normal 2 2 3 6 3 3" xfId="10562"/>
    <cellStyle name="Normal 2 2 3 6 3 3 2" xfId="33149"/>
    <cellStyle name="Normal 2 2 3 6 3 4" xfId="26709"/>
    <cellStyle name="Normal 2 2 3 6 4" xfId="17002"/>
    <cellStyle name="Normal 2 2 3 6 4 2" xfId="39589"/>
    <cellStyle name="Normal 2 2 3 6 5" xfId="13782"/>
    <cellStyle name="Normal 2 2 3 6 5 2" xfId="36369"/>
    <cellStyle name="Normal 2 2 3 6 6" xfId="7342"/>
    <cellStyle name="Normal 2 2 3 6 6 2" xfId="29929"/>
    <cellStyle name="Normal 2 2 3 6 7" xfId="23489"/>
    <cellStyle name="Normal 2 2 3 7" xfId="1242"/>
    <cellStyle name="Normal 2 2 3 7 2" xfId="2556"/>
    <cellStyle name="Normal 2 2 3 7 2 2" xfId="5777"/>
    <cellStyle name="Normal 2 2 3 7 2 2 2" xfId="21877"/>
    <cellStyle name="Normal 2 2 3 7 2 2 2 2" xfId="44464"/>
    <cellStyle name="Normal 2 2 3 7 2 2 3" xfId="12217"/>
    <cellStyle name="Normal 2 2 3 7 2 2 3 2" xfId="34804"/>
    <cellStyle name="Normal 2 2 3 7 2 2 4" xfId="28364"/>
    <cellStyle name="Normal 2 2 3 7 2 3" xfId="18657"/>
    <cellStyle name="Normal 2 2 3 7 2 3 2" xfId="41244"/>
    <cellStyle name="Normal 2 2 3 7 2 4" xfId="15437"/>
    <cellStyle name="Normal 2 2 3 7 2 4 2" xfId="38024"/>
    <cellStyle name="Normal 2 2 3 7 2 5" xfId="8997"/>
    <cellStyle name="Normal 2 2 3 7 2 5 2" xfId="31584"/>
    <cellStyle name="Normal 2 2 3 7 2 6" xfId="25144"/>
    <cellStyle name="Normal 2 2 3 7 3" xfId="4469"/>
    <cellStyle name="Normal 2 2 3 7 3 2" xfId="20569"/>
    <cellStyle name="Normal 2 2 3 7 3 2 2" xfId="43156"/>
    <cellStyle name="Normal 2 2 3 7 3 3" xfId="10909"/>
    <cellStyle name="Normal 2 2 3 7 3 3 2" xfId="33496"/>
    <cellStyle name="Normal 2 2 3 7 3 4" xfId="27056"/>
    <cellStyle name="Normal 2 2 3 7 4" xfId="17349"/>
    <cellStyle name="Normal 2 2 3 7 4 2" xfId="39936"/>
    <cellStyle name="Normal 2 2 3 7 5" xfId="14129"/>
    <cellStyle name="Normal 2 2 3 7 5 2" xfId="36716"/>
    <cellStyle name="Normal 2 2 3 7 6" xfId="7689"/>
    <cellStyle name="Normal 2 2 3 7 6 2" xfId="30276"/>
    <cellStyle name="Normal 2 2 3 7 7" xfId="23836"/>
    <cellStyle name="Normal 2 2 3 8" xfId="1621"/>
    <cellStyle name="Normal 2 2 3 8 2" xfId="4846"/>
    <cellStyle name="Normal 2 2 3 8 2 2" xfId="20946"/>
    <cellStyle name="Normal 2 2 3 8 2 2 2" xfId="43533"/>
    <cellStyle name="Normal 2 2 3 8 2 3" xfId="11286"/>
    <cellStyle name="Normal 2 2 3 8 2 3 2" xfId="33873"/>
    <cellStyle name="Normal 2 2 3 8 2 4" xfId="27433"/>
    <cellStyle name="Normal 2 2 3 8 3" xfId="17726"/>
    <cellStyle name="Normal 2 2 3 8 3 2" xfId="40313"/>
    <cellStyle name="Normal 2 2 3 8 4" xfId="14506"/>
    <cellStyle name="Normal 2 2 3 8 4 2" xfId="37093"/>
    <cellStyle name="Normal 2 2 3 8 5" xfId="8066"/>
    <cellStyle name="Normal 2 2 3 8 5 2" xfId="30653"/>
    <cellStyle name="Normal 2 2 3 8 6" xfId="24213"/>
    <cellStyle name="Normal 2 2 3 9" xfId="1861"/>
    <cellStyle name="Normal 2 2 3 9 2" xfId="5083"/>
    <cellStyle name="Normal 2 2 3 9 2 2" xfId="21183"/>
    <cellStyle name="Normal 2 2 3 9 2 2 2" xfId="43770"/>
    <cellStyle name="Normal 2 2 3 9 2 3" xfId="11523"/>
    <cellStyle name="Normal 2 2 3 9 2 3 2" xfId="34110"/>
    <cellStyle name="Normal 2 2 3 9 2 4" xfId="27670"/>
    <cellStyle name="Normal 2 2 3 9 3" xfId="17963"/>
    <cellStyle name="Normal 2 2 3 9 3 2" xfId="40550"/>
    <cellStyle name="Normal 2 2 3 9 4" xfId="14743"/>
    <cellStyle name="Normal 2 2 3 9 4 2" xfId="37330"/>
    <cellStyle name="Normal 2 2 3 9 5" xfId="8303"/>
    <cellStyle name="Normal 2 2 3 9 5 2" xfId="30890"/>
    <cellStyle name="Normal 2 2 3 9 6" xfId="24450"/>
    <cellStyle name="Normal 2 2 4" xfId="221"/>
    <cellStyle name="Normal 2 2 4 10" xfId="3509"/>
    <cellStyle name="Normal 2 2 4 10 2" xfId="19609"/>
    <cellStyle name="Normal 2 2 4 10 2 2" xfId="42196"/>
    <cellStyle name="Normal 2 2 4 10 3" xfId="9949"/>
    <cellStyle name="Normal 2 2 4 10 3 2" xfId="32536"/>
    <cellStyle name="Normal 2 2 4 10 4" xfId="26096"/>
    <cellStyle name="Normal 2 2 4 11" xfId="16389"/>
    <cellStyle name="Normal 2 2 4 11 2" xfId="38976"/>
    <cellStyle name="Normal 2 2 4 12" xfId="13169"/>
    <cellStyle name="Normal 2 2 4 12 2" xfId="35756"/>
    <cellStyle name="Normal 2 2 4 13" xfId="6729"/>
    <cellStyle name="Normal 2 2 4 13 2" xfId="29316"/>
    <cellStyle name="Normal 2 2 4 14" xfId="22876"/>
    <cellStyle name="Normal 2 2 4 2" xfId="319"/>
    <cellStyle name="Normal 2 2 4 2 10" xfId="13266"/>
    <cellStyle name="Normal 2 2 4 2 10 2" xfId="35853"/>
    <cellStyle name="Normal 2 2 4 2 11" xfId="6826"/>
    <cellStyle name="Normal 2 2 4 2 11 2" xfId="29413"/>
    <cellStyle name="Normal 2 2 4 2 12" xfId="22973"/>
    <cellStyle name="Normal 2 2 4 2 2" xfId="1115"/>
    <cellStyle name="Normal 2 2 4 2 2 2" xfId="2429"/>
    <cellStyle name="Normal 2 2 4 2 2 2 2" xfId="5650"/>
    <cellStyle name="Normal 2 2 4 2 2 2 2 2" xfId="21750"/>
    <cellStyle name="Normal 2 2 4 2 2 2 2 2 2" xfId="44337"/>
    <cellStyle name="Normal 2 2 4 2 2 2 2 3" xfId="12090"/>
    <cellStyle name="Normal 2 2 4 2 2 2 2 3 2" xfId="34677"/>
    <cellStyle name="Normal 2 2 4 2 2 2 2 4" xfId="28237"/>
    <cellStyle name="Normal 2 2 4 2 2 2 3" xfId="18530"/>
    <cellStyle name="Normal 2 2 4 2 2 2 3 2" xfId="41117"/>
    <cellStyle name="Normal 2 2 4 2 2 2 4" xfId="15310"/>
    <cellStyle name="Normal 2 2 4 2 2 2 4 2" xfId="37897"/>
    <cellStyle name="Normal 2 2 4 2 2 2 5" xfId="8870"/>
    <cellStyle name="Normal 2 2 4 2 2 2 5 2" xfId="31457"/>
    <cellStyle name="Normal 2 2 4 2 2 2 6" xfId="25017"/>
    <cellStyle name="Normal 2 2 4 2 2 3" xfId="4342"/>
    <cellStyle name="Normal 2 2 4 2 2 3 2" xfId="20442"/>
    <cellStyle name="Normal 2 2 4 2 2 3 2 2" xfId="43029"/>
    <cellStyle name="Normal 2 2 4 2 2 3 3" xfId="10782"/>
    <cellStyle name="Normal 2 2 4 2 2 3 3 2" xfId="33369"/>
    <cellStyle name="Normal 2 2 4 2 2 3 4" xfId="26929"/>
    <cellStyle name="Normal 2 2 4 2 2 4" xfId="17222"/>
    <cellStyle name="Normal 2 2 4 2 2 4 2" xfId="39809"/>
    <cellStyle name="Normal 2 2 4 2 2 5" xfId="14002"/>
    <cellStyle name="Normal 2 2 4 2 2 5 2" xfId="36589"/>
    <cellStyle name="Normal 2 2 4 2 2 6" xfId="7562"/>
    <cellStyle name="Normal 2 2 4 2 2 6 2" xfId="30149"/>
    <cellStyle name="Normal 2 2 4 2 2 7" xfId="23709"/>
    <cellStyle name="Normal 2 2 4 2 3" xfId="1462"/>
    <cellStyle name="Normal 2 2 4 2 3 2" xfId="2776"/>
    <cellStyle name="Normal 2 2 4 2 3 2 2" xfId="5997"/>
    <cellStyle name="Normal 2 2 4 2 3 2 2 2" xfId="22097"/>
    <cellStyle name="Normal 2 2 4 2 3 2 2 2 2" xfId="44684"/>
    <cellStyle name="Normal 2 2 4 2 3 2 2 3" xfId="12437"/>
    <cellStyle name="Normal 2 2 4 2 3 2 2 3 2" xfId="35024"/>
    <cellStyle name="Normal 2 2 4 2 3 2 2 4" xfId="28584"/>
    <cellStyle name="Normal 2 2 4 2 3 2 3" xfId="18877"/>
    <cellStyle name="Normal 2 2 4 2 3 2 3 2" xfId="41464"/>
    <cellStyle name="Normal 2 2 4 2 3 2 4" xfId="15657"/>
    <cellStyle name="Normal 2 2 4 2 3 2 4 2" xfId="38244"/>
    <cellStyle name="Normal 2 2 4 2 3 2 5" xfId="9217"/>
    <cellStyle name="Normal 2 2 4 2 3 2 5 2" xfId="31804"/>
    <cellStyle name="Normal 2 2 4 2 3 2 6" xfId="25364"/>
    <cellStyle name="Normal 2 2 4 2 3 3" xfId="4689"/>
    <cellStyle name="Normal 2 2 4 2 3 3 2" xfId="20789"/>
    <cellStyle name="Normal 2 2 4 2 3 3 2 2" xfId="43376"/>
    <cellStyle name="Normal 2 2 4 2 3 3 3" xfId="11129"/>
    <cellStyle name="Normal 2 2 4 2 3 3 3 2" xfId="33716"/>
    <cellStyle name="Normal 2 2 4 2 3 3 4" xfId="27276"/>
    <cellStyle name="Normal 2 2 4 2 3 4" xfId="17569"/>
    <cellStyle name="Normal 2 2 4 2 3 4 2" xfId="40156"/>
    <cellStyle name="Normal 2 2 4 2 3 5" xfId="14349"/>
    <cellStyle name="Normal 2 2 4 2 3 5 2" xfId="36936"/>
    <cellStyle name="Normal 2 2 4 2 3 6" xfId="7909"/>
    <cellStyle name="Normal 2 2 4 2 3 6 2" xfId="30496"/>
    <cellStyle name="Normal 2 2 4 2 3 7" xfId="24056"/>
    <cellStyle name="Normal 2 2 4 2 4" xfId="2082"/>
    <cellStyle name="Normal 2 2 4 2 4 2" xfId="5303"/>
    <cellStyle name="Normal 2 2 4 2 4 2 2" xfId="21403"/>
    <cellStyle name="Normal 2 2 4 2 4 2 2 2" xfId="43990"/>
    <cellStyle name="Normal 2 2 4 2 4 2 3" xfId="11743"/>
    <cellStyle name="Normal 2 2 4 2 4 2 3 2" xfId="34330"/>
    <cellStyle name="Normal 2 2 4 2 4 2 4" xfId="27890"/>
    <cellStyle name="Normal 2 2 4 2 4 3" xfId="18183"/>
    <cellStyle name="Normal 2 2 4 2 4 3 2" xfId="40770"/>
    <cellStyle name="Normal 2 2 4 2 4 4" xfId="14963"/>
    <cellStyle name="Normal 2 2 4 2 4 4 2" xfId="37550"/>
    <cellStyle name="Normal 2 2 4 2 4 5" xfId="8523"/>
    <cellStyle name="Normal 2 2 4 2 4 5 2" xfId="31110"/>
    <cellStyle name="Normal 2 2 4 2 4 6" xfId="24670"/>
    <cellStyle name="Normal 2 2 4 2 5" xfId="3026"/>
    <cellStyle name="Normal 2 2 4 2 5 2" xfId="6246"/>
    <cellStyle name="Normal 2 2 4 2 5 2 2" xfId="22346"/>
    <cellStyle name="Normal 2 2 4 2 5 2 2 2" xfId="44933"/>
    <cellStyle name="Normal 2 2 4 2 5 2 3" xfId="12686"/>
    <cellStyle name="Normal 2 2 4 2 5 2 3 2" xfId="35273"/>
    <cellStyle name="Normal 2 2 4 2 5 2 4" xfId="28833"/>
    <cellStyle name="Normal 2 2 4 2 5 3" xfId="19126"/>
    <cellStyle name="Normal 2 2 4 2 5 3 2" xfId="41713"/>
    <cellStyle name="Normal 2 2 4 2 5 4" xfId="15906"/>
    <cellStyle name="Normal 2 2 4 2 5 4 2" xfId="38493"/>
    <cellStyle name="Normal 2 2 4 2 5 5" xfId="9466"/>
    <cellStyle name="Normal 2 2 4 2 5 5 2" xfId="32053"/>
    <cellStyle name="Normal 2 2 4 2 5 6" xfId="25613"/>
    <cellStyle name="Normal 2 2 4 2 6" xfId="3316"/>
    <cellStyle name="Normal 2 2 4 2 6 2" xfId="6536"/>
    <cellStyle name="Normal 2 2 4 2 6 2 2" xfId="22636"/>
    <cellStyle name="Normal 2 2 4 2 6 2 2 2" xfId="45223"/>
    <cellStyle name="Normal 2 2 4 2 6 2 3" xfId="12976"/>
    <cellStyle name="Normal 2 2 4 2 6 2 3 2" xfId="35563"/>
    <cellStyle name="Normal 2 2 4 2 6 2 4" xfId="29123"/>
    <cellStyle name="Normal 2 2 4 2 6 3" xfId="19416"/>
    <cellStyle name="Normal 2 2 4 2 6 3 2" xfId="42003"/>
    <cellStyle name="Normal 2 2 4 2 6 4" xfId="16196"/>
    <cellStyle name="Normal 2 2 4 2 6 4 2" xfId="38783"/>
    <cellStyle name="Normal 2 2 4 2 6 5" xfId="9756"/>
    <cellStyle name="Normal 2 2 4 2 6 5 2" xfId="32343"/>
    <cellStyle name="Normal 2 2 4 2 6 6" xfId="25903"/>
    <cellStyle name="Normal 2 2 4 2 7" xfId="763"/>
    <cellStyle name="Normal 2 2 4 2 7 2" xfId="3995"/>
    <cellStyle name="Normal 2 2 4 2 7 2 2" xfId="20095"/>
    <cellStyle name="Normal 2 2 4 2 7 2 2 2" xfId="42682"/>
    <cellStyle name="Normal 2 2 4 2 7 2 3" xfId="10435"/>
    <cellStyle name="Normal 2 2 4 2 7 2 3 2" xfId="33022"/>
    <cellStyle name="Normal 2 2 4 2 7 2 4" xfId="26582"/>
    <cellStyle name="Normal 2 2 4 2 7 3" xfId="16875"/>
    <cellStyle name="Normal 2 2 4 2 7 3 2" xfId="39462"/>
    <cellStyle name="Normal 2 2 4 2 7 4" xfId="13655"/>
    <cellStyle name="Normal 2 2 4 2 7 4 2" xfId="36242"/>
    <cellStyle name="Normal 2 2 4 2 7 5" xfId="7215"/>
    <cellStyle name="Normal 2 2 4 2 7 5 2" xfId="29802"/>
    <cellStyle name="Normal 2 2 4 2 7 6" xfId="23362"/>
    <cellStyle name="Normal 2 2 4 2 8" xfId="3606"/>
    <cellStyle name="Normal 2 2 4 2 8 2" xfId="19706"/>
    <cellStyle name="Normal 2 2 4 2 8 2 2" xfId="42293"/>
    <cellStyle name="Normal 2 2 4 2 8 3" xfId="10046"/>
    <cellStyle name="Normal 2 2 4 2 8 3 2" xfId="32633"/>
    <cellStyle name="Normal 2 2 4 2 8 4" xfId="26193"/>
    <cellStyle name="Normal 2 2 4 2 9" xfId="16486"/>
    <cellStyle name="Normal 2 2 4 2 9 2" xfId="39073"/>
    <cellStyle name="Normal 2 2 4 3" xfId="415"/>
    <cellStyle name="Normal 2 2 4 3 10" xfId="23069"/>
    <cellStyle name="Normal 2 2 4 3 2" xfId="2272"/>
    <cellStyle name="Normal 2 2 4 3 2 2" xfId="5493"/>
    <cellStyle name="Normal 2 2 4 3 2 2 2" xfId="21593"/>
    <cellStyle name="Normal 2 2 4 3 2 2 2 2" xfId="44180"/>
    <cellStyle name="Normal 2 2 4 3 2 2 3" xfId="11933"/>
    <cellStyle name="Normal 2 2 4 3 2 2 3 2" xfId="34520"/>
    <cellStyle name="Normal 2 2 4 3 2 2 4" xfId="28080"/>
    <cellStyle name="Normal 2 2 4 3 2 3" xfId="18373"/>
    <cellStyle name="Normal 2 2 4 3 2 3 2" xfId="40960"/>
    <cellStyle name="Normal 2 2 4 3 2 4" xfId="15153"/>
    <cellStyle name="Normal 2 2 4 3 2 4 2" xfId="37740"/>
    <cellStyle name="Normal 2 2 4 3 2 5" xfId="8713"/>
    <cellStyle name="Normal 2 2 4 3 2 5 2" xfId="31300"/>
    <cellStyle name="Normal 2 2 4 3 2 6" xfId="24860"/>
    <cellStyle name="Normal 2 2 4 3 3" xfId="3122"/>
    <cellStyle name="Normal 2 2 4 3 3 2" xfId="6342"/>
    <cellStyle name="Normal 2 2 4 3 3 2 2" xfId="22442"/>
    <cellStyle name="Normal 2 2 4 3 3 2 2 2" xfId="45029"/>
    <cellStyle name="Normal 2 2 4 3 3 2 3" xfId="12782"/>
    <cellStyle name="Normal 2 2 4 3 3 2 3 2" xfId="35369"/>
    <cellStyle name="Normal 2 2 4 3 3 2 4" xfId="28929"/>
    <cellStyle name="Normal 2 2 4 3 3 3" xfId="19222"/>
    <cellStyle name="Normal 2 2 4 3 3 3 2" xfId="41809"/>
    <cellStyle name="Normal 2 2 4 3 3 4" xfId="16002"/>
    <cellStyle name="Normal 2 2 4 3 3 4 2" xfId="38589"/>
    <cellStyle name="Normal 2 2 4 3 3 5" xfId="9562"/>
    <cellStyle name="Normal 2 2 4 3 3 5 2" xfId="32149"/>
    <cellStyle name="Normal 2 2 4 3 3 6" xfId="25709"/>
    <cellStyle name="Normal 2 2 4 3 4" xfId="3412"/>
    <cellStyle name="Normal 2 2 4 3 4 2" xfId="6632"/>
    <cellStyle name="Normal 2 2 4 3 4 2 2" xfId="22732"/>
    <cellStyle name="Normal 2 2 4 3 4 2 2 2" xfId="45319"/>
    <cellStyle name="Normal 2 2 4 3 4 2 3" xfId="13072"/>
    <cellStyle name="Normal 2 2 4 3 4 2 3 2" xfId="35659"/>
    <cellStyle name="Normal 2 2 4 3 4 2 4" xfId="29219"/>
    <cellStyle name="Normal 2 2 4 3 4 3" xfId="19512"/>
    <cellStyle name="Normal 2 2 4 3 4 3 2" xfId="42099"/>
    <cellStyle name="Normal 2 2 4 3 4 4" xfId="16292"/>
    <cellStyle name="Normal 2 2 4 3 4 4 2" xfId="38879"/>
    <cellStyle name="Normal 2 2 4 3 4 5" xfId="9852"/>
    <cellStyle name="Normal 2 2 4 3 4 5 2" xfId="32439"/>
    <cellStyle name="Normal 2 2 4 3 4 6" xfId="25999"/>
    <cellStyle name="Normal 2 2 4 3 5" xfId="953"/>
    <cellStyle name="Normal 2 2 4 3 5 2" xfId="4185"/>
    <cellStyle name="Normal 2 2 4 3 5 2 2" xfId="20285"/>
    <cellStyle name="Normal 2 2 4 3 5 2 2 2" xfId="42872"/>
    <cellStyle name="Normal 2 2 4 3 5 2 3" xfId="10625"/>
    <cellStyle name="Normal 2 2 4 3 5 2 3 2" xfId="33212"/>
    <cellStyle name="Normal 2 2 4 3 5 2 4" xfId="26772"/>
    <cellStyle name="Normal 2 2 4 3 5 3" xfId="17065"/>
    <cellStyle name="Normal 2 2 4 3 5 3 2" xfId="39652"/>
    <cellStyle name="Normal 2 2 4 3 5 4" xfId="13845"/>
    <cellStyle name="Normal 2 2 4 3 5 4 2" xfId="36432"/>
    <cellStyle name="Normal 2 2 4 3 5 5" xfId="7405"/>
    <cellStyle name="Normal 2 2 4 3 5 5 2" xfId="29992"/>
    <cellStyle name="Normal 2 2 4 3 5 6" xfId="23552"/>
    <cellStyle name="Normal 2 2 4 3 6" xfId="3702"/>
    <cellStyle name="Normal 2 2 4 3 6 2" xfId="19802"/>
    <cellStyle name="Normal 2 2 4 3 6 2 2" xfId="42389"/>
    <cellStyle name="Normal 2 2 4 3 6 3" xfId="10142"/>
    <cellStyle name="Normal 2 2 4 3 6 3 2" xfId="32729"/>
    <cellStyle name="Normal 2 2 4 3 6 4" xfId="26289"/>
    <cellStyle name="Normal 2 2 4 3 7" xfId="16582"/>
    <cellStyle name="Normal 2 2 4 3 7 2" xfId="39169"/>
    <cellStyle name="Normal 2 2 4 3 8" xfId="13362"/>
    <cellStyle name="Normal 2 2 4 3 8 2" xfId="35949"/>
    <cellStyle name="Normal 2 2 4 3 9" xfId="6922"/>
    <cellStyle name="Normal 2 2 4 3 9 2" xfId="29509"/>
    <cellStyle name="Normal 2 2 4 4" xfId="1305"/>
    <cellStyle name="Normal 2 2 4 4 2" xfId="2619"/>
    <cellStyle name="Normal 2 2 4 4 2 2" xfId="5840"/>
    <cellStyle name="Normal 2 2 4 4 2 2 2" xfId="21940"/>
    <cellStyle name="Normal 2 2 4 4 2 2 2 2" xfId="44527"/>
    <cellStyle name="Normal 2 2 4 4 2 2 3" xfId="12280"/>
    <cellStyle name="Normal 2 2 4 4 2 2 3 2" xfId="34867"/>
    <cellStyle name="Normal 2 2 4 4 2 2 4" xfId="28427"/>
    <cellStyle name="Normal 2 2 4 4 2 3" xfId="18720"/>
    <cellStyle name="Normal 2 2 4 4 2 3 2" xfId="41307"/>
    <cellStyle name="Normal 2 2 4 4 2 4" xfId="15500"/>
    <cellStyle name="Normal 2 2 4 4 2 4 2" xfId="38087"/>
    <cellStyle name="Normal 2 2 4 4 2 5" xfId="9060"/>
    <cellStyle name="Normal 2 2 4 4 2 5 2" xfId="31647"/>
    <cellStyle name="Normal 2 2 4 4 2 6" xfId="25207"/>
    <cellStyle name="Normal 2 2 4 4 3" xfId="4532"/>
    <cellStyle name="Normal 2 2 4 4 3 2" xfId="20632"/>
    <cellStyle name="Normal 2 2 4 4 3 2 2" xfId="43219"/>
    <cellStyle name="Normal 2 2 4 4 3 3" xfId="10972"/>
    <cellStyle name="Normal 2 2 4 4 3 3 2" xfId="33559"/>
    <cellStyle name="Normal 2 2 4 4 3 4" xfId="27119"/>
    <cellStyle name="Normal 2 2 4 4 4" xfId="17412"/>
    <cellStyle name="Normal 2 2 4 4 4 2" xfId="39999"/>
    <cellStyle name="Normal 2 2 4 4 5" xfId="14192"/>
    <cellStyle name="Normal 2 2 4 4 5 2" xfId="36779"/>
    <cellStyle name="Normal 2 2 4 4 6" xfId="7752"/>
    <cellStyle name="Normal 2 2 4 4 6 2" xfId="30339"/>
    <cellStyle name="Normal 2 2 4 4 7" xfId="23899"/>
    <cellStyle name="Normal 2 2 4 5" xfId="1539"/>
    <cellStyle name="Normal 2 2 4 6" xfId="1924"/>
    <cellStyle name="Normal 2 2 4 6 2" xfId="5146"/>
    <cellStyle name="Normal 2 2 4 6 2 2" xfId="21246"/>
    <cellStyle name="Normal 2 2 4 6 2 2 2" xfId="43833"/>
    <cellStyle name="Normal 2 2 4 6 2 3" xfId="11586"/>
    <cellStyle name="Normal 2 2 4 6 2 3 2" xfId="34173"/>
    <cellStyle name="Normal 2 2 4 6 2 4" xfId="27733"/>
    <cellStyle name="Normal 2 2 4 6 3" xfId="18026"/>
    <cellStyle name="Normal 2 2 4 6 3 2" xfId="40613"/>
    <cellStyle name="Normal 2 2 4 6 4" xfId="14806"/>
    <cellStyle name="Normal 2 2 4 6 4 2" xfId="37393"/>
    <cellStyle name="Normal 2 2 4 6 5" xfId="8366"/>
    <cellStyle name="Normal 2 2 4 6 5 2" xfId="30953"/>
    <cellStyle name="Normal 2 2 4 6 6" xfId="24513"/>
    <cellStyle name="Normal 2 2 4 7" xfId="2928"/>
    <cellStyle name="Normal 2 2 4 7 2" xfId="6149"/>
    <cellStyle name="Normal 2 2 4 7 2 2" xfId="22249"/>
    <cellStyle name="Normal 2 2 4 7 2 2 2" xfId="44836"/>
    <cellStyle name="Normal 2 2 4 7 2 3" xfId="12589"/>
    <cellStyle name="Normal 2 2 4 7 2 3 2" xfId="35176"/>
    <cellStyle name="Normal 2 2 4 7 2 4" xfId="28736"/>
    <cellStyle name="Normal 2 2 4 7 3" xfId="19029"/>
    <cellStyle name="Normal 2 2 4 7 3 2" xfId="41616"/>
    <cellStyle name="Normal 2 2 4 7 4" xfId="15809"/>
    <cellStyle name="Normal 2 2 4 7 4 2" xfId="38396"/>
    <cellStyle name="Normal 2 2 4 7 5" xfId="9369"/>
    <cellStyle name="Normal 2 2 4 7 5 2" xfId="31956"/>
    <cellStyle name="Normal 2 2 4 7 6" xfId="25516"/>
    <cellStyle name="Normal 2 2 4 8" xfId="3219"/>
    <cellStyle name="Normal 2 2 4 8 2" xfId="6439"/>
    <cellStyle name="Normal 2 2 4 8 2 2" xfId="22539"/>
    <cellStyle name="Normal 2 2 4 8 2 2 2" xfId="45126"/>
    <cellStyle name="Normal 2 2 4 8 2 3" xfId="12879"/>
    <cellStyle name="Normal 2 2 4 8 2 3 2" xfId="35466"/>
    <cellStyle name="Normal 2 2 4 8 2 4" xfId="29026"/>
    <cellStyle name="Normal 2 2 4 8 3" xfId="19319"/>
    <cellStyle name="Normal 2 2 4 8 3 2" xfId="41906"/>
    <cellStyle name="Normal 2 2 4 8 4" xfId="16099"/>
    <cellStyle name="Normal 2 2 4 8 4 2" xfId="38686"/>
    <cellStyle name="Normal 2 2 4 8 5" xfId="9659"/>
    <cellStyle name="Normal 2 2 4 8 5 2" xfId="32246"/>
    <cellStyle name="Normal 2 2 4 8 6" xfId="25806"/>
    <cellStyle name="Normal 2 2 4 9" xfId="551"/>
    <cellStyle name="Normal 2 2 4 9 2" xfId="3838"/>
    <cellStyle name="Normal 2 2 4 9 2 2" xfId="19938"/>
    <cellStyle name="Normal 2 2 4 9 2 2 2" xfId="42525"/>
    <cellStyle name="Normal 2 2 4 9 2 3" xfId="10278"/>
    <cellStyle name="Normal 2 2 4 9 2 3 2" xfId="32865"/>
    <cellStyle name="Normal 2 2 4 9 2 4" xfId="26425"/>
    <cellStyle name="Normal 2 2 4 9 3" xfId="16718"/>
    <cellStyle name="Normal 2 2 4 9 3 2" xfId="39305"/>
    <cellStyle name="Normal 2 2 4 9 4" xfId="13498"/>
    <cellStyle name="Normal 2 2 4 9 4 2" xfId="36085"/>
    <cellStyle name="Normal 2 2 4 9 5" xfId="7058"/>
    <cellStyle name="Normal 2 2 4 9 5 2" xfId="29645"/>
    <cellStyle name="Normal 2 2 4 9 6" xfId="23205"/>
    <cellStyle name="Normal 2 2 5" xfId="743"/>
    <cellStyle name="Normal 2 2 5 10" xfId="23342"/>
    <cellStyle name="Normal 2 2 5 2" xfId="1095"/>
    <cellStyle name="Normal 2 2 5 2 2" xfId="2409"/>
    <cellStyle name="Normal 2 2 5 2 2 2" xfId="5630"/>
    <cellStyle name="Normal 2 2 5 2 2 2 2" xfId="21730"/>
    <cellStyle name="Normal 2 2 5 2 2 2 2 2" xfId="44317"/>
    <cellStyle name="Normal 2 2 5 2 2 2 3" xfId="12070"/>
    <cellStyle name="Normal 2 2 5 2 2 2 3 2" xfId="34657"/>
    <cellStyle name="Normal 2 2 5 2 2 2 4" xfId="28217"/>
    <cellStyle name="Normal 2 2 5 2 2 3" xfId="18510"/>
    <cellStyle name="Normal 2 2 5 2 2 3 2" xfId="41097"/>
    <cellStyle name="Normal 2 2 5 2 2 4" xfId="15290"/>
    <cellStyle name="Normal 2 2 5 2 2 4 2" xfId="37877"/>
    <cellStyle name="Normal 2 2 5 2 2 5" xfId="8850"/>
    <cellStyle name="Normal 2 2 5 2 2 5 2" xfId="31437"/>
    <cellStyle name="Normal 2 2 5 2 2 6" xfId="24997"/>
    <cellStyle name="Normal 2 2 5 2 3" xfId="4322"/>
    <cellStyle name="Normal 2 2 5 2 3 2" xfId="20422"/>
    <cellStyle name="Normal 2 2 5 2 3 2 2" xfId="43009"/>
    <cellStyle name="Normal 2 2 5 2 3 3" xfId="10762"/>
    <cellStyle name="Normal 2 2 5 2 3 3 2" xfId="33349"/>
    <cellStyle name="Normal 2 2 5 2 3 4" xfId="26909"/>
    <cellStyle name="Normal 2 2 5 2 4" xfId="17202"/>
    <cellStyle name="Normal 2 2 5 2 4 2" xfId="39789"/>
    <cellStyle name="Normal 2 2 5 2 5" xfId="13982"/>
    <cellStyle name="Normal 2 2 5 2 5 2" xfId="36569"/>
    <cellStyle name="Normal 2 2 5 2 6" xfId="7542"/>
    <cellStyle name="Normal 2 2 5 2 6 2" xfId="30129"/>
    <cellStyle name="Normal 2 2 5 2 7" xfId="23689"/>
    <cellStyle name="Normal 2 2 5 3" xfId="1442"/>
    <cellStyle name="Normal 2 2 5 3 2" xfId="2756"/>
    <cellStyle name="Normal 2 2 5 3 2 2" xfId="5977"/>
    <cellStyle name="Normal 2 2 5 3 2 2 2" xfId="22077"/>
    <cellStyle name="Normal 2 2 5 3 2 2 2 2" xfId="44664"/>
    <cellStyle name="Normal 2 2 5 3 2 2 3" xfId="12417"/>
    <cellStyle name="Normal 2 2 5 3 2 2 3 2" xfId="35004"/>
    <cellStyle name="Normal 2 2 5 3 2 2 4" xfId="28564"/>
    <cellStyle name="Normal 2 2 5 3 2 3" xfId="18857"/>
    <cellStyle name="Normal 2 2 5 3 2 3 2" xfId="41444"/>
    <cellStyle name="Normal 2 2 5 3 2 4" xfId="15637"/>
    <cellStyle name="Normal 2 2 5 3 2 4 2" xfId="38224"/>
    <cellStyle name="Normal 2 2 5 3 2 5" xfId="9197"/>
    <cellStyle name="Normal 2 2 5 3 2 5 2" xfId="31784"/>
    <cellStyle name="Normal 2 2 5 3 2 6" xfId="25344"/>
    <cellStyle name="Normal 2 2 5 3 3" xfId="4669"/>
    <cellStyle name="Normal 2 2 5 3 3 2" xfId="20769"/>
    <cellStyle name="Normal 2 2 5 3 3 2 2" xfId="43356"/>
    <cellStyle name="Normal 2 2 5 3 3 3" xfId="11109"/>
    <cellStyle name="Normal 2 2 5 3 3 3 2" xfId="33696"/>
    <cellStyle name="Normal 2 2 5 3 3 4" xfId="27256"/>
    <cellStyle name="Normal 2 2 5 3 4" xfId="17549"/>
    <cellStyle name="Normal 2 2 5 3 4 2" xfId="40136"/>
    <cellStyle name="Normal 2 2 5 3 5" xfId="14329"/>
    <cellStyle name="Normal 2 2 5 3 5 2" xfId="36916"/>
    <cellStyle name="Normal 2 2 5 3 6" xfId="7889"/>
    <cellStyle name="Normal 2 2 5 3 6 2" xfId="30476"/>
    <cellStyle name="Normal 2 2 5 3 7" xfId="24036"/>
    <cellStyle name="Normal 2 2 5 4" xfId="1622"/>
    <cellStyle name="Normal 2 2 5 4 2" xfId="4847"/>
    <cellStyle name="Normal 2 2 5 4 2 2" xfId="20947"/>
    <cellStyle name="Normal 2 2 5 4 2 2 2" xfId="43534"/>
    <cellStyle name="Normal 2 2 5 4 2 3" xfId="11287"/>
    <cellStyle name="Normal 2 2 5 4 2 3 2" xfId="33874"/>
    <cellStyle name="Normal 2 2 5 4 2 4" xfId="27434"/>
    <cellStyle name="Normal 2 2 5 4 3" xfId="17727"/>
    <cellStyle name="Normal 2 2 5 4 3 2" xfId="40314"/>
    <cellStyle name="Normal 2 2 5 4 4" xfId="14507"/>
    <cellStyle name="Normal 2 2 5 4 4 2" xfId="37094"/>
    <cellStyle name="Normal 2 2 5 4 5" xfId="8067"/>
    <cellStyle name="Normal 2 2 5 4 5 2" xfId="30654"/>
    <cellStyle name="Normal 2 2 5 4 6" xfId="24214"/>
    <cellStyle name="Normal 2 2 5 5" xfId="2062"/>
    <cellStyle name="Normal 2 2 5 5 2" xfId="5283"/>
    <cellStyle name="Normal 2 2 5 5 2 2" xfId="21383"/>
    <cellStyle name="Normal 2 2 5 5 2 2 2" xfId="43970"/>
    <cellStyle name="Normal 2 2 5 5 2 3" xfId="11723"/>
    <cellStyle name="Normal 2 2 5 5 2 3 2" xfId="34310"/>
    <cellStyle name="Normal 2 2 5 5 2 4" xfId="27870"/>
    <cellStyle name="Normal 2 2 5 5 3" xfId="18163"/>
    <cellStyle name="Normal 2 2 5 5 3 2" xfId="40750"/>
    <cellStyle name="Normal 2 2 5 5 4" xfId="14943"/>
    <cellStyle name="Normal 2 2 5 5 4 2" xfId="37530"/>
    <cellStyle name="Normal 2 2 5 5 5" xfId="8503"/>
    <cellStyle name="Normal 2 2 5 5 5 2" xfId="31090"/>
    <cellStyle name="Normal 2 2 5 5 6" xfId="24650"/>
    <cellStyle name="Normal 2 2 5 6" xfId="3975"/>
    <cellStyle name="Normal 2 2 5 6 2" xfId="20075"/>
    <cellStyle name="Normal 2 2 5 6 2 2" xfId="42662"/>
    <cellStyle name="Normal 2 2 5 6 3" xfId="10415"/>
    <cellStyle name="Normal 2 2 5 6 3 2" xfId="33002"/>
    <cellStyle name="Normal 2 2 5 6 4" xfId="26562"/>
    <cellStyle name="Normal 2 2 5 7" xfId="16855"/>
    <cellStyle name="Normal 2 2 5 7 2" xfId="39442"/>
    <cellStyle name="Normal 2 2 5 8" xfId="13635"/>
    <cellStyle name="Normal 2 2 5 8 2" xfId="36222"/>
    <cellStyle name="Normal 2 2 5 9" xfId="7195"/>
    <cellStyle name="Normal 2 2 5 9 2" xfId="29782"/>
    <cellStyle name="Normal 2 3" xfId="91"/>
    <cellStyle name="Normal 2 3 2" xfId="1623"/>
    <cellStyle name="Normal 2 3 3" xfId="1624"/>
    <cellStyle name="Normal 2 3 3 2" xfId="4848"/>
    <cellStyle name="Normal 2 3 3 2 2" xfId="20948"/>
    <cellStyle name="Normal 2 3 3 2 2 2" xfId="43535"/>
    <cellStyle name="Normal 2 3 3 2 3" xfId="11288"/>
    <cellStyle name="Normal 2 3 3 2 3 2" xfId="33875"/>
    <cellStyle name="Normal 2 3 3 2 4" xfId="27435"/>
    <cellStyle name="Normal 2 3 3 3" xfId="17728"/>
    <cellStyle name="Normal 2 3 3 3 2" xfId="40315"/>
    <cellStyle name="Normal 2 3 3 4" xfId="14508"/>
    <cellStyle name="Normal 2 3 3 4 2" xfId="37095"/>
    <cellStyle name="Normal 2 3 3 5" xfId="8068"/>
    <cellStyle name="Normal 2 3 3 5 2" xfId="30655"/>
    <cellStyle name="Normal 2 3 3 6" xfId="24215"/>
    <cellStyle name="Normal 2 4" xfId="109"/>
    <cellStyle name="Normal 2 4 2" xfId="1625"/>
    <cellStyle name="Normal 2 4 2 2" xfId="4849"/>
    <cellStyle name="Normal 2 4 2 2 2" xfId="20949"/>
    <cellStyle name="Normal 2 4 2 2 2 2" xfId="43536"/>
    <cellStyle name="Normal 2 4 2 2 3" xfId="11289"/>
    <cellStyle name="Normal 2 4 2 2 3 2" xfId="33876"/>
    <cellStyle name="Normal 2 4 2 2 4" xfId="27436"/>
    <cellStyle name="Normal 2 4 2 3" xfId="17729"/>
    <cellStyle name="Normal 2 4 2 3 2" xfId="40316"/>
    <cellStyle name="Normal 2 4 2 4" xfId="14509"/>
    <cellStyle name="Normal 2 4 2 4 2" xfId="37096"/>
    <cellStyle name="Normal 2 4 2 5" xfId="8069"/>
    <cellStyle name="Normal 2 4 2 5 2" xfId="30656"/>
    <cellStyle name="Normal 2 4 2 6" xfId="24216"/>
    <cellStyle name="Normal 2 4 3" xfId="1626"/>
    <cellStyle name="Normal 2 5" xfId="194"/>
    <cellStyle name="Normal 2 6" xfId="1627"/>
    <cellStyle name="Normal 2 6 2" xfId="4850"/>
    <cellStyle name="Normal 2 6 2 2" xfId="20950"/>
    <cellStyle name="Normal 2 6 2 2 2" xfId="43537"/>
    <cellStyle name="Normal 2 6 2 3" xfId="11290"/>
    <cellStyle name="Normal 2 6 2 3 2" xfId="33877"/>
    <cellStyle name="Normal 2 6 2 4" xfId="27437"/>
    <cellStyle name="Normal 2 6 3" xfId="17730"/>
    <cellStyle name="Normal 2 6 3 2" xfId="40317"/>
    <cellStyle name="Normal 2 6 4" xfId="14510"/>
    <cellStyle name="Normal 2 6 4 2" xfId="37097"/>
    <cellStyle name="Normal 2 6 5" xfId="8070"/>
    <cellStyle name="Normal 2 6 5 2" xfId="30657"/>
    <cellStyle name="Normal 2 6 6" xfId="24217"/>
    <cellStyle name="Normal 20" xfId="22753"/>
    <cellStyle name="Normal 20 2" xfId="45340"/>
    <cellStyle name="Normal 21" xfId="22757"/>
    <cellStyle name="Normal 22" xfId="22755"/>
    <cellStyle name="Normal 3" xfId="87"/>
    <cellStyle name="Normal 3 2" xfId="93"/>
    <cellStyle name="Normal 3 2 10" xfId="1192"/>
    <cellStyle name="Normal 3 2 10 2" xfId="2506"/>
    <cellStyle name="Normal 3 2 10 2 2" xfId="5727"/>
    <cellStyle name="Normal 3 2 10 2 2 2" xfId="21827"/>
    <cellStyle name="Normal 3 2 10 2 2 2 2" xfId="44414"/>
    <cellStyle name="Normal 3 2 10 2 2 3" xfId="12167"/>
    <cellStyle name="Normal 3 2 10 2 2 3 2" xfId="34754"/>
    <cellStyle name="Normal 3 2 10 2 2 4" xfId="28314"/>
    <cellStyle name="Normal 3 2 10 2 3" xfId="18607"/>
    <cellStyle name="Normal 3 2 10 2 3 2" xfId="41194"/>
    <cellStyle name="Normal 3 2 10 2 4" xfId="15387"/>
    <cellStyle name="Normal 3 2 10 2 4 2" xfId="37974"/>
    <cellStyle name="Normal 3 2 10 2 5" xfId="8947"/>
    <cellStyle name="Normal 3 2 10 2 5 2" xfId="31534"/>
    <cellStyle name="Normal 3 2 10 2 6" xfId="25094"/>
    <cellStyle name="Normal 3 2 10 3" xfId="4419"/>
    <cellStyle name="Normal 3 2 10 3 2" xfId="20519"/>
    <cellStyle name="Normal 3 2 10 3 2 2" xfId="43106"/>
    <cellStyle name="Normal 3 2 10 3 3" xfId="10859"/>
    <cellStyle name="Normal 3 2 10 3 3 2" xfId="33446"/>
    <cellStyle name="Normal 3 2 10 3 4" xfId="27006"/>
    <cellStyle name="Normal 3 2 10 4" xfId="17299"/>
    <cellStyle name="Normal 3 2 10 4 2" xfId="39886"/>
    <cellStyle name="Normal 3 2 10 5" xfId="14079"/>
    <cellStyle name="Normal 3 2 10 5 2" xfId="36666"/>
    <cellStyle name="Normal 3 2 10 6" xfId="7639"/>
    <cellStyle name="Normal 3 2 10 6 2" xfId="30226"/>
    <cellStyle name="Normal 3 2 10 7" xfId="23786"/>
    <cellStyle name="Normal 3 2 11" xfId="1628"/>
    <cellStyle name="Normal 3 2 11 2" xfId="4851"/>
    <cellStyle name="Normal 3 2 11 2 2" xfId="20951"/>
    <cellStyle name="Normal 3 2 11 2 2 2" xfId="43538"/>
    <cellStyle name="Normal 3 2 11 2 3" xfId="11291"/>
    <cellStyle name="Normal 3 2 11 2 3 2" xfId="33878"/>
    <cellStyle name="Normal 3 2 11 2 4" xfId="27438"/>
    <cellStyle name="Normal 3 2 11 3" xfId="17731"/>
    <cellStyle name="Normal 3 2 11 3 2" xfId="40318"/>
    <cellStyle name="Normal 3 2 11 4" xfId="14511"/>
    <cellStyle name="Normal 3 2 11 4 2" xfId="37098"/>
    <cellStyle name="Normal 3 2 11 5" xfId="8071"/>
    <cellStyle name="Normal 3 2 11 5 2" xfId="30658"/>
    <cellStyle name="Normal 3 2 11 6" xfId="24218"/>
    <cellStyle name="Normal 3 2 12" xfId="1811"/>
    <cellStyle name="Normal 3 2 12 2" xfId="5033"/>
    <cellStyle name="Normal 3 2 12 2 2" xfId="21133"/>
    <cellStyle name="Normal 3 2 12 2 2 2" xfId="43720"/>
    <cellStyle name="Normal 3 2 12 2 3" xfId="11473"/>
    <cellStyle name="Normal 3 2 12 2 3 2" xfId="34060"/>
    <cellStyle name="Normal 3 2 12 2 4" xfId="27620"/>
    <cellStyle name="Normal 3 2 12 3" xfId="17913"/>
    <cellStyle name="Normal 3 2 12 3 2" xfId="40500"/>
    <cellStyle name="Normal 3 2 12 4" xfId="14693"/>
    <cellStyle name="Normal 3 2 12 4 2" xfId="37280"/>
    <cellStyle name="Normal 3 2 12 5" xfId="8253"/>
    <cellStyle name="Normal 3 2 12 5 2" xfId="30840"/>
    <cellStyle name="Normal 3 2 12 6" xfId="24400"/>
    <cellStyle name="Normal 3 2 13" xfId="2854"/>
    <cellStyle name="Normal 3 2 13 2" xfId="6075"/>
    <cellStyle name="Normal 3 2 13 2 2" xfId="22175"/>
    <cellStyle name="Normal 3 2 13 2 2 2" xfId="44762"/>
    <cellStyle name="Normal 3 2 13 2 3" xfId="12515"/>
    <cellStyle name="Normal 3 2 13 2 3 2" xfId="35102"/>
    <cellStyle name="Normal 3 2 13 2 4" xfId="28662"/>
    <cellStyle name="Normal 3 2 13 3" xfId="18955"/>
    <cellStyle name="Normal 3 2 13 3 2" xfId="41542"/>
    <cellStyle name="Normal 3 2 13 4" xfId="15735"/>
    <cellStyle name="Normal 3 2 13 4 2" xfId="38322"/>
    <cellStyle name="Normal 3 2 13 5" xfId="9295"/>
    <cellStyle name="Normal 3 2 13 5 2" xfId="31882"/>
    <cellStyle name="Normal 3 2 13 6" xfId="25442"/>
    <cellStyle name="Normal 3 2 14" xfId="3145"/>
    <cellStyle name="Normal 3 2 14 2" xfId="6365"/>
    <cellStyle name="Normal 3 2 14 2 2" xfId="22465"/>
    <cellStyle name="Normal 3 2 14 2 2 2" xfId="45052"/>
    <cellStyle name="Normal 3 2 14 2 3" xfId="12805"/>
    <cellStyle name="Normal 3 2 14 2 3 2" xfId="35392"/>
    <cellStyle name="Normal 3 2 14 2 4" xfId="28952"/>
    <cellStyle name="Normal 3 2 14 3" xfId="19245"/>
    <cellStyle name="Normal 3 2 14 3 2" xfId="41832"/>
    <cellStyle name="Normal 3 2 14 4" xfId="16025"/>
    <cellStyle name="Normal 3 2 14 4 2" xfId="38612"/>
    <cellStyle name="Normal 3 2 14 5" xfId="9585"/>
    <cellStyle name="Normal 3 2 14 5 2" xfId="32172"/>
    <cellStyle name="Normal 3 2 14 6" xfId="25732"/>
    <cellStyle name="Normal 3 2 15" xfId="438"/>
    <cellStyle name="Normal 3 2 15 2" xfId="3725"/>
    <cellStyle name="Normal 3 2 15 2 2" xfId="19825"/>
    <cellStyle name="Normal 3 2 15 2 2 2" xfId="42412"/>
    <cellStyle name="Normal 3 2 15 2 3" xfId="10165"/>
    <cellStyle name="Normal 3 2 15 2 3 2" xfId="32752"/>
    <cellStyle name="Normal 3 2 15 2 4" xfId="26312"/>
    <cellStyle name="Normal 3 2 15 3" xfId="16605"/>
    <cellStyle name="Normal 3 2 15 3 2" xfId="39192"/>
    <cellStyle name="Normal 3 2 15 4" xfId="13385"/>
    <cellStyle name="Normal 3 2 15 4 2" xfId="35972"/>
    <cellStyle name="Normal 3 2 15 5" xfId="6945"/>
    <cellStyle name="Normal 3 2 15 5 2" xfId="29532"/>
    <cellStyle name="Normal 3 2 15 6" xfId="23092"/>
    <cellStyle name="Normal 3 2 16" xfId="3435"/>
    <cellStyle name="Normal 3 2 16 2" xfId="19535"/>
    <cellStyle name="Normal 3 2 16 2 2" xfId="42122"/>
    <cellStyle name="Normal 3 2 16 3" xfId="9875"/>
    <cellStyle name="Normal 3 2 16 3 2" xfId="32462"/>
    <cellStyle name="Normal 3 2 16 4" xfId="26022"/>
    <cellStyle name="Normal 3 2 17" xfId="16315"/>
    <cellStyle name="Normal 3 2 17 2" xfId="38902"/>
    <cellStyle name="Normal 3 2 18" xfId="13095"/>
    <cellStyle name="Normal 3 2 18 2" xfId="35682"/>
    <cellStyle name="Normal 3 2 19" xfId="6655"/>
    <cellStyle name="Normal 3 2 19 2" xfId="29242"/>
    <cellStyle name="Normal 3 2 2" xfId="100"/>
    <cellStyle name="Normal 3 2 2 10" xfId="1629"/>
    <cellStyle name="Normal 3 2 2 10 2" xfId="4852"/>
    <cellStyle name="Normal 3 2 2 10 2 2" xfId="20952"/>
    <cellStyle name="Normal 3 2 2 10 2 2 2" xfId="43539"/>
    <cellStyle name="Normal 3 2 2 10 2 3" xfId="11292"/>
    <cellStyle name="Normal 3 2 2 10 2 3 2" xfId="33879"/>
    <cellStyle name="Normal 3 2 2 10 2 4" xfId="27439"/>
    <cellStyle name="Normal 3 2 2 10 3" xfId="17732"/>
    <cellStyle name="Normal 3 2 2 10 3 2" xfId="40319"/>
    <cellStyle name="Normal 3 2 2 10 4" xfId="14512"/>
    <cellStyle name="Normal 3 2 2 10 4 2" xfId="37099"/>
    <cellStyle name="Normal 3 2 2 10 5" xfId="8072"/>
    <cellStyle name="Normal 3 2 2 10 5 2" xfId="30659"/>
    <cellStyle name="Normal 3 2 2 10 6" xfId="24219"/>
    <cellStyle name="Normal 3 2 2 11" xfId="1816"/>
    <cellStyle name="Normal 3 2 2 11 2" xfId="5038"/>
    <cellStyle name="Normal 3 2 2 11 2 2" xfId="21138"/>
    <cellStyle name="Normal 3 2 2 11 2 2 2" xfId="43725"/>
    <cellStyle name="Normal 3 2 2 11 2 3" xfId="11478"/>
    <cellStyle name="Normal 3 2 2 11 2 3 2" xfId="34065"/>
    <cellStyle name="Normal 3 2 2 11 2 4" xfId="27625"/>
    <cellStyle name="Normal 3 2 2 11 3" xfId="17918"/>
    <cellStyle name="Normal 3 2 2 11 3 2" xfId="40505"/>
    <cellStyle name="Normal 3 2 2 11 4" xfId="14698"/>
    <cellStyle name="Normal 3 2 2 11 4 2" xfId="37285"/>
    <cellStyle name="Normal 3 2 2 11 5" xfId="8258"/>
    <cellStyle name="Normal 3 2 2 11 5 2" xfId="30845"/>
    <cellStyle name="Normal 3 2 2 11 6" xfId="24405"/>
    <cellStyle name="Normal 3 2 2 12" xfId="2859"/>
    <cellStyle name="Normal 3 2 2 12 2" xfId="6080"/>
    <cellStyle name="Normal 3 2 2 12 2 2" xfId="22180"/>
    <cellStyle name="Normal 3 2 2 12 2 2 2" xfId="44767"/>
    <cellStyle name="Normal 3 2 2 12 2 3" xfId="12520"/>
    <cellStyle name="Normal 3 2 2 12 2 3 2" xfId="35107"/>
    <cellStyle name="Normal 3 2 2 12 2 4" xfId="28667"/>
    <cellStyle name="Normal 3 2 2 12 3" xfId="18960"/>
    <cellStyle name="Normal 3 2 2 12 3 2" xfId="41547"/>
    <cellStyle name="Normal 3 2 2 12 4" xfId="15740"/>
    <cellStyle name="Normal 3 2 2 12 4 2" xfId="38327"/>
    <cellStyle name="Normal 3 2 2 12 5" xfId="9300"/>
    <cellStyle name="Normal 3 2 2 12 5 2" xfId="31887"/>
    <cellStyle name="Normal 3 2 2 12 6" xfId="25447"/>
    <cellStyle name="Normal 3 2 2 13" xfId="3150"/>
    <cellStyle name="Normal 3 2 2 13 2" xfId="6370"/>
    <cellStyle name="Normal 3 2 2 13 2 2" xfId="22470"/>
    <cellStyle name="Normal 3 2 2 13 2 2 2" xfId="45057"/>
    <cellStyle name="Normal 3 2 2 13 2 3" xfId="12810"/>
    <cellStyle name="Normal 3 2 2 13 2 3 2" xfId="35397"/>
    <cellStyle name="Normal 3 2 2 13 2 4" xfId="28957"/>
    <cellStyle name="Normal 3 2 2 13 3" xfId="19250"/>
    <cellStyle name="Normal 3 2 2 13 3 2" xfId="41837"/>
    <cellStyle name="Normal 3 2 2 13 4" xfId="16030"/>
    <cellStyle name="Normal 3 2 2 13 4 2" xfId="38617"/>
    <cellStyle name="Normal 3 2 2 13 5" xfId="9590"/>
    <cellStyle name="Normal 3 2 2 13 5 2" xfId="32177"/>
    <cellStyle name="Normal 3 2 2 13 6" xfId="25737"/>
    <cellStyle name="Normal 3 2 2 14" xfId="443"/>
    <cellStyle name="Normal 3 2 2 14 2" xfId="3730"/>
    <cellStyle name="Normal 3 2 2 14 2 2" xfId="19830"/>
    <cellStyle name="Normal 3 2 2 14 2 2 2" xfId="42417"/>
    <cellStyle name="Normal 3 2 2 14 2 3" xfId="10170"/>
    <cellStyle name="Normal 3 2 2 14 2 3 2" xfId="32757"/>
    <cellStyle name="Normal 3 2 2 14 2 4" xfId="26317"/>
    <cellStyle name="Normal 3 2 2 14 3" xfId="16610"/>
    <cellStyle name="Normal 3 2 2 14 3 2" xfId="39197"/>
    <cellStyle name="Normal 3 2 2 14 4" xfId="13390"/>
    <cellStyle name="Normal 3 2 2 14 4 2" xfId="35977"/>
    <cellStyle name="Normal 3 2 2 14 5" xfId="6950"/>
    <cellStyle name="Normal 3 2 2 14 5 2" xfId="29537"/>
    <cellStyle name="Normal 3 2 2 14 6" xfId="23097"/>
    <cellStyle name="Normal 3 2 2 15" xfId="3440"/>
    <cellStyle name="Normal 3 2 2 15 2" xfId="19540"/>
    <cellStyle name="Normal 3 2 2 15 2 2" xfId="42127"/>
    <cellStyle name="Normal 3 2 2 15 3" xfId="9880"/>
    <cellStyle name="Normal 3 2 2 15 3 2" xfId="32467"/>
    <cellStyle name="Normal 3 2 2 15 4" xfId="26027"/>
    <cellStyle name="Normal 3 2 2 16" xfId="16320"/>
    <cellStyle name="Normal 3 2 2 16 2" xfId="38907"/>
    <cellStyle name="Normal 3 2 2 17" xfId="13100"/>
    <cellStyle name="Normal 3 2 2 17 2" xfId="35687"/>
    <cellStyle name="Normal 3 2 2 18" xfId="6660"/>
    <cellStyle name="Normal 3 2 2 18 2" xfId="29247"/>
    <cellStyle name="Normal 3 2 2 19" xfId="22807"/>
    <cellStyle name="Normal 3 2 2 2" xfId="119"/>
    <cellStyle name="Normal 3 2 2 2 10" xfId="2875"/>
    <cellStyle name="Normal 3 2 2 2 10 2" xfId="6096"/>
    <cellStyle name="Normal 3 2 2 2 10 2 2" xfId="22196"/>
    <cellStyle name="Normal 3 2 2 2 10 2 2 2" xfId="44783"/>
    <cellStyle name="Normal 3 2 2 2 10 2 3" xfId="12536"/>
    <cellStyle name="Normal 3 2 2 2 10 2 3 2" xfId="35123"/>
    <cellStyle name="Normal 3 2 2 2 10 2 4" xfId="28683"/>
    <cellStyle name="Normal 3 2 2 2 10 3" xfId="18976"/>
    <cellStyle name="Normal 3 2 2 2 10 3 2" xfId="41563"/>
    <cellStyle name="Normal 3 2 2 2 10 4" xfId="15756"/>
    <cellStyle name="Normal 3 2 2 2 10 4 2" xfId="38343"/>
    <cellStyle name="Normal 3 2 2 2 10 5" xfId="9316"/>
    <cellStyle name="Normal 3 2 2 2 10 5 2" xfId="31903"/>
    <cellStyle name="Normal 3 2 2 2 10 6" xfId="25463"/>
    <cellStyle name="Normal 3 2 2 2 11" xfId="3166"/>
    <cellStyle name="Normal 3 2 2 2 11 2" xfId="6386"/>
    <cellStyle name="Normal 3 2 2 2 11 2 2" xfId="22486"/>
    <cellStyle name="Normal 3 2 2 2 11 2 2 2" xfId="45073"/>
    <cellStyle name="Normal 3 2 2 2 11 2 3" xfId="12826"/>
    <cellStyle name="Normal 3 2 2 2 11 2 3 2" xfId="35413"/>
    <cellStyle name="Normal 3 2 2 2 11 2 4" xfId="28973"/>
    <cellStyle name="Normal 3 2 2 2 11 3" xfId="19266"/>
    <cellStyle name="Normal 3 2 2 2 11 3 2" xfId="41853"/>
    <cellStyle name="Normal 3 2 2 2 11 4" xfId="16046"/>
    <cellStyle name="Normal 3 2 2 2 11 4 2" xfId="38633"/>
    <cellStyle name="Normal 3 2 2 2 11 5" xfId="9606"/>
    <cellStyle name="Normal 3 2 2 2 11 5 2" xfId="32193"/>
    <cellStyle name="Normal 3 2 2 2 11 6" xfId="25753"/>
    <cellStyle name="Normal 3 2 2 2 12" xfId="459"/>
    <cellStyle name="Normal 3 2 2 2 12 2" xfId="3746"/>
    <cellStyle name="Normal 3 2 2 2 12 2 2" xfId="19846"/>
    <cellStyle name="Normal 3 2 2 2 12 2 2 2" xfId="42433"/>
    <cellStyle name="Normal 3 2 2 2 12 2 3" xfId="10186"/>
    <cellStyle name="Normal 3 2 2 2 12 2 3 2" xfId="32773"/>
    <cellStyle name="Normal 3 2 2 2 12 2 4" xfId="26333"/>
    <cellStyle name="Normal 3 2 2 2 12 3" xfId="16626"/>
    <cellStyle name="Normal 3 2 2 2 12 3 2" xfId="39213"/>
    <cellStyle name="Normal 3 2 2 2 12 4" xfId="13406"/>
    <cellStyle name="Normal 3 2 2 2 12 4 2" xfId="35993"/>
    <cellStyle name="Normal 3 2 2 2 12 5" xfId="6966"/>
    <cellStyle name="Normal 3 2 2 2 12 5 2" xfId="29553"/>
    <cellStyle name="Normal 3 2 2 2 12 6" xfId="23113"/>
    <cellStyle name="Normal 3 2 2 2 13" xfId="3456"/>
    <cellStyle name="Normal 3 2 2 2 13 2" xfId="19556"/>
    <cellStyle name="Normal 3 2 2 2 13 2 2" xfId="42143"/>
    <cellStyle name="Normal 3 2 2 2 13 3" xfId="9896"/>
    <cellStyle name="Normal 3 2 2 2 13 3 2" xfId="32483"/>
    <cellStyle name="Normal 3 2 2 2 13 4" xfId="26043"/>
    <cellStyle name="Normal 3 2 2 2 14" xfId="16336"/>
    <cellStyle name="Normal 3 2 2 2 14 2" xfId="38923"/>
    <cellStyle name="Normal 3 2 2 2 15" xfId="13116"/>
    <cellStyle name="Normal 3 2 2 2 15 2" xfId="35703"/>
    <cellStyle name="Normal 3 2 2 2 16" xfId="6676"/>
    <cellStyle name="Normal 3 2 2 2 16 2" xfId="29263"/>
    <cellStyle name="Normal 3 2 2 2 17" xfId="22823"/>
    <cellStyle name="Normal 3 2 2 2 2" xfId="204"/>
    <cellStyle name="Normal 3 2 2 2 2 10" xfId="496"/>
    <cellStyle name="Normal 3 2 2 2 2 10 2" xfId="3783"/>
    <cellStyle name="Normal 3 2 2 2 2 10 2 2" xfId="19883"/>
    <cellStyle name="Normal 3 2 2 2 2 10 2 2 2" xfId="42470"/>
    <cellStyle name="Normal 3 2 2 2 2 10 2 3" xfId="10223"/>
    <cellStyle name="Normal 3 2 2 2 2 10 2 3 2" xfId="32810"/>
    <cellStyle name="Normal 3 2 2 2 2 10 2 4" xfId="26370"/>
    <cellStyle name="Normal 3 2 2 2 2 10 3" xfId="16663"/>
    <cellStyle name="Normal 3 2 2 2 2 10 3 2" xfId="39250"/>
    <cellStyle name="Normal 3 2 2 2 2 10 4" xfId="13443"/>
    <cellStyle name="Normal 3 2 2 2 2 10 4 2" xfId="36030"/>
    <cellStyle name="Normal 3 2 2 2 2 10 5" xfId="7003"/>
    <cellStyle name="Normal 3 2 2 2 2 10 5 2" xfId="29590"/>
    <cellStyle name="Normal 3 2 2 2 2 10 6" xfId="23150"/>
    <cellStyle name="Normal 3 2 2 2 2 11" xfId="3493"/>
    <cellStyle name="Normal 3 2 2 2 2 11 2" xfId="19593"/>
    <cellStyle name="Normal 3 2 2 2 2 11 2 2" xfId="42180"/>
    <cellStyle name="Normal 3 2 2 2 2 11 3" xfId="9933"/>
    <cellStyle name="Normal 3 2 2 2 2 11 3 2" xfId="32520"/>
    <cellStyle name="Normal 3 2 2 2 2 11 4" xfId="26080"/>
    <cellStyle name="Normal 3 2 2 2 2 12" xfId="16373"/>
    <cellStyle name="Normal 3 2 2 2 2 12 2" xfId="38960"/>
    <cellStyle name="Normal 3 2 2 2 2 13" xfId="13153"/>
    <cellStyle name="Normal 3 2 2 2 2 13 2" xfId="35740"/>
    <cellStyle name="Normal 3 2 2 2 2 14" xfId="6713"/>
    <cellStyle name="Normal 3 2 2 2 2 14 2" xfId="29300"/>
    <cellStyle name="Normal 3 2 2 2 2 15" xfId="22860"/>
    <cellStyle name="Normal 3 2 2 2 2 2" xfId="303"/>
    <cellStyle name="Normal 3 2 2 2 2 2 10" xfId="16470"/>
    <cellStyle name="Normal 3 2 2 2 2 2 10 2" xfId="39057"/>
    <cellStyle name="Normal 3 2 2 2 2 2 11" xfId="13250"/>
    <cellStyle name="Normal 3 2 2 2 2 2 11 2" xfId="35837"/>
    <cellStyle name="Normal 3 2 2 2 2 2 12" xfId="6810"/>
    <cellStyle name="Normal 3 2 2 2 2 2 12 2" xfId="29397"/>
    <cellStyle name="Normal 3 2 2 2 2 2 13" xfId="22957"/>
    <cellStyle name="Normal 3 2 2 2 2 2 2" xfId="1022"/>
    <cellStyle name="Normal 3 2 2 2 2 2 2 2" xfId="2336"/>
    <cellStyle name="Normal 3 2 2 2 2 2 2 2 2" xfId="5557"/>
    <cellStyle name="Normal 3 2 2 2 2 2 2 2 2 2" xfId="21657"/>
    <cellStyle name="Normal 3 2 2 2 2 2 2 2 2 2 2" xfId="44244"/>
    <cellStyle name="Normal 3 2 2 2 2 2 2 2 2 3" xfId="11997"/>
    <cellStyle name="Normal 3 2 2 2 2 2 2 2 2 3 2" xfId="34584"/>
    <cellStyle name="Normal 3 2 2 2 2 2 2 2 2 4" xfId="28144"/>
    <cellStyle name="Normal 3 2 2 2 2 2 2 2 3" xfId="18437"/>
    <cellStyle name="Normal 3 2 2 2 2 2 2 2 3 2" xfId="41024"/>
    <cellStyle name="Normal 3 2 2 2 2 2 2 2 4" xfId="15217"/>
    <cellStyle name="Normal 3 2 2 2 2 2 2 2 4 2" xfId="37804"/>
    <cellStyle name="Normal 3 2 2 2 2 2 2 2 5" xfId="8777"/>
    <cellStyle name="Normal 3 2 2 2 2 2 2 2 5 2" xfId="31364"/>
    <cellStyle name="Normal 3 2 2 2 2 2 2 2 6" xfId="24924"/>
    <cellStyle name="Normal 3 2 2 2 2 2 2 3" xfId="4249"/>
    <cellStyle name="Normal 3 2 2 2 2 2 2 3 2" xfId="20349"/>
    <cellStyle name="Normal 3 2 2 2 2 2 2 3 2 2" xfId="42936"/>
    <cellStyle name="Normal 3 2 2 2 2 2 2 3 3" xfId="10689"/>
    <cellStyle name="Normal 3 2 2 2 2 2 2 3 3 2" xfId="33276"/>
    <cellStyle name="Normal 3 2 2 2 2 2 2 3 4" xfId="26836"/>
    <cellStyle name="Normal 3 2 2 2 2 2 2 4" xfId="17129"/>
    <cellStyle name="Normal 3 2 2 2 2 2 2 4 2" xfId="39716"/>
    <cellStyle name="Normal 3 2 2 2 2 2 2 5" xfId="13909"/>
    <cellStyle name="Normal 3 2 2 2 2 2 2 5 2" xfId="36496"/>
    <cellStyle name="Normal 3 2 2 2 2 2 2 6" xfId="7469"/>
    <cellStyle name="Normal 3 2 2 2 2 2 2 6 2" xfId="30056"/>
    <cellStyle name="Normal 3 2 2 2 2 2 2 7" xfId="23616"/>
    <cellStyle name="Normal 3 2 2 2 2 2 3" xfId="1369"/>
    <cellStyle name="Normal 3 2 2 2 2 2 3 2" xfId="2683"/>
    <cellStyle name="Normal 3 2 2 2 2 2 3 2 2" xfId="5904"/>
    <cellStyle name="Normal 3 2 2 2 2 2 3 2 2 2" xfId="22004"/>
    <cellStyle name="Normal 3 2 2 2 2 2 3 2 2 2 2" xfId="44591"/>
    <cellStyle name="Normal 3 2 2 2 2 2 3 2 2 3" xfId="12344"/>
    <cellStyle name="Normal 3 2 2 2 2 2 3 2 2 3 2" xfId="34931"/>
    <cellStyle name="Normal 3 2 2 2 2 2 3 2 2 4" xfId="28491"/>
    <cellStyle name="Normal 3 2 2 2 2 2 3 2 3" xfId="18784"/>
    <cellStyle name="Normal 3 2 2 2 2 2 3 2 3 2" xfId="41371"/>
    <cellStyle name="Normal 3 2 2 2 2 2 3 2 4" xfId="15564"/>
    <cellStyle name="Normal 3 2 2 2 2 2 3 2 4 2" xfId="38151"/>
    <cellStyle name="Normal 3 2 2 2 2 2 3 2 5" xfId="9124"/>
    <cellStyle name="Normal 3 2 2 2 2 2 3 2 5 2" xfId="31711"/>
    <cellStyle name="Normal 3 2 2 2 2 2 3 2 6" xfId="25271"/>
    <cellStyle name="Normal 3 2 2 2 2 2 3 3" xfId="4596"/>
    <cellStyle name="Normal 3 2 2 2 2 2 3 3 2" xfId="20696"/>
    <cellStyle name="Normal 3 2 2 2 2 2 3 3 2 2" xfId="43283"/>
    <cellStyle name="Normal 3 2 2 2 2 2 3 3 3" xfId="11036"/>
    <cellStyle name="Normal 3 2 2 2 2 2 3 3 3 2" xfId="33623"/>
    <cellStyle name="Normal 3 2 2 2 2 2 3 3 4" xfId="27183"/>
    <cellStyle name="Normal 3 2 2 2 2 2 3 4" xfId="17476"/>
    <cellStyle name="Normal 3 2 2 2 2 2 3 4 2" xfId="40063"/>
    <cellStyle name="Normal 3 2 2 2 2 2 3 5" xfId="14256"/>
    <cellStyle name="Normal 3 2 2 2 2 2 3 5 2" xfId="36843"/>
    <cellStyle name="Normal 3 2 2 2 2 2 3 6" xfId="7816"/>
    <cellStyle name="Normal 3 2 2 2 2 2 3 6 2" xfId="30403"/>
    <cellStyle name="Normal 3 2 2 2 2 2 3 7" xfId="23963"/>
    <cellStyle name="Normal 3 2 2 2 2 2 4" xfId="1630"/>
    <cellStyle name="Normal 3 2 2 2 2 2 4 2" xfId="4853"/>
    <cellStyle name="Normal 3 2 2 2 2 2 4 2 2" xfId="20953"/>
    <cellStyle name="Normal 3 2 2 2 2 2 4 2 2 2" xfId="43540"/>
    <cellStyle name="Normal 3 2 2 2 2 2 4 2 3" xfId="11293"/>
    <cellStyle name="Normal 3 2 2 2 2 2 4 2 3 2" xfId="33880"/>
    <cellStyle name="Normal 3 2 2 2 2 2 4 2 4" xfId="27440"/>
    <cellStyle name="Normal 3 2 2 2 2 2 4 3" xfId="17733"/>
    <cellStyle name="Normal 3 2 2 2 2 2 4 3 2" xfId="40320"/>
    <cellStyle name="Normal 3 2 2 2 2 2 4 4" xfId="14513"/>
    <cellStyle name="Normal 3 2 2 2 2 2 4 4 2" xfId="37100"/>
    <cellStyle name="Normal 3 2 2 2 2 2 4 5" xfId="8073"/>
    <cellStyle name="Normal 3 2 2 2 2 2 4 5 2" xfId="30660"/>
    <cellStyle name="Normal 3 2 2 2 2 2 4 6" xfId="24220"/>
    <cellStyle name="Normal 3 2 2 2 2 2 5" xfId="1988"/>
    <cellStyle name="Normal 3 2 2 2 2 2 5 2" xfId="5210"/>
    <cellStyle name="Normal 3 2 2 2 2 2 5 2 2" xfId="21310"/>
    <cellStyle name="Normal 3 2 2 2 2 2 5 2 2 2" xfId="43897"/>
    <cellStyle name="Normal 3 2 2 2 2 2 5 2 3" xfId="11650"/>
    <cellStyle name="Normal 3 2 2 2 2 2 5 2 3 2" xfId="34237"/>
    <cellStyle name="Normal 3 2 2 2 2 2 5 2 4" xfId="27797"/>
    <cellStyle name="Normal 3 2 2 2 2 2 5 3" xfId="18090"/>
    <cellStyle name="Normal 3 2 2 2 2 2 5 3 2" xfId="40677"/>
    <cellStyle name="Normal 3 2 2 2 2 2 5 4" xfId="14870"/>
    <cellStyle name="Normal 3 2 2 2 2 2 5 4 2" xfId="37457"/>
    <cellStyle name="Normal 3 2 2 2 2 2 5 5" xfId="8430"/>
    <cellStyle name="Normal 3 2 2 2 2 2 5 5 2" xfId="31017"/>
    <cellStyle name="Normal 3 2 2 2 2 2 5 6" xfId="24577"/>
    <cellStyle name="Normal 3 2 2 2 2 2 6" xfId="3010"/>
    <cellStyle name="Normal 3 2 2 2 2 2 6 2" xfId="6230"/>
    <cellStyle name="Normal 3 2 2 2 2 2 6 2 2" xfId="22330"/>
    <cellStyle name="Normal 3 2 2 2 2 2 6 2 2 2" xfId="44917"/>
    <cellStyle name="Normal 3 2 2 2 2 2 6 2 3" xfId="12670"/>
    <cellStyle name="Normal 3 2 2 2 2 2 6 2 3 2" xfId="35257"/>
    <cellStyle name="Normal 3 2 2 2 2 2 6 2 4" xfId="28817"/>
    <cellStyle name="Normal 3 2 2 2 2 2 6 3" xfId="19110"/>
    <cellStyle name="Normal 3 2 2 2 2 2 6 3 2" xfId="41697"/>
    <cellStyle name="Normal 3 2 2 2 2 2 6 4" xfId="15890"/>
    <cellStyle name="Normal 3 2 2 2 2 2 6 4 2" xfId="38477"/>
    <cellStyle name="Normal 3 2 2 2 2 2 6 5" xfId="9450"/>
    <cellStyle name="Normal 3 2 2 2 2 2 6 5 2" xfId="32037"/>
    <cellStyle name="Normal 3 2 2 2 2 2 6 6" xfId="25597"/>
    <cellStyle name="Normal 3 2 2 2 2 2 7" xfId="3300"/>
    <cellStyle name="Normal 3 2 2 2 2 2 7 2" xfId="6520"/>
    <cellStyle name="Normal 3 2 2 2 2 2 7 2 2" xfId="22620"/>
    <cellStyle name="Normal 3 2 2 2 2 2 7 2 2 2" xfId="45207"/>
    <cellStyle name="Normal 3 2 2 2 2 2 7 2 3" xfId="12960"/>
    <cellStyle name="Normal 3 2 2 2 2 2 7 2 3 2" xfId="35547"/>
    <cellStyle name="Normal 3 2 2 2 2 2 7 2 4" xfId="29107"/>
    <cellStyle name="Normal 3 2 2 2 2 2 7 3" xfId="19400"/>
    <cellStyle name="Normal 3 2 2 2 2 2 7 3 2" xfId="41987"/>
    <cellStyle name="Normal 3 2 2 2 2 2 7 4" xfId="16180"/>
    <cellStyle name="Normal 3 2 2 2 2 2 7 4 2" xfId="38767"/>
    <cellStyle name="Normal 3 2 2 2 2 2 7 5" xfId="9740"/>
    <cellStyle name="Normal 3 2 2 2 2 2 7 5 2" xfId="32327"/>
    <cellStyle name="Normal 3 2 2 2 2 2 7 6" xfId="25887"/>
    <cellStyle name="Normal 3 2 2 2 2 2 8" xfId="658"/>
    <cellStyle name="Normal 3 2 2 2 2 2 8 2" xfId="3902"/>
    <cellStyle name="Normal 3 2 2 2 2 2 8 2 2" xfId="20002"/>
    <cellStyle name="Normal 3 2 2 2 2 2 8 2 2 2" xfId="42589"/>
    <cellStyle name="Normal 3 2 2 2 2 2 8 2 3" xfId="10342"/>
    <cellStyle name="Normal 3 2 2 2 2 2 8 2 3 2" xfId="32929"/>
    <cellStyle name="Normal 3 2 2 2 2 2 8 2 4" xfId="26489"/>
    <cellStyle name="Normal 3 2 2 2 2 2 8 3" xfId="16782"/>
    <cellStyle name="Normal 3 2 2 2 2 2 8 3 2" xfId="39369"/>
    <cellStyle name="Normal 3 2 2 2 2 2 8 4" xfId="13562"/>
    <cellStyle name="Normal 3 2 2 2 2 2 8 4 2" xfId="36149"/>
    <cellStyle name="Normal 3 2 2 2 2 2 8 5" xfId="7122"/>
    <cellStyle name="Normal 3 2 2 2 2 2 8 5 2" xfId="29709"/>
    <cellStyle name="Normal 3 2 2 2 2 2 8 6" xfId="23269"/>
    <cellStyle name="Normal 3 2 2 2 2 2 9" xfId="3590"/>
    <cellStyle name="Normal 3 2 2 2 2 2 9 2" xfId="19690"/>
    <cellStyle name="Normal 3 2 2 2 2 2 9 2 2" xfId="42277"/>
    <cellStyle name="Normal 3 2 2 2 2 2 9 3" xfId="10030"/>
    <cellStyle name="Normal 3 2 2 2 2 2 9 3 2" xfId="32617"/>
    <cellStyle name="Normal 3 2 2 2 2 2 9 4" xfId="26177"/>
    <cellStyle name="Normal 3 2 2 2 2 3" xfId="399"/>
    <cellStyle name="Normal 3 2 2 2 2 3 10" xfId="16566"/>
    <cellStyle name="Normal 3 2 2 2 2 3 10 2" xfId="39153"/>
    <cellStyle name="Normal 3 2 2 2 2 3 11" xfId="13346"/>
    <cellStyle name="Normal 3 2 2 2 2 3 11 2" xfId="35933"/>
    <cellStyle name="Normal 3 2 2 2 2 3 12" xfId="6906"/>
    <cellStyle name="Normal 3 2 2 2 2 3 12 2" xfId="29493"/>
    <cellStyle name="Normal 3 2 2 2 2 3 13" xfId="23053"/>
    <cellStyle name="Normal 3 2 2 2 2 3 2" xfId="1181"/>
    <cellStyle name="Normal 3 2 2 2 2 3 2 2" xfId="2495"/>
    <cellStyle name="Normal 3 2 2 2 2 3 2 2 2" xfId="5716"/>
    <cellStyle name="Normal 3 2 2 2 2 3 2 2 2 2" xfId="21816"/>
    <cellStyle name="Normal 3 2 2 2 2 3 2 2 2 2 2" xfId="44403"/>
    <cellStyle name="Normal 3 2 2 2 2 3 2 2 2 3" xfId="12156"/>
    <cellStyle name="Normal 3 2 2 2 2 3 2 2 2 3 2" xfId="34743"/>
    <cellStyle name="Normal 3 2 2 2 2 3 2 2 2 4" xfId="28303"/>
    <cellStyle name="Normal 3 2 2 2 2 3 2 2 3" xfId="18596"/>
    <cellStyle name="Normal 3 2 2 2 2 3 2 2 3 2" xfId="41183"/>
    <cellStyle name="Normal 3 2 2 2 2 3 2 2 4" xfId="15376"/>
    <cellStyle name="Normal 3 2 2 2 2 3 2 2 4 2" xfId="37963"/>
    <cellStyle name="Normal 3 2 2 2 2 3 2 2 5" xfId="8936"/>
    <cellStyle name="Normal 3 2 2 2 2 3 2 2 5 2" xfId="31523"/>
    <cellStyle name="Normal 3 2 2 2 2 3 2 2 6" xfId="25083"/>
    <cellStyle name="Normal 3 2 2 2 2 3 2 3" xfId="4408"/>
    <cellStyle name="Normal 3 2 2 2 2 3 2 3 2" xfId="20508"/>
    <cellStyle name="Normal 3 2 2 2 2 3 2 3 2 2" xfId="43095"/>
    <cellStyle name="Normal 3 2 2 2 2 3 2 3 3" xfId="10848"/>
    <cellStyle name="Normal 3 2 2 2 2 3 2 3 3 2" xfId="33435"/>
    <cellStyle name="Normal 3 2 2 2 2 3 2 3 4" xfId="26995"/>
    <cellStyle name="Normal 3 2 2 2 2 3 2 4" xfId="17288"/>
    <cellStyle name="Normal 3 2 2 2 2 3 2 4 2" xfId="39875"/>
    <cellStyle name="Normal 3 2 2 2 2 3 2 5" xfId="14068"/>
    <cellStyle name="Normal 3 2 2 2 2 3 2 5 2" xfId="36655"/>
    <cellStyle name="Normal 3 2 2 2 2 3 2 6" xfId="7628"/>
    <cellStyle name="Normal 3 2 2 2 2 3 2 6 2" xfId="30215"/>
    <cellStyle name="Normal 3 2 2 2 2 3 2 7" xfId="23775"/>
    <cellStyle name="Normal 3 2 2 2 2 3 3" xfId="1528"/>
    <cellStyle name="Normal 3 2 2 2 2 3 3 2" xfId="2842"/>
    <cellStyle name="Normal 3 2 2 2 2 3 3 2 2" xfId="6063"/>
    <cellStyle name="Normal 3 2 2 2 2 3 3 2 2 2" xfId="22163"/>
    <cellStyle name="Normal 3 2 2 2 2 3 3 2 2 2 2" xfId="44750"/>
    <cellStyle name="Normal 3 2 2 2 2 3 3 2 2 3" xfId="12503"/>
    <cellStyle name="Normal 3 2 2 2 2 3 3 2 2 3 2" xfId="35090"/>
    <cellStyle name="Normal 3 2 2 2 2 3 3 2 2 4" xfId="28650"/>
    <cellStyle name="Normal 3 2 2 2 2 3 3 2 3" xfId="18943"/>
    <cellStyle name="Normal 3 2 2 2 2 3 3 2 3 2" xfId="41530"/>
    <cellStyle name="Normal 3 2 2 2 2 3 3 2 4" xfId="15723"/>
    <cellStyle name="Normal 3 2 2 2 2 3 3 2 4 2" xfId="38310"/>
    <cellStyle name="Normal 3 2 2 2 2 3 3 2 5" xfId="9283"/>
    <cellStyle name="Normal 3 2 2 2 2 3 3 2 5 2" xfId="31870"/>
    <cellStyle name="Normal 3 2 2 2 2 3 3 2 6" xfId="25430"/>
    <cellStyle name="Normal 3 2 2 2 2 3 3 3" xfId="4755"/>
    <cellStyle name="Normal 3 2 2 2 2 3 3 3 2" xfId="20855"/>
    <cellStyle name="Normal 3 2 2 2 2 3 3 3 2 2" xfId="43442"/>
    <cellStyle name="Normal 3 2 2 2 2 3 3 3 3" xfId="11195"/>
    <cellStyle name="Normal 3 2 2 2 2 3 3 3 3 2" xfId="33782"/>
    <cellStyle name="Normal 3 2 2 2 2 3 3 3 4" xfId="27342"/>
    <cellStyle name="Normal 3 2 2 2 2 3 3 4" xfId="17635"/>
    <cellStyle name="Normal 3 2 2 2 2 3 3 4 2" xfId="40222"/>
    <cellStyle name="Normal 3 2 2 2 2 3 3 5" xfId="14415"/>
    <cellStyle name="Normal 3 2 2 2 2 3 3 5 2" xfId="37002"/>
    <cellStyle name="Normal 3 2 2 2 2 3 3 6" xfId="7975"/>
    <cellStyle name="Normal 3 2 2 2 2 3 3 6 2" xfId="30562"/>
    <cellStyle name="Normal 3 2 2 2 2 3 3 7" xfId="24122"/>
    <cellStyle name="Normal 3 2 2 2 2 3 4" xfId="1631"/>
    <cellStyle name="Normal 3 2 2 2 2 3 4 2" xfId="4854"/>
    <cellStyle name="Normal 3 2 2 2 2 3 4 2 2" xfId="20954"/>
    <cellStyle name="Normal 3 2 2 2 2 3 4 2 2 2" xfId="43541"/>
    <cellStyle name="Normal 3 2 2 2 2 3 4 2 3" xfId="11294"/>
    <cellStyle name="Normal 3 2 2 2 2 3 4 2 3 2" xfId="33881"/>
    <cellStyle name="Normal 3 2 2 2 2 3 4 2 4" xfId="27441"/>
    <cellStyle name="Normal 3 2 2 2 2 3 4 3" xfId="17734"/>
    <cellStyle name="Normal 3 2 2 2 2 3 4 3 2" xfId="40321"/>
    <cellStyle name="Normal 3 2 2 2 2 3 4 4" xfId="14514"/>
    <cellStyle name="Normal 3 2 2 2 2 3 4 4 2" xfId="37101"/>
    <cellStyle name="Normal 3 2 2 2 2 3 4 5" xfId="8074"/>
    <cellStyle name="Normal 3 2 2 2 2 3 4 5 2" xfId="30661"/>
    <cellStyle name="Normal 3 2 2 2 2 3 4 6" xfId="24221"/>
    <cellStyle name="Normal 3 2 2 2 2 3 5" xfId="2148"/>
    <cellStyle name="Normal 3 2 2 2 2 3 5 2" xfId="5369"/>
    <cellStyle name="Normal 3 2 2 2 2 3 5 2 2" xfId="21469"/>
    <cellStyle name="Normal 3 2 2 2 2 3 5 2 2 2" xfId="44056"/>
    <cellStyle name="Normal 3 2 2 2 2 3 5 2 3" xfId="11809"/>
    <cellStyle name="Normal 3 2 2 2 2 3 5 2 3 2" xfId="34396"/>
    <cellStyle name="Normal 3 2 2 2 2 3 5 2 4" xfId="27956"/>
    <cellStyle name="Normal 3 2 2 2 2 3 5 3" xfId="18249"/>
    <cellStyle name="Normal 3 2 2 2 2 3 5 3 2" xfId="40836"/>
    <cellStyle name="Normal 3 2 2 2 2 3 5 4" xfId="15029"/>
    <cellStyle name="Normal 3 2 2 2 2 3 5 4 2" xfId="37616"/>
    <cellStyle name="Normal 3 2 2 2 2 3 5 5" xfId="8589"/>
    <cellStyle name="Normal 3 2 2 2 2 3 5 5 2" xfId="31176"/>
    <cellStyle name="Normal 3 2 2 2 2 3 5 6" xfId="24736"/>
    <cellStyle name="Normal 3 2 2 2 2 3 6" xfId="3106"/>
    <cellStyle name="Normal 3 2 2 2 2 3 6 2" xfId="6326"/>
    <cellStyle name="Normal 3 2 2 2 2 3 6 2 2" xfId="22426"/>
    <cellStyle name="Normal 3 2 2 2 2 3 6 2 2 2" xfId="45013"/>
    <cellStyle name="Normal 3 2 2 2 2 3 6 2 3" xfId="12766"/>
    <cellStyle name="Normal 3 2 2 2 2 3 6 2 3 2" xfId="35353"/>
    <cellStyle name="Normal 3 2 2 2 2 3 6 2 4" xfId="28913"/>
    <cellStyle name="Normal 3 2 2 2 2 3 6 3" xfId="19206"/>
    <cellStyle name="Normal 3 2 2 2 2 3 6 3 2" xfId="41793"/>
    <cellStyle name="Normal 3 2 2 2 2 3 6 4" xfId="15986"/>
    <cellStyle name="Normal 3 2 2 2 2 3 6 4 2" xfId="38573"/>
    <cellStyle name="Normal 3 2 2 2 2 3 6 5" xfId="9546"/>
    <cellStyle name="Normal 3 2 2 2 2 3 6 5 2" xfId="32133"/>
    <cellStyle name="Normal 3 2 2 2 2 3 6 6" xfId="25693"/>
    <cellStyle name="Normal 3 2 2 2 2 3 7" xfId="3396"/>
    <cellStyle name="Normal 3 2 2 2 2 3 7 2" xfId="6616"/>
    <cellStyle name="Normal 3 2 2 2 2 3 7 2 2" xfId="22716"/>
    <cellStyle name="Normal 3 2 2 2 2 3 7 2 2 2" xfId="45303"/>
    <cellStyle name="Normal 3 2 2 2 2 3 7 2 3" xfId="13056"/>
    <cellStyle name="Normal 3 2 2 2 2 3 7 2 3 2" xfId="35643"/>
    <cellStyle name="Normal 3 2 2 2 2 3 7 2 4" xfId="29203"/>
    <cellStyle name="Normal 3 2 2 2 2 3 7 3" xfId="19496"/>
    <cellStyle name="Normal 3 2 2 2 2 3 7 3 2" xfId="42083"/>
    <cellStyle name="Normal 3 2 2 2 2 3 7 4" xfId="16276"/>
    <cellStyle name="Normal 3 2 2 2 2 3 7 4 2" xfId="38863"/>
    <cellStyle name="Normal 3 2 2 2 2 3 7 5" xfId="9836"/>
    <cellStyle name="Normal 3 2 2 2 2 3 7 5 2" xfId="32423"/>
    <cellStyle name="Normal 3 2 2 2 2 3 7 6" xfId="25983"/>
    <cellStyle name="Normal 3 2 2 2 2 3 8" xfId="829"/>
    <cellStyle name="Normal 3 2 2 2 2 3 8 2" xfId="4061"/>
    <cellStyle name="Normal 3 2 2 2 2 3 8 2 2" xfId="20161"/>
    <cellStyle name="Normal 3 2 2 2 2 3 8 2 2 2" xfId="42748"/>
    <cellStyle name="Normal 3 2 2 2 2 3 8 2 3" xfId="10501"/>
    <cellStyle name="Normal 3 2 2 2 2 3 8 2 3 2" xfId="33088"/>
    <cellStyle name="Normal 3 2 2 2 2 3 8 2 4" xfId="26648"/>
    <cellStyle name="Normal 3 2 2 2 2 3 8 3" xfId="16941"/>
    <cellStyle name="Normal 3 2 2 2 2 3 8 3 2" xfId="39528"/>
    <cellStyle name="Normal 3 2 2 2 2 3 8 4" xfId="13721"/>
    <cellStyle name="Normal 3 2 2 2 2 3 8 4 2" xfId="36308"/>
    <cellStyle name="Normal 3 2 2 2 2 3 8 5" xfId="7281"/>
    <cellStyle name="Normal 3 2 2 2 2 3 8 5 2" xfId="29868"/>
    <cellStyle name="Normal 3 2 2 2 2 3 8 6" xfId="23428"/>
    <cellStyle name="Normal 3 2 2 2 2 3 9" xfId="3686"/>
    <cellStyle name="Normal 3 2 2 2 2 3 9 2" xfId="19786"/>
    <cellStyle name="Normal 3 2 2 2 2 3 9 2 2" xfId="42373"/>
    <cellStyle name="Normal 3 2 2 2 2 3 9 3" xfId="10126"/>
    <cellStyle name="Normal 3 2 2 2 2 3 9 3 2" xfId="32713"/>
    <cellStyle name="Normal 3 2 2 2 2 3 9 4" xfId="26273"/>
    <cellStyle name="Normal 3 2 2 2 2 4" xfId="898"/>
    <cellStyle name="Normal 3 2 2 2 2 4 2" xfId="2217"/>
    <cellStyle name="Normal 3 2 2 2 2 4 2 2" xfId="5438"/>
    <cellStyle name="Normal 3 2 2 2 2 4 2 2 2" xfId="21538"/>
    <cellStyle name="Normal 3 2 2 2 2 4 2 2 2 2" xfId="44125"/>
    <cellStyle name="Normal 3 2 2 2 2 4 2 2 3" xfId="11878"/>
    <cellStyle name="Normal 3 2 2 2 2 4 2 2 3 2" xfId="34465"/>
    <cellStyle name="Normal 3 2 2 2 2 4 2 2 4" xfId="28025"/>
    <cellStyle name="Normal 3 2 2 2 2 4 2 3" xfId="18318"/>
    <cellStyle name="Normal 3 2 2 2 2 4 2 3 2" xfId="40905"/>
    <cellStyle name="Normal 3 2 2 2 2 4 2 4" xfId="15098"/>
    <cellStyle name="Normal 3 2 2 2 2 4 2 4 2" xfId="37685"/>
    <cellStyle name="Normal 3 2 2 2 2 4 2 5" xfId="8658"/>
    <cellStyle name="Normal 3 2 2 2 2 4 2 5 2" xfId="31245"/>
    <cellStyle name="Normal 3 2 2 2 2 4 2 6" xfId="24805"/>
    <cellStyle name="Normal 3 2 2 2 2 4 3" xfId="4130"/>
    <cellStyle name="Normal 3 2 2 2 2 4 3 2" xfId="20230"/>
    <cellStyle name="Normal 3 2 2 2 2 4 3 2 2" xfId="42817"/>
    <cellStyle name="Normal 3 2 2 2 2 4 3 3" xfId="10570"/>
    <cellStyle name="Normal 3 2 2 2 2 4 3 3 2" xfId="33157"/>
    <cellStyle name="Normal 3 2 2 2 2 4 3 4" xfId="26717"/>
    <cellStyle name="Normal 3 2 2 2 2 4 4" xfId="17010"/>
    <cellStyle name="Normal 3 2 2 2 2 4 4 2" xfId="39597"/>
    <cellStyle name="Normal 3 2 2 2 2 4 5" xfId="13790"/>
    <cellStyle name="Normal 3 2 2 2 2 4 5 2" xfId="36377"/>
    <cellStyle name="Normal 3 2 2 2 2 4 6" xfId="7350"/>
    <cellStyle name="Normal 3 2 2 2 2 4 6 2" xfId="29937"/>
    <cellStyle name="Normal 3 2 2 2 2 4 7" xfId="23497"/>
    <cellStyle name="Normal 3 2 2 2 2 5" xfId="1250"/>
    <cellStyle name="Normal 3 2 2 2 2 5 2" xfId="2564"/>
    <cellStyle name="Normal 3 2 2 2 2 5 2 2" xfId="5785"/>
    <cellStyle name="Normal 3 2 2 2 2 5 2 2 2" xfId="21885"/>
    <cellStyle name="Normal 3 2 2 2 2 5 2 2 2 2" xfId="44472"/>
    <cellStyle name="Normal 3 2 2 2 2 5 2 2 3" xfId="12225"/>
    <cellStyle name="Normal 3 2 2 2 2 5 2 2 3 2" xfId="34812"/>
    <cellStyle name="Normal 3 2 2 2 2 5 2 2 4" xfId="28372"/>
    <cellStyle name="Normal 3 2 2 2 2 5 2 3" xfId="18665"/>
    <cellStyle name="Normal 3 2 2 2 2 5 2 3 2" xfId="41252"/>
    <cellStyle name="Normal 3 2 2 2 2 5 2 4" xfId="15445"/>
    <cellStyle name="Normal 3 2 2 2 2 5 2 4 2" xfId="38032"/>
    <cellStyle name="Normal 3 2 2 2 2 5 2 5" xfId="9005"/>
    <cellStyle name="Normal 3 2 2 2 2 5 2 5 2" xfId="31592"/>
    <cellStyle name="Normal 3 2 2 2 2 5 2 6" xfId="25152"/>
    <cellStyle name="Normal 3 2 2 2 2 5 3" xfId="4477"/>
    <cellStyle name="Normal 3 2 2 2 2 5 3 2" xfId="20577"/>
    <cellStyle name="Normal 3 2 2 2 2 5 3 2 2" xfId="43164"/>
    <cellStyle name="Normal 3 2 2 2 2 5 3 3" xfId="10917"/>
    <cellStyle name="Normal 3 2 2 2 2 5 3 3 2" xfId="33504"/>
    <cellStyle name="Normal 3 2 2 2 2 5 3 4" xfId="27064"/>
    <cellStyle name="Normal 3 2 2 2 2 5 4" xfId="17357"/>
    <cellStyle name="Normal 3 2 2 2 2 5 4 2" xfId="39944"/>
    <cellStyle name="Normal 3 2 2 2 2 5 5" xfId="14137"/>
    <cellStyle name="Normal 3 2 2 2 2 5 5 2" xfId="36724"/>
    <cellStyle name="Normal 3 2 2 2 2 5 6" xfId="7697"/>
    <cellStyle name="Normal 3 2 2 2 2 5 6 2" xfId="30284"/>
    <cellStyle name="Normal 3 2 2 2 2 5 7" xfId="23844"/>
    <cellStyle name="Normal 3 2 2 2 2 6" xfId="1632"/>
    <cellStyle name="Normal 3 2 2 2 2 6 2" xfId="4855"/>
    <cellStyle name="Normal 3 2 2 2 2 6 2 2" xfId="20955"/>
    <cellStyle name="Normal 3 2 2 2 2 6 2 2 2" xfId="43542"/>
    <cellStyle name="Normal 3 2 2 2 2 6 2 3" xfId="11295"/>
    <cellStyle name="Normal 3 2 2 2 2 6 2 3 2" xfId="33882"/>
    <cellStyle name="Normal 3 2 2 2 2 6 2 4" xfId="27442"/>
    <cellStyle name="Normal 3 2 2 2 2 6 3" xfId="17735"/>
    <cellStyle name="Normal 3 2 2 2 2 6 3 2" xfId="40322"/>
    <cellStyle name="Normal 3 2 2 2 2 6 4" xfId="14515"/>
    <cellStyle name="Normal 3 2 2 2 2 6 4 2" xfId="37102"/>
    <cellStyle name="Normal 3 2 2 2 2 6 5" xfId="8075"/>
    <cellStyle name="Normal 3 2 2 2 2 6 5 2" xfId="30662"/>
    <cellStyle name="Normal 3 2 2 2 2 6 6" xfId="24222"/>
    <cellStyle name="Normal 3 2 2 2 2 7" xfId="1869"/>
    <cellStyle name="Normal 3 2 2 2 2 7 2" xfId="5091"/>
    <cellStyle name="Normal 3 2 2 2 2 7 2 2" xfId="21191"/>
    <cellStyle name="Normal 3 2 2 2 2 7 2 2 2" xfId="43778"/>
    <cellStyle name="Normal 3 2 2 2 2 7 2 3" xfId="11531"/>
    <cellStyle name="Normal 3 2 2 2 2 7 2 3 2" xfId="34118"/>
    <cellStyle name="Normal 3 2 2 2 2 7 2 4" xfId="27678"/>
    <cellStyle name="Normal 3 2 2 2 2 7 3" xfId="17971"/>
    <cellStyle name="Normal 3 2 2 2 2 7 3 2" xfId="40558"/>
    <cellStyle name="Normal 3 2 2 2 2 7 4" xfId="14751"/>
    <cellStyle name="Normal 3 2 2 2 2 7 4 2" xfId="37338"/>
    <cellStyle name="Normal 3 2 2 2 2 7 5" xfId="8311"/>
    <cellStyle name="Normal 3 2 2 2 2 7 5 2" xfId="30898"/>
    <cellStyle name="Normal 3 2 2 2 2 7 6" xfId="24458"/>
    <cellStyle name="Normal 3 2 2 2 2 8" xfId="2912"/>
    <cellStyle name="Normal 3 2 2 2 2 8 2" xfId="6133"/>
    <cellStyle name="Normal 3 2 2 2 2 8 2 2" xfId="22233"/>
    <cellStyle name="Normal 3 2 2 2 2 8 2 2 2" xfId="44820"/>
    <cellStyle name="Normal 3 2 2 2 2 8 2 3" xfId="12573"/>
    <cellStyle name="Normal 3 2 2 2 2 8 2 3 2" xfId="35160"/>
    <cellStyle name="Normal 3 2 2 2 2 8 2 4" xfId="28720"/>
    <cellStyle name="Normal 3 2 2 2 2 8 3" xfId="19013"/>
    <cellStyle name="Normal 3 2 2 2 2 8 3 2" xfId="41600"/>
    <cellStyle name="Normal 3 2 2 2 2 8 4" xfId="15793"/>
    <cellStyle name="Normal 3 2 2 2 2 8 4 2" xfId="38380"/>
    <cellStyle name="Normal 3 2 2 2 2 8 5" xfId="9353"/>
    <cellStyle name="Normal 3 2 2 2 2 8 5 2" xfId="31940"/>
    <cellStyle name="Normal 3 2 2 2 2 8 6" xfId="25500"/>
    <cellStyle name="Normal 3 2 2 2 2 9" xfId="3203"/>
    <cellStyle name="Normal 3 2 2 2 2 9 2" xfId="6423"/>
    <cellStyle name="Normal 3 2 2 2 2 9 2 2" xfId="22523"/>
    <cellStyle name="Normal 3 2 2 2 2 9 2 2 2" xfId="45110"/>
    <cellStyle name="Normal 3 2 2 2 2 9 2 3" xfId="12863"/>
    <cellStyle name="Normal 3 2 2 2 2 9 2 3 2" xfId="35450"/>
    <cellStyle name="Normal 3 2 2 2 2 9 2 4" xfId="29010"/>
    <cellStyle name="Normal 3 2 2 2 2 9 3" xfId="19303"/>
    <cellStyle name="Normal 3 2 2 2 2 9 3 2" xfId="41890"/>
    <cellStyle name="Normal 3 2 2 2 2 9 4" xfId="16083"/>
    <cellStyle name="Normal 3 2 2 2 2 9 4 2" xfId="38670"/>
    <cellStyle name="Normal 3 2 2 2 2 9 5" xfId="9643"/>
    <cellStyle name="Normal 3 2 2 2 2 9 5 2" xfId="32230"/>
    <cellStyle name="Normal 3 2 2 2 2 9 6" xfId="25790"/>
    <cellStyle name="Normal 3 2 2 2 3" xfId="262"/>
    <cellStyle name="Normal 3 2 2 2 3 10" xfId="3549"/>
    <cellStyle name="Normal 3 2 2 2 3 10 2" xfId="19649"/>
    <cellStyle name="Normal 3 2 2 2 3 10 2 2" xfId="42236"/>
    <cellStyle name="Normal 3 2 2 2 3 10 3" xfId="9989"/>
    <cellStyle name="Normal 3 2 2 2 3 10 3 2" xfId="32576"/>
    <cellStyle name="Normal 3 2 2 2 3 10 4" xfId="26136"/>
    <cellStyle name="Normal 3 2 2 2 3 11" xfId="16429"/>
    <cellStyle name="Normal 3 2 2 2 3 11 2" xfId="39016"/>
    <cellStyle name="Normal 3 2 2 2 3 12" xfId="13209"/>
    <cellStyle name="Normal 3 2 2 2 3 12 2" xfId="35796"/>
    <cellStyle name="Normal 3 2 2 2 3 13" xfId="6769"/>
    <cellStyle name="Normal 3 2 2 2 3 13 2" xfId="29356"/>
    <cellStyle name="Normal 3 2 2 2 3 14" xfId="22916"/>
    <cellStyle name="Normal 3 2 2 2 3 2" xfId="695"/>
    <cellStyle name="Normal 3 2 2 2 3 2 10" xfId="23306"/>
    <cellStyle name="Normal 3 2 2 2 3 2 2" xfId="1059"/>
    <cellStyle name="Normal 3 2 2 2 3 2 2 2" xfId="2373"/>
    <cellStyle name="Normal 3 2 2 2 3 2 2 2 2" xfId="5594"/>
    <cellStyle name="Normal 3 2 2 2 3 2 2 2 2 2" xfId="21694"/>
    <cellStyle name="Normal 3 2 2 2 3 2 2 2 2 2 2" xfId="44281"/>
    <cellStyle name="Normal 3 2 2 2 3 2 2 2 2 3" xfId="12034"/>
    <cellStyle name="Normal 3 2 2 2 3 2 2 2 2 3 2" xfId="34621"/>
    <cellStyle name="Normal 3 2 2 2 3 2 2 2 2 4" xfId="28181"/>
    <cellStyle name="Normal 3 2 2 2 3 2 2 2 3" xfId="18474"/>
    <cellStyle name="Normal 3 2 2 2 3 2 2 2 3 2" xfId="41061"/>
    <cellStyle name="Normal 3 2 2 2 3 2 2 2 4" xfId="15254"/>
    <cellStyle name="Normal 3 2 2 2 3 2 2 2 4 2" xfId="37841"/>
    <cellStyle name="Normal 3 2 2 2 3 2 2 2 5" xfId="8814"/>
    <cellStyle name="Normal 3 2 2 2 3 2 2 2 5 2" xfId="31401"/>
    <cellStyle name="Normal 3 2 2 2 3 2 2 2 6" xfId="24961"/>
    <cellStyle name="Normal 3 2 2 2 3 2 2 3" xfId="4286"/>
    <cellStyle name="Normal 3 2 2 2 3 2 2 3 2" xfId="20386"/>
    <cellStyle name="Normal 3 2 2 2 3 2 2 3 2 2" xfId="42973"/>
    <cellStyle name="Normal 3 2 2 2 3 2 2 3 3" xfId="10726"/>
    <cellStyle name="Normal 3 2 2 2 3 2 2 3 3 2" xfId="33313"/>
    <cellStyle name="Normal 3 2 2 2 3 2 2 3 4" xfId="26873"/>
    <cellStyle name="Normal 3 2 2 2 3 2 2 4" xfId="17166"/>
    <cellStyle name="Normal 3 2 2 2 3 2 2 4 2" xfId="39753"/>
    <cellStyle name="Normal 3 2 2 2 3 2 2 5" xfId="13946"/>
    <cellStyle name="Normal 3 2 2 2 3 2 2 5 2" xfId="36533"/>
    <cellStyle name="Normal 3 2 2 2 3 2 2 6" xfId="7506"/>
    <cellStyle name="Normal 3 2 2 2 3 2 2 6 2" xfId="30093"/>
    <cellStyle name="Normal 3 2 2 2 3 2 2 7" xfId="23653"/>
    <cellStyle name="Normal 3 2 2 2 3 2 3" xfId="1406"/>
    <cellStyle name="Normal 3 2 2 2 3 2 3 2" xfId="2720"/>
    <cellStyle name="Normal 3 2 2 2 3 2 3 2 2" xfId="5941"/>
    <cellStyle name="Normal 3 2 2 2 3 2 3 2 2 2" xfId="22041"/>
    <cellStyle name="Normal 3 2 2 2 3 2 3 2 2 2 2" xfId="44628"/>
    <cellStyle name="Normal 3 2 2 2 3 2 3 2 2 3" xfId="12381"/>
    <cellStyle name="Normal 3 2 2 2 3 2 3 2 2 3 2" xfId="34968"/>
    <cellStyle name="Normal 3 2 2 2 3 2 3 2 2 4" xfId="28528"/>
    <cellStyle name="Normal 3 2 2 2 3 2 3 2 3" xfId="18821"/>
    <cellStyle name="Normal 3 2 2 2 3 2 3 2 3 2" xfId="41408"/>
    <cellStyle name="Normal 3 2 2 2 3 2 3 2 4" xfId="15601"/>
    <cellStyle name="Normal 3 2 2 2 3 2 3 2 4 2" xfId="38188"/>
    <cellStyle name="Normal 3 2 2 2 3 2 3 2 5" xfId="9161"/>
    <cellStyle name="Normal 3 2 2 2 3 2 3 2 5 2" xfId="31748"/>
    <cellStyle name="Normal 3 2 2 2 3 2 3 2 6" xfId="25308"/>
    <cellStyle name="Normal 3 2 2 2 3 2 3 3" xfId="4633"/>
    <cellStyle name="Normal 3 2 2 2 3 2 3 3 2" xfId="20733"/>
    <cellStyle name="Normal 3 2 2 2 3 2 3 3 2 2" xfId="43320"/>
    <cellStyle name="Normal 3 2 2 2 3 2 3 3 3" xfId="11073"/>
    <cellStyle name="Normal 3 2 2 2 3 2 3 3 3 2" xfId="33660"/>
    <cellStyle name="Normal 3 2 2 2 3 2 3 3 4" xfId="27220"/>
    <cellStyle name="Normal 3 2 2 2 3 2 3 4" xfId="17513"/>
    <cellStyle name="Normal 3 2 2 2 3 2 3 4 2" xfId="40100"/>
    <cellStyle name="Normal 3 2 2 2 3 2 3 5" xfId="14293"/>
    <cellStyle name="Normal 3 2 2 2 3 2 3 5 2" xfId="36880"/>
    <cellStyle name="Normal 3 2 2 2 3 2 3 6" xfId="7853"/>
    <cellStyle name="Normal 3 2 2 2 3 2 3 6 2" xfId="30440"/>
    <cellStyle name="Normal 3 2 2 2 3 2 3 7" xfId="24000"/>
    <cellStyle name="Normal 3 2 2 2 3 2 4" xfId="1633"/>
    <cellStyle name="Normal 3 2 2 2 3 2 4 2" xfId="4856"/>
    <cellStyle name="Normal 3 2 2 2 3 2 4 2 2" xfId="20956"/>
    <cellStyle name="Normal 3 2 2 2 3 2 4 2 2 2" xfId="43543"/>
    <cellStyle name="Normal 3 2 2 2 3 2 4 2 3" xfId="11296"/>
    <cellStyle name="Normal 3 2 2 2 3 2 4 2 3 2" xfId="33883"/>
    <cellStyle name="Normal 3 2 2 2 3 2 4 2 4" xfId="27443"/>
    <cellStyle name="Normal 3 2 2 2 3 2 4 3" xfId="17736"/>
    <cellStyle name="Normal 3 2 2 2 3 2 4 3 2" xfId="40323"/>
    <cellStyle name="Normal 3 2 2 2 3 2 4 4" xfId="14516"/>
    <cellStyle name="Normal 3 2 2 2 3 2 4 4 2" xfId="37103"/>
    <cellStyle name="Normal 3 2 2 2 3 2 4 5" xfId="8076"/>
    <cellStyle name="Normal 3 2 2 2 3 2 4 5 2" xfId="30663"/>
    <cellStyle name="Normal 3 2 2 2 3 2 4 6" xfId="24223"/>
    <cellStyle name="Normal 3 2 2 2 3 2 5" xfId="2025"/>
    <cellStyle name="Normal 3 2 2 2 3 2 5 2" xfId="5247"/>
    <cellStyle name="Normal 3 2 2 2 3 2 5 2 2" xfId="21347"/>
    <cellStyle name="Normal 3 2 2 2 3 2 5 2 2 2" xfId="43934"/>
    <cellStyle name="Normal 3 2 2 2 3 2 5 2 3" xfId="11687"/>
    <cellStyle name="Normal 3 2 2 2 3 2 5 2 3 2" xfId="34274"/>
    <cellStyle name="Normal 3 2 2 2 3 2 5 2 4" xfId="27834"/>
    <cellStyle name="Normal 3 2 2 2 3 2 5 3" xfId="18127"/>
    <cellStyle name="Normal 3 2 2 2 3 2 5 3 2" xfId="40714"/>
    <cellStyle name="Normal 3 2 2 2 3 2 5 4" xfId="14907"/>
    <cellStyle name="Normal 3 2 2 2 3 2 5 4 2" xfId="37494"/>
    <cellStyle name="Normal 3 2 2 2 3 2 5 5" xfId="8467"/>
    <cellStyle name="Normal 3 2 2 2 3 2 5 5 2" xfId="31054"/>
    <cellStyle name="Normal 3 2 2 2 3 2 5 6" xfId="24614"/>
    <cellStyle name="Normal 3 2 2 2 3 2 6" xfId="3939"/>
    <cellStyle name="Normal 3 2 2 2 3 2 6 2" xfId="20039"/>
    <cellStyle name="Normal 3 2 2 2 3 2 6 2 2" xfId="42626"/>
    <cellStyle name="Normal 3 2 2 2 3 2 6 3" xfId="10379"/>
    <cellStyle name="Normal 3 2 2 2 3 2 6 3 2" xfId="32966"/>
    <cellStyle name="Normal 3 2 2 2 3 2 6 4" xfId="26526"/>
    <cellStyle name="Normal 3 2 2 2 3 2 7" xfId="16819"/>
    <cellStyle name="Normal 3 2 2 2 3 2 7 2" xfId="39406"/>
    <cellStyle name="Normal 3 2 2 2 3 2 8" xfId="13599"/>
    <cellStyle name="Normal 3 2 2 2 3 2 8 2" xfId="36186"/>
    <cellStyle name="Normal 3 2 2 2 3 2 9" xfId="7159"/>
    <cellStyle name="Normal 3 2 2 2 3 2 9 2" xfId="29746"/>
    <cellStyle name="Normal 3 2 2 2 3 3" xfId="938"/>
    <cellStyle name="Normal 3 2 2 2 3 3 2" xfId="2257"/>
    <cellStyle name="Normal 3 2 2 2 3 3 2 2" xfId="5478"/>
    <cellStyle name="Normal 3 2 2 2 3 3 2 2 2" xfId="21578"/>
    <cellStyle name="Normal 3 2 2 2 3 3 2 2 2 2" xfId="44165"/>
    <cellStyle name="Normal 3 2 2 2 3 3 2 2 3" xfId="11918"/>
    <cellStyle name="Normal 3 2 2 2 3 3 2 2 3 2" xfId="34505"/>
    <cellStyle name="Normal 3 2 2 2 3 3 2 2 4" xfId="28065"/>
    <cellStyle name="Normal 3 2 2 2 3 3 2 3" xfId="18358"/>
    <cellStyle name="Normal 3 2 2 2 3 3 2 3 2" xfId="40945"/>
    <cellStyle name="Normal 3 2 2 2 3 3 2 4" xfId="15138"/>
    <cellStyle name="Normal 3 2 2 2 3 3 2 4 2" xfId="37725"/>
    <cellStyle name="Normal 3 2 2 2 3 3 2 5" xfId="8698"/>
    <cellStyle name="Normal 3 2 2 2 3 3 2 5 2" xfId="31285"/>
    <cellStyle name="Normal 3 2 2 2 3 3 2 6" xfId="24845"/>
    <cellStyle name="Normal 3 2 2 2 3 3 3" xfId="4170"/>
    <cellStyle name="Normal 3 2 2 2 3 3 3 2" xfId="20270"/>
    <cellStyle name="Normal 3 2 2 2 3 3 3 2 2" xfId="42857"/>
    <cellStyle name="Normal 3 2 2 2 3 3 3 3" xfId="10610"/>
    <cellStyle name="Normal 3 2 2 2 3 3 3 3 2" xfId="33197"/>
    <cellStyle name="Normal 3 2 2 2 3 3 3 4" xfId="26757"/>
    <cellStyle name="Normal 3 2 2 2 3 3 4" xfId="17050"/>
    <cellStyle name="Normal 3 2 2 2 3 3 4 2" xfId="39637"/>
    <cellStyle name="Normal 3 2 2 2 3 3 5" xfId="13830"/>
    <cellStyle name="Normal 3 2 2 2 3 3 5 2" xfId="36417"/>
    <cellStyle name="Normal 3 2 2 2 3 3 6" xfId="7390"/>
    <cellStyle name="Normal 3 2 2 2 3 3 6 2" xfId="29977"/>
    <cellStyle name="Normal 3 2 2 2 3 3 7" xfId="23537"/>
    <cellStyle name="Normal 3 2 2 2 3 4" xfId="1290"/>
    <cellStyle name="Normal 3 2 2 2 3 4 2" xfId="2604"/>
    <cellStyle name="Normal 3 2 2 2 3 4 2 2" xfId="5825"/>
    <cellStyle name="Normal 3 2 2 2 3 4 2 2 2" xfId="21925"/>
    <cellStyle name="Normal 3 2 2 2 3 4 2 2 2 2" xfId="44512"/>
    <cellStyle name="Normal 3 2 2 2 3 4 2 2 3" xfId="12265"/>
    <cellStyle name="Normal 3 2 2 2 3 4 2 2 3 2" xfId="34852"/>
    <cellStyle name="Normal 3 2 2 2 3 4 2 2 4" xfId="28412"/>
    <cellStyle name="Normal 3 2 2 2 3 4 2 3" xfId="18705"/>
    <cellStyle name="Normal 3 2 2 2 3 4 2 3 2" xfId="41292"/>
    <cellStyle name="Normal 3 2 2 2 3 4 2 4" xfId="15485"/>
    <cellStyle name="Normal 3 2 2 2 3 4 2 4 2" xfId="38072"/>
    <cellStyle name="Normal 3 2 2 2 3 4 2 5" xfId="9045"/>
    <cellStyle name="Normal 3 2 2 2 3 4 2 5 2" xfId="31632"/>
    <cellStyle name="Normal 3 2 2 2 3 4 2 6" xfId="25192"/>
    <cellStyle name="Normal 3 2 2 2 3 4 3" xfId="4517"/>
    <cellStyle name="Normal 3 2 2 2 3 4 3 2" xfId="20617"/>
    <cellStyle name="Normal 3 2 2 2 3 4 3 2 2" xfId="43204"/>
    <cellStyle name="Normal 3 2 2 2 3 4 3 3" xfId="10957"/>
    <cellStyle name="Normal 3 2 2 2 3 4 3 3 2" xfId="33544"/>
    <cellStyle name="Normal 3 2 2 2 3 4 3 4" xfId="27104"/>
    <cellStyle name="Normal 3 2 2 2 3 4 4" xfId="17397"/>
    <cellStyle name="Normal 3 2 2 2 3 4 4 2" xfId="39984"/>
    <cellStyle name="Normal 3 2 2 2 3 4 5" xfId="14177"/>
    <cellStyle name="Normal 3 2 2 2 3 4 5 2" xfId="36764"/>
    <cellStyle name="Normal 3 2 2 2 3 4 6" xfId="7737"/>
    <cellStyle name="Normal 3 2 2 2 3 4 6 2" xfId="30324"/>
    <cellStyle name="Normal 3 2 2 2 3 4 7" xfId="23884"/>
    <cellStyle name="Normal 3 2 2 2 3 5" xfId="1634"/>
    <cellStyle name="Normal 3 2 2 2 3 5 2" xfId="4857"/>
    <cellStyle name="Normal 3 2 2 2 3 5 2 2" xfId="20957"/>
    <cellStyle name="Normal 3 2 2 2 3 5 2 2 2" xfId="43544"/>
    <cellStyle name="Normal 3 2 2 2 3 5 2 3" xfId="11297"/>
    <cellStyle name="Normal 3 2 2 2 3 5 2 3 2" xfId="33884"/>
    <cellStyle name="Normal 3 2 2 2 3 5 2 4" xfId="27444"/>
    <cellStyle name="Normal 3 2 2 2 3 5 3" xfId="17737"/>
    <cellStyle name="Normal 3 2 2 2 3 5 3 2" xfId="40324"/>
    <cellStyle name="Normal 3 2 2 2 3 5 4" xfId="14517"/>
    <cellStyle name="Normal 3 2 2 2 3 5 4 2" xfId="37104"/>
    <cellStyle name="Normal 3 2 2 2 3 5 5" xfId="8077"/>
    <cellStyle name="Normal 3 2 2 2 3 5 5 2" xfId="30664"/>
    <cellStyle name="Normal 3 2 2 2 3 5 6" xfId="24224"/>
    <cellStyle name="Normal 3 2 2 2 3 6" xfId="1909"/>
    <cellStyle name="Normal 3 2 2 2 3 6 2" xfId="5131"/>
    <cellStyle name="Normal 3 2 2 2 3 6 2 2" xfId="21231"/>
    <cellStyle name="Normal 3 2 2 2 3 6 2 2 2" xfId="43818"/>
    <cellStyle name="Normal 3 2 2 2 3 6 2 3" xfId="11571"/>
    <cellStyle name="Normal 3 2 2 2 3 6 2 3 2" xfId="34158"/>
    <cellStyle name="Normal 3 2 2 2 3 6 2 4" xfId="27718"/>
    <cellStyle name="Normal 3 2 2 2 3 6 3" xfId="18011"/>
    <cellStyle name="Normal 3 2 2 2 3 6 3 2" xfId="40598"/>
    <cellStyle name="Normal 3 2 2 2 3 6 4" xfId="14791"/>
    <cellStyle name="Normal 3 2 2 2 3 6 4 2" xfId="37378"/>
    <cellStyle name="Normal 3 2 2 2 3 6 5" xfId="8351"/>
    <cellStyle name="Normal 3 2 2 2 3 6 5 2" xfId="30938"/>
    <cellStyle name="Normal 3 2 2 2 3 6 6" xfId="24498"/>
    <cellStyle name="Normal 3 2 2 2 3 7" xfId="2969"/>
    <cellStyle name="Normal 3 2 2 2 3 7 2" xfId="6189"/>
    <cellStyle name="Normal 3 2 2 2 3 7 2 2" xfId="22289"/>
    <cellStyle name="Normal 3 2 2 2 3 7 2 2 2" xfId="44876"/>
    <cellStyle name="Normal 3 2 2 2 3 7 2 3" xfId="12629"/>
    <cellStyle name="Normal 3 2 2 2 3 7 2 3 2" xfId="35216"/>
    <cellStyle name="Normal 3 2 2 2 3 7 2 4" xfId="28776"/>
    <cellStyle name="Normal 3 2 2 2 3 7 3" xfId="19069"/>
    <cellStyle name="Normal 3 2 2 2 3 7 3 2" xfId="41656"/>
    <cellStyle name="Normal 3 2 2 2 3 7 4" xfId="15849"/>
    <cellStyle name="Normal 3 2 2 2 3 7 4 2" xfId="38436"/>
    <cellStyle name="Normal 3 2 2 2 3 7 5" xfId="9409"/>
    <cellStyle name="Normal 3 2 2 2 3 7 5 2" xfId="31996"/>
    <cellStyle name="Normal 3 2 2 2 3 7 6" xfId="25556"/>
    <cellStyle name="Normal 3 2 2 2 3 8" xfId="3259"/>
    <cellStyle name="Normal 3 2 2 2 3 8 2" xfId="6479"/>
    <cellStyle name="Normal 3 2 2 2 3 8 2 2" xfId="22579"/>
    <cellStyle name="Normal 3 2 2 2 3 8 2 2 2" xfId="45166"/>
    <cellStyle name="Normal 3 2 2 2 3 8 2 3" xfId="12919"/>
    <cellStyle name="Normal 3 2 2 2 3 8 2 3 2" xfId="35506"/>
    <cellStyle name="Normal 3 2 2 2 3 8 2 4" xfId="29066"/>
    <cellStyle name="Normal 3 2 2 2 3 8 3" xfId="19359"/>
    <cellStyle name="Normal 3 2 2 2 3 8 3 2" xfId="41946"/>
    <cellStyle name="Normal 3 2 2 2 3 8 4" xfId="16139"/>
    <cellStyle name="Normal 3 2 2 2 3 8 4 2" xfId="38726"/>
    <cellStyle name="Normal 3 2 2 2 3 8 5" xfId="9699"/>
    <cellStyle name="Normal 3 2 2 2 3 8 5 2" xfId="32286"/>
    <cellStyle name="Normal 3 2 2 2 3 8 6" xfId="25846"/>
    <cellStyle name="Normal 3 2 2 2 3 9" xfId="536"/>
    <cellStyle name="Normal 3 2 2 2 3 9 2" xfId="3823"/>
    <cellStyle name="Normal 3 2 2 2 3 9 2 2" xfId="19923"/>
    <cellStyle name="Normal 3 2 2 2 3 9 2 2 2" xfId="42510"/>
    <cellStyle name="Normal 3 2 2 2 3 9 2 3" xfId="10263"/>
    <cellStyle name="Normal 3 2 2 2 3 9 2 3 2" xfId="32850"/>
    <cellStyle name="Normal 3 2 2 2 3 9 2 4" xfId="26410"/>
    <cellStyle name="Normal 3 2 2 2 3 9 3" xfId="16703"/>
    <cellStyle name="Normal 3 2 2 2 3 9 3 2" xfId="39290"/>
    <cellStyle name="Normal 3 2 2 2 3 9 4" xfId="13483"/>
    <cellStyle name="Normal 3 2 2 2 3 9 4 2" xfId="36070"/>
    <cellStyle name="Normal 3 2 2 2 3 9 5" xfId="7043"/>
    <cellStyle name="Normal 3 2 2 2 3 9 5 2" xfId="29630"/>
    <cellStyle name="Normal 3 2 2 2 3 9 6" xfId="23190"/>
    <cellStyle name="Normal 3 2 2 2 4" xfId="362"/>
    <cellStyle name="Normal 3 2 2 2 4 10" xfId="16529"/>
    <cellStyle name="Normal 3 2 2 2 4 10 2" xfId="39116"/>
    <cellStyle name="Normal 3 2 2 2 4 11" xfId="13309"/>
    <cellStyle name="Normal 3 2 2 2 4 11 2" xfId="35896"/>
    <cellStyle name="Normal 3 2 2 2 4 12" xfId="6869"/>
    <cellStyle name="Normal 3 2 2 2 4 12 2" xfId="29456"/>
    <cellStyle name="Normal 3 2 2 2 4 13" xfId="23016"/>
    <cellStyle name="Normal 3 2 2 2 4 2" xfId="985"/>
    <cellStyle name="Normal 3 2 2 2 4 2 2" xfId="2299"/>
    <cellStyle name="Normal 3 2 2 2 4 2 2 2" xfId="5520"/>
    <cellStyle name="Normal 3 2 2 2 4 2 2 2 2" xfId="21620"/>
    <cellStyle name="Normal 3 2 2 2 4 2 2 2 2 2" xfId="44207"/>
    <cellStyle name="Normal 3 2 2 2 4 2 2 2 3" xfId="11960"/>
    <cellStyle name="Normal 3 2 2 2 4 2 2 2 3 2" xfId="34547"/>
    <cellStyle name="Normal 3 2 2 2 4 2 2 2 4" xfId="28107"/>
    <cellStyle name="Normal 3 2 2 2 4 2 2 3" xfId="18400"/>
    <cellStyle name="Normal 3 2 2 2 4 2 2 3 2" xfId="40987"/>
    <cellStyle name="Normal 3 2 2 2 4 2 2 4" xfId="15180"/>
    <cellStyle name="Normal 3 2 2 2 4 2 2 4 2" xfId="37767"/>
    <cellStyle name="Normal 3 2 2 2 4 2 2 5" xfId="8740"/>
    <cellStyle name="Normal 3 2 2 2 4 2 2 5 2" xfId="31327"/>
    <cellStyle name="Normal 3 2 2 2 4 2 2 6" xfId="24887"/>
    <cellStyle name="Normal 3 2 2 2 4 2 3" xfId="4212"/>
    <cellStyle name="Normal 3 2 2 2 4 2 3 2" xfId="20312"/>
    <cellStyle name="Normal 3 2 2 2 4 2 3 2 2" xfId="42899"/>
    <cellStyle name="Normal 3 2 2 2 4 2 3 3" xfId="10652"/>
    <cellStyle name="Normal 3 2 2 2 4 2 3 3 2" xfId="33239"/>
    <cellStyle name="Normal 3 2 2 2 4 2 3 4" xfId="26799"/>
    <cellStyle name="Normal 3 2 2 2 4 2 4" xfId="17092"/>
    <cellStyle name="Normal 3 2 2 2 4 2 4 2" xfId="39679"/>
    <cellStyle name="Normal 3 2 2 2 4 2 5" xfId="13872"/>
    <cellStyle name="Normal 3 2 2 2 4 2 5 2" xfId="36459"/>
    <cellStyle name="Normal 3 2 2 2 4 2 6" xfId="7432"/>
    <cellStyle name="Normal 3 2 2 2 4 2 6 2" xfId="30019"/>
    <cellStyle name="Normal 3 2 2 2 4 2 7" xfId="23579"/>
    <cellStyle name="Normal 3 2 2 2 4 3" xfId="1332"/>
    <cellStyle name="Normal 3 2 2 2 4 3 2" xfId="2646"/>
    <cellStyle name="Normal 3 2 2 2 4 3 2 2" xfId="5867"/>
    <cellStyle name="Normal 3 2 2 2 4 3 2 2 2" xfId="21967"/>
    <cellStyle name="Normal 3 2 2 2 4 3 2 2 2 2" xfId="44554"/>
    <cellStyle name="Normal 3 2 2 2 4 3 2 2 3" xfId="12307"/>
    <cellStyle name="Normal 3 2 2 2 4 3 2 2 3 2" xfId="34894"/>
    <cellStyle name="Normal 3 2 2 2 4 3 2 2 4" xfId="28454"/>
    <cellStyle name="Normal 3 2 2 2 4 3 2 3" xfId="18747"/>
    <cellStyle name="Normal 3 2 2 2 4 3 2 3 2" xfId="41334"/>
    <cellStyle name="Normal 3 2 2 2 4 3 2 4" xfId="15527"/>
    <cellStyle name="Normal 3 2 2 2 4 3 2 4 2" xfId="38114"/>
    <cellStyle name="Normal 3 2 2 2 4 3 2 5" xfId="9087"/>
    <cellStyle name="Normal 3 2 2 2 4 3 2 5 2" xfId="31674"/>
    <cellStyle name="Normal 3 2 2 2 4 3 2 6" xfId="25234"/>
    <cellStyle name="Normal 3 2 2 2 4 3 3" xfId="4559"/>
    <cellStyle name="Normal 3 2 2 2 4 3 3 2" xfId="20659"/>
    <cellStyle name="Normal 3 2 2 2 4 3 3 2 2" xfId="43246"/>
    <cellStyle name="Normal 3 2 2 2 4 3 3 3" xfId="10999"/>
    <cellStyle name="Normal 3 2 2 2 4 3 3 3 2" xfId="33586"/>
    <cellStyle name="Normal 3 2 2 2 4 3 3 4" xfId="27146"/>
    <cellStyle name="Normal 3 2 2 2 4 3 4" xfId="17439"/>
    <cellStyle name="Normal 3 2 2 2 4 3 4 2" xfId="40026"/>
    <cellStyle name="Normal 3 2 2 2 4 3 5" xfId="14219"/>
    <cellStyle name="Normal 3 2 2 2 4 3 5 2" xfId="36806"/>
    <cellStyle name="Normal 3 2 2 2 4 3 6" xfId="7779"/>
    <cellStyle name="Normal 3 2 2 2 4 3 6 2" xfId="30366"/>
    <cellStyle name="Normal 3 2 2 2 4 3 7" xfId="23926"/>
    <cellStyle name="Normal 3 2 2 2 4 4" xfId="1635"/>
    <cellStyle name="Normal 3 2 2 2 4 4 2" xfId="4858"/>
    <cellStyle name="Normal 3 2 2 2 4 4 2 2" xfId="20958"/>
    <cellStyle name="Normal 3 2 2 2 4 4 2 2 2" xfId="43545"/>
    <cellStyle name="Normal 3 2 2 2 4 4 2 3" xfId="11298"/>
    <cellStyle name="Normal 3 2 2 2 4 4 2 3 2" xfId="33885"/>
    <cellStyle name="Normal 3 2 2 2 4 4 2 4" xfId="27445"/>
    <cellStyle name="Normal 3 2 2 2 4 4 3" xfId="17738"/>
    <cellStyle name="Normal 3 2 2 2 4 4 3 2" xfId="40325"/>
    <cellStyle name="Normal 3 2 2 2 4 4 4" xfId="14518"/>
    <cellStyle name="Normal 3 2 2 2 4 4 4 2" xfId="37105"/>
    <cellStyle name="Normal 3 2 2 2 4 4 5" xfId="8078"/>
    <cellStyle name="Normal 3 2 2 2 4 4 5 2" xfId="30665"/>
    <cellStyle name="Normal 3 2 2 2 4 4 6" xfId="24225"/>
    <cellStyle name="Normal 3 2 2 2 4 5" xfId="1951"/>
    <cellStyle name="Normal 3 2 2 2 4 5 2" xfId="5173"/>
    <cellStyle name="Normal 3 2 2 2 4 5 2 2" xfId="21273"/>
    <cellStyle name="Normal 3 2 2 2 4 5 2 2 2" xfId="43860"/>
    <cellStyle name="Normal 3 2 2 2 4 5 2 3" xfId="11613"/>
    <cellStyle name="Normal 3 2 2 2 4 5 2 3 2" xfId="34200"/>
    <cellStyle name="Normal 3 2 2 2 4 5 2 4" xfId="27760"/>
    <cellStyle name="Normal 3 2 2 2 4 5 3" xfId="18053"/>
    <cellStyle name="Normal 3 2 2 2 4 5 3 2" xfId="40640"/>
    <cellStyle name="Normal 3 2 2 2 4 5 4" xfId="14833"/>
    <cellStyle name="Normal 3 2 2 2 4 5 4 2" xfId="37420"/>
    <cellStyle name="Normal 3 2 2 2 4 5 5" xfId="8393"/>
    <cellStyle name="Normal 3 2 2 2 4 5 5 2" xfId="30980"/>
    <cellStyle name="Normal 3 2 2 2 4 5 6" xfId="24540"/>
    <cellStyle name="Normal 3 2 2 2 4 6" xfId="3069"/>
    <cellStyle name="Normal 3 2 2 2 4 6 2" xfId="6289"/>
    <cellStyle name="Normal 3 2 2 2 4 6 2 2" xfId="22389"/>
    <cellStyle name="Normal 3 2 2 2 4 6 2 2 2" xfId="44976"/>
    <cellStyle name="Normal 3 2 2 2 4 6 2 3" xfId="12729"/>
    <cellStyle name="Normal 3 2 2 2 4 6 2 3 2" xfId="35316"/>
    <cellStyle name="Normal 3 2 2 2 4 6 2 4" xfId="28876"/>
    <cellStyle name="Normal 3 2 2 2 4 6 3" xfId="19169"/>
    <cellStyle name="Normal 3 2 2 2 4 6 3 2" xfId="41756"/>
    <cellStyle name="Normal 3 2 2 2 4 6 4" xfId="15949"/>
    <cellStyle name="Normal 3 2 2 2 4 6 4 2" xfId="38536"/>
    <cellStyle name="Normal 3 2 2 2 4 6 5" xfId="9509"/>
    <cellStyle name="Normal 3 2 2 2 4 6 5 2" xfId="32096"/>
    <cellStyle name="Normal 3 2 2 2 4 6 6" xfId="25656"/>
    <cellStyle name="Normal 3 2 2 2 4 7" xfId="3359"/>
    <cellStyle name="Normal 3 2 2 2 4 7 2" xfId="6579"/>
    <cellStyle name="Normal 3 2 2 2 4 7 2 2" xfId="22679"/>
    <cellStyle name="Normal 3 2 2 2 4 7 2 2 2" xfId="45266"/>
    <cellStyle name="Normal 3 2 2 2 4 7 2 3" xfId="13019"/>
    <cellStyle name="Normal 3 2 2 2 4 7 2 3 2" xfId="35606"/>
    <cellStyle name="Normal 3 2 2 2 4 7 2 4" xfId="29166"/>
    <cellStyle name="Normal 3 2 2 2 4 7 3" xfId="19459"/>
    <cellStyle name="Normal 3 2 2 2 4 7 3 2" xfId="42046"/>
    <cellStyle name="Normal 3 2 2 2 4 7 4" xfId="16239"/>
    <cellStyle name="Normal 3 2 2 2 4 7 4 2" xfId="38826"/>
    <cellStyle name="Normal 3 2 2 2 4 7 5" xfId="9799"/>
    <cellStyle name="Normal 3 2 2 2 4 7 5 2" xfId="32386"/>
    <cellStyle name="Normal 3 2 2 2 4 7 6" xfId="25946"/>
    <cellStyle name="Normal 3 2 2 2 4 8" xfId="621"/>
    <cellStyle name="Normal 3 2 2 2 4 8 2" xfId="3865"/>
    <cellStyle name="Normal 3 2 2 2 4 8 2 2" xfId="19965"/>
    <cellStyle name="Normal 3 2 2 2 4 8 2 2 2" xfId="42552"/>
    <cellStyle name="Normal 3 2 2 2 4 8 2 3" xfId="10305"/>
    <cellStyle name="Normal 3 2 2 2 4 8 2 3 2" xfId="32892"/>
    <cellStyle name="Normal 3 2 2 2 4 8 2 4" xfId="26452"/>
    <cellStyle name="Normal 3 2 2 2 4 8 3" xfId="16745"/>
    <cellStyle name="Normal 3 2 2 2 4 8 3 2" xfId="39332"/>
    <cellStyle name="Normal 3 2 2 2 4 8 4" xfId="13525"/>
    <cellStyle name="Normal 3 2 2 2 4 8 4 2" xfId="36112"/>
    <cellStyle name="Normal 3 2 2 2 4 8 5" xfId="7085"/>
    <cellStyle name="Normal 3 2 2 2 4 8 5 2" xfId="29672"/>
    <cellStyle name="Normal 3 2 2 2 4 8 6" xfId="23232"/>
    <cellStyle name="Normal 3 2 2 2 4 9" xfId="3649"/>
    <cellStyle name="Normal 3 2 2 2 4 9 2" xfId="19749"/>
    <cellStyle name="Normal 3 2 2 2 4 9 2 2" xfId="42336"/>
    <cellStyle name="Normal 3 2 2 2 4 9 3" xfId="10089"/>
    <cellStyle name="Normal 3 2 2 2 4 9 3 2" xfId="32676"/>
    <cellStyle name="Normal 3 2 2 2 4 9 4" xfId="26236"/>
    <cellStyle name="Normal 3 2 2 2 5" xfId="791"/>
    <cellStyle name="Normal 3 2 2 2 5 2" xfId="1143"/>
    <cellStyle name="Normal 3 2 2 2 5 2 2" xfId="2457"/>
    <cellStyle name="Normal 3 2 2 2 5 2 2 2" xfId="5678"/>
    <cellStyle name="Normal 3 2 2 2 5 2 2 2 2" xfId="21778"/>
    <cellStyle name="Normal 3 2 2 2 5 2 2 2 2 2" xfId="44365"/>
    <cellStyle name="Normal 3 2 2 2 5 2 2 2 3" xfId="12118"/>
    <cellStyle name="Normal 3 2 2 2 5 2 2 2 3 2" xfId="34705"/>
    <cellStyle name="Normal 3 2 2 2 5 2 2 2 4" xfId="28265"/>
    <cellStyle name="Normal 3 2 2 2 5 2 2 3" xfId="18558"/>
    <cellStyle name="Normal 3 2 2 2 5 2 2 3 2" xfId="41145"/>
    <cellStyle name="Normal 3 2 2 2 5 2 2 4" xfId="15338"/>
    <cellStyle name="Normal 3 2 2 2 5 2 2 4 2" xfId="37925"/>
    <cellStyle name="Normal 3 2 2 2 5 2 2 5" xfId="8898"/>
    <cellStyle name="Normal 3 2 2 2 5 2 2 5 2" xfId="31485"/>
    <cellStyle name="Normal 3 2 2 2 5 2 2 6" xfId="25045"/>
    <cellStyle name="Normal 3 2 2 2 5 2 3" xfId="4370"/>
    <cellStyle name="Normal 3 2 2 2 5 2 3 2" xfId="20470"/>
    <cellStyle name="Normal 3 2 2 2 5 2 3 2 2" xfId="43057"/>
    <cellStyle name="Normal 3 2 2 2 5 2 3 3" xfId="10810"/>
    <cellStyle name="Normal 3 2 2 2 5 2 3 3 2" xfId="33397"/>
    <cellStyle name="Normal 3 2 2 2 5 2 3 4" xfId="26957"/>
    <cellStyle name="Normal 3 2 2 2 5 2 4" xfId="17250"/>
    <cellStyle name="Normal 3 2 2 2 5 2 4 2" xfId="39837"/>
    <cellStyle name="Normal 3 2 2 2 5 2 5" xfId="14030"/>
    <cellStyle name="Normal 3 2 2 2 5 2 5 2" xfId="36617"/>
    <cellStyle name="Normal 3 2 2 2 5 2 6" xfId="7590"/>
    <cellStyle name="Normal 3 2 2 2 5 2 6 2" xfId="30177"/>
    <cellStyle name="Normal 3 2 2 2 5 2 7" xfId="23737"/>
    <cellStyle name="Normal 3 2 2 2 5 3" xfId="1490"/>
    <cellStyle name="Normal 3 2 2 2 5 3 2" xfId="2804"/>
    <cellStyle name="Normal 3 2 2 2 5 3 2 2" xfId="6025"/>
    <cellStyle name="Normal 3 2 2 2 5 3 2 2 2" xfId="22125"/>
    <cellStyle name="Normal 3 2 2 2 5 3 2 2 2 2" xfId="44712"/>
    <cellStyle name="Normal 3 2 2 2 5 3 2 2 3" xfId="12465"/>
    <cellStyle name="Normal 3 2 2 2 5 3 2 2 3 2" xfId="35052"/>
    <cellStyle name="Normal 3 2 2 2 5 3 2 2 4" xfId="28612"/>
    <cellStyle name="Normal 3 2 2 2 5 3 2 3" xfId="18905"/>
    <cellStyle name="Normal 3 2 2 2 5 3 2 3 2" xfId="41492"/>
    <cellStyle name="Normal 3 2 2 2 5 3 2 4" xfId="15685"/>
    <cellStyle name="Normal 3 2 2 2 5 3 2 4 2" xfId="38272"/>
    <cellStyle name="Normal 3 2 2 2 5 3 2 5" xfId="9245"/>
    <cellStyle name="Normal 3 2 2 2 5 3 2 5 2" xfId="31832"/>
    <cellStyle name="Normal 3 2 2 2 5 3 2 6" xfId="25392"/>
    <cellStyle name="Normal 3 2 2 2 5 3 3" xfId="4717"/>
    <cellStyle name="Normal 3 2 2 2 5 3 3 2" xfId="20817"/>
    <cellStyle name="Normal 3 2 2 2 5 3 3 2 2" xfId="43404"/>
    <cellStyle name="Normal 3 2 2 2 5 3 3 3" xfId="11157"/>
    <cellStyle name="Normal 3 2 2 2 5 3 3 3 2" xfId="33744"/>
    <cellStyle name="Normal 3 2 2 2 5 3 3 4" xfId="27304"/>
    <cellStyle name="Normal 3 2 2 2 5 3 4" xfId="17597"/>
    <cellStyle name="Normal 3 2 2 2 5 3 4 2" xfId="40184"/>
    <cellStyle name="Normal 3 2 2 2 5 3 5" xfId="14377"/>
    <cellStyle name="Normal 3 2 2 2 5 3 5 2" xfId="36964"/>
    <cellStyle name="Normal 3 2 2 2 5 3 6" xfId="7937"/>
    <cellStyle name="Normal 3 2 2 2 5 3 6 2" xfId="30524"/>
    <cellStyle name="Normal 3 2 2 2 5 3 7" xfId="24084"/>
    <cellStyle name="Normal 3 2 2 2 5 4" xfId="2110"/>
    <cellStyle name="Normal 3 2 2 2 5 4 2" xfId="5331"/>
    <cellStyle name="Normal 3 2 2 2 5 4 2 2" xfId="21431"/>
    <cellStyle name="Normal 3 2 2 2 5 4 2 2 2" xfId="44018"/>
    <cellStyle name="Normal 3 2 2 2 5 4 2 3" xfId="11771"/>
    <cellStyle name="Normal 3 2 2 2 5 4 2 3 2" xfId="34358"/>
    <cellStyle name="Normal 3 2 2 2 5 4 2 4" xfId="27918"/>
    <cellStyle name="Normal 3 2 2 2 5 4 3" xfId="18211"/>
    <cellStyle name="Normal 3 2 2 2 5 4 3 2" xfId="40798"/>
    <cellStyle name="Normal 3 2 2 2 5 4 4" xfId="14991"/>
    <cellStyle name="Normal 3 2 2 2 5 4 4 2" xfId="37578"/>
    <cellStyle name="Normal 3 2 2 2 5 4 5" xfId="8551"/>
    <cellStyle name="Normal 3 2 2 2 5 4 5 2" xfId="31138"/>
    <cellStyle name="Normal 3 2 2 2 5 4 6" xfId="24698"/>
    <cellStyle name="Normal 3 2 2 2 5 5" xfId="4023"/>
    <cellStyle name="Normal 3 2 2 2 5 5 2" xfId="20123"/>
    <cellStyle name="Normal 3 2 2 2 5 5 2 2" xfId="42710"/>
    <cellStyle name="Normal 3 2 2 2 5 5 3" xfId="10463"/>
    <cellStyle name="Normal 3 2 2 2 5 5 3 2" xfId="33050"/>
    <cellStyle name="Normal 3 2 2 2 5 5 4" xfId="26610"/>
    <cellStyle name="Normal 3 2 2 2 5 6" xfId="16903"/>
    <cellStyle name="Normal 3 2 2 2 5 6 2" xfId="39490"/>
    <cellStyle name="Normal 3 2 2 2 5 7" xfId="13683"/>
    <cellStyle name="Normal 3 2 2 2 5 7 2" xfId="36270"/>
    <cellStyle name="Normal 3 2 2 2 5 8" xfId="7243"/>
    <cellStyle name="Normal 3 2 2 2 5 8 2" xfId="29830"/>
    <cellStyle name="Normal 3 2 2 2 5 9" xfId="23390"/>
    <cellStyle name="Normal 3 2 2 2 6" xfId="861"/>
    <cellStyle name="Normal 3 2 2 2 6 2" xfId="2180"/>
    <cellStyle name="Normal 3 2 2 2 6 2 2" xfId="5401"/>
    <cellStyle name="Normal 3 2 2 2 6 2 2 2" xfId="21501"/>
    <cellStyle name="Normal 3 2 2 2 6 2 2 2 2" xfId="44088"/>
    <cellStyle name="Normal 3 2 2 2 6 2 2 3" xfId="11841"/>
    <cellStyle name="Normal 3 2 2 2 6 2 2 3 2" xfId="34428"/>
    <cellStyle name="Normal 3 2 2 2 6 2 2 4" xfId="27988"/>
    <cellStyle name="Normal 3 2 2 2 6 2 3" xfId="18281"/>
    <cellStyle name="Normal 3 2 2 2 6 2 3 2" xfId="40868"/>
    <cellStyle name="Normal 3 2 2 2 6 2 4" xfId="15061"/>
    <cellStyle name="Normal 3 2 2 2 6 2 4 2" xfId="37648"/>
    <cellStyle name="Normal 3 2 2 2 6 2 5" xfId="8621"/>
    <cellStyle name="Normal 3 2 2 2 6 2 5 2" xfId="31208"/>
    <cellStyle name="Normal 3 2 2 2 6 2 6" xfId="24768"/>
    <cellStyle name="Normal 3 2 2 2 6 3" xfId="4093"/>
    <cellStyle name="Normal 3 2 2 2 6 3 2" xfId="20193"/>
    <cellStyle name="Normal 3 2 2 2 6 3 2 2" xfId="42780"/>
    <cellStyle name="Normal 3 2 2 2 6 3 3" xfId="10533"/>
    <cellStyle name="Normal 3 2 2 2 6 3 3 2" xfId="33120"/>
    <cellStyle name="Normal 3 2 2 2 6 3 4" xfId="26680"/>
    <cellStyle name="Normal 3 2 2 2 6 4" xfId="16973"/>
    <cellStyle name="Normal 3 2 2 2 6 4 2" xfId="39560"/>
    <cellStyle name="Normal 3 2 2 2 6 5" xfId="13753"/>
    <cellStyle name="Normal 3 2 2 2 6 5 2" xfId="36340"/>
    <cellStyle name="Normal 3 2 2 2 6 6" xfId="7313"/>
    <cellStyle name="Normal 3 2 2 2 6 6 2" xfId="29900"/>
    <cellStyle name="Normal 3 2 2 2 6 7" xfId="23460"/>
    <cellStyle name="Normal 3 2 2 2 7" xfId="1213"/>
    <cellStyle name="Normal 3 2 2 2 7 2" xfId="2527"/>
    <cellStyle name="Normal 3 2 2 2 7 2 2" xfId="5748"/>
    <cellStyle name="Normal 3 2 2 2 7 2 2 2" xfId="21848"/>
    <cellStyle name="Normal 3 2 2 2 7 2 2 2 2" xfId="44435"/>
    <cellStyle name="Normal 3 2 2 2 7 2 2 3" xfId="12188"/>
    <cellStyle name="Normal 3 2 2 2 7 2 2 3 2" xfId="34775"/>
    <cellStyle name="Normal 3 2 2 2 7 2 2 4" xfId="28335"/>
    <cellStyle name="Normal 3 2 2 2 7 2 3" xfId="18628"/>
    <cellStyle name="Normal 3 2 2 2 7 2 3 2" xfId="41215"/>
    <cellStyle name="Normal 3 2 2 2 7 2 4" xfId="15408"/>
    <cellStyle name="Normal 3 2 2 2 7 2 4 2" xfId="37995"/>
    <cellStyle name="Normal 3 2 2 2 7 2 5" xfId="8968"/>
    <cellStyle name="Normal 3 2 2 2 7 2 5 2" xfId="31555"/>
    <cellStyle name="Normal 3 2 2 2 7 2 6" xfId="25115"/>
    <cellStyle name="Normal 3 2 2 2 7 3" xfId="4440"/>
    <cellStyle name="Normal 3 2 2 2 7 3 2" xfId="20540"/>
    <cellStyle name="Normal 3 2 2 2 7 3 2 2" xfId="43127"/>
    <cellStyle name="Normal 3 2 2 2 7 3 3" xfId="10880"/>
    <cellStyle name="Normal 3 2 2 2 7 3 3 2" xfId="33467"/>
    <cellStyle name="Normal 3 2 2 2 7 3 4" xfId="27027"/>
    <cellStyle name="Normal 3 2 2 2 7 4" xfId="17320"/>
    <cellStyle name="Normal 3 2 2 2 7 4 2" xfId="39907"/>
    <cellStyle name="Normal 3 2 2 2 7 5" xfId="14100"/>
    <cellStyle name="Normal 3 2 2 2 7 5 2" xfId="36687"/>
    <cellStyle name="Normal 3 2 2 2 7 6" xfId="7660"/>
    <cellStyle name="Normal 3 2 2 2 7 6 2" xfId="30247"/>
    <cellStyle name="Normal 3 2 2 2 7 7" xfId="23807"/>
    <cellStyle name="Normal 3 2 2 2 8" xfId="1636"/>
    <cellStyle name="Normal 3 2 2 2 8 2" xfId="4859"/>
    <cellStyle name="Normal 3 2 2 2 8 2 2" xfId="20959"/>
    <cellStyle name="Normal 3 2 2 2 8 2 2 2" xfId="43546"/>
    <cellStyle name="Normal 3 2 2 2 8 2 3" xfId="11299"/>
    <cellStyle name="Normal 3 2 2 2 8 2 3 2" xfId="33886"/>
    <cellStyle name="Normal 3 2 2 2 8 2 4" xfId="27446"/>
    <cellStyle name="Normal 3 2 2 2 8 3" xfId="17739"/>
    <cellStyle name="Normal 3 2 2 2 8 3 2" xfId="40326"/>
    <cellStyle name="Normal 3 2 2 2 8 4" xfId="14519"/>
    <cellStyle name="Normal 3 2 2 2 8 4 2" xfId="37106"/>
    <cellStyle name="Normal 3 2 2 2 8 5" xfId="8079"/>
    <cellStyle name="Normal 3 2 2 2 8 5 2" xfId="30666"/>
    <cellStyle name="Normal 3 2 2 2 8 6" xfId="24226"/>
    <cellStyle name="Normal 3 2 2 2 9" xfId="1832"/>
    <cellStyle name="Normal 3 2 2 2 9 2" xfId="5054"/>
    <cellStyle name="Normal 3 2 2 2 9 2 2" xfId="21154"/>
    <cellStyle name="Normal 3 2 2 2 9 2 2 2" xfId="43741"/>
    <cellStyle name="Normal 3 2 2 2 9 2 3" xfId="11494"/>
    <cellStyle name="Normal 3 2 2 2 9 2 3 2" xfId="34081"/>
    <cellStyle name="Normal 3 2 2 2 9 2 4" xfId="27641"/>
    <cellStyle name="Normal 3 2 2 2 9 3" xfId="17934"/>
    <cellStyle name="Normal 3 2 2 2 9 3 2" xfId="40521"/>
    <cellStyle name="Normal 3 2 2 2 9 4" xfId="14714"/>
    <cellStyle name="Normal 3 2 2 2 9 4 2" xfId="37301"/>
    <cellStyle name="Normal 3 2 2 2 9 5" xfId="8274"/>
    <cellStyle name="Normal 3 2 2 2 9 5 2" xfId="30861"/>
    <cellStyle name="Normal 3 2 2 2 9 6" xfId="24421"/>
    <cellStyle name="Normal 3 2 2 3" xfId="138"/>
    <cellStyle name="Normal 3 2 2 3 10" xfId="476"/>
    <cellStyle name="Normal 3 2 2 3 10 2" xfId="3763"/>
    <cellStyle name="Normal 3 2 2 3 10 2 2" xfId="19863"/>
    <cellStyle name="Normal 3 2 2 3 10 2 2 2" xfId="42450"/>
    <cellStyle name="Normal 3 2 2 3 10 2 3" xfId="10203"/>
    <cellStyle name="Normal 3 2 2 3 10 2 3 2" xfId="32790"/>
    <cellStyle name="Normal 3 2 2 3 10 2 4" xfId="26350"/>
    <cellStyle name="Normal 3 2 2 3 10 3" xfId="16643"/>
    <cellStyle name="Normal 3 2 2 3 10 3 2" xfId="39230"/>
    <cellStyle name="Normal 3 2 2 3 10 4" xfId="13423"/>
    <cellStyle name="Normal 3 2 2 3 10 4 2" xfId="36010"/>
    <cellStyle name="Normal 3 2 2 3 10 5" xfId="6983"/>
    <cellStyle name="Normal 3 2 2 3 10 5 2" xfId="29570"/>
    <cellStyle name="Normal 3 2 2 3 10 6" xfId="23130"/>
    <cellStyle name="Normal 3 2 2 3 11" xfId="3473"/>
    <cellStyle name="Normal 3 2 2 3 11 2" xfId="19573"/>
    <cellStyle name="Normal 3 2 2 3 11 2 2" xfId="42160"/>
    <cellStyle name="Normal 3 2 2 3 11 3" xfId="9913"/>
    <cellStyle name="Normal 3 2 2 3 11 3 2" xfId="32500"/>
    <cellStyle name="Normal 3 2 2 3 11 4" xfId="26060"/>
    <cellStyle name="Normal 3 2 2 3 12" xfId="16353"/>
    <cellStyle name="Normal 3 2 2 3 12 2" xfId="38940"/>
    <cellStyle name="Normal 3 2 2 3 13" xfId="13133"/>
    <cellStyle name="Normal 3 2 2 3 13 2" xfId="35720"/>
    <cellStyle name="Normal 3 2 2 3 14" xfId="6693"/>
    <cellStyle name="Normal 3 2 2 3 14 2" xfId="29280"/>
    <cellStyle name="Normal 3 2 2 3 15" xfId="22840"/>
    <cellStyle name="Normal 3 2 2 3 2" xfId="284"/>
    <cellStyle name="Normal 3 2 2 3 2 10" xfId="16451"/>
    <cellStyle name="Normal 3 2 2 3 2 10 2" xfId="39038"/>
    <cellStyle name="Normal 3 2 2 3 2 11" xfId="13231"/>
    <cellStyle name="Normal 3 2 2 3 2 11 2" xfId="35818"/>
    <cellStyle name="Normal 3 2 2 3 2 12" xfId="6791"/>
    <cellStyle name="Normal 3 2 2 3 2 12 2" xfId="29378"/>
    <cellStyle name="Normal 3 2 2 3 2 13" xfId="22938"/>
    <cellStyle name="Normal 3 2 2 3 2 2" xfId="1002"/>
    <cellStyle name="Normal 3 2 2 3 2 2 2" xfId="2316"/>
    <cellStyle name="Normal 3 2 2 3 2 2 2 2" xfId="5537"/>
    <cellStyle name="Normal 3 2 2 3 2 2 2 2 2" xfId="21637"/>
    <cellStyle name="Normal 3 2 2 3 2 2 2 2 2 2" xfId="44224"/>
    <cellStyle name="Normal 3 2 2 3 2 2 2 2 3" xfId="11977"/>
    <cellStyle name="Normal 3 2 2 3 2 2 2 2 3 2" xfId="34564"/>
    <cellStyle name="Normal 3 2 2 3 2 2 2 2 4" xfId="28124"/>
    <cellStyle name="Normal 3 2 2 3 2 2 2 3" xfId="18417"/>
    <cellStyle name="Normal 3 2 2 3 2 2 2 3 2" xfId="41004"/>
    <cellStyle name="Normal 3 2 2 3 2 2 2 4" xfId="15197"/>
    <cellStyle name="Normal 3 2 2 3 2 2 2 4 2" xfId="37784"/>
    <cellStyle name="Normal 3 2 2 3 2 2 2 5" xfId="8757"/>
    <cellStyle name="Normal 3 2 2 3 2 2 2 5 2" xfId="31344"/>
    <cellStyle name="Normal 3 2 2 3 2 2 2 6" xfId="24904"/>
    <cellStyle name="Normal 3 2 2 3 2 2 3" xfId="4229"/>
    <cellStyle name="Normal 3 2 2 3 2 2 3 2" xfId="20329"/>
    <cellStyle name="Normal 3 2 2 3 2 2 3 2 2" xfId="42916"/>
    <cellStyle name="Normal 3 2 2 3 2 2 3 3" xfId="10669"/>
    <cellStyle name="Normal 3 2 2 3 2 2 3 3 2" xfId="33256"/>
    <cellStyle name="Normal 3 2 2 3 2 2 3 4" xfId="26816"/>
    <cellStyle name="Normal 3 2 2 3 2 2 4" xfId="17109"/>
    <cellStyle name="Normal 3 2 2 3 2 2 4 2" xfId="39696"/>
    <cellStyle name="Normal 3 2 2 3 2 2 5" xfId="13889"/>
    <cellStyle name="Normal 3 2 2 3 2 2 5 2" xfId="36476"/>
    <cellStyle name="Normal 3 2 2 3 2 2 6" xfId="7449"/>
    <cellStyle name="Normal 3 2 2 3 2 2 6 2" xfId="30036"/>
    <cellStyle name="Normal 3 2 2 3 2 2 7" xfId="23596"/>
    <cellStyle name="Normal 3 2 2 3 2 3" xfId="1349"/>
    <cellStyle name="Normal 3 2 2 3 2 3 2" xfId="2663"/>
    <cellStyle name="Normal 3 2 2 3 2 3 2 2" xfId="5884"/>
    <cellStyle name="Normal 3 2 2 3 2 3 2 2 2" xfId="21984"/>
    <cellStyle name="Normal 3 2 2 3 2 3 2 2 2 2" xfId="44571"/>
    <cellStyle name="Normal 3 2 2 3 2 3 2 2 3" xfId="12324"/>
    <cellStyle name="Normal 3 2 2 3 2 3 2 2 3 2" xfId="34911"/>
    <cellStyle name="Normal 3 2 2 3 2 3 2 2 4" xfId="28471"/>
    <cellStyle name="Normal 3 2 2 3 2 3 2 3" xfId="18764"/>
    <cellStyle name="Normal 3 2 2 3 2 3 2 3 2" xfId="41351"/>
    <cellStyle name="Normal 3 2 2 3 2 3 2 4" xfId="15544"/>
    <cellStyle name="Normal 3 2 2 3 2 3 2 4 2" xfId="38131"/>
    <cellStyle name="Normal 3 2 2 3 2 3 2 5" xfId="9104"/>
    <cellStyle name="Normal 3 2 2 3 2 3 2 5 2" xfId="31691"/>
    <cellStyle name="Normal 3 2 2 3 2 3 2 6" xfId="25251"/>
    <cellStyle name="Normal 3 2 2 3 2 3 3" xfId="4576"/>
    <cellStyle name="Normal 3 2 2 3 2 3 3 2" xfId="20676"/>
    <cellStyle name="Normal 3 2 2 3 2 3 3 2 2" xfId="43263"/>
    <cellStyle name="Normal 3 2 2 3 2 3 3 3" xfId="11016"/>
    <cellStyle name="Normal 3 2 2 3 2 3 3 3 2" xfId="33603"/>
    <cellStyle name="Normal 3 2 2 3 2 3 3 4" xfId="27163"/>
    <cellStyle name="Normal 3 2 2 3 2 3 4" xfId="17456"/>
    <cellStyle name="Normal 3 2 2 3 2 3 4 2" xfId="40043"/>
    <cellStyle name="Normal 3 2 2 3 2 3 5" xfId="14236"/>
    <cellStyle name="Normal 3 2 2 3 2 3 5 2" xfId="36823"/>
    <cellStyle name="Normal 3 2 2 3 2 3 6" xfId="7796"/>
    <cellStyle name="Normal 3 2 2 3 2 3 6 2" xfId="30383"/>
    <cellStyle name="Normal 3 2 2 3 2 3 7" xfId="23943"/>
    <cellStyle name="Normal 3 2 2 3 2 4" xfId="1637"/>
    <cellStyle name="Normal 3 2 2 3 2 4 2" xfId="4860"/>
    <cellStyle name="Normal 3 2 2 3 2 4 2 2" xfId="20960"/>
    <cellStyle name="Normal 3 2 2 3 2 4 2 2 2" xfId="43547"/>
    <cellStyle name="Normal 3 2 2 3 2 4 2 3" xfId="11300"/>
    <cellStyle name="Normal 3 2 2 3 2 4 2 3 2" xfId="33887"/>
    <cellStyle name="Normal 3 2 2 3 2 4 2 4" xfId="27447"/>
    <cellStyle name="Normal 3 2 2 3 2 4 3" xfId="17740"/>
    <cellStyle name="Normal 3 2 2 3 2 4 3 2" xfId="40327"/>
    <cellStyle name="Normal 3 2 2 3 2 4 4" xfId="14520"/>
    <cellStyle name="Normal 3 2 2 3 2 4 4 2" xfId="37107"/>
    <cellStyle name="Normal 3 2 2 3 2 4 5" xfId="8080"/>
    <cellStyle name="Normal 3 2 2 3 2 4 5 2" xfId="30667"/>
    <cellStyle name="Normal 3 2 2 3 2 4 6" xfId="24227"/>
    <cellStyle name="Normal 3 2 2 3 2 5" xfId="1968"/>
    <cellStyle name="Normal 3 2 2 3 2 5 2" xfId="5190"/>
    <cellStyle name="Normal 3 2 2 3 2 5 2 2" xfId="21290"/>
    <cellStyle name="Normal 3 2 2 3 2 5 2 2 2" xfId="43877"/>
    <cellStyle name="Normal 3 2 2 3 2 5 2 3" xfId="11630"/>
    <cellStyle name="Normal 3 2 2 3 2 5 2 3 2" xfId="34217"/>
    <cellStyle name="Normal 3 2 2 3 2 5 2 4" xfId="27777"/>
    <cellStyle name="Normal 3 2 2 3 2 5 3" xfId="18070"/>
    <cellStyle name="Normal 3 2 2 3 2 5 3 2" xfId="40657"/>
    <cellStyle name="Normal 3 2 2 3 2 5 4" xfId="14850"/>
    <cellStyle name="Normal 3 2 2 3 2 5 4 2" xfId="37437"/>
    <cellStyle name="Normal 3 2 2 3 2 5 5" xfId="8410"/>
    <cellStyle name="Normal 3 2 2 3 2 5 5 2" xfId="30997"/>
    <cellStyle name="Normal 3 2 2 3 2 5 6" xfId="24557"/>
    <cellStyle name="Normal 3 2 2 3 2 6" xfId="2991"/>
    <cellStyle name="Normal 3 2 2 3 2 6 2" xfId="6211"/>
    <cellStyle name="Normal 3 2 2 3 2 6 2 2" xfId="22311"/>
    <cellStyle name="Normal 3 2 2 3 2 6 2 2 2" xfId="44898"/>
    <cellStyle name="Normal 3 2 2 3 2 6 2 3" xfId="12651"/>
    <cellStyle name="Normal 3 2 2 3 2 6 2 3 2" xfId="35238"/>
    <cellStyle name="Normal 3 2 2 3 2 6 2 4" xfId="28798"/>
    <cellStyle name="Normal 3 2 2 3 2 6 3" xfId="19091"/>
    <cellStyle name="Normal 3 2 2 3 2 6 3 2" xfId="41678"/>
    <cellStyle name="Normal 3 2 2 3 2 6 4" xfId="15871"/>
    <cellStyle name="Normal 3 2 2 3 2 6 4 2" xfId="38458"/>
    <cellStyle name="Normal 3 2 2 3 2 6 5" xfId="9431"/>
    <cellStyle name="Normal 3 2 2 3 2 6 5 2" xfId="32018"/>
    <cellStyle name="Normal 3 2 2 3 2 6 6" xfId="25578"/>
    <cellStyle name="Normal 3 2 2 3 2 7" xfId="3281"/>
    <cellStyle name="Normal 3 2 2 3 2 7 2" xfId="6501"/>
    <cellStyle name="Normal 3 2 2 3 2 7 2 2" xfId="22601"/>
    <cellStyle name="Normal 3 2 2 3 2 7 2 2 2" xfId="45188"/>
    <cellStyle name="Normal 3 2 2 3 2 7 2 3" xfId="12941"/>
    <cellStyle name="Normal 3 2 2 3 2 7 2 3 2" xfId="35528"/>
    <cellStyle name="Normal 3 2 2 3 2 7 2 4" xfId="29088"/>
    <cellStyle name="Normal 3 2 2 3 2 7 3" xfId="19381"/>
    <cellStyle name="Normal 3 2 2 3 2 7 3 2" xfId="41968"/>
    <cellStyle name="Normal 3 2 2 3 2 7 4" xfId="16161"/>
    <cellStyle name="Normal 3 2 2 3 2 7 4 2" xfId="38748"/>
    <cellStyle name="Normal 3 2 2 3 2 7 5" xfId="9721"/>
    <cellStyle name="Normal 3 2 2 3 2 7 5 2" xfId="32308"/>
    <cellStyle name="Normal 3 2 2 3 2 7 6" xfId="25868"/>
    <cellStyle name="Normal 3 2 2 3 2 8" xfId="638"/>
    <cellStyle name="Normal 3 2 2 3 2 8 2" xfId="3882"/>
    <cellStyle name="Normal 3 2 2 3 2 8 2 2" xfId="19982"/>
    <cellStyle name="Normal 3 2 2 3 2 8 2 2 2" xfId="42569"/>
    <cellStyle name="Normal 3 2 2 3 2 8 2 3" xfId="10322"/>
    <cellStyle name="Normal 3 2 2 3 2 8 2 3 2" xfId="32909"/>
    <cellStyle name="Normal 3 2 2 3 2 8 2 4" xfId="26469"/>
    <cellStyle name="Normal 3 2 2 3 2 8 3" xfId="16762"/>
    <cellStyle name="Normal 3 2 2 3 2 8 3 2" xfId="39349"/>
    <cellStyle name="Normal 3 2 2 3 2 8 4" xfId="13542"/>
    <cellStyle name="Normal 3 2 2 3 2 8 4 2" xfId="36129"/>
    <cellStyle name="Normal 3 2 2 3 2 8 5" xfId="7102"/>
    <cellStyle name="Normal 3 2 2 3 2 8 5 2" xfId="29689"/>
    <cellStyle name="Normal 3 2 2 3 2 8 6" xfId="23249"/>
    <cellStyle name="Normal 3 2 2 3 2 9" xfId="3571"/>
    <cellStyle name="Normal 3 2 2 3 2 9 2" xfId="19671"/>
    <cellStyle name="Normal 3 2 2 3 2 9 2 2" xfId="42258"/>
    <cellStyle name="Normal 3 2 2 3 2 9 3" xfId="10011"/>
    <cellStyle name="Normal 3 2 2 3 2 9 3 2" xfId="32598"/>
    <cellStyle name="Normal 3 2 2 3 2 9 4" xfId="26158"/>
    <cellStyle name="Normal 3 2 2 3 3" xfId="379"/>
    <cellStyle name="Normal 3 2 2 3 3 10" xfId="16546"/>
    <cellStyle name="Normal 3 2 2 3 3 10 2" xfId="39133"/>
    <cellStyle name="Normal 3 2 2 3 3 11" xfId="13326"/>
    <cellStyle name="Normal 3 2 2 3 3 11 2" xfId="35913"/>
    <cellStyle name="Normal 3 2 2 3 3 12" xfId="6886"/>
    <cellStyle name="Normal 3 2 2 3 3 12 2" xfId="29473"/>
    <cellStyle name="Normal 3 2 2 3 3 13" xfId="23033"/>
    <cellStyle name="Normal 3 2 2 3 3 2" xfId="1163"/>
    <cellStyle name="Normal 3 2 2 3 3 2 2" xfId="2477"/>
    <cellStyle name="Normal 3 2 2 3 3 2 2 2" xfId="5698"/>
    <cellStyle name="Normal 3 2 2 3 3 2 2 2 2" xfId="21798"/>
    <cellStyle name="Normal 3 2 2 3 3 2 2 2 2 2" xfId="44385"/>
    <cellStyle name="Normal 3 2 2 3 3 2 2 2 3" xfId="12138"/>
    <cellStyle name="Normal 3 2 2 3 3 2 2 2 3 2" xfId="34725"/>
    <cellStyle name="Normal 3 2 2 3 3 2 2 2 4" xfId="28285"/>
    <cellStyle name="Normal 3 2 2 3 3 2 2 3" xfId="18578"/>
    <cellStyle name="Normal 3 2 2 3 3 2 2 3 2" xfId="41165"/>
    <cellStyle name="Normal 3 2 2 3 3 2 2 4" xfId="15358"/>
    <cellStyle name="Normal 3 2 2 3 3 2 2 4 2" xfId="37945"/>
    <cellStyle name="Normal 3 2 2 3 3 2 2 5" xfId="8918"/>
    <cellStyle name="Normal 3 2 2 3 3 2 2 5 2" xfId="31505"/>
    <cellStyle name="Normal 3 2 2 3 3 2 2 6" xfId="25065"/>
    <cellStyle name="Normal 3 2 2 3 3 2 3" xfId="4390"/>
    <cellStyle name="Normal 3 2 2 3 3 2 3 2" xfId="20490"/>
    <cellStyle name="Normal 3 2 2 3 3 2 3 2 2" xfId="43077"/>
    <cellStyle name="Normal 3 2 2 3 3 2 3 3" xfId="10830"/>
    <cellStyle name="Normal 3 2 2 3 3 2 3 3 2" xfId="33417"/>
    <cellStyle name="Normal 3 2 2 3 3 2 3 4" xfId="26977"/>
    <cellStyle name="Normal 3 2 2 3 3 2 4" xfId="17270"/>
    <cellStyle name="Normal 3 2 2 3 3 2 4 2" xfId="39857"/>
    <cellStyle name="Normal 3 2 2 3 3 2 5" xfId="14050"/>
    <cellStyle name="Normal 3 2 2 3 3 2 5 2" xfId="36637"/>
    <cellStyle name="Normal 3 2 2 3 3 2 6" xfId="7610"/>
    <cellStyle name="Normal 3 2 2 3 3 2 6 2" xfId="30197"/>
    <cellStyle name="Normal 3 2 2 3 3 2 7" xfId="23757"/>
    <cellStyle name="Normal 3 2 2 3 3 3" xfId="1510"/>
    <cellStyle name="Normal 3 2 2 3 3 3 2" xfId="2824"/>
    <cellStyle name="Normal 3 2 2 3 3 3 2 2" xfId="6045"/>
    <cellStyle name="Normal 3 2 2 3 3 3 2 2 2" xfId="22145"/>
    <cellStyle name="Normal 3 2 2 3 3 3 2 2 2 2" xfId="44732"/>
    <cellStyle name="Normal 3 2 2 3 3 3 2 2 3" xfId="12485"/>
    <cellStyle name="Normal 3 2 2 3 3 3 2 2 3 2" xfId="35072"/>
    <cellStyle name="Normal 3 2 2 3 3 3 2 2 4" xfId="28632"/>
    <cellStyle name="Normal 3 2 2 3 3 3 2 3" xfId="18925"/>
    <cellStyle name="Normal 3 2 2 3 3 3 2 3 2" xfId="41512"/>
    <cellStyle name="Normal 3 2 2 3 3 3 2 4" xfId="15705"/>
    <cellStyle name="Normal 3 2 2 3 3 3 2 4 2" xfId="38292"/>
    <cellStyle name="Normal 3 2 2 3 3 3 2 5" xfId="9265"/>
    <cellStyle name="Normal 3 2 2 3 3 3 2 5 2" xfId="31852"/>
    <cellStyle name="Normal 3 2 2 3 3 3 2 6" xfId="25412"/>
    <cellStyle name="Normal 3 2 2 3 3 3 3" xfId="4737"/>
    <cellStyle name="Normal 3 2 2 3 3 3 3 2" xfId="20837"/>
    <cellStyle name="Normal 3 2 2 3 3 3 3 2 2" xfId="43424"/>
    <cellStyle name="Normal 3 2 2 3 3 3 3 3" xfId="11177"/>
    <cellStyle name="Normal 3 2 2 3 3 3 3 3 2" xfId="33764"/>
    <cellStyle name="Normal 3 2 2 3 3 3 3 4" xfId="27324"/>
    <cellStyle name="Normal 3 2 2 3 3 3 4" xfId="17617"/>
    <cellStyle name="Normal 3 2 2 3 3 3 4 2" xfId="40204"/>
    <cellStyle name="Normal 3 2 2 3 3 3 5" xfId="14397"/>
    <cellStyle name="Normal 3 2 2 3 3 3 5 2" xfId="36984"/>
    <cellStyle name="Normal 3 2 2 3 3 3 6" xfId="7957"/>
    <cellStyle name="Normal 3 2 2 3 3 3 6 2" xfId="30544"/>
    <cellStyle name="Normal 3 2 2 3 3 3 7" xfId="24104"/>
    <cellStyle name="Normal 3 2 2 3 3 4" xfId="1638"/>
    <cellStyle name="Normal 3 2 2 3 3 4 2" xfId="4861"/>
    <cellStyle name="Normal 3 2 2 3 3 4 2 2" xfId="20961"/>
    <cellStyle name="Normal 3 2 2 3 3 4 2 2 2" xfId="43548"/>
    <cellStyle name="Normal 3 2 2 3 3 4 2 3" xfId="11301"/>
    <cellStyle name="Normal 3 2 2 3 3 4 2 3 2" xfId="33888"/>
    <cellStyle name="Normal 3 2 2 3 3 4 2 4" xfId="27448"/>
    <cellStyle name="Normal 3 2 2 3 3 4 3" xfId="17741"/>
    <cellStyle name="Normal 3 2 2 3 3 4 3 2" xfId="40328"/>
    <cellStyle name="Normal 3 2 2 3 3 4 4" xfId="14521"/>
    <cellStyle name="Normal 3 2 2 3 3 4 4 2" xfId="37108"/>
    <cellStyle name="Normal 3 2 2 3 3 4 5" xfId="8081"/>
    <cellStyle name="Normal 3 2 2 3 3 4 5 2" xfId="30668"/>
    <cellStyle name="Normal 3 2 2 3 3 4 6" xfId="24228"/>
    <cellStyle name="Normal 3 2 2 3 3 5" xfId="2130"/>
    <cellStyle name="Normal 3 2 2 3 3 5 2" xfId="5351"/>
    <cellStyle name="Normal 3 2 2 3 3 5 2 2" xfId="21451"/>
    <cellStyle name="Normal 3 2 2 3 3 5 2 2 2" xfId="44038"/>
    <cellStyle name="Normal 3 2 2 3 3 5 2 3" xfId="11791"/>
    <cellStyle name="Normal 3 2 2 3 3 5 2 3 2" xfId="34378"/>
    <cellStyle name="Normal 3 2 2 3 3 5 2 4" xfId="27938"/>
    <cellStyle name="Normal 3 2 2 3 3 5 3" xfId="18231"/>
    <cellStyle name="Normal 3 2 2 3 3 5 3 2" xfId="40818"/>
    <cellStyle name="Normal 3 2 2 3 3 5 4" xfId="15011"/>
    <cellStyle name="Normal 3 2 2 3 3 5 4 2" xfId="37598"/>
    <cellStyle name="Normal 3 2 2 3 3 5 5" xfId="8571"/>
    <cellStyle name="Normal 3 2 2 3 3 5 5 2" xfId="31158"/>
    <cellStyle name="Normal 3 2 2 3 3 5 6" xfId="24718"/>
    <cellStyle name="Normal 3 2 2 3 3 6" xfId="3086"/>
    <cellStyle name="Normal 3 2 2 3 3 6 2" xfId="6306"/>
    <cellStyle name="Normal 3 2 2 3 3 6 2 2" xfId="22406"/>
    <cellStyle name="Normal 3 2 2 3 3 6 2 2 2" xfId="44993"/>
    <cellStyle name="Normal 3 2 2 3 3 6 2 3" xfId="12746"/>
    <cellStyle name="Normal 3 2 2 3 3 6 2 3 2" xfId="35333"/>
    <cellStyle name="Normal 3 2 2 3 3 6 2 4" xfId="28893"/>
    <cellStyle name="Normal 3 2 2 3 3 6 3" xfId="19186"/>
    <cellStyle name="Normal 3 2 2 3 3 6 3 2" xfId="41773"/>
    <cellStyle name="Normal 3 2 2 3 3 6 4" xfId="15966"/>
    <cellStyle name="Normal 3 2 2 3 3 6 4 2" xfId="38553"/>
    <cellStyle name="Normal 3 2 2 3 3 6 5" xfId="9526"/>
    <cellStyle name="Normal 3 2 2 3 3 6 5 2" xfId="32113"/>
    <cellStyle name="Normal 3 2 2 3 3 6 6" xfId="25673"/>
    <cellStyle name="Normal 3 2 2 3 3 7" xfId="3376"/>
    <cellStyle name="Normal 3 2 2 3 3 7 2" xfId="6596"/>
    <cellStyle name="Normal 3 2 2 3 3 7 2 2" xfId="22696"/>
    <cellStyle name="Normal 3 2 2 3 3 7 2 2 2" xfId="45283"/>
    <cellStyle name="Normal 3 2 2 3 3 7 2 3" xfId="13036"/>
    <cellStyle name="Normal 3 2 2 3 3 7 2 3 2" xfId="35623"/>
    <cellStyle name="Normal 3 2 2 3 3 7 2 4" xfId="29183"/>
    <cellStyle name="Normal 3 2 2 3 3 7 3" xfId="19476"/>
    <cellStyle name="Normal 3 2 2 3 3 7 3 2" xfId="42063"/>
    <cellStyle name="Normal 3 2 2 3 3 7 4" xfId="16256"/>
    <cellStyle name="Normal 3 2 2 3 3 7 4 2" xfId="38843"/>
    <cellStyle name="Normal 3 2 2 3 3 7 5" xfId="9816"/>
    <cellStyle name="Normal 3 2 2 3 3 7 5 2" xfId="32403"/>
    <cellStyle name="Normal 3 2 2 3 3 7 6" xfId="25963"/>
    <cellStyle name="Normal 3 2 2 3 3 8" xfId="811"/>
    <cellStyle name="Normal 3 2 2 3 3 8 2" xfId="4043"/>
    <cellStyle name="Normal 3 2 2 3 3 8 2 2" xfId="20143"/>
    <cellStyle name="Normal 3 2 2 3 3 8 2 2 2" xfId="42730"/>
    <cellStyle name="Normal 3 2 2 3 3 8 2 3" xfId="10483"/>
    <cellStyle name="Normal 3 2 2 3 3 8 2 3 2" xfId="33070"/>
    <cellStyle name="Normal 3 2 2 3 3 8 2 4" xfId="26630"/>
    <cellStyle name="Normal 3 2 2 3 3 8 3" xfId="16923"/>
    <cellStyle name="Normal 3 2 2 3 3 8 3 2" xfId="39510"/>
    <cellStyle name="Normal 3 2 2 3 3 8 4" xfId="13703"/>
    <cellStyle name="Normal 3 2 2 3 3 8 4 2" xfId="36290"/>
    <cellStyle name="Normal 3 2 2 3 3 8 5" xfId="7263"/>
    <cellStyle name="Normal 3 2 2 3 3 8 5 2" xfId="29850"/>
    <cellStyle name="Normal 3 2 2 3 3 8 6" xfId="23410"/>
    <cellStyle name="Normal 3 2 2 3 3 9" xfId="3666"/>
    <cellStyle name="Normal 3 2 2 3 3 9 2" xfId="19766"/>
    <cellStyle name="Normal 3 2 2 3 3 9 2 2" xfId="42353"/>
    <cellStyle name="Normal 3 2 2 3 3 9 3" xfId="10106"/>
    <cellStyle name="Normal 3 2 2 3 3 9 3 2" xfId="32693"/>
    <cellStyle name="Normal 3 2 2 3 3 9 4" xfId="26253"/>
    <cellStyle name="Normal 3 2 2 3 4" xfId="878"/>
    <cellStyle name="Normal 3 2 2 3 4 2" xfId="2197"/>
    <cellStyle name="Normal 3 2 2 3 4 2 2" xfId="5418"/>
    <cellStyle name="Normal 3 2 2 3 4 2 2 2" xfId="21518"/>
    <cellStyle name="Normal 3 2 2 3 4 2 2 2 2" xfId="44105"/>
    <cellStyle name="Normal 3 2 2 3 4 2 2 3" xfId="11858"/>
    <cellStyle name="Normal 3 2 2 3 4 2 2 3 2" xfId="34445"/>
    <cellStyle name="Normal 3 2 2 3 4 2 2 4" xfId="28005"/>
    <cellStyle name="Normal 3 2 2 3 4 2 3" xfId="18298"/>
    <cellStyle name="Normal 3 2 2 3 4 2 3 2" xfId="40885"/>
    <cellStyle name="Normal 3 2 2 3 4 2 4" xfId="15078"/>
    <cellStyle name="Normal 3 2 2 3 4 2 4 2" xfId="37665"/>
    <cellStyle name="Normal 3 2 2 3 4 2 5" xfId="8638"/>
    <cellStyle name="Normal 3 2 2 3 4 2 5 2" xfId="31225"/>
    <cellStyle name="Normal 3 2 2 3 4 2 6" xfId="24785"/>
    <cellStyle name="Normal 3 2 2 3 4 3" xfId="4110"/>
    <cellStyle name="Normal 3 2 2 3 4 3 2" xfId="20210"/>
    <cellStyle name="Normal 3 2 2 3 4 3 2 2" xfId="42797"/>
    <cellStyle name="Normal 3 2 2 3 4 3 3" xfId="10550"/>
    <cellStyle name="Normal 3 2 2 3 4 3 3 2" xfId="33137"/>
    <cellStyle name="Normal 3 2 2 3 4 3 4" xfId="26697"/>
    <cellStyle name="Normal 3 2 2 3 4 4" xfId="16990"/>
    <cellStyle name="Normal 3 2 2 3 4 4 2" xfId="39577"/>
    <cellStyle name="Normal 3 2 2 3 4 5" xfId="13770"/>
    <cellStyle name="Normal 3 2 2 3 4 5 2" xfId="36357"/>
    <cellStyle name="Normal 3 2 2 3 4 6" xfId="7330"/>
    <cellStyle name="Normal 3 2 2 3 4 6 2" xfId="29917"/>
    <cellStyle name="Normal 3 2 2 3 4 7" xfId="23477"/>
    <cellStyle name="Normal 3 2 2 3 5" xfId="1230"/>
    <cellStyle name="Normal 3 2 2 3 5 2" xfId="2544"/>
    <cellStyle name="Normal 3 2 2 3 5 2 2" xfId="5765"/>
    <cellStyle name="Normal 3 2 2 3 5 2 2 2" xfId="21865"/>
    <cellStyle name="Normal 3 2 2 3 5 2 2 2 2" xfId="44452"/>
    <cellStyle name="Normal 3 2 2 3 5 2 2 3" xfId="12205"/>
    <cellStyle name="Normal 3 2 2 3 5 2 2 3 2" xfId="34792"/>
    <cellStyle name="Normal 3 2 2 3 5 2 2 4" xfId="28352"/>
    <cellStyle name="Normal 3 2 2 3 5 2 3" xfId="18645"/>
    <cellStyle name="Normal 3 2 2 3 5 2 3 2" xfId="41232"/>
    <cellStyle name="Normal 3 2 2 3 5 2 4" xfId="15425"/>
    <cellStyle name="Normal 3 2 2 3 5 2 4 2" xfId="38012"/>
    <cellStyle name="Normal 3 2 2 3 5 2 5" xfId="8985"/>
    <cellStyle name="Normal 3 2 2 3 5 2 5 2" xfId="31572"/>
    <cellStyle name="Normal 3 2 2 3 5 2 6" xfId="25132"/>
    <cellStyle name="Normal 3 2 2 3 5 3" xfId="4457"/>
    <cellStyle name="Normal 3 2 2 3 5 3 2" xfId="20557"/>
    <cellStyle name="Normal 3 2 2 3 5 3 2 2" xfId="43144"/>
    <cellStyle name="Normal 3 2 2 3 5 3 3" xfId="10897"/>
    <cellStyle name="Normal 3 2 2 3 5 3 3 2" xfId="33484"/>
    <cellStyle name="Normal 3 2 2 3 5 3 4" xfId="27044"/>
    <cellStyle name="Normal 3 2 2 3 5 4" xfId="17337"/>
    <cellStyle name="Normal 3 2 2 3 5 4 2" xfId="39924"/>
    <cellStyle name="Normal 3 2 2 3 5 5" xfId="14117"/>
    <cellStyle name="Normal 3 2 2 3 5 5 2" xfId="36704"/>
    <cellStyle name="Normal 3 2 2 3 5 6" xfId="7677"/>
    <cellStyle name="Normal 3 2 2 3 5 6 2" xfId="30264"/>
    <cellStyle name="Normal 3 2 2 3 5 7" xfId="23824"/>
    <cellStyle name="Normal 3 2 2 3 6" xfId="1639"/>
    <cellStyle name="Normal 3 2 2 3 6 2" xfId="4862"/>
    <cellStyle name="Normal 3 2 2 3 6 2 2" xfId="20962"/>
    <cellStyle name="Normal 3 2 2 3 6 2 2 2" xfId="43549"/>
    <cellStyle name="Normal 3 2 2 3 6 2 3" xfId="11302"/>
    <cellStyle name="Normal 3 2 2 3 6 2 3 2" xfId="33889"/>
    <cellStyle name="Normal 3 2 2 3 6 2 4" xfId="27449"/>
    <cellStyle name="Normal 3 2 2 3 6 3" xfId="17742"/>
    <cellStyle name="Normal 3 2 2 3 6 3 2" xfId="40329"/>
    <cellStyle name="Normal 3 2 2 3 6 4" xfId="14522"/>
    <cellStyle name="Normal 3 2 2 3 6 4 2" xfId="37109"/>
    <cellStyle name="Normal 3 2 2 3 6 5" xfId="8082"/>
    <cellStyle name="Normal 3 2 2 3 6 5 2" xfId="30669"/>
    <cellStyle name="Normal 3 2 2 3 6 6" xfId="24229"/>
    <cellStyle name="Normal 3 2 2 3 7" xfId="1849"/>
    <cellStyle name="Normal 3 2 2 3 7 2" xfId="5071"/>
    <cellStyle name="Normal 3 2 2 3 7 2 2" xfId="21171"/>
    <cellStyle name="Normal 3 2 2 3 7 2 2 2" xfId="43758"/>
    <cellStyle name="Normal 3 2 2 3 7 2 3" xfId="11511"/>
    <cellStyle name="Normal 3 2 2 3 7 2 3 2" xfId="34098"/>
    <cellStyle name="Normal 3 2 2 3 7 2 4" xfId="27658"/>
    <cellStyle name="Normal 3 2 2 3 7 3" xfId="17951"/>
    <cellStyle name="Normal 3 2 2 3 7 3 2" xfId="40538"/>
    <cellStyle name="Normal 3 2 2 3 7 4" xfId="14731"/>
    <cellStyle name="Normal 3 2 2 3 7 4 2" xfId="37318"/>
    <cellStyle name="Normal 3 2 2 3 7 5" xfId="8291"/>
    <cellStyle name="Normal 3 2 2 3 7 5 2" xfId="30878"/>
    <cellStyle name="Normal 3 2 2 3 7 6" xfId="24438"/>
    <cellStyle name="Normal 3 2 2 3 8" xfId="2892"/>
    <cellStyle name="Normal 3 2 2 3 8 2" xfId="6113"/>
    <cellStyle name="Normal 3 2 2 3 8 2 2" xfId="22213"/>
    <cellStyle name="Normal 3 2 2 3 8 2 2 2" xfId="44800"/>
    <cellStyle name="Normal 3 2 2 3 8 2 3" xfId="12553"/>
    <cellStyle name="Normal 3 2 2 3 8 2 3 2" xfId="35140"/>
    <cellStyle name="Normal 3 2 2 3 8 2 4" xfId="28700"/>
    <cellStyle name="Normal 3 2 2 3 8 3" xfId="18993"/>
    <cellStyle name="Normal 3 2 2 3 8 3 2" xfId="41580"/>
    <cellStyle name="Normal 3 2 2 3 8 4" xfId="15773"/>
    <cellStyle name="Normal 3 2 2 3 8 4 2" xfId="38360"/>
    <cellStyle name="Normal 3 2 2 3 8 5" xfId="9333"/>
    <cellStyle name="Normal 3 2 2 3 8 5 2" xfId="31920"/>
    <cellStyle name="Normal 3 2 2 3 8 6" xfId="25480"/>
    <cellStyle name="Normal 3 2 2 3 9" xfId="3183"/>
    <cellStyle name="Normal 3 2 2 3 9 2" xfId="6403"/>
    <cellStyle name="Normal 3 2 2 3 9 2 2" xfId="22503"/>
    <cellStyle name="Normal 3 2 2 3 9 2 2 2" xfId="45090"/>
    <cellStyle name="Normal 3 2 2 3 9 2 3" xfId="12843"/>
    <cellStyle name="Normal 3 2 2 3 9 2 3 2" xfId="35430"/>
    <cellStyle name="Normal 3 2 2 3 9 2 4" xfId="28990"/>
    <cellStyle name="Normal 3 2 2 3 9 3" xfId="19283"/>
    <cellStyle name="Normal 3 2 2 3 9 3 2" xfId="41870"/>
    <cellStyle name="Normal 3 2 2 3 9 4" xfId="16063"/>
    <cellStyle name="Normal 3 2 2 3 9 4 2" xfId="38650"/>
    <cellStyle name="Normal 3 2 2 3 9 5" xfId="9623"/>
    <cellStyle name="Normal 3 2 2 3 9 5 2" xfId="32210"/>
    <cellStyle name="Normal 3 2 2 3 9 6" xfId="25770"/>
    <cellStyle name="Normal 3 2 2 4" xfId="229"/>
    <cellStyle name="Normal 3 2 2 4 10" xfId="516"/>
    <cellStyle name="Normal 3 2 2 4 10 2" xfId="3803"/>
    <cellStyle name="Normal 3 2 2 4 10 2 2" xfId="19903"/>
    <cellStyle name="Normal 3 2 2 4 10 2 2 2" xfId="42490"/>
    <cellStyle name="Normal 3 2 2 4 10 2 3" xfId="10243"/>
    <cellStyle name="Normal 3 2 2 4 10 2 3 2" xfId="32830"/>
    <cellStyle name="Normal 3 2 2 4 10 2 4" xfId="26390"/>
    <cellStyle name="Normal 3 2 2 4 10 3" xfId="16683"/>
    <cellStyle name="Normal 3 2 2 4 10 3 2" xfId="39270"/>
    <cellStyle name="Normal 3 2 2 4 10 4" xfId="13463"/>
    <cellStyle name="Normal 3 2 2 4 10 4 2" xfId="36050"/>
    <cellStyle name="Normal 3 2 2 4 10 5" xfId="7023"/>
    <cellStyle name="Normal 3 2 2 4 10 5 2" xfId="29610"/>
    <cellStyle name="Normal 3 2 2 4 10 6" xfId="23170"/>
    <cellStyle name="Normal 3 2 2 4 11" xfId="3517"/>
    <cellStyle name="Normal 3 2 2 4 11 2" xfId="19617"/>
    <cellStyle name="Normal 3 2 2 4 11 2 2" xfId="42204"/>
    <cellStyle name="Normal 3 2 2 4 11 3" xfId="9957"/>
    <cellStyle name="Normal 3 2 2 4 11 3 2" xfId="32544"/>
    <cellStyle name="Normal 3 2 2 4 11 4" xfId="26104"/>
    <cellStyle name="Normal 3 2 2 4 12" xfId="16397"/>
    <cellStyle name="Normal 3 2 2 4 12 2" xfId="38984"/>
    <cellStyle name="Normal 3 2 2 4 13" xfId="13177"/>
    <cellStyle name="Normal 3 2 2 4 13 2" xfId="35764"/>
    <cellStyle name="Normal 3 2 2 4 14" xfId="6737"/>
    <cellStyle name="Normal 3 2 2 4 14 2" xfId="29324"/>
    <cellStyle name="Normal 3 2 2 4 15" xfId="22884"/>
    <cellStyle name="Normal 3 2 2 4 2" xfId="327"/>
    <cellStyle name="Normal 3 2 2 4 2 10" xfId="16494"/>
    <cellStyle name="Normal 3 2 2 4 2 10 2" xfId="39081"/>
    <cellStyle name="Normal 3 2 2 4 2 11" xfId="13274"/>
    <cellStyle name="Normal 3 2 2 4 2 11 2" xfId="35861"/>
    <cellStyle name="Normal 3 2 2 4 2 12" xfId="6834"/>
    <cellStyle name="Normal 3 2 2 4 2 12 2" xfId="29421"/>
    <cellStyle name="Normal 3 2 2 4 2 13" xfId="22981"/>
    <cellStyle name="Normal 3 2 2 4 2 2" xfId="1039"/>
    <cellStyle name="Normal 3 2 2 4 2 2 2" xfId="2353"/>
    <cellStyle name="Normal 3 2 2 4 2 2 2 2" xfId="5574"/>
    <cellStyle name="Normal 3 2 2 4 2 2 2 2 2" xfId="21674"/>
    <cellStyle name="Normal 3 2 2 4 2 2 2 2 2 2" xfId="44261"/>
    <cellStyle name="Normal 3 2 2 4 2 2 2 2 3" xfId="12014"/>
    <cellStyle name="Normal 3 2 2 4 2 2 2 2 3 2" xfId="34601"/>
    <cellStyle name="Normal 3 2 2 4 2 2 2 2 4" xfId="28161"/>
    <cellStyle name="Normal 3 2 2 4 2 2 2 3" xfId="18454"/>
    <cellStyle name="Normal 3 2 2 4 2 2 2 3 2" xfId="41041"/>
    <cellStyle name="Normal 3 2 2 4 2 2 2 4" xfId="15234"/>
    <cellStyle name="Normal 3 2 2 4 2 2 2 4 2" xfId="37821"/>
    <cellStyle name="Normal 3 2 2 4 2 2 2 5" xfId="8794"/>
    <cellStyle name="Normal 3 2 2 4 2 2 2 5 2" xfId="31381"/>
    <cellStyle name="Normal 3 2 2 4 2 2 2 6" xfId="24941"/>
    <cellStyle name="Normal 3 2 2 4 2 2 3" xfId="4266"/>
    <cellStyle name="Normal 3 2 2 4 2 2 3 2" xfId="20366"/>
    <cellStyle name="Normal 3 2 2 4 2 2 3 2 2" xfId="42953"/>
    <cellStyle name="Normal 3 2 2 4 2 2 3 3" xfId="10706"/>
    <cellStyle name="Normal 3 2 2 4 2 2 3 3 2" xfId="33293"/>
    <cellStyle name="Normal 3 2 2 4 2 2 3 4" xfId="26853"/>
    <cellStyle name="Normal 3 2 2 4 2 2 4" xfId="17146"/>
    <cellStyle name="Normal 3 2 2 4 2 2 4 2" xfId="39733"/>
    <cellStyle name="Normal 3 2 2 4 2 2 5" xfId="13926"/>
    <cellStyle name="Normal 3 2 2 4 2 2 5 2" xfId="36513"/>
    <cellStyle name="Normal 3 2 2 4 2 2 6" xfId="7486"/>
    <cellStyle name="Normal 3 2 2 4 2 2 6 2" xfId="30073"/>
    <cellStyle name="Normal 3 2 2 4 2 2 7" xfId="23633"/>
    <cellStyle name="Normal 3 2 2 4 2 3" xfId="1386"/>
    <cellStyle name="Normal 3 2 2 4 2 3 2" xfId="2700"/>
    <cellStyle name="Normal 3 2 2 4 2 3 2 2" xfId="5921"/>
    <cellStyle name="Normal 3 2 2 4 2 3 2 2 2" xfId="22021"/>
    <cellStyle name="Normal 3 2 2 4 2 3 2 2 2 2" xfId="44608"/>
    <cellStyle name="Normal 3 2 2 4 2 3 2 2 3" xfId="12361"/>
    <cellStyle name="Normal 3 2 2 4 2 3 2 2 3 2" xfId="34948"/>
    <cellStyle name="Normal 3 2 2 4 2 3 2 2 4" xfId="28508"/>
    <cellStyle name="Normal 3 2 2 4 2 3 2 3" xfId="18801"/>
    <cellStyle name="Normal 3 2 2 4 2 3 2 3 2" xfId="41388"/>
    <cellStyle name="Normal 3 2 2 4 2 3 2 4" xfId="15581"/>
    <cellStyle name="Normal 3 2 2 4 2 3 2 4 2" xfId="38168"/>
    <cellStyle name="Normal 3 2 2 4 2 3 2 5" xfId="9141"/>
    <cellStyle name="Normal 3 2 2 4 2 3 2 5 2" xfId="31728"/>
    <cellStyle name="Normal 3 2 2 4 2 3 2 6" xfId="25288"/>
    <cellStyle name="Normal 3 2 2 4 2 3 3" xfId="4613"/>
    <cellStyle name="Normal 3 2 2 4 2 3 3 2" xfId="20713"/>
    <cellStyle name="Normal 3 2 2 4 2 3 3 2 2" xfId="43300"/>
    <cellStyle name="Normal 3 2 2 4 2 3 3 3" xfId="11053"/>
    <cellStyle name="Normal 3 2 2 4 2 3 3 3 2" xfId="33640"/>
    <cellStyle name="Normal 3 2 2 4 2 3 3 4" xfId="27200"/>
    <cellStyle name="Normal 3 2 2 4 2 3 4" xfId="17493"/>
    <cellStyle name="Normal 3 2 2 4 2 3 4 2" xfId="40080"/>
    <cellStyle name="Normal 3 2 2 4 2 3 5" xfId="14273"/>
    <cellStyle name="Normal 3 2 2 4 2 3 5 2" xfId="36860"/>
    <cellStyle name="Normal 3 2 2 4 2 3 6" xfId="7833"/>
    <cellStyle name="Normal 3 2 2 4 2 3 6 2" xfId="30420"/>
    <cellStyle name="Normal 3 2 2 4 2 3 7" xfId="23980"/>
    <cellStyle name="Normal 3 2 2 4 2 4" xfId="1640"/>
    <cellStyle name="Normal 3 2 2 4 2 4 2" xfId="4863"/>
    <cellStyle name="Normal 3 2 2 4 2 4 2 2" xfId="20963"/>
    <cellStyle name="Normal 3 2 2 4 2 4 2 2 2" xfId="43550"/>
    <cellStyle name="Normal 3 2 2 4 2 4 2 3" xfId="11303"/>
    <cellStyle name="Normal 3 2 2 4 2 4 2 3 2" xfId="33890"/>
    <cellStyle name="Normal 3 2 2 4 2 4 2 4" xfId="27450"/>
    <cellStyle name="Normal 3 2 2 4 2 4 3" xfId="17743"/>
    <cellStyle name="Normal 3 2 2 4 2 4 3 2" xfId="40330"/>
    <cellStyle name="Normal 3 2 2 4 2 4 4" xfId="14523"/>
    <cellStyle name="Normal 3 2 2 4 2 4 4 2" xfId="37110"/>
    <cellStyle name="Normal 3 2 2 4 2 4 5" xfId="8083"/>
    <cellStyle name="Normal 3 2 2 4 2 4 5 2" xfId="30670"/>
    <cellStyle name="Normal 3 2 2 4 2 4 6" xfId="24230"/>
    <cellStyle name="Normal 3 2 2 4 2 5" xfId="2005"/>
    <cellStyle name="Normal 3 2 2 4 2 5 2" xfId="5227"/>
    <cellStyle name="Normal 3 2 2 4 2 5 2 2" xfId="21327"/>
    <cellStyle name="Normal 3 2 2 4 2 5 2 2 2" xfId="43914"/>
    <cellStyle name="Normal 3 2 2 4 2 5 2 3" xfId="11667"/>
    <cellStyle name="Normal 3 2 2 4 2 5 2 3 2" xfId="34254"/>
    <cellStyle name="Normal 3 2 2 4 2 5 2 4" xfId="27814"/>
    <cellStyle name="Normal 3 2 2 4 2 5 3" xfId="18107"/>
    <cellStyle name="Normal 3 2 2 4 2 5 3 2" xfId="40694"/>
    <cellStyle name="Normal 3 2 2 4 2 5 4" xfId="14887"/>
    <cellStyle name="Normal 3 2 2 4 2 5 4 2" xfId="37474"/>
    <cellStyle name="Normal 3 2 2 4 2 5 5" xfId="8447"/>
    <cellStyle name="Normal 3 2 2 4 2 5 5 2" xfId="31034"/>
    <cellStyle name="Normal 3 2 2 4 2 5 6" xfId="24594"/>
    <cellStyle name="Normal 3 2 2 4 2 6" xfId="3034"/>
    <cellStyle name="Normal 3 2 2 4 2 6 2" xfId="6254"/>
    <cellStyle name="Normal 3 2 2 4 2 6 2 2" xfId="22354"/>
    <cellStyle name="Normal 3 2 2 4 2 6 2 2 2" xfId="44941"/>
    <cellStyle name="Normal 3 2 2 4 2 6 2 3" xfId="12694"/>
    <cellStyle name="Normal 3 2 2 4 2 6 2 3 2" xfId="35281"/>
    <cellStyle name="Normal 3 2 2 4 2 6 2 4" xfId="28841"/>
    <cellStyle name="Normal 3 2 2 4 2 6 3" xfId="19134"/>
    <cellStyle name="Normal 3 2 2 4 2 6 3 2" xfId="41721"/>
    <cellStyle name="Normal 3 2 2 4 2 6 4" xfId="15914"/>
    <cellStyle name="Normal 3 2 2 4 2 6 4 2" xfId="38501"/>
    <cellStyle name="Normal 3 2 2 4 2 6 5" xfId="9474"/>
    <cellStyle name="Normal 3 2 2 4 2 6 5 2" xfId="32061"/>
    <cellStyle name="Normal 3 2 2 4 2 6 6" xfId="25621"/>
    <cellStyle name="Normal 3 2 2 4 2 7" xfId="3324"/>
    <cellStyle name="Normal 3 2 2 4 2 7 2" xfId="6544"/>
    <cellStyle name="Normal 3 2 2 4 2 7 2 2" xfId="22644"/>
    <cellStyle name="Normal 3 2 2 4 2 7 2 2 2" xfId="45231"/>
    <cellStyle name="Normal 3 2 2 4 2 7 2 3" xfId="12984"/>
    <cellStyle name="Normal 3 2 2 4 2 7 2 3 2" xfId="35571"/>
    <cellStyle name="Normal 3 2 2 4 2 7 2 4" xfId="29131"/>
    <cellStyle name="Normal 3 2 2 4 2 7 3" xfId="19424"/>
    <cellStyle name="Normal 3 2 2 4 2 7 3 2" xfId="42011"/>
    <cellStyle name="Normal 3 2 2 4 2 7 4" xfId="16204"/>
    <cellStyle name="Normal 3 2 2 4 2 7 4 2" xfId="38791"/>
    <cellStyle name="Normal 3 2 2 4 2 7 5" xfId="9764"/>
    <cellStyle name="Normal 3 2 2 4 2 7 5 2" xfId="32351"/>
    <cellStyle name="Normal 3 2 2 4 2 7 6" xfId="25911"/>
    <cellStyle name="Normal 3 2 2 4 2 8" xfId="675"/>
    <cellStyle name="Normal 3 2 2 4 2 8 2" xfId="3919"/>
    <cellStyle name="Normal 3 2 2 4 2 8 2 2" xfId="20019"/>
    <cellStyle name="Normal 3 2 2 4 2 8 2 2 2" xfId="42606"/>
    <cellStyle name="Normal 3 2 2 4 2 8 2 3" xfId="10359"/>
    <cellStyle name="Normal 3 2 2 4 2 8 2 3 2" xfId="32946"/>
    <cellStyle name="Normal 3 2 2 4 2 8 2 4" xfId="26506"/>
    <cellStyle name="Normal 3 2 2 4 2 8 3" xfId="16799"/>
    <cellStyle name="Normal 3 2 2 4 2 8 3 2" xfId="39386"/>
    <cellStyle name="Normal 3 2 2 4 2 8 4" xfId="13579"/>
    <cellStyle name="Normal 3 2 2 4 2 8 4 2" xfId="36166"/>
    <cellStyle name="Normal 3 2 2 4 2 8 5" xfId="7139"/>
    <cellStyle name="Normal 3 2 2 4 2 8 5 2" xfId="29726"/>
    <cellStyle name="Normal 3 2 2 4 2 8 6" xfId="23286"/>
    <cellStyle name="Normal 3 2 2 4 2 9" xfId="3614"/>
    <cellStyle name="Normal 3 2 2 4 2 9 2" xfId="19714"/>
    <cellStyle name="Normal 3 2 2 4 2 9 2 2" xfId="42301"/>
    <cellStyle name="Normal 3 2 2 4 2 9 3" xfId="10054"/>
    <cellStyle name="Normal 3 2 2 4 2 9 3 2" xfId="32641"/>
    <cellStyle name="Normal 3 2 2 4 2 9 4" xfId="26201"/>
    <cellStyle name="Normal 3 2 2 4 3" xfId="423"/>
    <cellStyle name="Normal 3 2 2 4 3 10" xfId="16590"/>
    <cellStyle name="Normal 3 2 2 4 3 10 2" xfId="39177"/>
    <cellStyle name="Normal 3 2 2 4 3 11" xfId="13370"/>
    <cellStyle name="Normal 3 2 2 4 3 11 2" xfId="35957"/>
    <cellStyle name="Normal 3 2 2 4 3 12" xfId="6930"/>
    <cellStyle name="Normal 3 2 2 4 3 12 2" xfId="29517"/>
    <cellStyle name="Normal 3 2 2 4 3 13" xfId="23077"/>
    <cellStyle name="Normal 3 2 2 4 3 2" xfId="1123"/>
    <cellStyle name="Normal 3 2 2 4 3 2 2" xfId="2437"/>
    <cellStyle name="Normal 3 2 2 4 3 2 2 2" xfId="5658"/>
    <cellStyle name="Normal 3 2 2 4 3 2 2 2 2" xfId="21758"/>
    <cellStyle name="Normal 3 2 2 4 3 2 2 2 2 2" xfId="44345"/>
    <cellStyle name="Normal 3 2 2 4 3 2 2 2 3" xfId="12098"/>
    <cellStyle name="Normal 3 2 2 4 3 2 2 2 3 2" xfId="34685"/>
    <cellStyle name="Normal 3 2 2 4 3 2 2 2 4" xfId="28245"/>
    <cellStyle name="Normal 3 2 2 4 3 2 2 3" xfId="18538"/>
    <cellStyle name="Normal 3 2 2 4 3 2 2 3 2" xfId="41125"/>
    <cellStyle name="Normal 3 2 2 4 3 2 2 4" xfId="15318"/>
    <cellStyle name="Normal 3 2 2 4 3 2 2 4 2" xfId="37905"/>
    <cellStyle name="Normal 3 2 2 4 3 2 2 5" xfId="8878"/>
    <cellStyle name="Normal 3 2 2 4 3 2 2 5 2" xfId="31465"/>
    <cellStyle name="Normal 3 2 2 4 3 2 2 6" xfId="25025"/>
    <cellStyle name="Normal 3 2 2 4 3 2 3" xfId="4350"/>
    <cellStyle name="Normal 3 2 2 4 3 2 3 2" xfId="20450"/>
    <cellStyle name="Normal 3 2 2 4 3 2 3 2 2" xfId="43037"/>
    <cellStyle name="Normal 3 2 2 4 3 2 3 3" xfId="10790"/>
    <cellStyle name="Normal 3 2 2 4 3 2 3 3 2" xfId="33377"/>
    <cellStyle name="Normal 3 2 2 4 3 2 3 4" xfId="26937"/>
    <cellStyle name="Normal 3 2 2 4 3 2 4" xfId="17230"/>
    <cellStyle name="Normal 3 2 2 4 3 2 4 2" xfId="39817"/>
    <cellStyle name="Normal 3 2 2 4 3 2 5" xfId="14010"/>
    <cellStyle name="Normal 3 2 2 4 3 2 5 2" xfId="36597"/>
    <cellStyle name="Normal 3 2 2 4 3 2 6" xfId="7570"/>
    <cellStyle name="Normal 3 2 2 4 3 2 6 2" xfId="30157"/>
    <cellStyle name="Normal 3 2 2 4 3 2 7" xfId="23717"/>
    <cellStyle name="Normal 3 2 2 4 3 3" xfId="1470"/>
    <cellStyle name="Normal 3 2 2 4 3 3 2" xfId="2784"/>
    <cellStyle name="Normal 3 2 2 4 3 3 2 2" xfId="6005"/>
    <cellStyle name="Normal 3 2 2 4 3 3 2 2 2" xfId="22105"/>
    <cellStyle name="Normal 3 2 2 4 3 3 2 2 2 2" xfId="44692"/>
    <cellStyle name="Normal 3 2 2 4 3 3 2 2 3" xfId="12445"/>
    <cellStyle name="Normal 3 2 2 4 3 3 2 2 3 2" xfId="35032"/>
    <cellStyle name="Normal 3 2 2 4 3 3 2 2 4" xfId="28592"/>
    <cellStyle name="Normal 3 2 2 4 3 3 2 3" xfId="18885"/>
    <cellStyle name="Normal 3 2 2 4 3 3 2 3 2" xfId="41472"/>
    <cellStyle name="Normal 3 2 2 4 3 3 2 4" xfId="15665"/>
    <cellStyle name="Normal 3 2 2 4 3 3 2 4 2" xfId="38252"/>
    <cellStyle name="Normal 3 2 2 4 3 3 2 5" xfId="9225"/>
    <cellStyle name="Normal 3 2 2 4 3 3 2 5 2" xfId="31812"/>
    <cellStyle name="Normal 3 2 2 4 3 3 2 6" xfId="25372"/>
    <cellStyle name="Normal 3 2 2 4 3 3 3" xfId="4697"/>
    <cellStyle name="Normal 3 2 2 4 3 3 3 2" xfId="20797"/>
    <cellStyle name="Normal 3 2 2 4 3 3 3 2 2" xfId="43384"/>
    <cellStyle name="Normal 3 2 2 4 3 3 3 3" xfId="11137"/>
    <cellStyle name="Normal 3 2 2 4 3 3 3 3 2" xfId="33724"/>
    <cellStyle name="Normal 3 2 2 4 3 3 3 4" xfId="27284"/>
    <cellStyle name="Normal 3 2 2 4 3 3 4" xfId="17577"/>
    <cellStyle name="Normal 3 2 2 4 3 3 4 2" xfId="40164"/>
    <cellStyle name="Normal 3 2 2 4 3 3 5" xfId="14357"/>
    <cellStyle name="Normal 3 2 2 4 3 3 5 2" xfId="36944"/>
    <cellStyle name="Normal 3 2 2 4 3 3 6" xfId="7917"/>
    <cellStyle name="Normal 3 2 2 4 3 3 6 2" xfId="30504"/>
    <cellStyle name="Normal 3 2 2 4 3 3 7" xfId="24064"/>
    <cellStyle name="Normal 3 2 2 4 3 4" xfId="1641"/>
    <cellStyle name="Normal 3 2 2 4 3 4 2" xfId="4864"/>
    <cellStyle name="Normal 3 2 2 4 3 4 2 2" xfId="20964"/>
    <cellStyle name="Normal 3 2 2 4 3 4 2 2 2" xfId="43551"/>
    <cellStyle name="Normal 3 2 2 4 3 4 2 3" xfId="11304"/>
    <cellStyle name="Normal 3 2 2 4 3 4 2 3 2" xfId="33891"/>
    <cellStyle name="Normal 3 2 2 4 3 4 2 4" xfId="27451"/>
    <cellStyle name="Normal 3 2 2 4 3 4 3" xfId="17744"/>
    <cellStyle name="Normal 3 2 2 4 3 4 3 2" xfId="40331"/>
    <cellStyle name="Normal 3 2 2 4 3 4 4" xfId="14524"/>
    <cellStyle name="Normal 3 2 2 4 3 4 4 2" xfId="37111"/>
    <cellStyle name="Normal 3 2 2 4 3 4 5" xfId="8084"/>
    <cellStyle name="Normal 3 2 2 4 3 4 5 2" xfId="30671"/>
    <cellStyle name="Normal 3 2 2 4 3 4 6" xfId="24231"/>
    <cellStyle name="Normal 3 2 2 4 3 5" xfId="2090"/>
    <cellStyle name="Normal 3 2 2 4 3 5 2" xfId="5311"/>
    <cellStyle name="Normal 3 2 2 4 3 5 2 2" xfId="21411"/>
    <cellStyle name="Normal 3 2 2 4 3 5 2 2 2" xfId="43998"/>
    <cellStyle name="Normal 3 2 2 4 3 5 2 3" xfId="11751"/>
    <cellStyle name="Normal 3 2 2 4 3 5 2 3 2" xfId="34338"/>
    <cellStyle name="Normal 3 2 2 4 3 5 2 4" xfId="27898"/>
    <cellStyle name="Normal 3 2 2 4 3 5 3" xfId="18191"/>
    <cellStyle name="Normal 3 2 2 4 3 5 3 2" xfId="40778"/>
    <cellStyle name="Normal 3 2 2 4 3 5 4" xfId="14971"/>
    <cellStyle name="Normal 3 2 2 4 3 5 4 2" xfId="37558"/>
    <cellStyle name="Normal 3 2 2 4 3 5 5" xfId="8531"/>
    <cellStyle name="Normal 3 2 2 4 3 5 5 2" xfId="31118"/>
    <cellStyle name="Normal 3 2 2 4 3 5 6" xfId="24678"/>
    <cellStyle name="Normal 3 2 2 4 3 6" xfId="3130"/>
    <cellStyle name="Normal 3 2 2 4 3 6 2" xfId="6350"/>
    <cellStyle name="Normal 3 2 2 4 3 6 2 2" xfId="22450"/>
    <cellStyle name="Normal 3 2 2 4 3 6 2 2 2" xfId="45037"/>
    <cellStyle name="Normal 3 2 2 4 3 6 2 3" xfId="12790"/>
    <cellStyle name="Normal 3 2 2 4 3 6 2 3 2" xfId="35377"/>
    <cellStyle name="Normal 3 2 2 4 3 6 2 4" xfId="28937"/>
    <cellStyle name="Normal 3 2 2 4 3 6 3" xfId="19230"/>
    <cellStyle name="Normal 3 2 2 4 3 6 3 2" xfId="41817"/>
    <cellStyle name="Normal 3 2 2 4 3 6 4" xfId="16010"/>
    <cellStyle name="Normal 3 2 2 4 3 6 4 2" xfId="38597"/>
    <cellStyle name="Normal 3 2 2 4 3 6 5" xfId="9570"/>
    <cellStyle name="Normal 3 2 2 4 3 6 5 2" xfId="32157"/>
    <cellStyle name="Normal 3 2 2 4 3 6 6" xfId="25717"/>
    <cellStyle name="Normal 3 2 2 4 3 7" xfId="3420"/>
    <cellStyle name="Normal 3 2 2 4 3 7 2" xfId="6640"/>
    <cellStyle name="Normal 3 2 2 4 3 7 2 2" xfId="22740"/>
    <cellStyle name="Normal 3 2 2 4 3 7 2 2 2" xfId="45327"/>
    <cellStyle name="Normal 3 2 2 4 3 7 2 3" xfId="13080"/>
    <cellStyle name="Normal 3 2 2 4 3 7 2 3 2" xfId="35667"/>
    <cellStyle name="Normal 3 2 2 4 3 7 2 4" xfId="29227"/>
    <cellStyle name="Normal 3 2 2 4 3 7 3" xfId="19520"/>
    <cellStyle name="Normal 3 2 2 4 3 7 3 2" xfId="42107"/>
    <cellStyle name="Normal 3 2 2 4 3 7 4" xfId="16300"/>
    <cellStyle name="Normal 3 2 2 4 3 7 4 2" xfId="38887"/>
    <cellStyle name="Normal 3 2 2 4 3 7 5" xfId="9860"/>
    <cellStyle name="Normal 3 2 2 4 3 7 5 2" xfId="32447"/>
    <cellStyle name="Normal 3 2 2 4 3 7 6" xfId="26007"/>
    <cellStyle name="Normal 3 2 2 4 3 8" xfId="771"/>
    <cellStyle name="Normal 3 2 2 4 3 8 2" xfId="4003"/>
    <cellStyle name="Normal 3 2 2 4 3 8 2 2" xfId="20103"/>
    <cellStyle name="Normal 3 2 2 4 3 8 2 2 2" xfId="42690"/>
    <cellStyle name="Normal 3 2 2 4 3 8 2 3" xfId="10443"/>
    <cellStyle name="Normal 3 2 2 4 3 8 2 3 2" xfId="33030"/>
    <cellStyle name="Normal 3 2 2 4 3 8 2 4" xfId="26590"/>
    <cellStyle name="Normal 3 2 2 4 3 8 3" xfId="16883"/>
    <cellStyle name="Normal 3 2 2 4 3 8 3 2" xfId="39470"/>
    <cellStyle name="Normal 3 2 2 4 3 8 4" xfId="13663"/>
    <cellStyle name="Normal 3 2 2 4 3 8 4 2" xfId="36250"/>
    <cellStyle name="Normal 3 2 2 4 3 8 5" xfId="7223"/>
    <cellStyle name="Normal 3 2 2 4 3 8 5 2" xfId="29810"/>
    <cellStyle name="Normal 3 2 2 4 3 8 6" xfId="23370"/>
    <cellStyle name="Normal 3 2 2 4 3 9" xfId="3710"/>
    <cellStyle name="Normal 3 2 2 4 3 9 2" xfId="19810"/>
    <cellStyle name="Normal 3 2 2 4 3 9 2 2" xfId="42397"/>
    <cellStyle name="Normal 3 2 2 4 3 9 3" xfId="10150"/>
    <cellStyle name="Normal 3 2 2 4 3 9 3 2" xfId="32737"/>
    <cellStyle name="Normal 3 2 2 4 3 9 4" xfId="26297"/>
    <cellStyle name="Normal 3 2 2 4 4" xfId="918"/>
    <cellStyle name="Normal 3 2 2 4 4 2" xfId="2237"/>
    <cellStyle name="Normal 3 2 2 4 4 2 2" xfId="5458"/>
    <cellStyle name="Normal 3 2 2 4 4 2 2 2" xfId="21558"/>
    <cellStyle name="Normal 3 2 2 4 4 2 2 2 2" xfId="44145"/>
    <cellStyle name="Normal 3 2 2 4 4 2 2 3" xfId="11898"/>
    <cellStyle name="Normal 3 2 2 4 4 2 2 3 2" xfId="34485"/>
    <cellStyle name="Normal 3 2 2 4 4 2 2 4" xfId="28045"/>
    <cellStyle name="Normal 3 2 2 4 4 2 3" xfId="18338"/>
    <cellStyle name="Normal 3 2 2 4 4 2 3 2" xfId="40925"/>
    <cellStyle name="Normal 3 2 2 4 4 2 4" xfId="15118"/>
    <cellStyle name="Normal 3 2 2 4 4 2 4 2" xfId="37705"/>
    <cellStyle name="Normal 3 2 2 4 4 2 5" xfId="8678"/>
    <cellStyle name="Normal 3 2 2 4 4 2 5 2" xfId="31265"/>
    <cellStyle name="Normal 3 2 2 4 4 2 6" xfId="24825"/>
    <cellStyle name="Normal 3 2 2 4 4 3" xfId="4150"/>
    <cellStyle name="Normal 3 2 2 4 4 3 2" xfId="20250"/>
    <cellStyle name="Normal 3 2 2 4 4 3 2 2" xfId="42837"/>
    <cellStyle name="Normal 3 2 2 4 4 3 3" xfId="10590"/>
    <cellStyle name="Normal 3 2 2 4 4 3 3 2" xfId="33177"/>
    <cellStyle name="Normal 3 2 2 4 4 3 4" xfId="26737"/>
    <cellStyle name="Normal 3 2 2 4 4 4" xfId="17030"/>
    <cellStyle name="Normal 3 2 2 4 4 4 2" xfId="39617"/>
    <cellStyle name="Normal 3 2 2 4 4 5" xfId="13810"/>
    <cellStyle name="Normal 3 2 2 4 4 5 2" xfId="36397"/>
    <cellStyle name="Normal 3 2 2 4 4 6" xfId="7370"/>
    <cellStyle name="Normal 3 2 2 4 4 6 2" xfId="29957"/>
    <cellStyle name="Normal 3 2 2 4 4 7" xfId="23517"/>
    <cellStyle name="Normal 3 2 2 4 5" xfId="1270"/>
    <cellStyle name="Normal 3 2 2 4 5 2" xfId="2584"/>
    <cellStyle name="Normal 3 2 2 4 5 2 2" xfId="5805"/>
    <cellStyle name="Normal 3 2 2 4 5 2 2 2" xfId="21905"/>
    <cellStyle name="Normal 3 2 2 4 5 2 2 2 2" xfId="44492"/>
    <cellStyle name="Normal 3 2 2 4 5 2 2 3" xfId="12245"/>
    <cellStyle name="Normal 3 2 2 4 5 2 2 3 2" xfId="34832"/>
    <cellStyle name="Normal 3 2 2 4 5 2 2 4" xfId="28392"/>
    <cellStyle name="Normal 3 2 2 4 5 2 3" xfId="18685"/>
    <cellStyle name="Normal 3 2 2 4 5 2 3 2" xfId="41272"/>
    <cellStyle name="Normal 3 2 2 4 5 2 4" xfId="15465"/>
    <cellStyle name="Normal 3 2 2 4 5 2 4 2" xfId="38052"/>
    <cellStyle name="Normal 3 2 2 4 5 2 5" xfId="9025"/>
    <cellStyle name="Normal 3 2 2 4 5 2 5 2" xfId="31612"/>
    <cellStyle name="Normal 3 2 2 4 5 2 6" xfId="25172"/>
    <cellStyle name="Normal 3 2 2 4 5 3" xfId="4497"/>
    <cellStyle name="Normal 3 2 2 4 5 3 2" xfId="20597"/>
    <cellStyle name="Normal 3 2 2 4 5 3 2 2" xfId="43184"/>
    <cellStyle name="Normal 3 2 2 4 5 3 3" xfId="10937"/>
    <cellStyle name="Normal 3 2 2 4 5 3 3 2" xfId="33524"/>
    <cellStyle name="Normal 3 2 2 4 5 3 4" xfId="27084"/>
    <cellStyle name="Normal 3 2 2 4 5 4" xfId="17377"/>
    <cellStyle name="Normal 3 2 2 4 5 4 2" xfId="39964"/>
    <cellStyle name="Normal 3 2 2 4 5 5" xfId="14157"/>
    <cellStyle name="Normal 3 2 2 4 5 5 2" xfId="36744"/>
    <cellStyle name="Normal 3 2 2 4 5 6" xfId="7717"/>
    <cellStyle name="Normal 3 2 2 4 5 6 2" xfId="30304"/>
    <cellStyle name="Normal 3 2 2 4 5 7" xfId="23864"/>
    <cellStyle name="Normal 3 2 2 4 6" xfId="1642"/>
    <cellStyle name="Normal 3 2 2 4 6 2" xfId="4865"/>
    <cellStyle name="Normal 3 2 2 4 6 2 2" xfId="20965"/>
    <cellStyle name="Normal 3 2 2 4 6 2 2 2" xfId="43552"/>
    <cellStyle name="Normal 3 2 2 4 6 2 3" xfId="11305"/>
    <cellStyle name="Normal 3 2 2 4 6 2 3 2" xfId="33892"/>
    <cellStyle name="Normal 3 2 2 4 6 2 4" xfId="27452"/>
    <cellStyle name="Normal 3 2 2 4 6 3" xfId="17745"/>
    <cellStyle name="Normal 3 2 2 4 6 3 2" xfId="40332"/>
    <cellStyle name="Normal 3 2 2 4 6 4" xfId="14525"/>
    <cellStyle name="Normal 3 2 2 4 6 4 2" xfId="37112"/>
    <cellStyle name="Normal 3 2 2 4 6 5" xfId="8085"/>
    <cellStyle name="Normal 3 2 2 4 6 5 2" xfId="30672"/>
    <cellStyle name="Normal 3 2 2 4 6 6" xfId="24232"/>
    <cellStyle name="Normal 3 2 2 4 7" xfId="1889"/>
    <cellStyle name="Normal 3 2 2 4 7 2" xfId="5111"/>
    <cellStyle name="Normal 3 2 2 4 7 2 2" xfId="21211"/>
    <cellStyle name="Normal 3 2 2 4 7 2 2 2" xfId="43798"/>
    <cellStyle name="Normal 3 2 2 4 7 2 3" xfId="11551"/>
    <cellStyle name="Normal 3 2 2 4 7 2 3 2" xfId="34138"/>
    <cellStyle name="Normal 3 2 2 4 7 2 4" xfId="27698"/>
    <cellStyle name="Normal 3 2 2 4 7 3" xfId="17991"/>
    <cellStyle name="Normal 3 2 2 4 7 3 2" xfId="40578"/>
    <cellStyle name="Normal 3 2 2 4 7 4" xfId="14771"/>
    <cellStyle name="Normal 3 2 2 4 7 4 2" xfId="37358"/>
    <cellStyle name="Normal 3 2 2 4 7 5" xfId="8331"/>
    <cellStyle name="Normal 3 2 2 4 7 5 2" xfId="30918"/>
    <cellStyle name="Normal 3 2 2 4 7 6" xfId="24478"/>
    <cellStyle name="Normal 3 2 2 4 8" xfId="2936"/>
    <cellStyle name="Normal 3 2 2 4 8 2" xfId="6157"/>
    <cellStyle name="Normal 3 2 2 4 8 2 2" xfId="22257"/>
    <cellStyle name="Normal 3 2 2 4 8 2 2 2" xfId="44844"/>
    <cellStyle name="Normal 3 2 2 4 8 2 3" xfId="12597"/>
    <cellStyle name="Normal 3 2 2 4 8 2 3 2" xfId="35184"/>
    <cellStyle name="Normal 3 2 2 4 8 2 4" xfId="28744"/>
    <cellStyle name="Normal 3 2 2 4 8 3" xfId="19037"/>
    <cellStyle name="Normal 3 2 2 4 8 3 2" xfId="41624"/>
    <cellStyle name="Normal 3 2 2 4 8 4" xfId="15817"/>
    <cellStyle name="Normal 3 2 2 4 8 4 2" xfId="38404"/>
    <cellStyle name="Normal 3 2 2 4 8 5" xfId="9377"/>
    <cellStyle name="Normal 3 2 2 4 8 5 2" xfId="31964"/>
    <cellStyle name="Normal 3 2 2 4 8 6" xfId="25524"/>
    <cellStyle name="Normal 3 2 2 4 9" xfId="3227"/>
    <cellStyle name="Normal 3 2 2 4 9 2" xfId="6447"/>
    <cellStyle name="Normal 3 2 2 4 9 2 2" xfId="22547"/>
    <cellStyle name="Normal 3 2 2 4 9 2 2 2" xfId="45134"/>
    <cellStyle name="Normal 3 2 2 4 9 2 3" xfId="12887"/>
    <cellStyle name="Normal 3 2 2 4 9 2 3 2" xfId="35474"/>
    <cellStyle name="Normal 3 2 2 4 9 2 4" xfId="29034"/>
    <cellStyle name="Normal 3 2 2 4 9 3" xfId="19327"/>
    <cellStyle name="Normal 3 2 2 4 9 3 2" xfId="41914"/>
    <cellStyle name="Normal 3 2 2 4 9 4" xfId="16107"/>
    <cellStyle name="Normal 3 2 2 4 9 4 2" xfId="38694"/>
    <cellStyle name="Normal 3 2 2 4 9 5" xfId="9667"/>
    <cellStyle name="Normal 3 2 2 4 9 5 2" xfId="32254"/>
    <cellStyle name="Normal 3 2 2 4 9 6" xfId="25814"/>
    <cellStyle name="Normal 3 2 2 5" xfId="252"/>
    <cellStyle name="Normal 3 2 2 5 10" xfId="16420"/>
    <cellStyle name="Normal 3 2 2 5 10 2" xfId="39007"/>
    <cellStyle name="Normal 3 2 2 5 11" xfId="13200"/>
    <cellStyle name="Normal 3 2 2 5 11 2" xfId="35787"/>
    <cellStyle name="Normal 3 2 2 5 12" xfId="6760"/>
    <cellStyle name="Normal 3 2 2 5 12 2" xfId="29347"/>
    <cellStyle name="Normal 3 2 2 5 13" xfId="22907"/>
    <cellStyle name="Normal 3 2 2 5 2" xfId="968"/>
    <cellStyle name="Normal 3 2 2 5 2 2" xfId="1643"/>
    <cellStyle name="Normal 3 2 2 5 2 2 2" xfId="4866"/>
    <cellStyle name="Normal 3 2 2 5 2 2 2 2" xfId="20966"/>
    <cellStyle name="Normal 3 2 2 5 2 2 2 2 2" xfId="43553"/>
    <cellStyle name="Normal 3 2 2 5 2 2 2 3" xfId="11306"/>
    <cellStyle name="Normal 3 2 2 5 2 2 2 3 2" xfId="33893"/>
    <cellStyle name="Normal 3 2 2 5 2 2 2 4" xfId="27453"/>
    <cellStyle name="Normal 3 2 2 5 2 2 3" xfId="17746"/>
    <cellStyle name="Normal 3 2 2 5 2 2 3 2" xfId="40333"/>
    <cellStyle name="Normal 3 2 2 5 2 2 4" xfId="14526"/>
    <cellStyle name="Normal 3 2 2 5 2 2 4 2" xfId="37113"/>
    <cellStyle name="Normal 3 2 2 5 2 2 5" xfId="8086"/>
    <cellStyle name="Normal 3 2 2 5 2 2 5 2" xfId="30673"/>
    <cellStyle name="Normal 3 2 2 5 2 2 6" xfId="24233"/>
    <cellStyle name="Normal 3 2 2 5 2 3" xfId="2286"/>
    <cellStyle name="Normal 3 2 2 5 2 3 2" xfId="5507"/>
    <cellStyle name="Normal 3 2 2 5 2 3 2 2" xfId="21607"/>
    <cellStyle name="Normal 3 2 2 5 2 3 2 2 2" xfId="44194"/>
    <cellStyle name="Normal 3 2 2 5 2 3 2 3" xfId="11947"/>
    <cellStyle name="Normal 3 2 2 5 2 3 2 3 2" xfId="34534"/>
    <cellStyle name="Normal 3 2 2 5 2 3 2 4" xfId="28094"/>
    <cellStyle name="Normal 3 2 2 5 2 3 3" xfId="18387"/>
    <cellStyle name="Normal 3 2 2 5 2 3 3 2" xfId="40974"/>
    <cellStyle name="Normal 3 2 2 5 2 3 4" xfId="15167"/>
    <cellStyle name="Normal 3 2 2 5 2 3 4 2" xfId="37754"/>
    <cellStyle name="Normal 3 2 2 5 2 3 5" xfId="8727"/>
    <cellStyle name="Normal 3 2 2 5 2 3 5 2" xfId="31314"/>
    <cellStyle name="Normal 3 2 2 5 2 3 6" xfId="24874"/>
    <cellStyle name="Normal 3 2 2 5 2 4" xfId="4199"/>
    <cellStyle name="Normal 3 2 2 5 2 4 2" xfId="20299"/>
    <cellStyle name="Normal 3 2 2 5 2 4 2 2" xfId="42886"/>
    <cellStyle name="Normal 3 2 2 5 2 4 3" xfId="10639"/>
    <cellStyle name="Normal 3 2 2 5 2 4 3 2" xfId="33226"/>
    <cellStyle name="Normal 3 2 2 5 2 4 4" xfId="26786"/>
    <cellStyle name="Normal 3 2 2 5 2 5" xfId="17079"/>
    <cellStyle name="Normal 3 2 2 5 2 5 2" xfId="39666"/>
    <cellStyle name="Normal 3 2 2 5 2 6" xfId="13859"/>
    <cellStyle name="Normal 3 2 2 5 2 6 2" xfId="36446"/>
    <cellStyle name="Normal 3 2 2 5 2 7" xfId="7419"/>
    <cellStyle name="Normal 3 2 2 5 2 7 2" xfId="30006"/>
    <cellStyle name="Normal 3 2 2 5 2 8" xfId="23566"/>
    <cellStyle name="Normal 3 2 2 5 3" xfId="1319"/>
    <cellStyle name="Normal 3 2 2 5 3 2" xfId="2633"/>
    <cellStyle name="Normal 3 2 2 5 3 2 2" xfId="5854"/>
    <cellStyle name="Normal 3 2 2 5 3 2 2 2" xfId="21954"/>
    <cellStyle name="Normal 3 2 2 5 3 2 2 2 2" xfId="44541"/>
    <cellStyle name="Normal 3 2 2 5 3 2 2 3" xfId="12294"/>
    <cellStyle name="Normal 3 2 2 5 3 2 2 3 2" xfId="34881"/>
    <cellStyle name="Normal 3 2 2 5 3 2 2 4" xfId="28441"/>
    <cellStyle name="Normal 3 2 2 5 3 2 3" xfId="18734"/>
    <cellStyle name="Normal 3 2 2 5 3 2 3 2" xfId="41321"/>
    <cellStyle name="Normal 3 2 2 5 3 2 4" xfId="15514"/>
    <cellStyle name="Normal 3 2 2 5 3 2 4 2" xfId="38101"/>
    <cellStyle name="Normal 3 2 2 5 3 2 5" xfId="9074"/>
    <cellStyle name="Normal 3 2 2 5 3 2 5 2" xfId="31661"/>
    <cellStyle name="Normal 3 2 2 5 3 2 6" xfId="25221"/>
    <cellStyle name="Normal 3 2 2 5 3 3" xfId="4546"/>
    <cellStyle name="Normal 3 2 2 5 3 3 2" xfId="20646"/>
    <cellStyle name="Normal 3 2 2 5 3 3 2 2" xfId="43233"/>
    <cellStyle name="Normal 3 2 2 5 3 3 3" xfId="10986"/>
    <cellStyle name="Normal 3 2 2 5 3 3 3 2" xfId="33573"/>
    <cellStyle name="Normal 3 2 2 5 3 3 4" xfId="27133"/>
    <cellStyle name="Normal 3 2 2 5 3 4" xfId="17426"/>
    <cellStyle name="Normal 3 2 2 5 3 4 2" xfId="40013"/>
    <cellStyle name="Normal 3 2 2 5 3 5" xfId="14206"/>
    <cellStyle name="Normal 3 2 2 5 3 5 2" xfId="36793"/>
    <cellStyle name="Normal 3 2 2 5 3 6" xfId="7766"/>
    <cellStyle name="Normal 3 2 2 5 3 6 2" xfId="30353"/>
    <cellStyle name="Normal 3 2 2 5 3 7" xfId="23913"/>
    <cellStyle name="Normal 3 2 2 5 4" xfId="1644"/>
    <cellStyle name="Normal 3 2 2 5 4 2" xfId="4867"/>
    <cellStyle name="Normal 3 2 2 5 4 2 2" xfId="20967"/>
    <cellStyle name="Normal 3 2 2 5 4 2 2 2" xfId="43554"/>
    <cellStyle name="Normal 3 2 2 5 4 2 3" xfId="11307"/>
    <cellStyle name="Normal 3 2 2 5 4 2 3 2" xfId="33894"/>
    <cellStyle name="Normal 3 2 2 5 4 2 4" xfId="27454"/>
    <cellStyle name="Normal 3 2 2 5 4 3" xfId="17747"/>
    <cellStyle name="Normal 3 2 2 5 4 3 2" xfId="40334"/>
    <cellStyle name="Normal 3 2 2 5 4 4" xfId="14527"/>
    <cellStyle name="Normal 3 2 2 5 4 4 2" xfId="37114"/>
    <cellStyle name="Normal 3 2 2 5 4 5" xfId="8087"/>
    <cellStyle name="Normal 3 2 2 5 4 5 2" xfId="30674"/>
    <cellStyle name="Normal 3 2 2 5 4 6" xfId="24234"/>
    <cellStyle name="Normal 3 2 2 5 5" xfId="1938"/>
    <cellStyle name="Normal 3 2 2 5 5 2" xfId="5160"/>
    <cellStyle name="Normal 3 2 2 5 5 2 2" xfId="21260"/>
    <cellStyle name="Normal 3 2 2 5 5 2 2 2" xfId="43847"/>
    <cellStyle name="Normal 3 2 2 5 5 2 3" xfId="11600"/>
    <cellStyle name="Normal 3 2 2 5 5 2 3 2" xfId="34187"/>
    <cellStyle name="Normal 3 2 2 5 5 2 4" xfId="27747"/>
    <cellStyle name="Normal 3 2 2 5 5 3" xfId="18040"/>
    <cellStyle name="Normal 3 2 2 5 5 3 2" xfId="40627"/>
    <cellStyle name="Normal 3 2 2 5 5 4" xfId="14820"/>
    <cellStyle name="Normal 3 2 2 5 5 4 2" xfId="37407"/>
    <cellStyle name="Normal 3 2 2 5 5 5" xfId="8380"/>
    <cellStyle name="Normal 3 2 2 5 5 5 2" xfId="30967"/>
    <cellStyle name="Normal 3 2 2 5 5 6" xfId="24527"/>
    <cellStyle name="Normal 3 2 2 5 6" xfId="2959"/>
    <cellStyle name="Normal 3 2 2 5 6 2" xfId="6180"/>
    <cellStyle name="Normal 3 2 2 5 6 2 2" xfId="22280"/>
    <cellStyle name="Normal 3 2 2 5 6 2 2 2" xfId="44867"/>
    <cellStyle name="Normal 3 2 2 5 6 2 3" xfId="12620"/>
    <cellStyle name="Normal 3 2 2 5 6 2 3 2" xfId="35207"/>
    <cellStyle name="Normal 3 2 2 5 6 2 4" xfId="28767"/>
    <cellStyle name="Normal 3 2 2 5 6 3" xfId="19060"/>
    <cellStyle name="Normal 3 2 2 5 6 3 2" xfId="41647"/>
    <cellStyle name="Normal 3 2 2 5 6 4" xfId="15840"/>
    <cellStyle name="Normal 3 2 2 5 6 4 2" xfId="38427"/>
    <cellStyle name="Normal 3 2 2 5 6 5" xfId="9400"/>
    <cellStyle name="Normal 3 2 2 5 6 5 2" xfId="31987"/>
    <cellStyle name="Normal 3 2 2 5 6 6" xfId="25547"/>
    <cellStyle name="Normal 3 2 2 5 7" xfId="3250"/>
    <cellStyle name="Normal 3 2 2 5 7 2" xfId="6470"/>
    <cellStyle name="Normal 3 2 2 5 7 2 2" xfId="22570"/>
    <cellStyle name="Normal 3 2 2 5 7 2 2 2" xfId="45157"/>
    <cellStyle name="Normal 3 2 2 5 7 2 3" xfId="12910"/>
    <cellStyle name="Normal 3 2 2 5 7 2 3 2" xfId="35497"/>
    <cellStyle name="Normal 3 2 2 5 7 2 4" xfId="29057"/>
    <cellStyle name="Normal 3 2 2 5 7 3" xfId="19350"/>
    <cellStyle name="Normal 3 2 2 5 7 3 2" xfId="41937"/>
    <cellStyle name="Normal 3 2 2 5 7 4" xfId="16130"/>
    <cellStyle name="Normal 3 2 2 5 7 4 2" xfId="38717"/>
    <cellStyle name="Normal 3 2 2 5 7 5" xfId="9690"/>
    <cellStyle name="Normal 3 2 2 5 7 5 2" xfId="32277"/>
    <cellStyle name="Normal 3 2 2 5 7 6" xfId="25837"/>
    <cellStyle name="Normal 3 2 2 5 8" xfId="582"/>
    <cellStyle name="Normal 3 2 2 5 8 2" xfId="3852"/>
    <cellStyle name="Normal 3 2 2 5 8 2 2" xfId="19952"/>
    <cellStyle name="Normal 3 2 2 5 8 2 2 2" xfId="42539"/>
    <cellStyle name="Normal 3 2 2 5 8 2 3" xfId="10292"/>
    <cellStyle name="Normal 3 2 2 5 8 2 3 2" xfId="32879"/>
    <cellStyle name="Normal 3 2 2 5 8 2 4" xfId="26439"/>
    <cellStyle name="Normal 3 2 2 5 8 3" xfId="16732"/>
    <cellStyle name="Normal 3 2 2 5 8 3 2" xfId="39319"/>
    <cellStyle name="Normal 3 2 2 5 8 4" xfId="13512"/>
    <cellStyle name="Normal 3 2 2 5 8 4 2" xfId="36099"/>
    <cellStyle name="Normal 3 2 2 5 8 5" xfId="7072"/>
    <cellStyle name="Normal 3 2 2 5 8 5 2" xfId="29659"/>
    <cellStyle name="Normal 3 2 2 5 8 6" xfId="23219"/>
    <cellStyle name="Normal 3 2 2 5 9" xfId="3540"/>
    <cellStyle name="Normal 3 2 2 5 9 2" xfId="19640"/>
    <cellStyle name="Normal 3 2 2 5 9 2 2" xfId="42227"/>
    <cellStyle name="Normal 3 2 2 5 9 3" xfId="9980"/>
    <cellStyle name="Normal 3 2 2 5 9 3 2" xfId="32567"/>
    <cellStyle name="Normal 3 2 2 5 9 4" xfId="26127"/>
    <cellStyle name="Normal 3 2 2 6" xfId="346"/>
    <cellStyle name="Normal 3 2 2 6 10" xfId="16513"/>
    <cellStyle name="Normal 3 2 2 6 10 2" xfId="39100"/>
    <cellStyle name="Normal 3 2 2 6 11" xfId="13293"/>
    <cellStyle name="Normal 3 2 2 6 11 2" xfId="35880"/>
    <cellStyle name="Normal 3 2 2 6 12" xfId="6853"/>
    <cellStyle name="Normal 3 2 2 6 12 2" xfId="29440"/>
    <cellStyle name="Normal 3 2 2 6 13" xfId="23000"/>
    <cellStyle name="Normal 3 2 2 6 2" xfId="1084"/>
    <cellStyle name="Normal 3 2 2 6 2 2" xfId="2398"/>
    <cellStyle name="Normal 3 2 2 6 2 2 2" xfId="5619"/>
    <cellStyle name="Normal 3 2 2 6 2 2 2 2" xfId="21719"/>
    <cellStyle name="Normal 3 2 2 6 2 2 2 2 2" xfId="44306"/>
    <cellStyle name="Normal 3 2 2 6 2 2 2 3" xfId="12059"/>
    <cellStyle name="Normal 3 2 2 6 2 2 2 3 2" xfId="34646"/>
    <cellStyle name="Normal 3 2 2 6 2 2 2 4" xfId="28206"/>
    <cellStyle name="Normal 3 2 2 6 2 2 3" xfId="18499"/>
    <cellStyle name="Normal 3 2 2 6 2 2 3 2" xfId="41086"/>
    <cellStyle name="Normal 3 2 2 6 2 2 4" xfId="15279"/>
    <cellStyle name="Normal 3 2 2 6 2 2 4 2" xfId="37866"/>
    <cellStyle name="Normal 3 2 2 6 2 2 5" xfId="8839"/>
    <cellStyle name="Normal 3 2 2 6 2 2 5 2" xfId="31426"/>
    <cellStyle name="Normal 3 2 2 6 2 2 6" xfId="24986"/>
    <cellStyle name="Normal 3 2 2 6 2 3" xfId="4311"/>
    <cellStyle name="Normal 3 2 2 6 2 3 2" xfId="20411"/>
    <cellStyle name="Normal 3 2 2 6 2 3 2 2" xfId="42998"/>
    <cellStyle name="Normal 3 2 2 6 2 3 3" xfId="10751"/>
    <cellStyle name="Normal 3 2 2 6 2 3 3 2" xfId="33338"/>
    <cellStyle name="Normal 3 2 2 6 2 3 4" xfId="26898"/>
    <cellStyle name="Normal 3 2 2 6 2 4" xfId="17191"/>
    <cellStyle name="Normal 3 2 2 6 2 4 2" xfId="39778"/>
    <cellStyle name="Normal 3 2 2 6 2 5" xfId="13971"/>
    <cellStyle name="Normal 3 2 2 6 2 5 2" xfId="36558"/>
    <cellStyle name="Normal 3 2 2 6 2 6" xfId="7531"/>
    <cellStyle name="Normal 3 2 2 6 2 6 2" xfId="30118"/>
    <cellStyle name="Normal 3 2 2 6 2 7" xfId="23678"/>
    <cellStyle name="Normal 3 2 2 6 3" xfId="1431"/>
    <cellStyle name="Normal 3 2 2 6 3 2" xfId="2745"/>
    <cellStyle name="Normal 3 2 2 6 3 2 2" xfId="5966"/>
    <cellStyle name="Normal 3 2 2 6 3 2 2 2" xfId="22066"/>
    <cellStyle name="Normal 3 2 2 6 3 2 2 2 2" xfId="44653"/>
    <cellStyle name="Normal 3 2 2 6 3 2 2 3" xfId="12406"/>
    <cellStyle name="Normal 3 2 2 6 3 2 2 3 2" xfId="34993"/>
    <cellStyle name="Normal 3 2 2 6 3 2 2 4" xfId="28553"/>
    <cellStyle name="Normal 3 2 2 6 3 2 3" xfId="18846"/>
    <cellStyle name="Normal 3 2 2 6 3 2 3 2" xfId="41433"/>
    <cellStyle name="Normal 3 2 2 6 3 2 4" xfId="15626"/>
    <cellStyle name="Normal 3 2 2 6 3 2 4 2" xfId="38213"/>
    <cellStyle name="Normal 3 2 2 6 3 2 5" xfId="9186"/>
    <cellStyle name="Normal 3 2 2 6 3 2 5 2" xfId="31773"/>
    <cellStyle name="Normal 3 2 2 6 3 2 6" xfId="25333"/>
    <cellStyle name="Normal 3 2 2 6 3 3" xfId="4658"/>
    <cellStyle name="Normal 3 2 2 6 3 3 2" xfId="20758"/>
    <cellStyle name="Normal 3 2 2 6 3 3 2 2" xfId="43345"/>
    <cellStyle name="Normal 3 2 2 6 3 3 3" xfId="11098"/>
    <cellStyle name="Normal 3 2 2 6 3 3 3 2" xfId="33685"/>
    <cellStyle name="Normal 3 2 2 6 3 3 4" xfId="27245"/>
    <cellStyle name="Normal 3 2 2 6 3 4" xfId="17538"/>
    <cellStyle name="Normal 3 2 2 6 3 4 2" xfId="40125"/>
    <cellStyle name="Normal 3 2 2 6 3 5" xfId="14318"/>
    <cellStyle name="Normal 3 2 2 6 3 5 2" xfId="36905"/>
    <cellStyle name="Normal 3 2 2 6 3 6" xfId="7878"/>
    <cellStyle name="Normal 3 2 2 6 3 6 2" xfId="30465"/>
    <cellStyle name="Normal 3 2 2 6 3 7" xfId="24025"/>
    <cellStyle name="Normal 3 2 2 6 4" xfId="1645"/>
    <cellStyle name="Normal 3 2 2 6 4 2" xfId="4868"/>
    <cellStyle name="Normal 3 2 2 6 4 2 2" xfId="20968"/>
    <cellStyle name="Normal 3 2 2 6 4 2 2 2" xfId="43555"/>
    <cellStyle name="Normal 3 2 2 6 4 2 3" xfId="11308"/>
    <cellStyle name="Normal 3 2 2 6 4 2 3 2" xfId="33895"/>
    <cellStyle name="Normal 3 2 2 6 4 2 4" xfId="27455"/>
    <cellStyle name="Normal 3 2 2 6 4 3" xfId="17748"/>
    <cellStyle name="Normal 3 2 2 6 4 3 2" xfId="40335"/>
    <cellStyle name="Normal 3 2 2 6 4 4" xfId="14528"/>
    <cellStyle name="Normal 3 2 2 6 4 4 2" xfId="37115"/>
    <cellStyle name="Normal 3 2 2 6 4 5" xfId="8088"/>
    <cellStyle name="Normal 3 2 2 6 4 5 2" xfId="30675"/>
    <cellStyle name="Normal 3 2 2 6 4 6" xfId="24235"/>
    <cellStyle name="Normal 3 2 2 6 5" xfId="2051"/>
    <cellStyle name="Normal 3 2 2 6 5 2" xfId="5272"/>
    <cellStyle name="Normal 3 2 2 6 5 2 2" xfId="21372"/>
    <cellStyle name="Normal 3 2 2 6 5 2 2 2" xfId="43959"/>
    <cellStyle name="Normal 3 2 2 6 5 2 3" xfId="11712"/>
    <cellStyle name="Normal 3 2 2 6 5 2 3 2" xfId="34299"/>
    <cellStyle name="Normal 3 2 2 6 5 2 4" xfId="27859"/>
    <cellStyle name="Normal 3 2 2 6 5 3" xfId="18152"/>
    <cellStyle name="Normal 3 2 2 6 5 3 2" xfId="40739"/>
    <cellStyle name="Normal 3 2 2 6 5 4" xfId="14932"/>
    <cellStyle name="Normal 3 2 2 6 5 4 2" xfId="37519"/>
    <cellStyle name="Normal 3 2 2 6 5 5" xfId="8492"/>
    <cellStyle name="Normal 3 2 2 6 5 5 2" xfId="31079"/>
    <cellStyle name="Normal 3 2 2 6 5 6" xfId="24639"/>
    <cellStyle name="Normal 3 2 2 6 6" xfId="3053"/>
    <cellStyle name="Normal 3 2 2 6 6 2" xfId="6273"/>
    <cellStyle name="Normal 3 2 2 6 6 2 2" xfId="22373"/>
    <cellStyle name="Normal 3 2 2 6 6 2 2 2" xfId="44960"/>
    <cellStyle name="Normal 3 2 2 6 6 2 3" xfId="12713"/>
    <cellStyle name="Normal 3 2 2 6 6 2 3 2" xfId="35300"/>
    <cellStyle name="Normal 3 2 2 6 6 2 4" xfId="28860"/>
    <cellStyle name="Normal 3 2 2 6 6 3" xfId="19153"/>
    <cellStyle name="Normal 3 2 2 6 6 3 2" xfId="41740"/>
    <cellStyle name="Normal 3 2 2 6 6 4" xfId="15933"/>
    <cellStyle name="Normal 3 2 2 6 6 4 2" xfId="38520"/>
    <cellStyle name="Normal 3 2 2 6 6 5" xfId="9493"/>
    <cellStyle name="Normal 3 2 2 6 6 5 2" xfId="32080"/>
    <cellStyle name="Normal 3 2 2 6 6 6" xfId="25640"/>
    <cellStyle name="Normal 3 2 2 6 7" xfId="3343"/>
    <cellStyle name="Normal 3 2 2 6 7 2" xfId="6563"/>
    <cellStyle name="Normal 3 2 2 6 7 2 2" xfId="22663"/>
    <cellStyle name="Normal 3 2 2 6 7 2 2 2" xfId="45250"/>
    <cellStyle name="Normal 3 2 2 6 7 2 3" xfId="13003"/>
    <cellStyle name="Normal 3 2 2 6 7 2 3 2" xfId="35590"/>
    <cellStyle name="Normal 3 2 2 6 7 2 4" xfId="29150"/>
    <cellStyle name="Normal 3 2 2 6 7 3" xfId="19443"/>
    <cellStyle name="Normal 3 2 2 6 7 3 2" xfId="42030"/>
    <cellStyle name="Normal 3 2 2 6 7 4" xfId="16223"/>
    <cellStyle name="Normal 3 2 2 6 7 4 2" xfId="38810"/>
    <cellStyle name="Normal 3 2 2 6 7 5" xfId="9783"/>
    <cellStyle name="Normal 3 2 2 6 7 5 2" xfId="32370"/>
    <cellStyle name="Normal 3 2 2 6 7 6" xfId="25930"/>
    <cellStyle name="Normal 3 2 2 6 8" xfId="732"/>
    <cellStyle name="Normal 3 2 2 6 8 2" xfId="3964"/>
    <cellStyle name="Normal 3 2 2 6 8 2 2" xfId="20064"/>
    <cellStyle name="Normal 3 2 2 6 8 2 2 2" xfId="42651"/>
    <cellStyle name="Normal 3 2 2 6 8 2 3" xfId="10404"/>
    <cellStyle name="Normal 3 2 2 6 8 2 3 2" xfId="32991"/>
    <cellStyle name="Normal 3 2 2 6 8 2 4" xfId="26551"/>
    <cellStyle name="Normal 3 2 2 6 8 3" xfId="16844"/>
    <cellStyle name="Normal 3 2 2 6 8 3 2" xfId="39431"/>
    <cellStyle name="Normal 3 2 2 6 8 4" xfId="13624"/>
    <cellStyle name="Normal 3 2 2 6 8 4 2" xfId="36211"/>
    <cellStyle name="Normal 3 2 2 6 8 5" xfId="7184"/>
    <cellStyle name="Normal 3 2 2 6 8 5 2" xfId="29771"/>
    <cellStyle name="Normal 3 2 2 6 8 6" xfId="23331"/>
    <cellStyle name="Normal 3 2 2 6 9" xfId="3633"/>
    <cellStyle name="Normal 3 2 2 6 9 2" xfId="19733"/>
    <cellStyle name="Normal 3 2 2 6 9 2 2" xfId="42320"/>
    <cellStyle name="Normal 3 2 2 6 9 3" xfId="10073"/>
    <cellStyle name="Normal 3 2 2 6 9 3 2" xfId="32660"/>
    <cellStyle name="Normal 3 2 2 6 9 4" xfId="26220"/>
    <cellStyle name="Normal 3 2 2 7" xfId="751"/>
    <cellStyle name="Normal 3 2 2 7 10" xfId="23350"/>
    <cellStyle name="Normal 3 2 2 7 2" xfId="1103"/>
    <cellStyle name="Normal 3 2 2 7 2 2" xfId="2417"/>
    <cellStyle name="Normal 3 2 2 7 2 2 2" xfId="5638"/>
    <cellStyle name="Normal 3 2 2 7 2 2 2 2" xfId="21738"/>
    <cellStyle name="Normal 3 2 2 7 2 2 2 2 2" xfId="44325"/>
    <cellStyle name="Normal 3 2 2 7 2 2 2 3" xfId="12078"/>
    <cellStyle name="Normal 3 2 2 7 2 2 2 3 2" xfId="34665"/>
    <cellStyle name="Normal 3 2 2 7 2 2 2 4" xfId="28225"/>
    <cellStyle name="Normal 3 2 2 7 2 2 3" xfId="18518"/>
    <cellStyle name="Normal 3 2 2 7 2 2 3 2" xfId="41105"/>
    <cellStyle name="Normal 3 2 2 7 2 2 4" xfId="15298"/>
    <cellStyle name="Normal 3 2 2 7 2 2 4 2" xfId="37885"/>
    <cellStyle name="Normal 3 2 2 7 2 2 5" xfId="8858"/>
    <cellStyle name="Normal 3 2 2 7 2 2 5 2" xfId="31445"/>
    <cellStyle name="Normal 3 2 2 7 2 2 6" xfId="25005"/>
    <cellStyle name="Normal 3 2 2 7 2 3" xfId="4330"/>
    <cellStyle name="Normal 3 2 2 7 2 3 2" xfId="20430"/>
    <cellStyle name="Normal 3 2 2 7 2 3 2 2" xfId="43017"/>
    <cellStyle name="Normal 3 2 2 7 2 3 3" xfId="10770"/>
    <cellStyle name="Normal 3 2 2 7 2 3 3 2" xfId="33357"/>
    <cellStyle name="Normal 3 2 2 7 2 3 4" xfId="26917"/>
    <cellStyle name="Normal 3 2 2 7 2 4" xfId="17210"/>
    <cellStyle name="Normal 3 2 2 7 2 4 2" xfId="39797"/>
    <cellStyle name="Normal 3 2 2 7 2 5" xfId="13990"/>
    <cellStyle name="Normal 3 2 2 7 2 5 2" xfId="36577"/>
    <cellStyle name="Normal 3 2 2 7 2 6" xfId="7550"/>
    <cellStyle name="Normal 3 2 2 7 2 6 2" xfId="30137"/>
    <cellStyle name="Normal 3 2 2 7 2 7" xfId="23697"/>
    <cellStyle name="Normal 3 2 2 7 3" xfId="1450"/>
    <cellStyle name="Normal 3 2 2 7 3 2" xfId="2764"/>
    <cellStyle name="Normal 3 2 2 7 3 2 2" xfId="5985"/>
    <cellStyle name="Normal 3 2 2 7 3 2 2 2" xfId="22085"/>
    <cellStyle name="Normal 3 2 2 7 3 2 2 2 2" xfId="44672"/>
    <cellStyle name="Normal 3 2 2 7 3 2 2 3" xfId="12425"/>
    <cellStyle name="Normal 3 2 2 7 3 2 2 3 2" xfId="35012"/>
    <cellStyle name="Normal 3 2 2 7 3 2 2 4" xfId="28572"/>
    <cellStyle name="Normal 3 2 2 7 3 2 3" xfId="18865"/>
    <cellStyle name="Normal 3 2 2 7 3 2 3 2" xfId="41452"/>
    <cellStyle name="Normal 3 2 2 7 3 2 4" xfId="15645"/>
    <cellStyle name="Normal 3 2 2 7 3 2 4 2" xfId="38232"/>
    <cellStyle name="Normal 3 2 2 7 3 2 5" xfId="9205"/>
    <cellStyle name="Normal 3 2 2 7 3 2 5 2" xfId="31792"/>
    <cellStyle name="Normal 3 2 2 7 3 2 6" xfId="25352"/>
    <cellStyle name="Normal 3 2 2 7 3 3" xfId="4677"/>
    <cellStyle name="Normal 3 2 2 7 3 3 2" xfId="20777"/>
    <cellStyle name="Normal 3 2 2 7 3 3 2 2" xfId="43364"/>
    <cellStyle name="Normal 3 2 2 7 3 3 3" xfId="11117"/>
    <cellStyle name="Normal 3 2 2 7 3 3 3 2" xfId="33704"/>
    <cellStyle name="Normal 3 2 2 7 3 3 4" xfId="27264"/>
    <cellStyle name="Normal 3 2 2 7 3 4" xfId="17557"/>
    <cellStyle name="Normal 3 2 2 7 3 4 2" xfId="40144"/>
    <cellStyle name="Normal 3 2 2 7 3 5" xfId="14337"/>
    <cellStyle name="Normal 3 2 2 7 3 5 2" xfId="36924"/>
    <cellStyle name="Normal 3 2 2 7 3 6" xfId="7897"/>
    <cellStyle name="Normal 3 2 2 7 3 6 2" xfId="30484"/>
    <cellStyle name="Normal 3 2 2 7 3 7" xfId="24044"/>
    <cellStyle name="Normal 3 2 2 7 4" xfId="1646"/>
    <cellStyle name="Normal 3 2 2 7 4 2" xfId="4869"/>
    <cellStyle name="Normal 3 2 2 7 4 2 2" xfId="20969"/>
    <cellStyle name="Normal 3 2 2 7 4 2 2 2" xfId="43556"/>
    <cellStyle name="Normal 3 2 2 7 4 2 3" xfId="11309"/>
    <cellStyle name="Normal 3 2 2 7 4 2 3 2" xfId="33896"/>
    <cellStyle name="Normal 3 2 2 7 4 2 4" xfId="27456"/>
    <cellStyle name="Normal 3 2 2 7 4 3" xfId="17749"/>
    <cellStyle name="Normal 3 2 2 7 4 3 2" xfId="40336"/>
    <cellStyle name="Normal 3 2 2 7 4 4" xfId="14529"/>
    <cellStyle name="Normal 3 2 2 7 4 4 2" xfId="37116"/>
    <cellStyle name="Normal 3 2 2 7 4 5" xfId="8089"/>
    <cellStyle name="Normal 3 2 2 7 4 5 2" xfId="30676"/>
    <cellStyle name="Normal 3 2 2 7 4 6" xfId="24236"/>
    <cellStyle name="Normal 3 2 2 7 5" xfId="2070"/>
    <cellStyle name="Normal 3 2 2 7 5 2" xfId="5291"/>
    <cellStyle name="Normal 3 2 2 7 5 2 2" xfId="21391"/>
    <cellStyle name="Normal 3 2 2 7 5 2 2 2" xfId="43978"/>
    <cellStyle name="Normal 3 2 2 7 5 2 3" xfId="11731"/>
    <cellStyle name="Normal 3 2 2 7 5 2 3 2" xfId="34318"/>
    <cellStyle name="Normal 3 2 2 7 5 2 4" xfId="27878"/>
    <cellStyle name="Normal 3 2 2 7 5 3" xfId="18171"/>
    <cellStyle name="Normal 3 2 2 7 5 3 2" xfId="40758"/>
    <cellStyle name="Normal 3 2 2 7 5 4" xfId="14951"/>
    <cellStyle name="Normal 3 2 2 7 5 4 2" xfId="37538"/>
    <cellStyle name="Normal 3 2 2 7 5 5" xfId="8511"/>
    <cellStyle name="Normal 3 2 2 7 5 5 2" xfId="31098"/>
    <cellStyle name="Normal 3 2 2 7 5 6" xfId="24658"/>
    <cellStyle name="Normal 3 2 2 7 6" xfId="3983"/>
    <cellStyle name="Normal 3 2 2 7 6 2" xfId="20083"/>
    <cellStyle name="Normal 3 2 2 7 6 2 2" xfId="42670"/>
    <cellStyle name="Normal 3 2 2 7 6 3" xfId="10423"/>
    <cellStyle name="Normal 3 2 2 7 6 3 2" xfId="33010"/>
    <cellStyle name="Normal 3 2 2 7 6 4" xfId="26570"/>
    <cellStyle name="Normal 3 2 2 7 7" xfId="16863"/>
    <cellStyle name="Normal 3 2 2 7 7 2" xfId="39450"/>
    <cellStyle name="Normal 3 2 2 7 8" xfId="13643"/>
    <cellStyle name="Normal 3 2 2 7 8 2" xfId="36230"/>
    <cellStyle name="Normal 3 2 2 7 9" xfId="7203"/>
    <cellStyle name="Normal 3 2 2 7 9 2" xfId="29790"/>
    <cellStyle name="Normal 3 2 2 8" xfId="845"/>
    <cellStyle name="Normal 3 2 2 8 2" xfId="2164"/>
    <cellStyle name="Normal 3 2 2 8 2 2" xfId="5385"/>
    <cellStyle name="Normal 3 2 2 8 2 2 2" xfId="21485"/>
    <cellStyle name="Normal 3 2 2 8 2 2 2 2" xfId="44072"/>
    <cellStyle name="Normal 3 2 2 8 2 2 3" xfId="11825"/>
    <cellStyle name="Normal 3 2 2 8 2 2 3 2" xfId="34412"/>
    <cellStyle name="Normal 3 2 2 8 2 2 4" xfId="27972"/>
    <cellStyle name="Normal 3 2 2 8 2 3" xfId="18265"/>
    <cellStyle name="Normal 3 2 2 8 2 3 2" xfId="40852"/>
    <cellStyle name="Normal 3 2 2 8 2 4" xfId="15045"/>
    <cellStyle name="Normal 3 2 2 8 2 4 2" xfId="37632"/>
    <cellStyle name="Normal 3 2 2 8 2 5" xfId="8605"/>
    <cellStyle name="Normal 3 2 2 8 2 5 2" xfId="31192"/>
    <cellStyle name="Normal 3 2 2 8 2 6" xfId="24752"/>
    <cellStyle name="Normal 3 2 2 8 3" xfId="4077"/>
    <cellStyle name="Normal 3 2 2 8 3 2" xfId="20177"/>
    <cellStyle name="Normal 3 2 2 8 3 2 2" xfId="42764"/>
    <cellStyle name="Normal 3 2 2 8 3 3" xfId="10517"/>
    <cellStyle name="Normal 3 2 2 8 3 3 2" xfId="33104"/>
    <cellStyle name="Normal 3 2 2 8 3 4" xfId="26664"/>
    <cellStyle name="Normal 3 2 2 8 4" xfId="16957"/>
    <cellStyle name="Normal 3 2 2 8 4 2" xfId="39544"/>
    <cellStyle name="Normal 3 2 2 8 5" xfId="13737"/>
    <cellStyle name="Normal 3 2 2 8 5 2" xfId="36324"/>
    <cellStyle name="Normal 3 2 2 8 6" xfId="7297"/>
    <cellStyle name="Normal 3 2 2 8 6 2" xfId="29884"/>
    <cellStyle name="Normal 3 2 2 8 7" xfId="23444"/>
    <cellStyle name="Normal 3 2 2 9" xfId="1197"/>
    <cellStyle name="Normal 3 2 2 9 2" xfId="2511"/>
    <cellStyle name="Normal 3 2 2 9 2 2" xfId="5732"/>
    <cellStyle name="Normal 3 2 2 9 2 2 2" xfId="21832"/>
    <cellStyle name="Normal 3 2 2 9 2 2 2 2" xfId="44419"/>
    <cellStyle name="Normal 3 2 2 9 2 2 3" xfId="12172"/>
    <cellStyle name="Normal 3 2 2 9 2 2 3 2" xfId="34759"/>
    <cellStyle name="Normal 3 2 2 9 2 2 4" xfId="28319"/>
    <cellStyle name="Normal 3 2 2 9 2 3" xfId="18612"/>
    <cellStyle name="Normal 3 2 2 9 2 3 2" xfId="41199"/>
    <cellStyle name="Normal 3 2 2 9 2 4" xfId="15392"/>
    <cellStyle name="Normal 3 2 2 9 2 4 2" xfId="37979"/>
    <cellStyle name="Normal 3 2 2 9 2 5" xfId="8952"/>
    <cellStyle name="Normal 3 2 2 9 2 5 2" xfId="31539"/>
    <cellStyle name="Normal 3 2 2 9 2 6" xfId="25099"/>
    <cellStyle name="Normal 3 2 2 9 3" xfId="4424"/>
    <cellStyle name="Normal 3 2 2 9 3 2" xfId="20524"/>
    <cellStyle name="Normal 3 2 2 9 3 2 2" xfId="43111"/>
    <cellStyle name="Normal 3 2 2 9 3 3" xfId="10864"/>
    <cellStyle name="Normal 3 2 2 9 3 3 2" xfId="33451"/>
    <cellStyle name="Normal 3 2 2 9 3 4" xfId="27011"/>
    <cellStyle name="Normal 3 2 2 9 4" xfId="17304"/>
    <cellStyle name="Normal 3 2 2 9 4 2" xfId="39891"/>
    <cellStyle name="Normal 3 2 2 9 5" xfId="14084"/>
    <cellStyle name="Normal 3 2 2 9 5 2" xfId="36671"/>
    <cellStyle name="Normal 3 2 2 9 6" xfId="7644"/>
    <cellStyle name="Normal 3 2 2 9 6 2" xfId="30231"/>
    <cellStyle name="Normal 3 2 2 9 7" xfId="23791"/>
    <cellStyle name="Normal 3 2 20" xfId="22802"/>
    <cellStyle name="Normal 3 2 3" xfId="114"/>
    <cellStyle name="Normal 3 2 3 10" xfId="2870"/>
    <cellStyle name="Normal 3 2 3 10 2" xfId="6091"/>
    <cellStyle name="Normal 3 2 3 10 2 2" xfId="22191"/>
    <cellStyle name="Normal 3 2 3 10 2 2 2" xfId="44778"/>
    <cellStyle name="Normal 3 2 3 10 2 3" xfId="12531"/>
    <cellStyle name="Normal 3 2 3 10 2 3 2" xfId="35118"/>
    <cellStyle name="Normal 3 2 3 10 2 4" xfId="28678"/>
    <cellStyle name="Normal 3 2 3 10 3" xfId="18971"/>
    <cellStyle name="Normal 3 2 3 10 3 2" xfId="41558"/>
    <cellStyle name="Normal 3 2 3 10 4" xfId="15751"/>
    <cellStyle name="Normal 3 2 3 10 4 2" xfId="38338"/>
    <cellStyle name="Normal 3 2 3 10 5" xfId="9311"/>
    <cellStyle name="Normal 3 2 3 10 5 2" xfId="31898"/>
    <cellStyle name="Normal 3 2 3 10 6" xfId="25458"/>
    <cellStyle name="Normal 3 2 3 11" xfId="3161"/>
    <cellStyle name="Normal 3 2 3 11 2" xfId="6381"/>
    <cellStyle name="Normal 3 2 3 11 2 2" xfId="22481"/>
    <cellStyle name="Normal 3 2 3 11 2 2 2" xfId="45068"/>
    <cellStyle name="Normal 3 2 3 11 2 3" xfId="12821"/>
    <cellStyle name="Normal 3 2 3 11 2 3 2" xfId="35408"/>
    <cellStyle name="Normal 3 2 3 11 2 4" xfId="28968"/>
    <cellStyle name="Normal 3 2 3 11 3" xfId="19261"/>
    <cellStyle name="Normal 3 2 3 11 3 2" xfId="41848"/>
    <cellStyle name="Normal 3 2 3 11 4" xfId="16041"/>
    <cellStyle name="Normal 3 2 3 11 4 2" xfId="38628"/>
    <cellStyle name="Normal 3 2 3 11 5" xfId="9601"/>
    <cellStyle name="Normal 3 2 3 11 5 2" xfId="32188"/>
    <cellStyle name="Normal 3 2 3 11 6" xfId="25748"/>
    <cellStyle name="Normal 3 2 3 12" xfId="454"/>
    <cellStyle name="Normal 3 2 3 12 2" xfId="3741"/>
    <cellStyle name="Normal 3 2 3 12 2 2" xfId="19841"/>
    <cellStyle name="Normal 3 2 3 12 2 2 2" xfId="42428"/>
    <cellStyle name="Normal 3 2 3 12 2 3" xfId="10181"/>
    <cellStyle name="Normal 3 2 3 12 2 3 2" xfId="32768"/>
    <cellStyle name="Normal 3 2 3 12 2 4" xfId="26328"/>
    <cellStyle name="Normal 3 2 3 12 3" xfId="16621"/>
    <cellStyle name="Normal 3 2 3 12 3 2" xfId="39208"/>
    <cellStyle name="Normal 3 2 3 12 4" xfId="13401"/>
    <cellStyle name="Normal 3 2 3 12 4 2" xfId="35988"/>
    <cellStyle name="Normal 3 2 3 12 5" xfId="6961"/>
    <cellStyle name="Normal 3 2 3 12 5 2" xfId="29548"/>
    <cellStyle name="Normal 3 2 3 12 6" xfId="23108"/>
    <cellStyle name="Normal 3 2 3 13" xfId="3451"/>
    <cellStyle name="Normal 3 2 3 13 2" xfId="19551"/>
    <cellStyle name="Normal 3 2 3 13 2 2" xfId="42138"/>
    <cellStyle name="Normal 3 2 3 13 3" xfId="9891"/>
    <cellStyle name="Normal 3 2 3 13 3 2" xfId="32478"/>
    <cellStyle name="Normal 3 2 3 13 4" xfId="26038"/>
    <cellStyle name="Normal 3 2 3 14" xfId="16331"/>
    <cellStyle name="Normal 3 2 3 14 2" xfId="38918"/>
    <cellStyle name="Normal 3 2 3 15" xfId="13111"/>
    <cellStyle name="Normal 3 2 3 15 2" xfId="35698"/>
    <cellStyle name="Normal 3 2 3 16" xfId="6671"/>
    <cellStyle name="Normal 3 2 3 16 2" xfId="29258"/>
    <cellStyle name="Normal 3 2 3 17" xfId="22818"/>
    <cellStyle name="Normal 3 2 3 2" xfId="199"/>
    <cellStyle name="Normal 3 2 3 2 10" xfId="491"/>
    <cellStyle name="Normal 3 2 3 2 10 2" xfId="3778"/>
    <cellStyle name="Normal 3 2 3 2 10 2 2" xfId="19878"/>
    <cellStyle name="Normal 3 2 3 2 10 2 2 2" xfId="42465"/>
    <cellStyle name="Normal 3 2 3 2 10 2 3" xfId="10218"/>
    <cellStyle name="Normal 3 2 3 2 10 2 3 2" xfId="32805"/>
    <cellStyle name="Normal 3 2 3 2 10 2 4" xfId="26365"/>
    <cellStyle name="Normal 3 2 3 2 10 3" xfId="16658"/>
    <cellStyle name="Normal 3 2 3 2 10 3 2" xfId="39245"/>
    <cellStyle name="Normal 3 2 3 2 10 4" xfId="13438"/>
    <cellStyle name="Normal 3 2 3 2 10 4 2" xfId="36025"/>
    <cellStyle name="Normal 3 2 3 2 10 5" xfId="6998"/>
    <cellStyle name="Normal 3 2 3 2 10 5 2" xfId="29585"/>
    <cellStyle name="Normal 3 2 3 2 10 6" xfId="23145"/>
    <cellStyle name="Normal 3 2 3 2 11" xfId="3488"/>
    <cellStyle name="Normal 3 2 3 2 11 2" xfId="19588"/>
    <cellStyle name="Normal 3 2 3 2 11 2 2" xfId="42175"/>
    <cellStyle name="Normal 3 2 3 2 11 3" xfId="9928"/>
    <cellStyle name="Normal 3 2 3 2 11 3 2" xfId="32515"/>
    <cellStyle name="Normal 3 2 3 2 11 4" xfId="26075"/>
    <cellStyle name="Normal 3 2 3 2 12" xfId="16368"/>
    <cellStyle name="Normal 3 2 3 2 12 2" xfId="38955"/>
    <cellStyle name="Normal 3 2 3 2 13" xfId="13148"/>
    <cellStyle name="Normal 3 2 3 2 13 2" xfId="35735"/>
    <cellStyle name="Normal 3 2 3 2 14" xfId="6708"/>
    <cellStyle name="Normal 3 2 3 2 14 2" xfId="29295"/>
    <cellStyle name="Normal 3 2 3 2 15" xfId="22855"/>
    <cellStyle name="Normal 3 2 3 2 2" xfId="298"/>
    <cellStyle name="Normal 3 2 3 2 2 10" xfId="16465"/>
    <cellStyle name="Normal 3 2 3 2 2 10 2" xfId="39052"/>
    <cellStyle name="Normal 3 2 3 2 2 11" xfId="13245"/>
    <cellStyle name="Normal 3 2 3 2 2 11 2" xfId="35832"/>
    <cellStyle name="Normal 3 2 3 2 2 12" xfId="6805"/>
    <cellStyle name="Normal 3 2 3 2 2 12 2" xfId="29392"/>
    <cellStyle name="Normal 3 2 3 2 2 13" xfId="22952"/>
    <cellStyle name="Normal 3 2 3 2 2 2" xfId="1017"/>
    <cellStyle name="Normal 3 2 3 2 2 2 2" xfId="2331"/>
    <cellStyle name="Normal 3 2 3 2 2 2 2 2" xfId="5552"/>
    <cellStyle name="Normal 3 2 3 2 2 2 2 2 2" xfId="21652"/>
    <cellStyle name="Normal 3 2 3 2 2 2 2 2 2 2" xfId="44239"/>
    <cellStyle name="Normal 3 2 3 2 2 2 2 2 3" xfId="11992"/>
    <cellStyle name="Normal 3 2 3 2 2 2 2 2 3 2" xfId="34579"/>
    <cellStyle name="Normal 3 2 3 2 2 2 2 2 4" xfId="28139"/>
    <cellStyle name="Normal 3 2 3 2 2 2 2 3" xfId="18432"/>
    <cellStyle name="Normal 3 2 3 2 2 2 2 3 2" xfId="41019"/>
    <cellStyle name="Normal 3 2 3 2 2 2 2 4" xfId="15212"/>
    <cellStyle name="Normal 3 2 3 2 2 2 2 4 2" xfId="37799"/>
    <cellStyle name="Normal 3 2 3 2 2 2 2 5" xfId="8772"/>
    <cellStyle name="Normal 3 2 3 2 2 2 2 5 2" xfId="31359"/>
    <cellStyle name="Normal 3 2 3 2 2 2 2 6" xfId="24919"/>
    <cellStyle name="Normal 3 2 3 2 2 2 3" xfId="4244"/>
    <cellStyle name="Normal 3 2 3 2 2 2 3 2" xfId="20344"/>
    <cellStyle name="Normal 3 2 3 2 2 2 3 2 2" xfId="42931"/>
    <cellStyle name="Normal 3 2 3 2 2 2 3 3" xfId="10684"/>
    <cellStyle name="Normal 3 2 3 2 2 2 3 3 2" xfId="33271"/>
    <cellStyle name="Normal 3 2 3 2 2 2 3 4" xfId="26831"/>
    <cellStyle name="Normal 3 2 3 2 2 2 4" xfId="17124"/>
    <cellStyle name="Normal 3 2 3 2 2 2 4 2" xfId="39711"/>
    <cellStyle name="Normal 3 2 3 2 2 2 5" xfId="13904"/>
    <cellStyle name="Normal 3 2 3 2 2 2 5 2" xfId="36491"/>
    <cellStyle name="Normal 3 2 3 2 2 2 6" xfId="7464"/>
    <cellStyle name="Normal 3 2 3 2 2 2 6 2" xfId="30051"/>
    <cellStyle name="Normal 3 2 3 2 2 2 7" xfId="23611"/>
    <cellStyle name="Normal 3 2 3 2 2 3" xfId="1364"/>
    <cellStyle name="Normal 3 2 3 2 2 3 2" xfId="2678"/>
    <cellStyle name="Normal 3 2 3 2 2 3 2 2" xfId="5899"/>
    <cellStyle name="Normal 3 2 3 2 2 3 2 2 2" xfId="21999"/>
    <cellStyle name="Normal 3 2 3 2 2 3 2 2 2 2" xfId="44586"/>
    <cellStyle name="Normal 3 2 3 2 2 3 2 2 3" xfId="12339"/>
    <cellStyle name="Normal 3 2 3 2 2 3 2 2 3 2" xfId="34926"/>
    <cellStyle name="Normal 3 2 3 2 2 3 2 2 4" xfId="28486"/>
    <cellStyle name="Normal 3 2 3 2 2 3 2 3" xfId="18779"/>
    <cellStyle name="Normal 3 2 3 2 2 3 2 3 2" xfId="41366"/>
    <cellStyle name="Normal 3 2 3 2 2 3 2 4" xfId="15559"/>
    <cellStyle name="Normal 3 2 3 2 2 3 2 4 2" xfId="38146"/>
    <cellStyle name="Normal 3 2 3 2 2 3 2 5" xfId="9119"/>
    <cellStyle name="Normal 3 2 3 2 2 3 2 5 2" xfId="31706"/>
    <cellStyle name="Normal 3 2 3 2 2 3 2 6" xfId="25266"/>
    <cellStyle name="Normal 3 2 3 2 2 3 3" xfId="4591"/>
    <cellStyle name="Normal 3 2 3 2 2 3 3 2" xfId="20691"/>
    <cellStyle name="Normal 3 2 3 2 2 3 3 2 2" xfId="43278"/>
    <cellStyle name="Normal 3 2 3 2 2 3 3 3" xfId="11031"/>
    <cellStyle name="Normal 3 2 3 2 2 3 3 3 2" xfId="33618"/>
    <cellStyle name="Normal 3 2 3 2 2 3 3 4" xfId="27178"/>
    <cellStyle name="Normal 3 2 3 2 2 3 4" xfId="17471"/>
    <cellStyle name="Normal 3 2 3 2 2 3 4 2" xfId="40058"/>
    <cellStyle name="Normal 3 2 3 2 2 3 5" xfId="14251"/>
    <cellStyle name="Normal 3 2 3 2 2 3 5 2" xfId="36838"/>
    <cellStyle name="Normal 3 2 3 2 2 3 6" xfId="7811"/>
    <cellStyle name="Normal 3 2 3 2 2 3 6 2" xfId="30398"/>
    <cellStyle name="Normal 3 2 3 2 2 3 7" xfId="23958"/>
    <cellStyle name="Normal 3 2 3 2 2 4" xfId="1647"/>
    <cellStyle name="Normal 3 2 3 2 2 4 2" xfId="4870"/>
    <cellStyle name="Normal 3 2 3 2 2 4 2 2" xfId="20970"/>
    <cellStyle name="Normal 3 2 3 2 2 4 2 2 2" xfId="43557"/>
    <cellStyle name="Normal 3 2 3 2 2 4 2 3" xfId="11310"/>
    <cellStyle name="Normal 3 2 3 2 2 4 2 3 2" xfId="33897"/>
    <cellStyle name="Normal 3 2 3 2 2 4 2 4" xfId="27457"/>
    <cellStyle name="Normal 3 2 3 2 2 4 3" xfId="17750"/>
    <cellStyle name="Normal 3 2 3 2 2 4 3 2" xfId="40337"/>
    <cellStyle name="Normal 3 2 3 2 2 4 4" xfId="14530"/>
    <cellStyle name="Normal 3 2 3 2 2 4 4 2" xfId="37117"/>
    <cellStyle name="Normal 3 2 3 2 2 4 5" xfId="8090"/>
    <cellStyle name="Normal 3 2 3 2 2 4 5 2" xfId="30677"/>
    <cellStyle name="Normal 3 2 3 2 2 4 6" xfId="24237"/>
    <cellStyle name="Normal 3 2 3 2 2 5" xfId="1983"/>
    <cellStyle name="Normal 3 2 3 2 2 5 2" xfId="5205"/>
    <cellStyle name="Normal 3 2 3 2 2 5 2 2" xfId="21305"/>
    <cellStyle name="Normal 3 2 3 2 2 5 2 2 2" xfId="43892"/>
    <cellStyle name="Normal 3 2 3 2 2 5 2 3" xfId="11645"/>
    <cellStyle name="Normal 3 2 3 2 2 5 2 3 2" xfId="34232"/>
    <cellStyle name="Normal 3 2 3 2 2 5 2 4" xfId="27792"/>
    <cellStyle name="Normal 3 2 3 2 2 5 3" xfId="18085"/>
    <cellStyle name="Normal 3 2 3 2 2 5 3 2" xfId="40672"/>
    <cellStyle name="Normal 3 2 3 2 2 5 4" xfId="14865"/>
    <cellStyle name="Normal 3 2 3 2 2 5 4 2" xfId="37452"/>
    <cellStyle name="Normal 3 2 3 2 2 5 5" xfId="8425"/>
    <cellStyle name="Normal 3 2 3 2 2 5 5 2" xfId="31012"/>
    <cellStyle name="Normal 3 2 3 2 2 5 6" xfId="24572"/>
    <cellStyle name="Normal 3 2 3 2 2 6" xfId="3005"/>
    <cellStyle name="Normal 3 2 3 2 2 6 2" xfId="6225"/>
    <cellStyle name="Normal 3 2 3 2 2 6 2 2" xfId="22325"/>
    <cellStyle name="Normal 3 2 3 2 2 6 2 2 2" xfId="44912"/>
    <cellStyle name="Normal 3 2 3 2 2 6 2 3" xfId="12665"/>
    <cellStyle name="Normal 3 2 3 2 2 6 2 3 2" xfId="35252"/>
    <cellStyle name="Normal 3 2 3 2 2 6 2 4" xfId="28812"/>
    <cellStyle name="Normal 3 2 3 2 2 6 3" xfId="19105"/>
    <cellStyle name="Normal 3 2 3 2 2 6 3 2" xfId="41692"/>
    <cellStyle name="Normal 3 2 3 2 2 6 4" xfId="15885"/>
    <cellStyle name="Normal 3 2 3 2 2 6 4 2" xfId="38472"/>
    <cellStyle name="Normal 3 2 3 2 2 6 5" xfId="9445"/>
    <cellStyle name="Normal 3 2 3 2 2 6 5 2" xfId="32032"/>
    <cellStyle name="Normal 3 2 3 2 2 6 6" xfId="25592"/>
    <cellStyle name="Normal 3 2 3 2 2 7" xfId="3295"/>
    <cellStyle name="Normal 3 2 3 2 2 7 2" xfId="6515"/>
    <cellStyle name="Normal 3 2 3 2 2 7 2 2" xfId="22615"/>
    <cellStyle name="Normal 3 2 3 2 2 7 2 2 2" xfId="45202"/>
    <cellStyle name="Normal 3 2 3 2 2 7 2 3" xfId="12955"/>
    <cellStyle name="Normal 3 2 3 2 2 7 2 3 2" xfId="35542"/>
    <cellStyle name="Normal 3 2 3 2 2 7 2 4" xfId="29102"/>
    <cellStyle name="Normal 3 2 3 2 2 7 3" xfId="19395"/>
    <cellStyle name="Normal 3 2 3 2 2 7 3 2" xfId="41982"/>
    <cellStyle name="Normal 3 2 3 2 2 7 4" xfId="16175"/>
    <cellStyle name="Normal 3 2 3 2 2 7 4 2" xfId="38762"/>
    <cellStyle name="Normal 3 2 3 2 2 7 5" xfId="9735"/>
    <cellStyle name="Normal 3 2 3 2 2 7 5 2" xfId="32322"/>
    <cellStyle name="Normal 3 2 3 2 2 7 6" xfId="25882"/>
    <cellStyle name="Normal 3 2 3 2 2 8" xfId="653"/>
    <cellStyle name="Normal 3 2 3 2 2 8 2" xfId="3897"/>
    <cellStyle name="Normal 3 2 3 2 2 8 2 2" xfId="19997"/>
    <cellStyle name="Normal 3 2 3 2 2 8 2 2 2" xfId="42584"/>
    <cellStyle name="Normal 3 2 3 2 2 8 2 3" xfId="10337"/>
    <cellStyle name="Normal 3 2 3 2 2 8 2 3 2" xfId="32924"/>
    <cellStyle name="Normal 3 2 3 2 2 8 2 4" xfId="26484"/>
    <cellStyle name="Normal 3 2 3 2 2 8 3" xfId="16777"/>
    <cellStyle name="Normal 3 2 3 2 2 8 3 2" xfId="39364"/>
    <cellStyle name="Normal 3 2 3 2 2 8 4" xfId="13557"/>
    <cellStyle name="Normal 3 2 3 2 2 8 4 2" xfId="36144"/>
    <cellStyle name="Normal 3 2 3 2 2 8 5" xfId="7117"/>
    <cellStyle name="Normal 3 2 3 2 2 8 5 2" xfId="29704"/>
    <cellStyle name="Normal 3 2 3 2 2 8 6" xfId="23264"/>
    <cellStyle name="Normal 3 2 3 2 2 9" xfId="3585"/>
    <cellStyle name="Normal 3 2 3 2 2 9 2" xfId="19685"/>
    <cellStyle name="Normal 3 2 3 2 2 9 2 2" xfId="42272"/>
    <cellStyle name="Normal 3 2 3 2 2 9 3" xfId="10025"/>
    <cellStyle name="Normal 3 2 3 2 2 9 3 2" xfId="32612"/>
    <cellStyle name="Normal 3 2 3 2 2 9 4" xfId="26172"/>
    <cellStyle name="Normal 3 2 3 2 3" xfId="394"/>
    <cellStyle name="Normal 3 2 3 2 3 10" xfId="16561"/>
    <cellStyle name="Normal 3 2 3 2 3 10 2" xfId="39148"/>
    <cellStyle name="Normal 3 2 3 2 3 11" xfId="13341"/>
    <cellStyle name="Normal 3 2 3 2 3 11 2" xfId="35928"/>
    <cellStyle name="Normal 3 2 3 2 3 12" xfId="6901"/>
    <cellStyle name="Normal 3 2 3 2 3 12 2" xfId="29488"/>
    <cellStyle name="Normal 3 2 3 2 3 13" xfId="23048"/>
    <cellStyle name="Normal 3 2 3 2 3 2" xfId="1176"/>
    <cellStyle name="Normal 3 2 3 2 3 2 2" xfId="2490"/>
    <cellStyle name="Normal 3 2 3 2 3 2 2 2" xfId="5711"/>
    <cellStyle name="Normal 3 2 3 2 3 2 2 2 2" xfId="21811"/>
    <cellStyle name="Normal 3 2 3 2 3 2 2 2 2 2" xfId="44398"/>
    <cellStyle name="Normal 3 2 3 2 3 2 2 2 3" xfId="12151"/>
    <cellStyle name="Normal 3 2 3 2 3 2 2 2 3 2" xfId="34738"/>
    <cellStyle name="Normal 3 2 3 2 3 2 2 2 4" xfId="28298"/>
    <cellStyle name="Normal 3 2 3 2 3 2 2 3" xfId="18591"/>
    <cellStyle name="Normal 3 2 3 2 3 2 2 3 2" xfId="41178"/>
    <cellStyle name="Normal 3 2 3 2 3 2 2 4" xfId="15371"/>
    <cellStyle name="Normal 3 2 3 2 3 2 2 4 2" xfId="37958"/>
    <cellStyle name="Normal 3 2 3 2 3 2 2 5" xfId="8931"/>
    <cellStyle name="Normal 3 2 3 2 3 2 2 5 2" xfId="31518"/>
    <cellStyle name="Normal 3 2 3 2 3 2 2 6" xfId="25078"/>
    <cellStyle name="Normal 3 2 3 2 3 2 3" xfId="4403"/>
    <cellStyle name="Normal 3 2 3 2 3 2 3 2" xfId="20503"/>
    <cellStyle name="Normal 3 2 3 2 3 2 3 2 2" xfId="43090"/>
    <cellStyle name="Normal 3 2 3 2 3 2 3 3" xfId="10843"/>
    <cellStyle name="Normal 3 2 3 2 3 2 3 3 2" xfId="33430"/>
    <cellStyle name="Normal 3 2 3 2 3 2 3 4" xfId="26990"/>
    <cellStyle name="Normal 3 2 3 2 3 2 4" xfId="17283"/>
    <cellStyle name="Normal 3 2 3 2 3 2 4 2" xfId="39870"/>
    <cellStyle name="Normal 3 2 3 2 3 2 5" xfId="14063"/>
    <cellStyle name="Normal 3 2 3 2 3 2 5 2" xfId="36650"/>
    <cellStyle name="Normal 3 2 3 2 3 2 6" xfId="7623"/>
    <cellStyle name="Normal 3 2 3 2 3 2 6 2" xfId="30210"/>
    <cellStyle name="Normal 3 2 3 2 3 2 7" xfId="23770"/>
    <cellStyle name="Normal 3 2 3 2 3 3" xfId="1523"/>
    <cellStyle name="Normal 3 2 3 2 3 3 2" xfId="2837"/>
    <cellStyle name="Normal 3 2 3 2 3 3 2 2" xfId="6058"/>
    <cellStyle name="Normal 3 2 3 2 3 3 2 2 2" xfId="22158"/>
    <cellStyle name="Normal 3 2 3 2 3 3 2 2 2 2" xfId="44745"/>
    <cellStyle name="Normal 3 2 3 2 3 3 2 2 3" xfId="12498"/>
    <cellStyle name="Normal 3 2 3 2 3 3 2 2 3 2" xfId="35085"/>
    <cellStyle name="Normal 3 2 3 2 3 3 2 2 4" xfId="28645"/>
    <cellStyle name="Normal 3 2 3 2 3 3 2 3" xfId="18938"/>
    <cellStyle name="Normal 3 2 3 2 3 3 2 3 2" xfId="41525"/>
    <cellStyle name="Normal 3 2 3 2 3 3 2 4" xfId="15718"/>
    <cellStyle name="Normal 3 2 3 2 3 3 2 4 2" xfId="38305"/>
    <cellStyle name="Normal 3 2 3 2 3 3 2 5" xfId="9278"/>
    <cellStyle name="Normal 3 2 3 2 3 3 2 5 2" xfId="31865"/>
    <cellStyle name="Normal 3 2 3 2 3 3 2 6" xfId="25425"/>
    <cellStyle name="Normal 3 2 3 2 3 3 3" xfId="4750"/>
    <cellStyle name="Normal 3 2 3 2 3 3 3 2" xfId="20850"/>
    <cellStyle name="Normal 3 2 3 2 3 3 3 2 2" xfId="43437"/>
    <cellStyle name="Normal 3 2 3 2 3 3 3 3" xfId="11190"/>
    <cellStyle name="Normal 3 2 3 2 3 3 3 3 2" xfId="33777"/>
    <cellStyle name="Normal 3 2 3 2 3 3 3 4" xfId="27337"/>
    <cellStyle name="Normal 3 2 3 2 3 3 4" xfId="17630"/>
    <cellStyle name="Normal 3 2 3 2 3 3 4 2" xfId="40217"/>
    <cellStyle name="Normal 3 2 3 2 3 3 5" xfId="14410"/>
    <cellStyle name="Normal 3 2 3 2 3 3 5 2" xfId="36997"/>
    <cellStyle name="Normal 3 2 3 2 3 3 6" xfId="7970"/>
    <cellStyle name="Normal 3 2 3 2 3 3 6 2" xfId="30557"/>
    <cellStyle name="Normal 3 2 3 2 3 3 7" xfId="24117"/>
    <cellStyle name="Normal 3 2 3 2 3 4" xfId="1648"/>
    <cellStyle name="Normal 3 2 3 2 3 4 2" xfId="4871"/>
    <cellStyle name="Normal 3 2 3 2 3 4 2 2" xfId="20971"/>
    <cellStyle name="Normal 3 2 3 2 3 4 2 2 2" xfId="43558"/>
    <cellStyle name="Normal 3 2 3 2 3 4 2 3" xfId="11311"/>
    <cellStyle name="Normal 3 2 3 2 3 4 2 3 2" xfId="33898"/>
    <cellStyle name="Normal 3 2 3 2 3 4 2 4" xfId="27458"/>
    <cellStyle name="Normal 3 2 3 2 3 4 3" xfId="17751"/>
    <cellStyle name="Normal 3 2 3 2 3 4 3 2" xfId="40338"/>
    <cellStyle name="Normal 3 2 3 2 3 4 4" xfId="14531"/>
    <cellStyle name="Normal 3 2 3 2 3 4 4 2" xfId="37118"/>
    <cellStyle name="Normal 3 2 3 2 3 4 5" xfId="8091"/>
    <cellStyle name="Normal 3 2 3 2 3 4 5 2" xfId="30678"/>
    <cellStyle name="Normal 3 2 3 2 3 4 6" xfId="24238"/>
    <cellStyle name="Normal 3 2 3 2 3 5" xfId="2143"/>
    <cellStyle name="Normal 3 2 3 2 3 5 2" xfId="5364"/>
    <cellStyle name="Normal 3 2 3 2 3 5 2 2" xfId="21464"/>
    <cellStyle name="Normal 3 2 3 2 3 5 2 2 2" xfId="44051"/>
    <cellStyle name="Normal 3 2 3 2 3 5 2 3" xfId="11804"/>
    <cellStyle name="Normal 3 2 3 2 3 5 2 3 2" xfId="34391"/>
    <cellStyle name="Normal 3 2 3 2 3 5 2 4" xfId="27951"/>
    <cellStyle name="Normal 3 2 3 2 3 5 3" xfId="18244"/>
    <cellStyle name="Normal 3 2 3 2 3 5 3 2" xfId="40831"/>
    <cellStyle name="Normal 3 2 3 2 3 5 4" xfId="15024"/>
    <cellStyle name="Normal 3 2 3 2 3 5 4 2" xfId="37611"/>
    <cellStyle name="Normal 3 2 3 2 3 5 5" xfId="8584"/>
    <cellStyle name="Normal 3 2 3 2 3 5 5 2" xfId="31171"/>
    <cellStyle name="Normal 3 2 3 2 3 5 6" xfId="24731"/>
    <cellStyle name="Normal 3 2 3 2 3 6" xfId="3101"/>
    <cellStyle name="Normal 3 2 3 2 3 6 2" xfId="6321"/>
    <cellStyle name="Normal 3 2 3 2 3 6 2 2" xfId="22421"/>
    <cellStyle name="Normal 3 2 3 2 3 6 2 2 2" xfId="45008"/>
    <cellStyle name="Normal 3 2 3 2 3 6 2 3" xfId="12761"/>
    <cellStyle name="Normal 3 2 3 2 3 6 2 3 2" xfId="35348"/>
    <cellStyle name="Normal 3 2 3 2 3 6 2 4" xfId="28908"/>
    <cellStyle name="Normal 3 2 3 2 3 6 3" xfId="19201"/>
    <cellStyle name="Normal 3 2 3 2 3 6 3 2" xfId="41788"/>
    <cellStyle name="Normal 3 2 3 2 3 6 4" xfId="15981"/>
    <cellStyle name="Normal 3 2 3 2 3 6 4 2" xfId="38568"/>
    <cellStyle name="Normal 3 2 3 2 3 6 5" xfId="9541"/>
    <cellStyle name="Normal 3 2 3 2 3 6 5 2" xfId="32128"/>
    <cellStyle name="Normal 3 2 3 2 3 6 6" xfId="25688"/>
    <cellStyle name="Normal 3 2 3 2 3 7" xfId="3391"/>
    <cellStyle name="Normal 3 2 3 2 3 7 2" xfId="6611"/>
    <cellStyle name="Normal 3 2 3 2 3 7 2 2" xfId="22711"/>
    <cellStyle name="Normal 3 2 3 2 3 7 2 2 2" xfId="45298"/>
    <cellStyle name="Normal 3 2 3 2 3 7 2 3" xfId="13051"/>
    <cellStyle name="Normal 3 2 3 2 3 7 2 3 2" xfId="35638"/>
    <cellStyle name="Normal 3 2 3 2 3 7 2 4" xfId="29198"/>
    <cellStyle name="Normal 3 2 3 2 3 7 3" xfId="19491"/>
    <cellStyle name="Normal 3 2 3 2 3 7 3 2" xfId="42078"/>
    <cellStyle name="Normal 3 2 3 2 3 7 4" xfId="16271"/>
    <cellStyle name="Normal 3 2 3 2 3 7 4 2" xfId="38858"/>
    <cellStyle name="Normal 3 2 3 2 3 7 5" xfId="9831"/>
    <cellStyle name="Normal 3 2 3 2 3 7 5 2" xfId="32418"/>
    <cellStyle name="Normal 3 2 3 2 3 7 6" xfId="25978"/>
    <cellStyle name="Normal 3 2 3 2 3 8" xfId="824"/>
    <cellStyle name="Normal 3 2 3 2 3 8 2" xfId="4056"/>
    <cellStyle name="Normal 3 2 3 2 3 8 2 2" xfId="20156"/>
    <cellStyle name="Normal 3 2 3 2 3 8 2 2 2" xfId="42743"/>
    <cellStyle name="Normal 3 2 3 2 3 8 2 3" xfId="10496"/>
    <cellStyle name="Normal 3 2 3 2 3 8 2 3 2" xfId="33083"/>
    <cellStyle name="Normal 3 2 3 2 3 8 2 4" xfId="26643"/>
    <cellStyle name="Normal 3 2 3 2 3 8 3" xfId="16936"/>
    <cellStyle name="Normal 3 2 3 2 3 8 3 2" xfId="39523"/>
    <cellStyle name="Normal 3 2 3 2 3 8 4" xfId="13716"/>
    <cellStyle name="Normal 3 2 3 2 3 8 4 2" xfId="36303"/>
    <cellStyle name="Normal 3 2 3 2 3 8 5" xfId="7276"/>
    <cellStyle name="Normal 3 2 3 2 3 8 5 2" xfId="29863"/>
    <cellStyle name="Normal 3 2 3 2 3 8 6" xfId="23423"/>
    <cellStyle name="Normal 3 2 3 2 3 9" xfId="3681"/>
    <cellStyle name="Normal 3 2 3 2 3 9 2" xfId="19781"/>
    <cellStyle name="Normal 3 2 3 2 3 9 2 2" xfId="42368"/>
    <cellStyle name="Normal 3 2 3 2 3 9 3" xfId="10121"/>
    <cellStyle name="Normal 3 2 3 2 3 9 3 2" xfId="32708"/>
    <cellStyle name="Normal 3 2 3 2 3 9 4" xfId="26268"/>
    <cellStyle name="Normal 3 2 3 2 4" xfId="893"/>
    <cellStyle name="Normal 3 2 3 2 4 2" xfId="2212"/>
    <cellStyle name="Normal 3 2 3 2 4 2 2" xfId="5433"/>
    <cellStyle name="Normal 3 2 3 2 4 2 2 2" xfId="21533"/>
    <cellStyle name="Normal 3 2 3 2 4 2 2 2 2" xfId="44120"/>
    <cellStyle name="Normal 3 2 3 2 4 2 2 3" xfId="11873"/>
    <cellStyle name="Normal 3 2 3 2 4 2 2 3 2" xfId="34460"/>
    <cellStyle name="Normal 3 2 3 2 4 2 2 4" xfId="28020"/>
    <cellStyle name="Normal 3 2 3 2 4 2 3" xfId="18313"/>
    <cellStyle name="Normal 3 2 3 2 4 2 3 2" xfId="40900"/>
    <cellStyle name="Normal 3 2 3 2 4 2 4" xfId="15093"/>
    <cellStyle name="Normal 3 2 3 2 4 2 4 2" xfId="37680"/>
    <cellStyle name="Normal 3 2 3 2 4 2 5" xfId="8653"/>
    <cellStyle name="Normal 3 2 3 2 4 2 5 2" xfId="31240"/>
    <cellStyle name="Normal 3 2 3 2 4 2 6" xfId="24800"/>
    <cellStyle name="Normal 3 2 3 2 4 3" xfId="4125"/>
    <cellStyle name="Normal 3 2 3 2 4 3 2" xfId="20225"/>
    <cellStyle name="Normal 3 2 3 2 4 3 2 2" xfId="42812"/>
    <cellStyle name="Normal 3 2 3 2 4 3 3" xfId="10565"/>
    <cellStyle name="Normal 3 2 3 2 4 3 3 2" xfId="33152"/>
    <cellStyle name="Normal 3 2 3 2 4 3 4" xfId="26712"/>
    <cellStyle name="Normal 3 2 3 2 4 4" xfId="17005"/>
    <cellStyle name="Normal 3 2 3 2 4 4 2" xfId="39592"/>
    <cellStyle name="Normal 3 2 3 2 4 5" xfId="13785"/>
    <cellStyle name="Normal 3 2 3 2 4 5 2" xfId="36372"/>
    <cellStyle name="Normal 3 2 3 2 4 6" xfId="7345"/>
    <cellStyle name="Normal 3 2 3 2 4 6 2" xfId="29932"/>
    <cellStyle name="Normal 3 2 3 2 4 7" xfId="23492"/>
    <cellStyle name="Normal 3 2 3 2 5" xfId="1245"/>
    <cellStyle name="Normal 3 2 3 2 5 2" xfId="2559"/>
    <cellStyle name="Normal 3 2 3 2 5 2 2" xfId="5780"/>
    <cellStyle name="Normal 3 2 3 2 5 2 2 2" xfId="21880"/>
    <cellStyle name="Normal 3 2 3 2 5 2 2 2 2" xfId="44467"/>
    <cellStyle name="Normal 3 2 3 2 5 2 2 3" xfId="12220"/>
    <cellStyle name="Normal 3 2 3 2 5 2 2 3 2" xfId="34807"/>
    <cellStyle name="Normal 3 2 3 2 5 2 2 4" xfId="28367"/>
    <cellStyle name="Normal 3 2 3 2 5 2 3" xfId="18660"/>
    <cellStyle name="Normal 3 2 3 2 5 2 3 2" xfId="41247"/>
    <cellStyle name="Normal 3 2 3 2 5 2 4" xfId="15440"/>
    <cellStyle name="Normal 3 2 3 2 5 2 4 2" xfId="38027"/>
    <cellStyle name="Normal 3 2 3 2 5 2 5" xfId="9000"/>
    <cellStyle name="Normal 3 2 3 2 5 2 5 2" xfId="31587"/>
    <cellStyle name="Normal 3 2 3 2 5 2 6" xfId="25147"/>
    <cellStyle name="Normal 3 2 3 2 5 3" xfId="4472"/>
    <cellStyle name="Normal 3 2 3 2 5 3 2" xfId="20572"/>
    <cellStyle name="Normal 3 2 3 2 5 3 2 2" xfId="43159"/>
    <cellStyle name="Normal 3 2 3 2 5 3 3" xfId="10912"/>
    <cellStyle name="Normal 3 2 3 2 5 3 3 2" xfId="33499"/>
    <cellStyle name="Normal 3 2 3 2 5 3 4" xfId="27059"/>
    <cellStyle name="Normal 3 2 3 2 5 4" xfId="17352"/>
    <cellStyle name="Normal 3 2 3 2 5 4 2" xfId="39939"/>
    <cellStyle name="Normal 3 2 3 2 5 5" xfId="14132"/>
    <cellStyle name="Normal 3 2 3 2 5 5 2" xfId="36719"/>
    <cellStyle name="Normal 3 2 3 2 5 6" xfId="7692"/>
    <cellStyle name="Normal 3 2 3 2 5 6 2" xfId="30279"/>
    <cellStyle name="Normal 3 2 3 2 5 7" xfId="23839"/>
    <cellStyle name="Normal 3 2 3 2 6" xfId="1649"/>
    <cellStyle name="Normal 3 2 3 2 6 2" xfId="4872"/>
    <cellStyle name="Normal 3 2 3 2 6 2 2" xfId="20972"/>
    <cellStyle name="Normal 3 2 3 2 6 2 2 2" xfId="43559"/>
    <cellStyle name="Normal 3 2 3 2 6 2 3" xfId="11312"/>
    <cellStyle name="Normal 3 2 3 2 6 2 3 2" xfId="33899"/>
    <cellStyle name="Normal 3 2 3 2 6 2 4" xfId="27459"/>
    <cellStyle name="Normal 3 2 3 2 6 3" xfId="17752"/>
    <cellStyle name="Normal 3 2 3 2 6 3 2" xfId="40339"/>
    <cellStyle name="Normal 3 2 3 2 6 4" xfId="14532"/>
    <cellStyle name="Normal 3 2 3 2 6 4 2" xfId="37119"/>
    <cellStyle name="Normal 3 2 3 2 6 5" xfId="8092"/>
    <cellStyle name="Normal 3 2 3 2 6 5 2" xfId="30679"/>
    <cellStyle name="Normal 3 2 3 2 6 6" xfId="24239"/>
    <cellStyle name="Normal 3 2 3 2 7" xfId="1864"/>
    <cellStyle name="Normal 3 2 3 2 7 2" xfId="5086"/>
    <cellStyle name="Normal 3 2 3 2 7 2 2" xfId="21186"/>
    <cellStyle name="Normal 3 2 3 2 7 2 2 2" xfId="43773"/>
    <cellStyle name="Normal 3 2 3 2 7 2 3" xfId="11526"/>
    <cellStyle name="Normal 3 2 3 2 7 2 3 2" xfId="34113"/>
    <cellStyle name="Normal 3 2 3 2 7 2 4" xfId="27673"/>
    <cellStyle name="Normal 3 2 3 2 7 3" xfId="17966"/>
    <cellStyle name="Normal 3 2 3 2 7 3 2" xfId="40553"/>
    <cellStyle name="Normal 3 2 3 2 7 4" xfId="14746"/>
    <cellStyle name="Normal 3 2 3 2 7 4 2" xfId="37333"/>
    <cellStyle name="Normal 3 2 3 2 7 5" xfId="8306"/>
    <cellStyle name="Normal 3 2 3 2 7 5 2" xfId="30893"/>
    <cellStyle name="Normal 3 2 3 2 7 6" xfId="24453"/>
    <cellStyle name="Normal 3 2 3 2 8" xfId="2907"/>
    <cellStyle name="Normal 3 2 3 2 8 2" xfId="6128"/>
    <cellStyle name="Normal 3 2 3 2 8 2 2" xfId="22228"/>
    <cellStyle name="Normal 3 2 3 2 8 2 2 2" xfId="44815"/>
    <cellStyle name="Normal 3 2 3 2 8 2 3" xfId="12568"/>
    <cellStyle name="Normal 3 2 3 2 8 2 3 2" xfId="35155"/>
    <cellStyle name="Normal 3 2 3 2 8 2 4" xfId="28715"/>
    <cellStyle name="Normal 3 2 3 2 8 3" xfId="19008"/>
    <cellStyle name="Normal 3 2 3 2 8 3 2" xfId="41595"/>
    <cellStyle name="Normal 3 2 3 2 8 4" xfId="15788"/>
    <cellStyle name="Normal 3 2 3 2 8 4 2" xfId="38375"/>
    <cellStyle name="Normal 3 2 3 2 8 5" xfId="9348"/>
    <cellStyle name="Normal 3 2 3 2 8 5 2" xfId="31935"/>
    <cellStyle name="Normal 3 2 3 2 8 6" xfId="25495"/>
    <cellStyle name="Normal 3 2 3 2 9" xfId="3198"/>
    <cellStyle name="Normal 3 2 3 2 9 2" xfId="6418"/>
    <cellStyle name="Normal 3 2 3 2 9 2 2" xfId="22518"/>
    <cellStyle name="Normal 3 2 3 2 9 2 2 2" xfId="45105"/>
    <cellStyle name="Normal 3 2 3 2 9 2 3" xfId="12858"/>
    <cellStyle name="Normal 3 2 3 2 9 2 3 2" xfId="35445"/>
    <cellStyle name="Normal 3 2 3 2 9 2 4" xfId="29005"/>
    <cellStyle name="Normal 3 2 3 2 9 3" xfId="19298"/>
    <cellStyle name="Normal 3 2 3 2 9 3 2" xfId="41885"/>
    <cellStyle name="Normal 3 2 3 2 9 4" xfId="16078"/>
    <cellStyle name="Normal 3 2 3 2 9 4 2" xfId="38665"/>
    <cellStyle name="Normal 3 2 3 2 9 5" xfId="9638"/>
    <cellStyle name="Normal 3 2 3 2 9 5 2" xfId="32225"/>
    <cellStyle name="Normal 3 2 3 2 9 6" xfId="25785"/>
    <cellStyle name="Normal 3 2 3 3" xfId="248"/>
    <cellStyle name="Normal 3 2 3 3 10" xfId="3536"/>
    <cellStyle name="Normal 3 2 3 3 10 2" xfId="19636"/>
    <cellStyle name="Normal 3 2 3 3 10 2 2" xfId="42223"/>
    <cellStyle name="Normal 3 2 3 3 10 3" xfId="9976"/>
    <cellStyle name="Normal 3 2 3 3 10 3 2" xfId="32563"/>
    <cellStyle name="Normal 3 2 3 3 10 4" xfId="26123"/>
    <cellStyle name="Normal 3 2 3 3 11" xfId="16416"/>
    <cellStyle name="Normal 3 2 3 3 11 2" xfId="39003"/>
    <cellStyle name="Normal 3 2 3 3 12" xfId="13196"/>
    <cellStyle name="Normal 3 2 3 3 12 2" xfId="35783"/>
    <cellStyle name="Normal 3 2 3 3 13" xfId="6756"/>
    <cellStyle name="Normal 3 2 3 3 13 2" xfId="29343"/>
    <cellStyle name="Normal 3 2 3 3 14" xfId="22903"/>
    <cellStyle name="Normal 3 2 3 3 2" xfId="690"/>
    <cellStyle name="Normal 3 2 3 3 2 10" xfId="23301"/>
    <cellStyle name="Normal 3 2 3 3 2 2" xfId="1054"/>
    <cellStyle name="Normal 3 2 3 3 2 2 2" xfId="2368"/>
    <cellStyle name="Normal 3 2 3 3 2 2 2 2" xfId="5589"/>
    <cellStyle name="Normal 3 2 3 3 2 2 2 2 2" xfId="21689"/>
    <cellStyle name="Normal 3 2 3 3 2 2 2 2 2 2" xfId="44276"/>
    <cellStyle name="Normal 3 2 3 3 2 2 2 2 3" xfId="12029"/>
    <cellStyle name="Normal 3 2 3 3 2 2 2 2 3 2" xfId="34616"/>
    <cellStyle name="Normal 3 2 3 3 2 2 2 2 4" xfId="28176"/>
    <cellStyle name="Normal 3 2 3 3 2 2 2 3" xfId="18469"/>
    <cellStyle name="Normal 3 2 3 3 2 2 2 3 2" xfId="41056"/>
    <cellStyle name="Normal 3 2 3 3 2 2 2 4" xfId="15249"/>
    <cellStyle name="Normal 3 2 3 3 2 2 2 4 2" xfId="37836"/>
    <cellStyle name="Normal 3 2 3 3 2 2 2 5" xfId="8809"/>
    <cellStyle name="Normal 3 2 3 3 2 2 2 5 2" xfId="31396"/>
    <cellStyle name="Normal 3 2 3 3 2 2 2 6" xfId="24956"/>
    <cellStyle name="Normal 3 2 3 3 2 2 3" xfId="4281"/>
    <cellStyle name="Normal 3 2 3 3 2 2 3 2" xfId="20381"/>
    <cellStyle name="Normal 3 2 3 3 2 2 3 2 2" xfId="42968"/>
    <cellStyle name="Normal 3 2 3 3 2 2 3 3" xfId="10721"/>
    <cellStyle name="Normal 3 2 3 3 2 2 3 3 2" xfId="33308"/>
    <cellStyle name="Normal 3 2 3 3 2 2 3 4" xfId="26868"/>
    <cellStyle name="Normal 3 2 3 3 2 2 4" xfId="17161"/>
    <cellStyle name="Normal 3 2 3 3 2 2 4 2" xfId="39748"/>
    <cellStyle name="Normal 3 2 3 3 2 2 5" xfId="13941"/>
    <cellStyle name="Normal 3 2 3 3 2 2 5 2" xfId="36528"/>
    <cellStyle name="Normal 3 2 3 3 2 2 6" xfId="7501"/>
    <cellStyle name="Normal 3 2 3 3 2 2 6 2" xfId="30088"/>
    <cellStyle name="Normal 3 2 3 3 2 2 7" xfId="23648"/>
    <cellStyle name="Normal 3 2 3 3 2 3" xfId="1401"/>
    <cellStyle name="Normal 3 2 3 3 2 3 2" xfId="2715"/>
    <cellStyle name="Normal 3 2 3 3 2 3 2 2" xfId="5936"/>
    <cellStyle name="Normal 3 2 3 3 2 3 2 2 2" xfId="22036"/>
    <cellStyle name="Normal 3 2 3 3 2 3 2 2 2 2" xfId="44623"/>
    <cellStyle name="Normal 3 2 3 3 2 3 2 2 3" xfId="12376"/>
    <cellStyle name="Normal 3 2 3 3 2 3 2 2 3 2" xfId="34963"/>
    <cellStyle name="Normal 3 2 3 3 2 3 2 2 4" xfId="28523"/>
    <cellStyle name="Normal 3 2 3 3 2 3 2 3" xfId="18816"/>
    <cellStyle name="Normal 3 2 3 3 2 3 2 3 2" xfId="41403"/>
    <cellStyle name="Normal 3 2 3 3 2 3 2 4" xfId="15596"/>
    <cellStyle name="Normal 3 2 3 3 2 3 2 4 2" xfId="38183"/>
    <cellStyle name="Normal 3 2 3 3 2 3 2 5" xfId="9156"/>
    <cellStyle name="Normal 3 2 3 3 2 3 2 5 2" xfId="31743"/>
    <cellStyle name="Normal 3 2 3 3 2 3 2 6" xfId="25303"/>
    <cellStyle name="Normal 3 2 3 3 2 3 3" xfId="4628"/>
    <cellStyle name="Normal 3 2 3 3 2 3 3 2" xfId="20728"/>
    <cellStyle name="Normal 3 2 3 3 2 3 3 2 2" xfId="43315"/>
    <cellStyle name="Normal 3 2 3 3 2 3 3 3" xfId="11068"/>
    <cellStyle name="Normal 3 2 3 3 2 3 3 3 2" xfId="33655"/>
    <cellStyle name="Normal 3 2 3 3 2 3 3 4" xfId="27215"/>
    <cellStyle name="Normal 3 2 3 3 2 3 4" xfId="17508"/>
    <cellStyle name="Normal 3 2 3 3 2 3 4 2" xfId="40095"/>
    <cellStyle name="Normal 3 2 3 3 2 3 5" xfId="14288"/>
    <cellStyle name="Normal 3 2 3 3 2 3 5 2" xfId="36875"/>
    <cellStyle name="Normal 3 2 3 3 2 3 6" xfId="7848"/>
    <cellStyle name="Normal 3 2 3 3 2 3 6 2" xfId="30435"/>
    <cellStyle name="Normal 3 2 3 3 2 3 7" xfId="23995"/>
    <cellStyle name="Normal 3 2 3 3 2 4" xfId="1650"/>
    <cellStyle name="Normal 3 2 3 3 2 4 2" xfId="4873"/>
    <cellStyle name="Normal 3 2 3 3 2 4 2 2" xfId="20973"/>
    <cellStyle name="Normal 3 2 3 3 2 4 2 2 2" xfId="43560"/>
    <cellStyle name="Normal 3 2 3 3 2 4 2 3" xfId="11313"/>
    <cellStyle name="Normal 3 2 3 3 2 4 2 3 2" xfId="33900"/>
    <cellStyle name="Normal 3 2 3 3 2 4 2 4" xfId="27460"/>
    <cellStyle name="Normal 3 2 3 3 2 4 3" xfId="17753"/>
    <cellStyle name="Normal 3 2 3 3 2 4 3 2" xfId="40340"/>
    <cellStyle name="Normal 3 2 3 3 2 4 4" xfId="14533"/>
    <cellStyle name="Normal 3 2 3 3 2 4 4 2" xfId="37120"/>
    <cellStyle name="Normal 3 2 3 3 2 4 5" xfId="8093"/>
    <cellStyle name="Normal 3 2 3 3 2 4 5 2" xfId="30680"/>
    <cellStyle name="Normal 3 2 3 3 2 4 6" xfId="24240"/>
    <cellStyle name="Normal 3 2 3 3 2 5" xfId="2020"/>
    <cellStyle name="Normal 3 2 3 3 2 5 2" xfId="5242"/>
    <cellStyle name="Normal 3 2 3 3 2 5 2 2" xfId="21342"/>
    <cellStyle name="Normal 3 2 3 3 2 5 2 2 2" xfId="43929"/>
    <cellStyle name="Normal 3 2 3 3 2 5 2 3" xfId="11682"/>
    <cellStyle name="Normal 3 2 3 3 2 5 2 3 2" xfId="34269"/>
    <cellStyle name="Normal 3 2 3 3 2 5 2 4" xfId="27829"/>
    <cellStyle name="Normal 3 2 3 3 2 5 3" xfId="18122"/>
    <cellStyle name="Normal 3 2 3 3 2 5 3 2" xfId="40709"/>
    <cellStyle name="Normal 3 2 3 3 2 5 4" xfId="14902"/>
    <cellStyle name="Normal 3 2 3 3 2 5 4 2" xfId="37489"/>
    <cellStyle name="Normal 3 2 3 3 2 5 5" xfId="8462"/>
    <cellStyle name="Normal 3 2 3 3 2 5 5 2" xfId="31049"/>
    <cellStyle name="Normal 3 2 3 3 2 5 6" xfId="24609"/>
    <cellStyle name="Normal 3 2 3 3 2 6" xfId="3934"/>
    <cellStyle name="Normal 3 2 3 3 2 6 2" xfId="20034"/>
    <cellStyle name="Normal 3 2 3 3 2 6 2 2" xfId="42621"/>
    <cellStyle name="Normal 3 2 3 3 2 6 3" xfId="10374"/>
    <cellStyle name="Normal 3 2 3 3 2 6 3 2" xfId="32961"/>
    <cellStyle name="Normal 3 2 3 3 2 6 4" xfId="26521"/>
    <cellStyle name="Normal 3 2 3 3 2 7" xfId="16814"/>
    <cellStyle name="Normal 3 2 3 3 2 7 2" xfId="39401"/>
    <cellStyle name="Normal 3 2 3 3 2 8" xfId="13594"/>
    <cellStyle name="Normal 3 2 3 3 2 8 2" xfId="36181"/>
    <cellStyle name="Normal 3 2 3 3 2 9" xfId="7154"/>
    <cellStyle name="Normal 3 2 3 3 2 9 2" xfId="29741"/>
    <cellStyle name="Normal 3 2 3 3 3" xfId="933"/>
    <cellStyle name="Normal 3 2 3 3 3 2" xfId="2252"/>
    <cellStyle name="Normal 3 2 3 3 3 2 2" xfId="5473"/>
    <cellStyle name="Normal 3 2 3 3 3 2 2 2" xfId="21573"/>
    <cellStyle name="Normal 3 2 3 3 3 2 2 2 2" xfId="44160"/>
    <cellStyle name="Normal 3 2 3 3 3 2 2 3" xfId="11913"/>
    <cellStyle name="Normal 3 2 3 3 3 2 2 3 2" xfId="34500"/>
    <cellStyle name="Normal 3 2 3 3 3 2 2 4" xfId="28060"/>
    <cellStyle name="Normal 3 2 3 3 3 2 3" xfId="18353"/>
    <cellStyle name="Normal 3 2 3 3 3 2 3 2" xfId="40940"/>
    <cellStyle name="Normal 3 2 3 3 3 2 4" xfId="15133"/>
    <cellStyle name="Normal 3 2 3 3 3 2 4 2" xfId="37720"/>
    <cellStyle name="Normal 3 2 3 3 3 2 5" xfId="8693"/>
    <cellStyle name="Normal 3 2 3 3 3 2 5 2" xfId="31280"/>
    <cellStyle name="Normal 3 2 3 3 3 2 6" xfId="24840"/>
    <cellStyle name="Normal 3 2 3 3 3 3" xfId="4165"/>
    <cellStyle name="Normal 3 2 3 3 3 3 2" xfId="20265"/>
    <cellStyle name="Normal 3 2 3 3 3 3 2 2" xfId="42852"/>
    <cellStyle name="Normal 3 2 3 3 3 3 3" xfId="10605"/>
    <cellStyle name="Normal 3 2 3 3 3 3 3 2" xfId="33192"/>
    <cellStyle name="Normal 3 2 3 3 3 3 4" xfId="26752"/>
    <cellStyle name="Normal 3 2 3 3 3 4" xfId="17045"/>
    <cellStyle name="Normal 3 2 3 3 3 4 2" xfId="39632"/>
    <cellStyle name="Normal 3 2 3 3 3 5" xfId="13825"/>
    <cellStyle name="Normal 3 2 3 3 3 5 2" xfId="36412"/>
    <cellStyle name="Normal 3 2 3 3 3 6" xfId="7385"/>
    <cellStyle name="Normal 3 2 3 3 3 6 2" xfId="29972"/>
    <cellStyle name="Normal 3 2 3 3 3 7" xfId="23532"/>
    <cellStyle name="Normal 3 2 3 3 4" xfId="1285"/>
    <cellStyle name="Normal 3 2 3 3 4 2" xfId="2599"/>
    <cellStyle name="Normal 3 2 3 3 4 2 2" xfId="5820"/>
    <cellStyle name="Normal 3 2 3 3 4 2 2 2" xfId="21920"/>
    <cellStyle name="Normal 3 2 3 3 4 2 2 2 2" xfId="44507"/>
    <cellStyle name="Normal 3 2 3 3 4 2 2 3" xfId="12260"/>
    <cellStyle name="Normal 3 2 3 3 4 2 2 3 2" xfId="34847"/>
    <cellStyle name="Normal 3 2 3 3 4 2 2 4" xfId="28407"/>
    <cellStyle name="Normal 3 2 3 3 4 2 3" xfId="18700"/>
    <cellStyle name="Normal 3 2 3 3 4 2 3 2" xfId="41287"/>
    <cellStyle name="Normal 3 2 3 3 4 2 4" xfId="15480"/>
    <cellStyle name="Normal 3 2 3 3 4 2 4 2" xfId="38067"/>
    <cellStyle name="Normal 3 2 3 3 4 2 5" xfId="9040"/>
    <cellStyle name="Normal 3 2 3 3 4 2 5 2" xfId="31627"/>
    <cellStyle name="Normal 3 2 3 3 4 2 6" xfId="25187"/>
    <cellStyle name="Normal 3 2 3 3 4 3" xfId="4512"/>
    <cellStyle name="Normal 3 2 3 3 4 3 2" xfId="20612"/>
    <cellStyle name="Normal 3 2 3 3 4 3 2 2" xfId="43199"/>
    <cellStyle name="Normal 3 2 3 3 4 3 3" xfId="10952"/>
    <cellStyle name="Normal 3 2 3 3 4 3 3 2" xfId="33539"/>
    <cellStyle name="Normal 3 2 3 3 4 3 4" xfId="27099"/>
    <cellStyle name="Normal 3 2 3 3 4 4" xfId="17392"/>
    <cellStyle name="Normal 3 2 3 3 4 4 2" xfId="39979"/>
    <cellStyle name="Normal 3 2 3 3 4 5" xfId="14172"/>
    <cellStyle name="Normal 3 2 3 3 4 5 2" xfId="36759"/>
    <cellStyle name="Normal 3 2 3 3 4 6" xfId="7732"/>
    <cellStyle name="Normal 3 2 3 3 4 6 2" xfId="30319"/>
    <cellStyle name="Normal 3 2 3 3 4 7" xfId="23879"/>
    <cellStyle name="Normal 3 2 3 3 5" xfId="1651"/>
    <cellStyle name="Normal 3 2 3 3 5 2" xfId="4874"/>
    <cellStyle name="Normal 3 2 3 3 5 2 2" xfId="20974"/>
    <cellStyle name="Normal 3 2 3 3 5 2 2 2" xfId="43561"/>
    <cellStyle name="Normal 3 2 3 3 5 2 3" xfId="11314"/>
    <cellStyle name="Normal 3 2 3 3 5 2 3 2" xfId="33901"/>
    <cellStyle name="Normal 3 2 3 3 5 2 4" xfId="27461"/>
    <cellStyle name="Normal 3 2 3 3 5 3" xfId="17754"/>
    <cellStyle name="Normal 3 2 3 3 5 3 2" xfId="40341"/>
    <cellStyle name="Normal 3 2 3 3 5 4" xfId="14534"/>
    <cellStyle name="Normal 3 2 3 3 5 4 2" xfId="37121"/>
    <cellStyle name="Normal 3 2 3 3 5 5" xfId="8094"/>
    <cellStyle name="Normal 3 2 3 3 5 5 2" xfId="30681"/>
    <cellStyle name="Normal 3 2 3 3 5 6" xfId="24241"/>
    <cellStyle name="Normal 3 2 3 3 6" xfId="1904"/>
    <cellStyle name="Normal 3 2 3 3 6 2" xfId="5126"/>
    <cellStyle name="Normal 3 2 3 3 6 2 2" xfId="21226"/>
    <cellStyle name="Normal 3 2 3 3 6 2 2 2" xfId="43813"/>
    <cellStyle name="Normal 3 2 3 3 6 2 3" xfId="11566"/>
    <cellStyle name="Normal 3 2 3 3 6 2 3 2" xfId="34153"/>
    <cellStyle name="Normal 3 2 3 3 6 2 4" xfId="27713"/>
    <cellStyle name="Normal 3 2 3 3 6 3" xfId="18006"/>
    <cellStyle name="Normal 3 2 3 3 6 3 2" xfId="40593"/>
    <cellStyle name="Normal 3 2 3 3 6 4" xfId="14786"/>
    <cellStyle name="Normal 3 2 3 3 6 4 2" xfId="37373"/>
    <cellStyle name="Normal 3 2 3 3 6 5" xfId="8346"/>
    <cellStyle name="Normal 3 2 3 3 6 5 2" xfId="30933"/>
    <cellStyle name="Normal 3 2 3 3 6 6" xfId="24493"/>
    <cellStyle name="Normal 3 2 3 3 7" xfId="2955"/>
    <cellStyle name="Normal 3 2 3 3 7 2" xfId="6176"/>
    <cellStyle name="Normal 3 2 3 3 7 2 2" xfId="22276"/>
    <cellStyle name="Normal 3 2 3 3 7 2 2 2" xfId="44863"/>
    <cellStyle name="Normal 3 2 3 3 7 2 3" xfId="12616"/>
    <cellStyle name="Normal 3 2 3 3 7 2 3 2" xfId="35203"/>
    <cellStyle name="Normal 3 2 3 3 7 2 4" xfId="28763"/>
    <cellStyle name="Normal 3 2 3 3 7 3" xfId="19056"/>
    <cellStyle name="Normal 3 2 3 3 7 3 2" xfId="41643"/>
    <cellStyle name="Normal 3 2 3 3 7 4" xfId="15836"/>
    <cellStyle name="Normal 3 2 3 3 7 4 2" xfId="38423"/>
    <cellStyle name="Normal 3 2 3 3 7 5" xfId="9396"/>
    <cellStyle name="Normal 3 2 3 3 7 5 2" xfId="31983"/>
    <cellStyle name="Normal 3 2 3 3 7 6" xfId="25543"/>
    <cellStyle name="Normal 3 2 3 3 8" xfId="3246"/>
    <cellStyle name="Normal 3 2 3 3 8 2" xfId="6466"/>
    <cellStyle name="Normal 3 2 3 3 8 2 2" xfId="22566"/>
    <cellStyle name="Normal 3 2 3 3 8 2 2 2" xfId="45153"/>
    <cellStyle name="Normal 3 2 3 3 8 2 3" xfId="12906"/>
    <cellStyle name="Normal 3 2 3 3 8 2 3 2" xfId="35493"/>
    <cellStyle name="Normal 3 2 3 3 8 2 4" xfId="29053"/>
    <cellStyle name="Normal 3 2 3 3 8 3" xfId="19346"/>
    <cellStyle name="Normal 3 2 3 3 8 3 2" xfId="41933"/>
    <cellStyle name="Normal 3 2 3 3 8 4" xfId="16126"/>
    <cellStyle name="Normal 3 2 3 3 8 4 2" xfId="38713"/>
    <cellStyle name="Normal 3 2 3 3 8 5" xfId="9686"/>
    <cellStyle name="Normal 3 2 3 3 8 5 2" xfId="32273"/>
    <cellStyle name="Normal 3 2 3 3 8 6" xfId="25833"/>
    <cellStyle name="Normal 3 2 3 3 9" xfId="531"/>
    <cellStyle name="Normal 3 2 3 3 9 2" xfId="3818"/>
    <cellStyle name="Normal 3 2 3 3 9 2 2" xfId="19918"/>
    <cellStyle name="Normal 3 2 3 3 9 2 2 2" xfId="42505"/>
    <cellStyle name="Normal 3 2 3 3 9 2 3" xfId="10258"/>
    <cellStyle name="Normal 3 2 3 3 9 2 3 2" xfId="32845"/>
    <cellStyle name="Normal 3 2 3 3 9 2 4" xfId="26405"/>
    <cellStyle name="Normal 3 2 3 3 9 3" xfId="16698"/>
    <cellStyle name="Normal 3 2 3 3 9 3 2" xfId="39285"/>
    <cellStyle name="Normal 3 2 3 3 9 4" xfId="13478"/>
    <cellStyle name="Normal 3 2 3 3 9 4 2" xfId="36065"/>
    <cellStyle name="Normal 3 2 3 3 9 5" xfId="7038"/>
    <cellStyle name="Normal 3 2 3 3 9 5 2" xfId="29625"/>
    <cellStyle name="Normal 3 2 3 3 9 6" xfId="23185"/>
    <cellStyle name="Normal 3 2 3 4" xfId="357"/>
    <cellStyle name="Normal 3 2 3 4 10" xfId="16524"/>
    <cellStyle name="Normal 3 2 3 4 10 2" xfId="39111"/>
    <cellStyle name="Normal 3 2 3 4 11" xfId="13304"/>
    <cellStyle name="Normal 3 2 3 4 11 2" xfId="35891"/>
    <cellStyle name="Normal 3 2 3 4 12" xfId="6864"/>
    <cellStyle name="Normal 3 2 3 4 12 2" xfId="29451"/>
    <cellStyle name="Normal 3 2 3 4 13" xfId="23011"/>
    <cellStyle name="Normal 3 2 3 4 2" xfId="956"/>
    <cellStyle name="Normal 3 2 3 4 2 2" xfId="2275"/>
    <cellStyle name="Normal 3 2 3 4 2 2 2" xfId="5496"/>
    <cellStyle name="Normal 3 2 3 4 2 2 2 2" xfId="21596"/>
    <cellStyle name="Normal 3 2 3 4 2 2 2 2 2" xfId="44183"/>
    <cellStyle name="Normal 3 2 3 4 2 2 2 3" xfId="11936"/>
    <cellStyle name="Normal 3 2 3 4 2 2 2 3 2" xfId="34523"/>
    <cellStyle name="Normal 3 2 3 4 2 2 2 4" xfId="28083"/>
    <cellStyle name="Normal 3 2 3 4 2 2 3" xfId="18376"/>
    <cellStyle name="Normal 3 2 3 4 2 2 3 2" xfId="40963"/>
    <cellStyle name="Normal 3 2 3 4 2 2 4" xfId="15156"/>
    <cellStyle name="Normal 3 2 3 4 2 2 4 2" xfId="37743"/>
    <cellStyle name="Normal 3 2 3 4 2 2 5" xfId="8716"/>
    <cellStyle name="Normal 3 2 3 4 2 2 5 2" xfId="31303"/>
    <cellStyle name="Normal 3 2 3 4 2 2 6" xfId="24863"/>
    <cellStyle name="Normal 3 2 3 4 2 3" xfId="4188"/>
    <cellStyle name="Normal 3 2 3 4 2 3 2" xfId="20288"/>
    <cellStyle name="Normal 3 2 3 4 2 3 2 2" xfId="42875"/>
    <cellStyle name="Normal 3 2 3 4 2 3 3" xfId="10628"/>
    <cellStyle name="Normal 3 2 3 4 2 3 3 2" xfId="33215"/>
    <cellStyle name="Normal 3 2 3 4 2 3 4" xfId="26775"/>
    <cellStyle name="Normal 3 2 3 4 2 4" xfId="17068"/>
    <cellStyle name="Normal 3 2 3 4 2 4 2" xfId="39655"/>
    <cellStyle name="Normal 3 2 3 4 2 5" xfId="13848"/>
    <cellStyle name="Normal 3 2 3 4 2 5 2" xfId="36435"/>
    <cellStyle name="Normal 3 2 3 4 2 6" xfId="7408"/>
    <cellStyle name="Normal 3 2 3 4 2 6 2" xfId="29995"/>
    <cellStyle name="Normal 3 2 3 4 2 7" xfId="23555"/>
    <cellStyle name="Normal 3 2 3 4 3" xfId="1308"/>
    <cellStyle name="Normal 3 2 3 4 3 2" xfId="2622"/>
    <cellStyle name="Normal 3 2 3 4 3 2 2" xfId="5843"/>
    <cellStyle name="Normal 3 2 3 4 3 2 2 2" xfId="21943"/>
    <cellStyle name="Normal 3 2 3 4 3 2 2 2 2" xfId="44530"/>
    <cellStyle name="Normal 3 2 3 4 3 2 2 3" xfId="12283"/>
    <cellStyle name="Normal 3 2 3 4 3 2 2 3 2" xfId="34870"/>
    <cellStyle name="Normal 3 2 3 4 3 2 2 4" xfId="28430"/>
    <cellStyle name="Normal 3 2 3 4 3 2 3" xfId="18723"/>
    <cellStyle name="Normal 3 2 3 4 3 2 3 2" xfId="41310"/>
    <cellStyle name="Normal 3 2 3 4 3 2 4" xfId="15503"/>
    <cellStyle name="Normal 3 2 3 4 3 2 4 2" xfId="38090"/>
    <cellStyle name="Normal 3 2 3 4 3 2 5" xfId="9063"/>
    <cellStyle name="Normal 3 2 3 4 3 2 5 2" xfId="31650"/>
    <cellStyle name="Normal 3 2 3 4 3 2 6" xfId="25210"/>
    <cellStyle name="Normal 3 2 3 4 3 3" xfId="4535"/>
    <cellStyle name="Normal 3 2 3 4 3 3 2" xfId="20635"/>
    <cellStyle name="Normal 3 2 3 4 3 3 2 2" xfId="43222"/>
    <cellStyle name="Normal 3 2 3 4 3 3 3" xfId="10975"/>
    <cellStyle name="Normal 3 2 3 4 3 3 3 2" xfId="33562"/>
    <cellStyle name="Normal 3 2 3 4 3 3 4" xfId="27122"/>
    <cellStyle name="Normal 3 2 3 4 3 4" xfId="17415"/>
    <cellStyle name="Normal 3 2 3 4 3 4 2" xfId="40002"/>
    <cellStyle name="Normal 3 2 3 4 3 5" xfId="14195"/>
    <cellStyle name="Normal 3 2 3 4 3 5 2" xfId="36782"/>
    <cellStyle name="Normal 3 2 3 4 3 6" xfId="7755"/>
    <cellStyle name="Normal 3 2 3 4 3 6 2" xfId="30342"/>
    <cellStyle name="Normal 3 2 3 4 3 7" xfId="23902"/>
    <cellStyle name="Normal 3 2 3 4 4" xfId="1652"/>
    <cellStyle name="Normal 3 2 3 4 4 2" xfId="4875"/>
    <cellStyle name="Normal 3 2 3 4 4 2 2" xfId="20975"/>
    <cellStyle name="Normal 3 2 3 4 4 2 2 2" xfId="43562"/>
    <cellStyle name="Normal 3 2 3 4 4 2 3" xfId="11315"/>
    <cellStyle name="Normal 3 2 3 4 4 2 3 2" xfId="33902"/>
    <cellStyle name="Normal 3 2 3 4 4 2 4" xfId="27462"/>
    <cellStyle name="Normal 3 2 3 4 4 3" xfId="17755"/>
    <cellStyle name="Normal 3 2 3 4 4 3 2" xfId="40342"/>
    <cellStyle name="Normal 3 2 3 4 4 4" xfId="14535"/>
    <cellStyle name="Normal 3 2 3 4 4 4 2" xfId="37122"/>
    <cellStyle name="Normal 3 2 3 4 4 5" xfId="8095"/>
    <cellStyle name="Normal 3 2 3 4 4 5 2" xfId="30682"/>
    <cellStyle name="Normal 3 2 3 4 4 6" xfId="24242"/>
    <cellStyle name="Normal 3 2 3 4 5" xfId="1927"/>
    <cellStyle name="Normal 3 2 3 4 5 2" xfId="5149"/>
    <cellStyle name="Normal 3 2 3 4 5 2 2" xfId="21249"/>
    <cellStyle name="Normal 3 2 3 4 5 2 2 2" xfId="43836"/>
    <cellStyle name="Normal 3 2 3 4 5 2 3" xfId="11589"/>
    <cellStyle name="Normal 3 2 3 4 5 2 3 2" xfId="34176"/>
    <cellStyle name="Normal 3 2 3 4 5 2 4" xfId="27736"/>
    <cellStyle name="Normal 3 2 3 4 5 3" xfId="18029"/>
    <cellStyle name="Normal 3 2 3 4 5 3 2" xfId="40616"/>
    <cellStyle name="Normal 3 2 3 4 5 4" xfId="14809"/>
    <cellStyle name="Normal 3 2 3 4 5 4 2" xfId="37396"/>
    <cellStyle name="Normal 3 2 3 4 5 5" xfId="8369"/>
    <cellStyle name="Normal 3 2 3 4 5 5 2" xfId="30956"/>
    <cellStyle name="Normal 3 2 3 4 5 6" xfId="24516"/>
    <cellStyle name="Normal 3 2 3 4 6" xfId="3064"/>
    <cellStyle name="Normal 3 2 3 4 6 2" xfId="6284"/>
    <cellStyle name="Normal 3 2 3 4 6 2 2" xfId="22384"/>
    <cellStyle name="Normal 3 2 3 4 6 2 2 2" xfId="44971"/>
    <cellStyle name="Normal 3 2 3 4 6 2 3" xfId="12724"/>
    <cellStyle name="Normal 3 2 3 4 6 2 3 2" xfId="35311"/>
    <cellStyle name="Normal 3 2 3 4 6 2 4" xfId="28871"/>
    <cellStyle name="Normal 3 2 3 4 6 3" xfId="19164"/>
    <cellStyle name="Normal 3 2 3 4 6 3 2" xfId="41751"/>
    <cellStyle name="Normal 3 2 3 4 6 4" xfId="15944"/>
    <cellStyle name="Normal 3 2 3 4 6 4 2" xfId="38531"/>
    <cellStyle name="Normal 3 2 3 4 6 5" xfId="9504"/>
    <cellStyle name="Normal 3 2 3 4 6 5 2" xfId="32091"/>
    <cellStyle name="Normal 3 2 3 4 6 6" xfId="25651"/>
    <cellStyle name="Normal 3 2 3 4 7" xfId="3354"/>
    <cellStyle name="Normal 3 2 3 4 7 2" xfId="6574"/>
    <cellStyle name="Normal 3 2 3 4 7 2 2" xfId="22674"/>
    <cellStyle name="Normal 3 2 3 4 7 2 2 2" xfId="45261"/>
    <cellStyle name="Normal 3 2 3 4 7 2 3" xfId="13014"/>
    <cellStyle name="Normal 3 2 3 4 7 2 3 2" xfId="35601"/>
    <cellStyle name="Normal 3 2 3 4 7 2 4" xfId="29161"/>
    <cellStyle name="Normal 3 2 3 4 7 3" xfId="19454"/>
    <cellStyle name="Normal 3 2 3 4 7 3 2" xfId="42041"/>
    <cellStyle name="Normal 3 2 3 4 7 4" xfId="16234"/>
    <cellStyle name="Normal 3 2 3 4 7 4 2" xfId="38821"/>
    <cellStyle name="Normal 3 2 3 4 7 5" xfId="9794"/>
    <cellStyle name="Normal 3 2 3 4 7 5 2" xfId="32381"/>
    <cellStyle name="Normal 3 2 3 4 7 6" xfId="25941"/>
    <cellStyle name="Normal 3 2 3 4 8" xfId="560"/>
    <cellStyle name="Normal 3 2 3 4 8 2" xfId="3841"/>
    <cellStyle name="Normal 3 2 3 4 8 2 2" xfId="19941"/>
    <cellStyle name="Normal 3 2 3 4 8 2 2 2" xfId="42528"/>
    <cellStyle name="Normal 3 2 3 4 8 2 3" xfId="10281"/>
    <cellStyle name="Normal 3 2 3 4 8 2 3 2" xfId="32868"/>
    <cellStyle name="Normal 3 2 3 4 8 2 4" xfId="26428"/>
    <cellStyle name="Normal 3 2 3 4 8 3" xfId="16721"/>
    <cellStyle name="Normal 3 2 3 4 8 3 2" xfId="39308"/>
    <cellStyle name="Normal 3 2 3 4 8 4" xfId="13501"/>
    <cellStyle name="Normal 3 2 3 4 8 4 2" xfId="36088"/>
    <cellStyle name="Normal 3 2 3 4 8 5" xfId="7061"/>
    <cellStyle name="Normal 3 2 3 4 8 5 2" xfId="29648"/>
    <cellStyle name="Normal 3 2 3 4 8 6" xfId="23208"/>
    <cellStyle name="Normal 3 2 3 4 9" xfId="3644"/>
    <cellStyle name="Normal 3 2 3 4 9 2" xfId="19744"/>
    <cellStyle name="Normal 3 2 3 4 9 2 2" xfId="42331"/>
    <cellStyle name="Normal 3 2 3 4 9 3" xfId="10084"/>
    <cellStyle name="Normal 3 2 3 4 9 3 2" xfId="32671"/>
    <cellStyle name="Normal 3 2 3 4 9 4" xfId="26231"/>
    <cellStyle name="Normal 3 2 3 5" xfId="786"/>
    <cellStyle name="Normal 3 2 3 5 2" xfId="1138"/>
    <cellStyle name="Normal 3 2 3 5 2 2" xfId="2452"/>
    <cellStyle name="Normal 3 2 3 5 2 2 2" xfId="5673"/>
    <cellStyle name="Normal 3 2 3 5 2 2 2 2" xfId="21773"/>
    <cellStyle name="Normal 3 2 3 5 2 2 2 2 2" xfId="44360"/>
    <cellStyle name="Normal 3 2 3 5 2 2 2 3" xfId="12113"/>
    <cellStyle name="Normal 3 2 3 5 2 2 2 3 2" xfId="34700"/>
    <cellStyle name="Normal 3 2 3 5 2 2 2 4" xfId="28260"/>
    <cellStyle name="Normal 3 2 3 5 2 2 3" xfId="18553"/>
    <cellStyle name="Normal 3 2 3 5 2 2 3 2" xfId="41140"/>
    <cellStyle name="Normal 3 2 3 5 2 2 4" xfId="15333"/>
    <cellStyle name="Normal 3 2 3 5 2 2 4 2" xfId="37920"/>
    <cellStyle name="Normal 3 2 3 5 2 2 5" xfId="8893"/>
    <cellStyle name="Normal 3 2 3 5 2 2 5 2" xfId="31480"/>
    <cellStyle name="Normal 3 2 3 5 2 2 6" xfId="25040"/>
    <cellStyle name="Normal 3 2 3 5 2 3" xfId="4365"/>
    <cellStyle name="Normal 3 2 3 5 2 3 2" xfId="20465"/>
    <cellStyle name="Normal 3 2 3 5 2 3 2 2" xfId="43052"/>
    <cellStyle name="Normal 3 2 3 5 2 3 3" xfId="10805"/>
    <cellStyle name="Normal 3 2 3 5 2 3 3 2" xfId="33392"/>
    <cellStyle name="Normal 3 2 3 5 2 3 4" xfId="26952"/>
    <cellStyle name="Normal 3 2 3 5 2 4" xfId="17245"/>
    <cellStyle name="Normal 3 2 3 5 2 4 2" xfId="39832"/>
    <cellStyle name="Normal 3 2 3 5 2 5" xfId="14025"/>
    <cellStyle name="Normal 3 2 3 5 2 5 2" xfId="36612"/>
    <cellStyle name="Normal 3 2 3 5 2 6" xfId="7585"/>
    <cellStyle name="Normal 3 2 3 5 2 6 2" xfId="30172"/>
    <cellStyle name="Normal 3 2 3 5 2 7" xfId="23732"/>
    <cellStyle name="Normal 3 2 3 5 3" xfId="1485"/>
    <cellStyle name="Normal 3 2 3 5 3 2" xfId="2799"/>
    <cellStyle name="Normal 3 2 3 5 3 2 2" xfId="6020"/>
    <cellStyle name="Normal 3 2 3 5 3 2 2 2" xfId="22120"/>
    <cellStyle name="Normal 3 2 3 5 3 2 2 2 2" xfId="44707"/>
    <cellStyle name="Normal 3 2 3 5 3 2 2 3" xfId="12460"/>
    <cellStyle name="Normal 3 2 3 5 3 2 2 3 2" xfId="35047"/>
    <cellStyle name="Normal 3 2 3 5 3 2 2 4" xfId="28607"/>
    <cellStyle name="Normal 3 2 3 5 3 2 3" xfId="18900"/>
    <cellStyle name="Normal 3 2 3 5 3 2 3 2" xfId="41487"/>
    <cellStyle name="Normal 3 2 3 5 3 2 4" xfId="15680"/>
    <cellStyle name="Normal 3 2 3 5 3 2 4 2" xfId="38267"/>
    <cellStyle name="Normal 3 2 3 5 3 2 5" xfId="9240"/>
    <cellStyle name="Normal 3 2 3 5 3 2 5 2" xfId="31827"/>
    <cellStyle name="Normal 3 2 3 5 3 2 6" xfId="25387"/>
    <cellStyle name="Normal 3 2 3 5 3 3" xfId="4712"/>
    <cellStyle name="Normal 3 2 3 5 3 3 2" xfId="20812"/>
    <cellStyle name="Normal 3 2 3 5 3 3 2 2" xfId="43399"/>
    <cellStyle name="Normal 3 2 3 5 3 3 3" xfId="11152"/>
    <cellStyle name="Normal 3 2 3 5 3 3 3 2" xfId="33739"/>
    <cellStyle name="Normal 3 2 3 5 3 3 4" xfId="27299"/>
    <cellStyle name="Normal 3 2 3 5 3 4" xfId="17592"/>
    <cellStyle name="Normal 3 2 3 5 3 4 2" xfId="40179"/>
    <cellStyle name="Normal 3 2 3 5 3 5" xfId="14372"/>
    <cellStyle name="Normal 3 2 3 5 3 5 2" xfId="36959"/>
    <cellStyle name="Normal 3 2 3 5 3 6" xfId="7932"/>
    <cellStyle name="Normal 3 2 3 5 3 6 2" xfId="30519"/>
    <cellStyle name="Normal 3 2 3 5 3 7" xfId="24079"/>
    <cellStyle name="Normal 3 2 3 5 4" xfId="2105"/>
    <cellStyle name="Normal 3 2 3 5 4 2" xfId="5326"/>
    <cellStyle name="Normal 3 2 3 5 4 2 2" xfId="21426"/>
    <cellStyle name="Normal 3 2 3 5 4 2 2 2" xfId="44013"/>
    <cellStyle name="Normal 3 2 3 5 4 2 3" xfId="11766"/>
    <cellStyle name="Normal 3 2 3 5 4 2 3 2" xfId="34353"/>
    <cellStyle name="Normal 3 2 3 5 4 2 4" xfId="27913"/>
    <cellStyle name="Normal 3 2 3 5 4 3" xfId="18206"/>
    <cellStyle name="Normal 3 2 3 5 4 3 2" xfId="40793"/>
    <cellStyle name="Normal 3 2 3 5 4 4" xfId="14986"/>
    <cellStyle name="Normal 3 2 3 5 4 4 2" xfId="37573"/>
    <cellStyle name="Normal 3 2 3 5 4 5" xfId="8546"/>
    <cellStyle name="Normal 3 2 3 5 4 5 2" xfId="31133"/>
    <cellStyle name="Normal 3 2 3 5 4 6" xfId="24693"/>
    <cellStyle name="Normal 3 2 3 5 5" xfId="4018"/>
    <cellStyle name="Normal 3 2 3 5 5 2" xfId="20118"/>
    <cellStyle name="Normal 3 2 3 5 5 2 2" xfId="42705"/>
    <cellStyle name="Normal 3 2 3 5 5 3" xfId="10458"/>
    <cellStyle name="Normal 3 2 3 5 5 3 2" xfId="33045"/>
    <cellStyle name="Normal 3 2 3 5 5 4" xfId="26605"/>
    <cellStyle name="Normal 3 2 3 5 6" xfId="16898"/>
    <cellStyle name="Normal 3 2 3 5 6 2" xfId="39485"/>
    <cellStyle name="Normal 3 2 3 5 7" xfId="13678"/>
    <cellStyle name="Normal 3 2 3 5 7 2" xfId="36265"/>
    <cellStyle name="Normal 3 2 3 5 8" xfId="7238"/>
    <cellStyle name="Normal 3 2 3 5 8 2" xfId="29825"/>
    <cellStyle name="Normal 3 2 3 5 9" xfId="23385"/>
    <cellStyle name="Normal 3 2 3 6" xfId="856"/>
    <cellStyle name="Normal 3 2 3 6 2" xfId="2175"/>
    <cellStyle name="Normal 3 2 3 6 2 2" xfId="5396"/>
    <cellStyle name="Normal 3 2 3 6 2 2 2" xfId="21496"/>
    <cellStyle name="Normal 3 2 3 6 2 2 2 2" xfId="44083"/>
    <cellStyle name="Normal 3 2 3 6 2 2 3" xfId="11836"/>
    <cellStyle name="Normal 3 2 3 6 2 2 3 2" xfId="34423"/>
    <cellStyle name="Normal 3 2 3 6 2 2 4" xfId="27983"/>
    <cellStyle name="Normal 3 2 3 6 2 3" xfId="18276"/>
    <cellStyle name="Normal 3 2 3 6 2 3 2" xfId="40863"/>
    <cellStyle name="Normal 3 2 3 6 2 4" xfId="15056"/>
    <cellStyle name="Normal 3 2 3 6 2 4 2" xfId="37643"/>
    <cellStyle name="Normal 3 2 3 6 2 5" xfId="8616"/>
    <cellStyle name="Normal 3 2 3 6 2 5 2" xfId="31203"/>
    <cellStyle name="Normal 3 2 3 6 2 6" xfId="24763"/>
    <cellStyle name="Normal 3 2 3 6 3" xfId="4088"/>
    <cellStyle name="Normal 3 2 3 6 3 2" xfId="20188"/>
    <cellStyle name="Normal 3 2 3 6 3 2 2" xfId="42775"/>
    <cellStyle name="Normal 3 2 3 6 3 3" xfId="10528"/>
    <cellStyle name="Normal 3 2 3 6 3 3 2" xfId="33115"/>
    <cellStyle name="Normal 3 2 3 6 3 4" xfId="26675"/>
    <cellStyle name="Normal 3 2 3 6 4" xfId="16968"/>
    <cellStyle name="Normal 3 2 3 6 4 2" xfId="39555"/>
    <cellStyle name="Normal 3 2 3 6 5" xfId="13748"/>
    <cellStyle name="Normal 3 2 3 6 5 2" xfId="36335"/>
    <cellStyle name="Normal 3 2 3 6 6" xfId="7308"/>
    <cellStyle name="Normal 3 2 3 6 6 2" xfId="29895"/>
    <cellStyle name="Normal 3 2 3 6 7" xfId="23455"/>
    <cellStyle name="Normal 3 2 3 7" xfId="1208"/>
    <cellStyle name="Normal 3 2 3 7 2" xfId="2522"/>
    <cellStyle name="Normal 3 2 3 7 2 2" xfId="5743"/>
    <cellStyle name="Normal 3 2 3 7 2 2 2" xfId="21843"/>
    <cellStyle name="Normal 3 2 3 7 2 2 2 2" xfId="44430"/>
    <cellStyle name="Normal 3 2 3 7 2 2 3" xfId="12183"/>
    <cellStyle name="Normal 3 2 3 7 2 2 3 2" xfId="34770"/>
    <cellStyle name="Normal 3 2 3 7 2 2 4" xfId="28330"/>
    <cellStyle name="Normal 3 2 3 7 2 3" xfId="18623"/>
    <cellStyle name="Normal 3 2 3 7 2 3 2" xfId="41210"/>
    <cellStyle name="Normal 3 2 3 7 2 4" xfId="15403"/>
    <cellStyle name="Normal 3 2 3 7 2 4 2" xfId="37990"/>
    <cellStyle name="Normal 3 2 3 7 2 5" xfId="8963"/>
    <cellStyle name="Normal 3 2 3 7 2 5 2" xfId="31550"/>
    <cellStyle name="Normal 3 2 3 7 2 6" xfId="25110"/>
    <cellStyle name="Normal 3 2 3 7 3" xfId="4435"/>
    <cellStyle name="Normal 3 2 3 7 3 2" xfId="20535"/>
    <cellStyle name="Normal 3 2 3 7 3 2 2" xfId="43122"/>
    <cellStyle name="Normal 3 2 3 7 3 3" xfId="10875"/>
    <cellStyle name="Normal 3 2 3 7 3 3 2" xfId="33462"/>
    <cellStyle name="Normal 3 2 3 7 3 4" xfId="27022"/>
    <cellStyle name="Normal 3 2 3 7 4" xfId="17315"/>
    <cellStyle name="Normal 3 2 3 7 4 2" xfId="39902"/>
    <cellStyle name="Normal 3 2 3 7 5" xfId="14095"/>
    <cellStyle name="Normal 3 2 3 7 5 2" xfId="36682"/>
    <cellStyle name="Normal 3 2 3 7 6" xfId="7655"/>
    <cellStyle name="Normal 3 2 3 7 6 2" xfId="30242"/>
    <cellStyle name="Normal 3 2 3 7 7" xfId="23802"/>
    <cellStyle name="Normal 3 2 3 8" xfId="1653"/>
    <cellStyle name="Normal 3 2 3 8 2" xfId="4876"/>
    <cellStyle name="Normal 3 2 3 8 2 2" xfId="20976"/>
    <cellStyle name="Normal 3 2 3 8 2 2 2" xfId="43563"/>
    <cellStyle name="Normal 3 2 3 8 2 3" xfId="11316"/>
    <cellStyle name="Normal 3 2 3 8 2 3 2" xfId="33903"/>
    <cellStyle name="Normal 3 2 3 8 2 4" xfId="27463"/>
    <cellStyle name="Normal 3 2 3 8 3" xfId="17756"/>
    <cellStyle name="Normal 3 2 3 8 3 2" xfId="40343"/>
    <cellStyle name="Normal 3 2 3 8 4" xfId="14536"/>
    <cellStyle name="Normal 3 2 3 8 4 2" xfId="37123"/>
    <cellStyle name="Normal 3 2 3 8 5" xfId="8096"/>
    <cellStyle name="Normal 3 2 3 8 5 2" xfId="30683"/>
    <cellStyle name="Normal 3 2 3 8 6" xfId="24243"/>
    <cellStyle name="Normal 3 2 3 9" xfId="1827"/>
    <cellStyle name="Normal 3 2 3 9 2" xfId="5049"/>
    <cellStyle name="Normal 3 2 3 9 2 2" xfId="21149"/>
    <cellStyle name="Normal 3 2 3 9 2 2 2" xfId="43736"/>
    <cellStyle name="Normal 3 2 3 9 2 3" xfId="11489"/>
    <cellStyle name="Normal 3 2 3 9 2 3 2" xfId="34076"/>
    <cellStyle name="Normal 3 2 3 9 2 4" xfId="27636"/>
    <cellStyle name="Normal 3 2 3 9 3" xfId="17929"/>
    <cellStyle name="Normal 3 2 3 9 3 2" xfId="40516"/>
    <cellStyle name="Normal 3 2 3 9 4" xfId="14709"/>
    <cellStyle name="Normal 3 2 3 9 4 2" xfId="37296"/>
    <cellStyle name="Normal 3 2 3 9 5" xfId="8269"/>
    <cellStyle name="Normal 3 2 3 9 5 2" xfId="30856"/>
    <cellStyle name="Normal 3 2 3 9 6" xfId="24416"/>
    <cellStyle name="Normal 3 2 4" xfId="133"/>
    <cellStyle name="Normal 3 2 4 10" xfId="471"/>
    <cellStyle name="Normal 3 2 4 10 2" xfId="3758"/>
    <cellStyle name="Normal 3 2 4 10 2 2" xfId="19858"/>
    <cellStyle name="Normal 3 2 4 10 2 2 2" xfId="42445"/>
    <cellStyle name="Normal 3 2 4 10 2 3" xfId="10198"/>
    <cellStyle name="Normal 3 2 4 10 2 3 2" xfId="32785"/>
    <cellStyle name="Normal 3 2 4 10 2 4" xfId="26345"/>
    <cellStyle name="Normal 3 2 4 10 3" xfId="16638"/>
    <cellStyle name="Normal 3 2 4 10 3 2" xfId="39225"/>
    <cellStyle name="Normal 3 2 4 10 4" xfId="13418"/>
    <cellStyle name="Normal 3 2 4 10 4 2" xfId="36005"/>
    <cellStyle name="Normal 3 2 4 10 5" xfId="6978"/>
    <cellStyle name="Normal 3 2 4 10 5 2" xfId="29565"/>
    <cellStyle name="Normal 3 2 4 10 6" xfId="23125"/>
    <cellStyle name="Normal 3 2 4 11" xfId="3468"/>
    <cellStyle name="Normal 3 2 4 11 2" xfId="19568"/>
    <cellStyle name="Normal 3 2 4 11 2 2" xfId="42155"/>
    <cellStyle name="Normal 3 2 4 11 3" xfId="9908"/>
    <cellStyle name="Normal 3 2 4 11 3 2" xfId="32495"/>
    <cellStyle name="Normal 3 2 4 11 4" xfId="26055"/>
    <cellStyle name="Normal 3 2 4 12" xfId="16348"/>
    <cellStyle name="Normal 3 2 4 12 2" xfId="38935"/>
    <cellStyle name="Normal 3 2 4 13" xfId="13128"/>
    <cellStyle name="Normal 3 2 4 13 2" xfId="35715"/>
    <cellStyle name="Normal 3 2 4 14" xfId="6688"/>
    <cellStyle name="Normal 3 2 4 14 2" xfId="29275"/>
    <cellStyle name="Normal 3 2 4 15" xfId="22835"/>
    <cellStyle name="Normal 3 2 4 2" xfId="257"/>
    <cellStyle name="Normal 3 2 4 2 10" xfId="16424"/>
    <cellStyle name="Normal 3 2 4 2 10 2" xfId="39011"/>
    <cellStyle name="Normal 3 2 4 2 11" xfId="13204"/>
    <cellStyle name="Normal 3 2 4 2 11 2" xfId="35791"/>
    <cellStyle name="Normal 3 2 4 2 12" xfId="6764"/>
    <cellStyle name="Normal 3 2 4 2 12 2" xfId="29351"/>
    <cellStyle name="Normal 3 2 4 2 13" xfId="22911"/>
    <cellStyle name="Normal 3 2 4 2 2" xfId="997"/>
    <cellStyle name="Normal 3 2 4 2 2 2" xfId="1654"/>
    <cellStyle name="Normal 3 2 4 2 2 2 2" xfId="4877"/>
    <cellStyle name="Normal 3 2 4 2 2 2 2 2" xfId="20977"/>
    <cellStyle name="Normal 3 2 4 2 2 2 2 2 2" xfId="43564"/>
    <cellStyle name="Normal 3 2 4 2 2 2 2 3" xfId="11317"/>
    <cellStyle name="Normal 3 2 4 2 2 2 2 3 2" xfId="33904"/>
    <cellStyle name="Normal 3 2 4 2 2 2 2 4" xfId="27464"/>
    <cellStyle name="Normal 3 2 4 2 2 2 3" xfId="17757"/>
    <cellStyle name="Normal 3 2 4 2 2 2 3 2" xfId="40344"/>
    <cellStyle name="Normal 3 2 4 2 2 2 4" xfId="14537"/>
    <cellStyle name="Normal 3 2 4 2 2 2 4 2" xfId="37124"/>
    <cellStyle name="Normal 3 2 4 2 2 2 5" xfId="8097"/>
    <cellStyle name="Normal 3 2 4 2 2 2 5 2" xfId="30684"/>
    <cellStyle name="Normal 3 2 4 2 2 2 6" xfId="24244"/>
    <cellStyle name="Normal 3 2 4 2 2 3" xfId="2311"/>
    <cellStyle name="Normal 3 2 4 2 2 3 2" xfId="5532"/>
    <cellStyle name="Normal 3 2 4 2 2 3 2 2" xfId="21632"/>
    <cellStyle name="Normal 3 2 4 2 2 3 2 2 2" xfId="44219"/>
    <cellStyle name="Normal 3 2 4 2 2 3 2 3" xfId="11972"/>
    <cellStyle name="Normal 3 2 4 2 2 3 2 3 2" xfId="34559"/>
    <cellStyle name="Normal 3 2 4 2 2 3 2 4" xfId="28119"/>
    <cellStyle name="Normal 3 2 4 2 2 3 3" xfId="18412"/>
    <cellStyle name="Normal 3 2 4 2 2 3 3 2" xfId="40999"/>
    <cellStyle name="Normal 3 2 4 2 2 3 4" xfId="15192"/>
    <cellStyle name="Normal 3 2 4 2 2 3 4 2" xfId="37779"/>
    <cellStyle name="Normal 3 2 4 2 2 3 5" xfId="8752"/>
    <cellStyle name="Normal 3 2 4 2 2 3 5 2" xfId="31339"/>
    <cellStyle name="Normal 3 2 4 2 2 3 6" xfId="24899"/>
    <cellStyle name="Normal 3 2 4 2 2 4" xfId="4224"/>
    <cellStyle name="Normal 3 2 4 2 2 4 2" xfId="20324"/>
    <cellStyle name="Normal 3 2 4 2 2 4 2 2" xfId="42911"/>
    <cellStyle name="Normal 3 2 4 2 2 4 3" xfId="10664"/>
    <cellStyle name="Normal 3 2 4 2 2 4 3 2" xfId="33251"/>
    <cellStyle name="Normal 3 2 4 2 2 4 4" xfId="26811"/>
    <cellStyle name="Normal 3 2 4 2 2 5" xfId="17104"/>
    <cellStyle name="Normal 3 2 4 2 2 5 2" xfId="39691"/>
    <cellStyle name="Normal 3 2 4 2 2 6" xfId="13884"/>
    <cellStyle name="Normal 3 2 4 2 2 6 2" xfId="36471"/>
    <cellStyle name="Normal 3 2 4 2 2 7" xfId="7444"/>
    <cellStyle name="Normal 3 2 4 2 2 7 2" xfId="30031"/>
    <cellStyle name="Normal 3 2 4 2 2 8" xfId="23591"/>
    <cellStyle name="Normal 3 2 4 2 3" xfId="1344"/>
    <cellStyle name="Normal 3 2 4 2 3 2" xfId="2658"/>
    <cellStyle name="Normal 3 2 4 2 3 2 2" xfId="5879"/>
    <cellStyle name="Normal 3 2 4 2 3 2 2 2" xfId="21979"/>
    <cellStyle name="Normal 3 2 4 2 3 2 2 2 2" xfId="44566"/>
    <cellStyle name="Normal 3 2 4 2 3 2 2 3" xfId="12319"/>
    <cellStyle name="Normal 3 2 4 2 3 2 2 3 2" xfId="34906"/>
    <cellStyle name="Normal 3 2 4 2 3 2 2 4" xfId="28466"/>
    <cellStyle name="Normal 3 2 4 2 3 2 3" xfId="18759"/>
    <cellStyle name="Normal 3 2 4 2 3 2 3 2" xfId="41346"/>
    <cellStyle name="Normal 3 2 4 2 3 2 4" xfId="15539"/>
    <cellStyle name="Normal 3 2 4 2 3 2 4 2" xfId="38126"/>
    <cellStyle name="Normal 3 2 4 2 3 2 5" xfId="9099"/>
    <cellStyle name="Normal 3 2 4 2 3 2 5 2" xfId="31686"/>
    <cellStyle name="Normal 3 2 4 2 3 2 6" xfId="25246"/>
    <cellStyle name="Normal 3 2 4 2 3 3" xfId="4571"/>
    <cellStyle name="Normal 3 2 4 2 3 3 2" xfId="20671"/>
    <cellStyle name="Normal 3 2 4 2 3 3 2 2" xfId="43258"/>
    <cellStyle name="Normal 3 2 4 2 3 3 3" xfId="11011"/>
    <cellStyle name="Normal 3 2 4 2 3 3 3 2" xfId="33598"/>
    <cellStyle name="Normal 3 2 4 2 3 3 4" xfId="27158"/>
    <cellStyle name="Normal 3 2 4 2 3 4" xfId="17451"/>
    <cellStyle name="Normal 3 2 4 2 3 4 2" xfId="40038"/>
    <cellStyle name="Normal 3 2 4 2 3 5" xfId="14231"/>
    <cellStyle name="Normal 3 2 4 2 3 5 2" xfId="36818"/>
    <cellStyle name="Normal 3 2 4 2 3 6" xfId="7791"/>
    <cellStyle name="Normal 3 2 4 2 3 6 2" xfId="30378"/>
    <cellStyle name="Normal 3 2 4 2 3 7" xfId="23938"/>
    <cellStyle name="Normal 3 2 4 2 4" xfId="1655"/>
    <cellStyle name="Normal 3 2 4 2 4 2" xfId="4878"/>
    <cellStyle name="Normal 3 2 4 2 4 2 2" xfId="20978"/>
    <cellStyle name="Normal 3 2 4 2 4 2 2 2" xfId="43565"/>
    <cellStyle name="Normal 3 2 4 2 4 2 3" xfId="11318"/>
    <cellStyle name="Normal 3 2 4 2 4 2 3 2" xfId="33905"/>
    <cellStyle name="Normal 3 2 4 2 4 2 4" xfId="27465"/>
    <cellStyle name="Normal 3 2 4 2 4 3" xfId="17758"/>
    <cellStyle name="Normal 3 2 4 2 4 3 2" xfId="40345"/>
    <cellStyle name="Normal 3 2 4 2 4 4" xfId="14538"/>
    <cellStyle name="Normal 3 2 4 2 4 4 2" xfId="37125"/>
    <cellStyle name="Normal 3 2 4 2 4 5" xfId="8098"/>
    <cellStyle name="Normal 3 2 4 2 4 5 2" xfId="30685"/>
    <cellStyle name="Normal 3 2 4 2 4 6" xfId="24245"/>
    <cellStyle name="Normal 3 2 4 2 5" xfId="1963"/>
    <cellStyle name="Normal 3 2 4 2 5 2" xfId="5185"/>
    <cellStyle name="Normal 3 2 4 2 5 2 2" xfId="21285"/>
    <cellStyle name="Normal 3 2 4 2 5 2 2 2" xfId="43872"/>
    <cellStyle name="Normal 3 2 4 2 5 2 3" xfId="11625"/>
    <cellStyle name="Normal 3 2 4 2 5 2 3 2" xfId="34212"/>
    <cellStyle name="Normal 3 2 4 2 5 2 4" xfId="27772"/>
    <cellStyle name="Normal 3 2 4 2 5 3" xfId="18065"/>
    <cellStyle name="Normal 3 2 4 2 5 3 2" xfId="40652"/>
    <cellStyle name="Normal 3 2 4 2 5 4" xfId="14845"/>
    <cellStyle name="Normal 3 2 4 2 5 4 2" xfId="37432"/>
    <cellStyle name="Normal 3 2 4 2 5 5" xfId="8405"/>
    <cellStyle name="Normal 3 2 4 2 5 5 2" xfId="30992"/>
    <cellStyle name="Normal 3 2 4 2 5 6" xfId="24552"/>
    <cellStyle name="Normal 3 2 4 2 6" xfId="2964"/>
    <cellStyle name="Normal 3 2 4 2 6 2" xfId="6184"/>
    <cellStyle name="Normal 3 2 4 2 6 2 2" xfId="22284"/>
    <cellStyle name="Normal 3 2 4 2 6 2 2 2" xfId="44871"/>
    <cellStyle name="Normal 3 2 4 2 6 2 3" xfId="12624"/>
    <cellStyle name="Normal 3 2 4 2 6 2 3 2" xfId="35211"/>
    <cellStyle name="Normal 3 2 4 2 6 2 4" xfId="28771"/>
    <cellStyle name="Normal 3 2 4 2 6 3" xfId="19064"/>
    <cellStyle name="Normal 3 2 4 2 6 3 2" xfId="41651"/>
    <cellStyle name="Normal 3 2 4 2 6 4" xfId="15844"/>
    <cellStyle name="Normal 3 2 4 2 6 4 2" xfId="38431"/>
    <cellStyle name="Normal 3 2 4 2 6 5" xfId="9404"/>
    <cellStyle name="Normal 3 2 4 2 6 5 2" xfId="31991"/>
    <cellStyle name="Normal 3 2 4 2 6 6" xfId="25551"/>
    <cellStyle name="Normal 3 2 4 2 7" xfId="3254"/>
    <cellStyle name="Normal 3 2 4 2 7 2" xfId="6474"/>
    <cellStyle name="Normal 3 2 4 2 7 2 2" xfId="22574"/>
    <cellStyle name="Normal 3 2 4 2 7 2 2 2" xfId="45161"/>
    <cellStyle name="Normal 3 2 4 2 7 2 3" xfId="12914"/>
    <cellStyle name="Normal 3 2 4 2 7 2 3 2" xfId="35501"/>
    <cellStyle name="Normal 3 2 4 2 7 2 4" xfId="29061"/>
    <cellStyle name="Normal 3 2 4 2 7 3" xfId="19354"/>
    <cellStyle name="Normal 3 2 4 2 7 3 2" xfId="41941"/>
    <cellStyle name="Normal 3 2 4 2 7 4" xfId="16134"/>
    <cellStyle name="Normal 3 2 4 2 7 4 2" xfId="38721"/>
    <cellStyle name="Normal 3 2 4 2 7 5" xfId="9694"/>
    <cellStyle name="Normal 3 2 4 2 7 5 2" xfId="32281"/>
    <cellStyle name="Normal 3 2 4 2 7 6" xfId="25841"/>
    <cellStyle name="Normal 3 2 4 2 8" xfId="633"/>
    <cellStyle name="Normal 3 2 4 2 8 2" xfId="3877"/>
    <cellStyle name="Normal 3 2 4 2 8 2 2" xfId="19977"/>
    <cellStyle name="Normal 3 2 4 2 8 2 2 2" xfId="42564"/>
    <cellStyle name="Normal 3 2 4 2 8 2 3" xfId="10317"/>
    <cellStyle name="Normal 3 2 4 2 8 2 3 2" xfId="32904"/>
    <cellStyle name="Normal 3 2 4 2 8 2 4" xfId="26464"/>
    <cellStyle name="Normal 3 2 4 2 8 3" xfId="16757"/>
    <cellStyle name="Normal 3 2 4 2 8 3 2" xfId="39344"/>
    <cellStyle name="Normal 3 2 4 2 8 4" xfId="13537"/>
    <cellStyle name="Normal 3 2 4 2 8 4 2" xfId="36124"/>
    <cellStyle name="Normal 3 2 4 2 8 5" xfId="7097"/>
    <cellStyle name="Normal 3 2 4 2 8 5 2" xfId="29684"/>
    <cellStyle name="Normal 3 2 4 2 8 6" xfId="23244"/>
    <cellStyle name="Normal 3 2 4 2 9" xfId="3544"/>
    <cellStyle name="Normal 3 2 4 2 9 2" xfId="19644"/>
    <cellStyle name="Normal 3 2 4 2 9 2 2" xfId="42231"/>
    <cellStyle name="Normal 3 2 4 2 9 3" xfId="9984"/>
    <cellStyle name="Normal 3 2 4 2 9 3 2" xfId="32571"/>
    <cellStyle name="Normal 3 2 4 2 9 4" xfId="26131"/>
    <cellStyle name="Normal 3 2 4 3" xfId="374"/>
    <cellStyle name="Normal 3 2 4 3 10" xfId="16541"/>
    <cellStyle name="Normal 3 2 4 3 10 2" xfId="39128"/>
    <cellStyle name="Normal 3 2 4 3 11" xfId="13321"/>
    <cellStyle name="Normal 3 2 4 3 11 2" xfId="35908"/>
    <cellStyle name="Normal 3 2 4 3 12" xfId="6881"/>
    <cellStyle name="Normal 3 2 4 3 12 2" xfId="29468"/>
    <cellStyle name="Normal 3 2 4 3 13" xfId="23028"/>
    <cellStyle name="Normal 3 2 4 3 2" xfId="1158"/>
    <cellStyle name="Normal 3 2 4 3 2 2" xfId="2472"/>
    <cellStyle name="Normal 3 2 4 3 2 2 2" xfId="5693"/>
    <cellStyle name="Normal 3 2 4 3 2 2 2 2" xfId="21793"/>
    <cellStyle name="Normal 3 2 4 3 2 2 2 2 2" xfId="44380"/>
    <cellStyle name="Normal 3 2 4 3 2 2 2 3" xfId="12133"/>
    <cellStyle name="Normal 3 2 4 3 2 2 2 3 2" xfId="34720"/>
    <cellStyle name="Normal 3 2 4 3 2 2 2 4" xfId="28280"/>
    <cellStyle name="Normal 3 2 4 3 2 2 3" xfId="18573"/>
    <cellStyle name="Normal 3 2 4 3 2 2 3 2" xfId="41160"/>
    <cellStyle name="Normal 3 2 4 3 2 2 4" xfId="15353"/>
    <cellStyle name="Normal 3 2 4 3 2 2 4 2" xfId="37940"/>
    <cellStyle name="Normal 3 2 4 3 2 2 5" xfId="8913"/>
    <cellStyle name="Normal 3 2 4 3 2 2 5 2" xfId="31500"/>
    <cellStyle name="Normal 3 2 4 3 2 2 6" xfId="25060"/>
    <cellStyle name="Normal 3 2 4 3 2 3" xfId="4385"/>
    <cellStyle name="Normal 3 2 4 3 2 3 2" xfId="20485"/>
    <cellStyle name="Normal 3 2 4 3 2 3 2 2" xfId="43072"/>
    <cellStyle name="Normal 3 2 4 3 2 3 3" xfId="10825"/>
    <cellStyle name="Normal 3 2 4 3 2 3 3 2" xfId="33412"/>
    <cellStyle name="Normal 3 2 4 3 2 3 4" xfId="26972"/>
    <cellStyle name="Normal 3 2 4 3 2 4" xfId="17265"/>
    <cellStyle name="Normal 3 2 4 3 2 4 2" xfId="39852"/>
    <cellStyle name="Normal 3 2 4 3 2 5" xfId="14045"/>
    <cellStyle name="Normal 3 2 4 3 2 5 2" xfId="36632"/>
    <cellStyle name="Normal 3 2 4 3 2 6" xfId="7605"/>
    <cellStyle name="Normal 3 2 4 3 2 6 2" xfId="30192"/>
    <cellStyle name="Normal 3 2 4 3 2 7" xfId="23752"/>
    <cellStyle name="Normal 3 2 4 3 3" xfId="1505"/>
    <cellStyle name="Normal 3 2 4 3 3 2" xfId="2819"/>
    <cellStyle name="Normal 3 2 4 3 3 2 2" xfId="6040"/>
    <cellStyle name="Normal 3 2 4 3 3 2 2 2" xfId="22140"/>
    <cellStyle name="Normal 3 2 4 3 3 2 2 2 2" xfId="44727"/>
    <cellStyle name="Normal 3 2 4 3 3 2 2 3" xfId="12480"/>
    <cellStyle name="Normal 3 2 4 3 3 2 2 3 2" xfId="35067"/>
    <cellStyle name="Normal 3 2 4 3 3 2 2 4" xfId="28627"/>
    <cellStyle name="Normal 3 2 4 3 3 2 3" xfId="18920"/>
    <cellStyle name="Normal 3 2 4 3 3 2 3 2" xfId="41507"/>
    <cellStyle name="Normal 3 2 4 3 3 2 4" xfId="15700"/>
    <cellStyle name="Normal 3 2 4 3 3 2 4 2" xfId="38287"/>
    <cellStyle name="Normal 3 2 4 3 3 2 5" xfId="9260"/>
    <cellStyle name="Normal 3 2 4 3 3 2 5 2" xfId="31847"/>
    <cellStyle name="Normal 3 2 4 3 3 2 6" xfId="25407"/>
    <cellStyle name="Normal 3 2 4 3 3 3" xfId="4732"/>
    <cellStyle name="Normal 3 2 4 3 3 3 2" xfId="20832"/>
    <cellStyle name="Normal 3 2 4 3 3 3 2 2" xfId="43419"/>
    <cellStyle name="Normal 3 2 4 3 3 3 3" xfId="11172"/>
    <cellStyle name="Normal 3 2 4 3 3 3 3 2" xfId="33759"/>
    <cellStyle name="Normal 3 2 4 3 3 3 4" xfId="27319"/>
    <cellStyle name="Normal 3 2 4 3 3 4" xfId="17612"/>
    <cellStyle name="Normal 3 2 4 3 3 4 2" xfId="40199"/>
    <cellStyle name="Normal 3 2 4 3 3 5" xfId="14392"/>
    <cellStyle name="Normal 3 2 4 3 3 5 2" xfId="36979"/>
    <cellStyle name="Normal 3 2 4 3 3 6" xfId="7952"/>
    <cellStyle name="Normal 3 2 4 3 3 6 2" xfId="30539"/>
    <cellStyle name="Normal 3 2 4 3 3 7" xfId="24099"/>
    <cellStyle name="Normal 3 2 4 3 4" xfId="1656"/>
    <cellStyle name="Normal 3 2 4 3 4 2" xfId="4879"/>
    <cellStyle name="Normal 3 2 4 3 4 2 2" xfId="20979"/>
    <cellStyle name="Normal 3 2 4 3 4 2 2 2" xfId="43566"/>
    <cellStyle name="Normal 3 2 4 3 4 2 3" xfId="11319"/>
    <cellStyle name="Normal 3 2 4 3 4 2 3 2" xfId="33906"/>
    <cellStyle name="Normal 3 2 4 3 4 2 4" xfId="27466"/>
    <cellStyle name="Normal 3 2 4 3 4 3" xfId="17759"/>
    <cellStyle name="Normal 3 2 4 3 4 3 2" xfId="40346"/>
    <cellStyle name="Normal 3 2 4 3 4 4" xfId="14539"/>
    <cellStyle name="Normal 3 2 4 3 4 4 2" xfId="37126"/>
    <cellStyle name="Normal 3 2 4 3 4 5" xfId="8099"/>
    <cellStyle name="Normal 3 2 4 3 4 5 2" xfId="30686"/>
    <cellStyle name="Normal 3 2 4 3 4 6" xfId="24246"/>
    <cellStyle name="Normal 3 2 4 3 5" xfId="2125"/>
    <cellStyle name="Normal 3 2 4 3 5 2" xfId="5346"/>
    <cellStyle name="Normal 3 2 4 3 5 2 2" xfId="21446"/>
    <cellStyle name="Normal 3 2 4 3 5 2 2 2" xfId="44033"/>
    <cellStyle name="Normal 3 2 4 3 5 2 3" xfId="11786"/>
    <cellStyle name="Normal 3 2 4 3 5 2 3 2" xfId="34373"/>
    <cellStyle name="Normal 3 2 4 3 5 2 4" xfId="27933"/>
    <cellStyle name="Normal 3 2 4 3 5 3" xfId="18226"/>
    <cellStyle name="Normal 3 2 4 3 5 3 2" xfId="40813"/>
    <cellStyle name="Normal 3 2 4 3 5 4" xfId="15006"/>
    <cellStyle name="Normal 3 2 4 3 5 4 2" xfId="37593"/>
    <cellStyle name="Normal 3 2 4 3 5 5" xfId="8566"/>
    <cellStyle name="Normal 3 2 4 3 5 5 2" xfId="31153"/>
    <cellStyle name="Normal 3 2 4 3 5 6" xfId="24713"/>
    <cellStyle name="Normal 3 2 4 3 6" xfId="3081"/>
    <cellStyle name="Normal 3 2 4 3 6 2" xfId="6301"/>
    <cellStyle name="Normal 3 2 4 3 6 2 2" xfId="22401"/>
    <cellStyle name="Normal 3 2 4 3 6 2 2 2" xfId="44988"/>
    <cellStyle name="Normal 3 2 4 3 6 2 3" xfId="12741"/>
    <cellStyle name="Normal 3 2 4 3 6 2 3 2" xfId="35328"/>
    <cellStyle name="Normal 3 2 4 3 6 2 4" xfId="28888"/>
    <cellStyle name="Normal 3 2 4 3 6 3" xfId="19181"/>
    <cellStyle name="Normal 3 2 4 3 6 3 2" xfId="41768"/>
    <cellStyle name="Normal 3 2 4 3 6 4" xfId="15961"/>
    <cellStyle name="Normal 3 2 4 3 6 4 2" xfId="38548"/>
    <cellStyle name="Normal 3 2 4 3 6 5" xfId="9521"/>
    <cellStyle name="Normal 3 2 4 3 6 5 2" xfId="32108"/>
    <cellStyle name="Normal 3 2 4 3 6 6" xfId="25668"/>
    <cellStyle name="Normal 3 2 4 3 7" xfId="3371"/>
    <cellStyle name="Normal 3 2 4 3 7 2" xfId="6591"/>
    <cellStyle name="Normal 3 2 4 3 7 2 2" xfId="22691"/>
    <cellStyle name="Normal 3 2 4 3 7 2 2 2" xfId="45278"/>
    <cellStyle name="Normal 3 2 4 3 7 2 3" xfId="13031"/>
    <cellStyle name="Normal 3 2 4 3 7 2 3 2" xfId="35618"/>
    <cellStyle name="Normal 3 2 4 3 7 2 4" xfId="29178"/>
    <cellStyle name="Normal 3 2 4 3 7 3" xfId="19471"/>
    <cellStyle name="Normal 3 2 4 3 7 3 2" xfId="42058"/>
    <cellStyle name="Normal 3 2 4 3 7 4" xfId="16251"/>
    <cellStyle name="Normal 3 2 4 3 7 4 2" xfId="38838"/>
    <cellStyle name="Normal 3 2 4 3 7 5" xfId="9811"/>
    <cellStyle name="Normal 3 2 4 3 7 5 2" xfId="32398"/>
    <cellStyle name="Normal 3 2 4 3 7 6" xfId="25958"/>
    <cellStyle name="Normal 3 2 4 3 8" xfId="806"/>
    <cellStyle name="Normal 3 2 4 3 8 2" xfId="4038"/>
    <cellStyle name="Normal 3 2 4 3 8 2 2" xfId="20138"/>
    <cellStyle name="Normal 3 2 4 3 8 2 2 2" xfId="42725"/>
    <cellStyle name="Normal 3 2 4 3 8 2 3" xfId="10478"/>
    <cellStyle name="Normal 3 2 4 3 8 2 3 2" xfId="33065"/>
    <cellStyle name="Normal 3 2 4 3 8 2 4" xfId="26625"/>
    <cellStyle name="Normal 3 2 4 3 8 3" xfId="16918"/>
    <cellStyle name="Normal 3 2 4 3 8 3 2" xfId="39505"/>
    <cellStyle name="Normal 3 2 4 3 8 4" xfId="13698"/>
    <cellStyle name="Normal 3 2 4 3 8 4 2" xfId="36285"/>
    <cellStyle name="Normal 3 2 4 3 8 5" xfId="7258"/>
    <cellStyle name="Normal 3 2 4 3 8 5 2" xfId="29845"/>
    <cellStyle name="Normal 3 2 4 3 8 6" xfId="23405"/>
    <cellStyle name="Normal 3 2 4 3 9" xfId="3661"/>
    <cellStyle name="Normal 3 2 4 3 9 2" xfId="19761"/>
    <cellStyle name="Normal 3 2 4 3 9 2 2" xfId="42348"/>
    <cellStyle name="Normal 3 2 4 3 9 3" xfId="10101"/>
    <cellStyle name="Normal 3 2 4 3 9 3 2" xfId="32688"/>
    <cellStyle name="Normal 3 2 4 3 9 4" xfId="26248"/>
    <cellStyle name="Normal 3 2 4 4" xfId="873"/>
    <cellStyle name="Normal 3 2 4 4 2" xfId="1657"/>
    <cellStyle name="Normal 3 2 4 4 2 2" xfId="4880"/>
    <cellStyle name="Normal 3 2 4 4 2 2 2" xfId="20980"/>
    <cellStyle name="Normal 3 2 4 4 2 2 2 2" xfId="43567"/>
    <cellStyle name="Normal 3 2 4 4 2 2 3" xfId="11320"/>
    <cellStyle name="Normal 3 2 4 4 2 2 3 2" xfId="33907"/>
    <cellStyle name="Normal 3 2 4 4 2 2 4" xfId="27467"/>
    <cellStyle name="Normal 3 2 4 4 2 3" xfId="17760"/>
    <cellStyle name="Normal 3 2 4 4 2 3 2" xfId="40347"/>
    <cellStyle name="Normal 3 2 4 4 2 4" xfId="14540"/>
    <cellStyle name="Normal 3 2 4 4 2 4 2" xfId="37127"/>
    <cellStyle name="Normal 3 2 4 4 2 5" xfId="8100"/>
    <cellStyle name="Normal 3 2 4 4 2 5 2" xfId="30687"/>
    <cellStyle name="Normal 3 2 4 4 2 6" xfId="24247"/>
    <cellStyle name="Normal 3 2 4 4 3" xfId="2192"/>
    <cellStyle name="Normal 3 2 4 4 3 2" xfId="5413"/>
    <cellStyle name="Normal 3 2 4 4 3 2 2" xfId="21513"/>
    <cellStyle name="Normal 3 2 4 4 3 2 2 2" xfId="44100"/>
    <cellStyle name="Normal 3 2 4 4 3 2 3" xfId="11853"/>
    <cellStyle name="Normal 3 2 4 4 3 2 3 2" xfId="34440"/>
    <cellStyle name="Normal 3 2 4 4 3 2 4" xfId="28000"/>
    <cellStyle name="Normal 3 2 4 4 3 3" xfId="18293"/>
    <cellStyle name="Normal 3 2 4 4 3 3 2" xfId="40880"/>
    <cellStyle name="Normal 3 2 4 4 3 4" xfId="15073"/>
    <cellStyle name="Normal 3 2 4 4 3 4 2" xfId="37660"/>
    <cellStyle name="Normal 3 2 4 4 3 5" xfId="8633"/>
    <cellStyle name="Normal 3 2 4 4 3 5 2" xfId="31220"/>
    <cellStyle name="Normal 3 2 4 4 3 6" xfId="24780"/>
    <cellStyle name="Normal 3 2 4 4 4" xfId="4105"/>
    <cellStyle name="Normal 3 2 4 4 4 2" xfId="20205"/>
    <cellStyle name="Normal 3 2 4 4 4 2 2" xfId="42792"/>
    <cellStyle name="Normal 3 2 4 4 4 3" xfId="10545"/>
    <cellStyle name="Normal 3 2 4 4 4 3 2" xfId="33132"/>
    <cellStyle name="Normal 3 2 4 4 4 4" xfId="26692"/>
    <cellStyle name="Normal 3 2 4 4 5" xfId="16985"/>
    <cellStyle name="Normal 3 2 4 4 5 2" xfId="39572"/>
    <cellStyle name="Normal 3 2 4 4 6" xfId="13765"/>
    <cellStyle name="Normal 3 2 4 4 6 2" xfId="36352"/>
    <cellStyle name="Normal 3 2 4 4 7" xfId="7325"/>
    <cellStyle name="Normal 3 2 4 4 7 2" xfId="29912"/>
    <cellStyle name="Normal 3 2 4 4 8" xfId="23472"/>
    <cellStyle name="Normal 3 2 4 5" xfId="1225"/>
    <cellStyle name="Normal 3 2 4 5 2" xfId="2539"/>
    <cellStyle name="Normal 3 2 4 5 2 2" xfId="5760"/>
    <cellStyle name="Normal 3 2 4 5 2 2 2" xfId="21860"/>
    <cellStyle name="Normal 3 2 4 5 2 2 2 2" xfId="44447"/>
    <cellStyle name="Normal 3 2 4 5 2 2 3" xfId="12200"/>
    <cellStyle name="Normal 3 2 4 5 2 2 3 2" xfId="34787"/>
    <cellStyle name="Normal 3 2 4 5 2 2 4" xfId="28347"/>
    <cellStyle name="Normal 3 2 4 5 2 3" xfId="18640"/>
    <cellStyle name="Normal 3 2 4 5 2 3 2" xfId="41227"/>
    <cellStyle name="Normal 3 2 4 5 2 4" xfId="15420"/>
    <cellStyle name="Normal 3 2 4 5 2 4 2" xfId="38007"/>
    <cellStyle name="Normal 3 2 4 5 2 5" xfId="8980"/>
    <cellStyle name="Normal 3 2 4 5 2 5 2" xfId="31567"/>
    <cellStyle name="Normal 3 2 4 5 2 6" xfId="25127"/>
    <cellStyle name="Normal 3 2 4 5 3" xfId="4452"/>
    <cellStyle name="Normal 3 2 4 5 3 2" xfId="20552"/>
    <cellStyle name="Normal 3 2 4 5 3 2 2" xfId="43139"/>
    <cellStyle name="Normal 3 2 4 5 3 3" xfId="10892"/>
    <cellStyle name="Normal 3 2 4 5 3 3 2" xfId="33479"/>
    <cellStyle name="Normal 3 2 4 5 3 4" xfId="27039"/>
    <cellStyle name="Normal 3 2 4 5 4" xfId="17332"/>
    <cellStyle name="Normal 3 2 4 5 4 2" xfId="39919"/>
    <cellStyle name="Normal 3 2 4 5 5" xfId="14112"/>
    <cellStyle name="Normal 3 2 4 5 5 2" xfId="36699"/>
    <cellStyle name="Normal 3 2 4 5 6" xfId="7672"/>
    <cellStyle name="Normal 3 2 4 5 6 2" xfId="30259"/>
    <cellStyle name="Normal 3 2 4 5 7" xfId="23819"/>
    <cellStyle name="Normal 3 2 4 6" xfId="1658"/>
    <cellStyle name="Normal 3 2 4 6 2" xfId="4881"/>
    <cellStyle name="Normal 3 2 4 6 2 2" xfId="20981"/>
    <cellStyle name="Normal 3 2 4 6 2 2 2" xfId="43568"/>
    <cellStyle name="Normal 3 2 4 6 2 3" xfId="11321"/>
    <cellStyle name="Normal 3 2 4 6 2 3 2" xfId="33908"/>
    <cellStyle name="Normal 3 2 4 6 2 4" xfId="27468"/>
    <cellStyle name="Normal 3 2 4 6 3" xfId="17761"/>
    <cellStyle name="Normal 3 2 4 6 3 2" xfId="40348"/>
    <cellStyle name="Normal 3 2 4 6 4" xfId="14541"/>
    <cellStyle name="Normal 3 2 4 6 4 2" xfId="37128"/>
    <cellStyle name="Normal 3 2 4 6 5" xfId="8101"/>
    <cellStyle name="Normal 3 2 4 6 5 2" xfId="30688"/>
    <cellStyle name="Normal 3 2 4 6 6" xfId="24248"/>
    <cellStyle name="Normal 3 2 4 7" xfId="1844"/>
    <cellStyle name="Normal 3 2 4 7 2" xfId="5066"/>
    <cellStyle name="Normal 3 2 4 7 2 2" xfId="21166"/>
    <cellStyle name="Normal 3 2 4 7 2 2 2" xfId="43753"/>
    <cellStyle name="Normal 3 2 4 7 2 3" xfId="11506"/>
    <cellStyle name="Normal 3 2 4 7 2 3 2" xfId="34093"/>
    <cellStyle name="Normal 3 2 4 7 2 4" xfId="27653"/>
    <cellStyle name="Normal 3 2 4 7 3" xfId="17946"/>
    <cellStyle name="Normal 3 2 4 7 3 2" xfId="40533"/>
    <cellStyle name="Normal 3 2 4 7 4" xfId="14726"/>
    <cellStyle name="Normal 3 2 4 7 4 2" xfId="37313"/>
    <cellStyle name="Normal 3 2 4 7 5" xfId="8286"/>
    <cellStyle name="Normal 3 2 4 7 5 2" xfId="30873"/>
    <cellStyle name="Normal 3 2 4 7 6" xfId="24433"/>
    <cellStyle name="Normal 3 2 4 8" xfId="2887"/>
    <cellStyle name="Normal 3 2 4 8 2" xfId="6108"/>
    <cellStyle name="Normal 3 2 4 8 2 2" xfId="22208"/>
    <cellStyle name="Normal 3 2 4 8 2 2 2" xfId="44795"/>
    <cellStyle name="Normal 3 2 4 8 2 3" xfId="12548"/>
    <cellStyle name="Normal 3 2 4 8 2 3 2" xfId="35135"/>
    <cellStyle name="Normal 3 2 4 8 2 4" xfId="28695"/>
    <cellStyle name="Normal 3 2 4 8 3" xfId="18988"/>
    <cellStyle name="Normal 3 2 4 8 3 2" xfId="41575"/>
    <cellStyle name="Normal 3 2 4 8 4" xfId="15768"/>
    <cellStyle name="Normal 3 2 4 8 4 2" xfId="38355"/>
    <cellStyle name="Normal 3 2 4 8 5" xfId="9328"/>
    <cellStyle name="Normal 3 2 4 8 5 2" xfId="31915"/>
    <cellStyle name="Normal 3 2 4 8 6" xfId="25475"/>
    <cellStyle name="Normal 3 2 4 9" xfId="3178"/>
    <cellStyle name="Normal 3 2 4 9 2" xfId="6398"/>
    <cellStyle name="Normal 3 2 4 9 2 2" xfId="22498"/>
    <cellStyle name="Normal 3 2 4 9 2 2 2" xfId="45085"/>
    <cellStyle name="Normal 3 2 4 9 2 3" xfId="12838"/>
    <cellStyle name="Normal 3 2 4 9 2 3 2" xfId="35425"/>
    <cellStyle name="Normal 3 2 4 9 2 4" xfId="28985"/>
    <cellStyle name="Normal 3 2 4 9 3" xfId="19278"/>
    <cellStyle name="Normal 3 2 4 9 3 2" xfId="41865"/>
    <cellStyle name="Normal 3 2 4 9 4" xfId="16058"/>
    <cellStyle name="Normal 3 2 4 9 4 2" xfId="38645"/>
    <cellStyle name="Normal 3 2 4 9 5" xfId="9618"/>
    <cellStyle name="Normal 3 2 4 9 5 2" xfId="32205"/>
    <cellStyle name="Normal 3 2 4 9 6" xfId="25765"/>
    <cellStyle name="Normal 3 2 5" xfId="224"/>
    <cellStyle name="Normal 3 2 5 10" xfId="511"/>
    <cellStyle name="Normal 3 2 5 10 2" xfId="3798"/>
    <cellStyle name="Normal 3 2 5 10 2 2" xfId="19898"/>
    <cellStyle name="Normal 3 2 5 10 2 2 2" xfId="42485"/>
    <cellStyle name="Normal 3 2 5 10 2 3" xfId="10238"/>
    <cellStyle name="Normal 3 2 5 10 2 3 2" xfId="32825"/>
    <cellStyle name="Normal 3 2 5 10 2 4" xfId="26385"/>
    <cellStyle name="Normal 3 2 5 10 3" xfId="16678"/>
    <cellStyle name="Normal 3 2 5 10 3 2" xfId="39265"/>
    <cellStyle name="Normal 3 2 5 10 4" xfId="13458"/>
    <cellStyle name="Normal 3 2 5 10 4 2" xfId="36045"/>
    <cellStyle name="Normal 3 2 5 10 5" xfId="7018"/>
    <cellStyle name="Normal 3 2 5 10 5 2" xfId="29605"/>
    <cellStyle name="Normal 3 2 5 10 6" xfId="23165"/>
    <cellStyle name="Normal 3 2 5 11" xfId="3512"/>
    <cellStyle name="Normal 3 2 5 11 2" xfId="19612"/>
    <cellStyle name="Normal 3 2 5 11 2 2" xfId="42199"/>
    <cellStyle name="Normal 3 2 5 11 3" xfId="9952"/>
    <cellStyle name="Normal 3 2 5 11 3 2" xfId="32539"/>
    <cellStyle name="Normal 3 2 5 11 4" xfId="26099"/>
    <cellStyle name="Normal 3 2 5 12" xfId="16392"/>
    <cellStyle name="Normal 3 2 5 12 2" xfId="38979"/>
    <cellStyle name="Normal 3 2 5 13" xfId="13172"/>
    <cellStyle name="Normal 3 2 5 13 2" xfId="35759"/>
    <cellStyle name="Normal 3 2 5 14" xfId="6732"/>
    <cellStyle name="Normal 3 2 5 14 2" xfId="29319"/>
    <cellStyle name="Normal 3 2 5 15" xfId="22879"/>
    <cellStyle name="Normal 3 2 5 2" xfId="322"/>
    <cellStyle name="Normal 3 2 5 2 10" xfId="16489"/>
    <cellStyle name="Normal 3 2 5 2 10 2" xfId="39076"/>
    <cellStyle name="Normal 3 2 5 2 11" xfId="13269"/>
    <cellStyle name="Normal 3 2 5 2 11 2" xfId="35856"/>
    <cellStyle name="Normal 3 2 5 2 12" xfId="6829"/>
    <cellStyle name="Normal 3 2 5 2 12 2" xfId="29416"/>
    <cellStyle name="Normal 3 2 5 2 13" xfId="22976"/>
    <cellStyle name="Normal 3 2 5 2 2" xfId="1034"/>
    <cellStyle name="Normal 3 2 5 2 2 2" xfId="2348"/>
    <cellStyle name="Normal 3 2 5 2 2 2 2" xfId="5569"/>
    <cellStyle name="Normal 3 2 5 2 2 2 2 2" xfId="21669"/>
    <cellStyle name="Normal 3 2 5 2 2 2 2 2 2" xfId="44256"/>
    <cellStyle name="Normal 3 2 5 2 2 2 2 3" xfId="12009"/>
    <cellStyle name="Normal 3 2 5 2 2 2 2 3 2" xfId="34596"/>
    <cellStyle name="Normal 3 2 5 2 2 2 2 4" xfId="28156"/>
    <cellStyle name="Normal 3 2 5 2 2 2 3" xfId="18449"/>
    <cellStyle name="Normal 3 2 5 2 2 2 3 2" xfId="41036"/>
    <cellStyle name="Normal 3 2 5 2 2 2 4" xfId="15229"/>
    <cellStyle name="Normal 3 2 5 2 2 2 4 2" xfId="37816"/>
    <cellStyle name="Normal 3 2 5 2 2 2 5" xfId="8789"/>
    <cellStyle name="Normal 3 2 5 2 2 2 5 2" xfId="31376"/>
    <cellStyle name="Normal 3 2 5 2 2 2 6" xfId="24936"/>
    <cellStyle name="Normal 3 2 5 2 2 3" xfId="4261"/>
    <cellStyle name="Normal 3 2 5 2 2 3 2" xfId="20361"/>
    <cellStyle name="Normal 3 2 5 2 2 3 2 2" xfId="42948"/>
    <cellStyle name="Normal 3 2 5 2 2 3 3" xfId="10701"/>
    <cellStyle name="Normal 3 2 5 2 2 3 3 2" xfId="33288"/>
    <cellStyle name="Normal 3 2 5 2 2 3 4" xfId="26848"/>
    <cellStyle name="Normal 3 2 5 2 2 4" xfId="17141"/>
    <cellStyle name="Normal 3 2 5 2 2 4 2" xfId="39728"/>
    <cellStyle name="Normal 3 2 5 2 2 5" xfId="13921"/>
    <cellStyle name="Normal 3 2 5 2 2 5 2" xfId="36508"/>
    <cellStyle name="Normal 3 2 5 2 2 6" xfId="7481"/>
    <cellStyle name="Normal 3 2 5 2 2 6 2" xfId="30068"/>
    <cellStyle name="Normal 3 2 5 2 2 7" xfId="23628"/>
    <cellStyle name="Normal 3 2 5 2 3" xfId="1381"/>
    <cellStyle name="Normal 3 2 5 2 3 2" xfId="2695"/>
    <cellStyle name="Normal 3 2 5 2 3 2 2" xfId="5916"/>
    <cellStyle name="Normal 3 2 5 2 3 2 2 2" xfId="22016"/>
    <cellStyle name="Normal 3 2 5 2 3 2 2 2 2" xfId="44603"/>
    <cellStyle name="Normal 3 2 5 2 3 2 2 3" xfId="12356"/>
    <cellStyle name="Normal 3 2 5 2 3 2 2 3 2" xfId="34943"/>
    <cellStyle name="Normal 3 2 5 2 3 2 2 4" xfId="28503"/>
    <cellStyle name="Normal 3 2 5 2 3 2 3" xfId="18796"/>
    <cellStyle name="Normal 3 2 5 2 3 2 3 2" xfId="41383"/>
    <cellStyle name="Normal 3 2 5 2 3 2 4" xfId="15576"/>
    <cellStyle name="Normal 3 2 5 2 3 2 4 2" xfId="38163"/>
    <cellStyle name="Normal 3 2 5 2 3 2 5" xfId="9136"/>
    <cellStyle name="Normal 3 2 5 2 3 2 5 2" xfId="31723"/>
    <cellStyle name="Normal 3 2 5 2 3 2 6" xfId="25283"/>
    <cellStyle name="Normal 3 2 5 2 3 3" xfId="4608"/>
    <cellStyle name="Normal 3 2 5 2 3 3 2" xfId="20708"/>
    <cellStyle name="Normal 3 2 5 2 3 3 2 2" xfId="43295"/>
    <cellStyle name="Normal 3 2 5 2 3 3 3" xfId="11048"/>
    <cellStyle name="Normal 3 2 5 2 3 3 3 2" xfId="33635"/>
    <cellStyle name="Normal 3 2 5 2 3 3 4" xfId="27195"/>
    <cellStyle name="Normal 3 2 5 2 3 4" xfId="17488"/>
    <cellStyle name="Normal 3 2 5 2 3 4 2" xfId="40075"/>
    <cellStyle name="Normal 3 2 5 2 3 5" xfId="14268"/>
    <cellStyle name="Normal 3 2 5 2 3 5 2" xfId="36855"/>
    <cellStyle name="Normal 3 2 5 2 3 6" xfId="7828"/>
    <cellStyle name="Normal 3 2 5 2 3 6 2" xfId="30415"/>
    <cellStyle name="Normal 3 2 5 2 3 7" xfId="23975"/>
    <cellStyle name="Normal 3 2 5 2 4" xfId="1659"/>
    <cellStyle name="Normal 3 2 5 2 4 2" xfId="4882"/>
    <cellStyle name="Normal 3 2 5 2 4 2 2" xfId="20982"/>
    <cellStyle name="Normal 3 2 5 2 4 2 2 2" xfId="43569"/>
    <cellStyle name="Normal 3 2 5 2 4 2 3" xfId="11322"/>
    <cellStyle name="Normal 3 2 5 2 4 2 3 2" xfId="33909"/>
    <cellStyle name="Normal 3 2 5 2 4 2 4" xfId="27469"/>
    <cellStyle name="Normal 3 2 5 2 4 3" xfId="17762"/>
    <cellStyle name="Normal 3 2 5 2 4 3 2" xfId="40349"/>
    <cellStyle name="Normal 3 2 5 2 4 4" xfId="14542"/>
    <cellStyle name="Normal 3 2 5 2 4 4 2" xfId="37129"/>
    <cellStyle name="Normal 3 2 5 2 4 5" xfId="8102"/>
    <cellStyle name="Normal 3 2 5 2 4 5 2" xfId="30689"/>
    <cellStyle name="Normal 3 2 5 2 4 6" xfId="24249"/>
    <cellStyle name="Normal 3 2 5 2 5" xfId="2000"/>
    <cellStyle name="Normal 3 2 5 2 5 2" xfId="5222"/>
    <cellStyle name="Normal 3 2 5 2 5 2 2" xfId="21322"/>
    <cellStyle name="Normal 3 2 5 2 5 2 2 2" xfId="43909"/>
    <cellStyle name="Normal 3 2 5 2 5 2 3" xfId="11662"/>
    <cellStyle name="Normal 3 2 5 2 5 2 3 2" xfId="34249"/>
    <cellStyle name="Normal 3 2 5 2 5 2 4" xfId="27809"/>
    <cellStyle name="Normal 3 2 5 2 5 3" xfId="18102"/>
    <cellStyle name="Normal 3 2 5 2 5 3 2" xfId="40689"/>
    <cellStyle name="Normal 3 2 5 2 5 4" xfId="14882"/>
    <cellStyle name="Normal 3 2 5 2 5 4 2" xfId="37469"/>
    <cellStyle name="Normal 3 2 5 2 5 5" xfId="8442"/>
    <cellStyle name="Normal 3 2 5 2 5 5 2" xfId="31029"/>
    <cellStyle name="Normal 3 2 5 2 5 6" xfId="24589"/>
    <cellStyle name="Normal 3 2 5 2 6" xfId="3029"/>
    <cellStyle name="Normal 3 2 5 2 6 2" xfId="6249"/>
    <cellStyle name="Normal 3 2 5 2 6 2 2" xfId="22349"/>
    <cellStyle name="Normal 3 2 5 2 6 2 2 2" xfId="44936"/>
    <cellStyle name="Normal 3 2 5 2 6 2 3" xfId="12689"/>
    <cellStyle name="Normal 3 2 5 2 6 2 3 2" xfId="35276"/>
    <cellStyle name="Normal 3 2 5 2 6 2 4" xfId="28836"/>
    <cellStyle name="Normal 3 2 5 2 6 3" xfId="19129"/>
    <cellStyle name="Normal 3 2 5 2 6 3 2" xfId="41716"/>
    <cellStyle name="Normal 3 2 5 2 6 4" xfId="15909"/>
    <cellStyle name="Normal 3 2 5 2 6 4 2" xfId="38496"/>
    <cellStyle name="Normal 3 2 5 2 6 5" xfId="9469"/>
    <cellStyle name="Normal 3 2 5 2 6 5 2" xfId="32056"/>
    <cellStyle name="Normal 3 2 5 2 6 6" xfId="25616"/>
    <cellStyle name="Normal 3 2 5 2 7" xfId="3319"/>
    <cellStyle name="Normal 3 2 5 2 7 2" xfId="6539"/>
    <cellStyle name="Normal 3 2 5 2 7 2 2" xfId="22639"/>
    <cellStyle name="Normal 3 2 5 2 7 2 2 2" xfId="45226"/>
    <cellStyle name="Normal 3 2 5 2 7 2 3" xfId="12979"/>
    <cellStyle name="Normal 3 2 5 2 7 2 3 2" xfId="35566"/>
    <cellStyle name="Normal 3 2 5 2 7 2 4" xfId="29126"/>
    <cellStyle name="Normal 3 2 5 2 7 3" xfId="19419"/>
    <cellStyle name="Normal 3 2 5 2 7 3 2" xfId="42006"/>
    <cellStyle name="Normal 3 2 5 2 7 4" xfId="16199"/>
    <cellStyle name="Normal 3 2 5 2 7 4 2" xfId="38786"/>
    <cellStyle name="Normal 3 2 5 2 7 5" xfId="9759"/>
    <cellStyle name="Normal 3 2 5 2 7 5 2" xfId="32346"/>
    <cellStyle name="Normal 3 2 5 2 7 6" xfId="25906"/>
    <cellStyle name="Normal 3 2 5 2 8" xfId="670"/>
    <cellStyle name="Normal 3 2 5 2 8 2" xfId="3914"/>
    <cellStyle name="Normal 3 2 5 2 8 2 2" xfId="20014"/>
    <cellStyle name="Normal 3 2 5 2 8 2 2 2" xfId="42601"/>
    <cellStyle name="Normal 3 2 5 2 8 2 3" xfId="10354"/>
    <cellStyle name="Normal 3 2 5 2 8 2 3 2" xfId="32941"/>
    <cellStyle name="Normal 3 2 5 2 8 2 4" xfId="26501"/>
    <cellStyle name="Normal 3 2 5 2 8 3" xfId="16794"/>
    <cellStyle name="Normal 3 2 5 2 8 3 2" xfId="39381"/>
    <cellStyle name="Normal 3 2 5 2 8 4" xfId="13574"/>
    <cellStyle name="Normal 3 2 5 2 8 4 2" xfId="36161"/>
    <cellStyle name="Normal 3 2 5 2 8 5" xfId="7134"/>
    <cellStyle name="Normal 3 2 5 2 8 5 2" xfId="29721"/>
    <cellStyle name="Normal 3 2 5 2 8 6" xfId="23281"/>
    <cellStyle name="Normal 3 2 5 2 9" xfId="3609"/>
    <cellStyle name="Normal 3 2 5 2 9 2" xfId="19709"/>
    <cellStyle name="Normal 3 2 5 2 9 2 2" xfId="42296"/>
    <cellStyle name="Normal 3 2 5 2 9 3" xfId="10049"/>
    <cellStyle name="Normal 3 2 5 2 9 3 2" xfId="32636"/>
    <cellStyle name="Normal 3 2 5 2 9 4" xfId="26196"/>
    <cellStyle name="Normal 3 2 5 3" xfId="418"/>
    <cellStyle name="Normal 3 2 5 3 10" xfId="16585"/>
    <cellStyle name="Normal 3 2 5 3 10 2" xfId="39172"/>
    <cellStyle name="Normal 3 2 5 3 11" xfId="13365"/>
    <cellStyle name="Normal 3 2 5 3 11 2" xfId="35952"/>
    <cellStyle name="Normal 3 2 5 3 12" xfId="6925"/>
    <cellStyle name="Normal 3 2 5 3 12 2" xfId="29512"/>
    <cellStyle name="Normal 3 2 5 3 13" xfId="23072"/>
    <cellStyle name="Normal 3 2 5 3 2" xfId="1118"/>
    <cellStyle name="Normal 3 2 5 3 2 2" xfId="2432"/>
    <cellStyle name="Normal 3 2 5 3 2 2 2" xfId="5653"/>
    <cellStyle name="Normal 3 2 5 3 2 2 2 2" xfId="21753"/>
    <cellStyle name="Normal 3 2 5 3 2 2 2 2 2" xfId="44340"/>
    <cellStyle name="Normal 3 2 5 3 2 2 2 3" xfId="12093"/>
    <cellStyle name="Normal 3 2 5 3 2 2 2 3 2" xfId="34680"/>
    <cellStyle name="Normal 3 2 5 3 2 2 2 4" xfId="28240"/>
    <cellStyle name="Normal 3 2 5 3 2 2 3" xfId="18533"/>
    <cellStyle name="Normal 3 2 5 3 2 2 3 2" xfId="41120"/>
    <cellStyle name="Normal 3 2 5 3 2 2 4" xfId="15313"/>
    <cellStyle name="Normal 3 2 5 3 2 2 4 2" xfId="37900"/>
    <cellStyle name="Normal 3 2 5 3 2 2 5" xfId="8873"/>
    <cellStyle name="Normal 3 2 5 3 2 2 5 2" xfId="31460"/>
    <cellStyle name="Normal 3 2 5 3 2 2 6" xfId="25020"/>
    <cellStyle name="Normal 3 2 5 3 2 3" xfId="4345"/>
    <cellStyle name="Normal 3 2 5 3 2 3 2" xfId="20445"/>
    <cellStyle name="Normal 3 2 5 3 2 3 2 2" xfId="43032"/>
    <cellStyle name="Normal 3 2 5 3 2 3 3" xfId="10785"/>
    <cellStyle name="Normal 3 2 5 3 2 3 3 2" xfId="33372"/>
    <cellStyle name="Normal 3 2 5 3 2 3 4" xfId="26932"/>
    <cellStyle name="Normal 3 2 5 3 2 4" xfId="17225"/>
    <cellStyle name="Normal 3 2 5 3 2 4 2" xfId="39812"/>
    <cellStyle name="Normal 3 2 5 3 2 5" xfId="14005"/>
    <cellStyle name="Normal 3 2 5 3 2 5 2" xfId="36592"/>
    <cellStyle name="Normal 3 2 5 3 2 6" xfId="7565"/>
    <cellStyle name="Normal 3 2 5 3 2 6 2" xfId="30152"/>
    <cellStyle name="Normal 3 2 5 3 2 7" xfId="23712"/>
    <cellStyle name="Normal 3 2 5 3 3" xfId="1465"/>
    <cellStyle name="Normal 3 2 5 3 3 2" xfId="2779"/>
    <cellStyle name="Normal 3 2 5 3 3 2 2" xfId="6000"/>
    <cellStyle name="Normal 3 2 5 3 3 2 2 2" xfId="22100"/>
    <cellStyle name="Normal 3 2 5 3 3 2 2 2 2" xfId="44687"/>
    <cellStyle name="Normal 3 2 5 3 3 2 2 3" xfId="12440"/>
    <cellStyle name="Normal 3 2 5 3 3 2 2 3 2" xfId="35027"/>
    <cellStyle name="Normal 3 2 5 3 3 2 2 4" xfId="28587"/>
    <cellStyle name="Normal 3 2 5 3 3 2 3" xfId="18880"/>
    <cellStyle name="Normal 3 2 5 3 3 2 3 2" xfId="41467"/>
    <cellStyle name="Normal 3 2 5 3 3 2 4" xfId="15660"/>
    <cellStyle name="Normal 3 2 5 3 3 2 4 2" xfId="38247"/>
    <cellStyle name="Normal 3 2 5 3 3 2 5" xfId="9220"/>
    <cellStyle name="Normal 3 2 5 3 3 2 5 2" xfId="31807"/>
    <cellStyle name="Normal 3 2 5 3 3 2 6" xfId="25367"/>
    <cellStyle name="Normal 3 2 5 3 3 3" xfId="4692"/>
    <cellStyle name="Normal 3 2 5 3 3 3 2" xfId="20792"/>
    <cellStyle name="Normal 3 2 5 3 3 3 2 2" xfId="43379"/>
    <cellStyle name="Normal 3 2 5 3 3 3 3" xfId="11132"/>
    <cellStyle name="Normal 3 2 5 3 3 3 3 2" xfId="33719"/>
    <cellStyle name="Normal 3 2 5 3 3 3 4" xfId="27279"/>
    <cellStyle name="Normal 3 2 5 3 3 4" xfId="17572"/>
    <cellStyle name="Normal 3 2 5 3 3 4 2" xfId="40159"/>
    <cellStyle name="Normal 3 2 5 3 3 5" xfId="14352"/>
    <cellStyle name="Normal 3 2 5 3 3 5 2" xfId="36939"/>
    <cellStyle name="Normal 3 2 5 3 3 6" xfId="7912"/>
    <cellStyle name="Normal 3 2 5 3 3 6 2" xfId="30499"/>
    <cellStyle name="Normal 3 2 5 3 3 7" xfId="24059"/>
    <cellStyle name="Normal 3 2 5 3 4" xfId="1660"/>
    <cellStyle name="Normal 3 2 5 3 4 2" xfId="4883"/>
    <cellStyle name="Normal 3 2 5 3 4 2 2" xfId="20983"/>
    <cellStyle name="Normal 3 2 5 3 4 2 2 2" xfId="43570"/>
    <cellStyle name="Normal 3 2 5 3 4 2 3" xfId="11323"/>
    <cellStyle name="Normal 3 2 5 3 4 2 3 2" xfId="33910"/>
    <cellStyle name="Normal 3 2 5 3 4 2 4" xfId="27470"/>
    <cellStyle name="Normal 3 2 5 3 4 3" xfId="17763"/>
    <cellStyle name="Normal 3 2 5 3 4 3 2" xfId="40350"/>
    <cellStyle name="Normal 3 2 5 3 4 4" xfId="14543"/>
    <cellStyle name="Normal 3 2 5 3 4 4 2" xfId="37130"/>
    <cellStyle name="Normal 3 2 5 3 4 5" xfId="8103"/>
    <cellStyle name="Normal 3 2 5 3 4 5 2" xfId="30690"/>
    <cellStyle name="Normal 3 2 5 3 4 6" xfId="24250"/>
    <cellStyle name="Normal 3 2 5 3 5" xfId="2085"/>
    <cellStyle name="Normal 3 2 5 3 5 2" xfId="5306"/>
    <cellStyle name="Normal 3 2 5 3 5 2 2" xfId="21406"/>
    <cellStyle name="Normal 3 2 5 3 5 2 2 2" xfId="43993"/>
    <cellStyle name="Normal 3 2 5 3 5 2 3" xfId="11746"/>
    <cellStyle name="Normal 3 2 5 3 5 2 3 2" xfId="34333"/>
    <cellStyle name="Normal 3 2 5 3 5 2 4" xfId="27893"/>
    <cellStyle name="Normal 3 2 5 3 5 3" xfId="18186"/>
    <cellStyle name="Normal 3 2 5 3 5 3 2" xfId="40773"/>
    <cellStyle name="Normal 3 2 5 3 5 4" xfId="14966"/>
    <cellStyle name="Normal 3 2 5 3 5 4 2" xfId="37553"/>
    <cellStyle name="Normal 3 2 5 3 5 5" xfId="8526"/>
    <cellStyle name="Normal 3 2 5 3 5 5 2" xfId="31113"/>
    <cellStyle name="Normal 3 2 5 3 5 6" xfId="24673"/>
    <cellStyle name="Normal 3 2 5 3 6" xfId="3125"/>
    <cellStyle name="Normal 3 2 5 3 6 2" xfId="6345"/>
    <cellStyle name="Normal 3 2 5 3 6 2 2" xfId="22445"/>
    <cellStyle name="Normal 3 2 5 3 6 2 2 2" xfId="45032"/>
    <cellStyle name="Normal 3 2 5 3 6 2 3" xfId="12785"/>
    <cellStyle name="Normal 3 2 5 3 6 2 3 2" xfId="35372"/>
    <cellStyle name="Normal 3 2 5 3 6 2 4" xfId="28932"/>
    <cellStyle name="Normal 3 2 5 3 6 3" xfId="19225"/>
    <cellStyle name="Normal 3 2 5 3 6 3 2" xfId="41812"/>
    <cellStyle name="Normal 3 2 5 3 6 4" xfId="16005"/>
    <cellStyle name="Normal 3 2 5 3 6 4 2" xfId="38592"/>
    <cellStyle name="Normal 3 2 5 3 6 5" xfId="9565"/>
    <cellStyle name="Normal 3 2 5 3 6 5 2" xfId="32152"/>
    <cellStyle name="Normal 3 2 5 3 6 6" xfId="25712"/>
    <cellStyle name="Normal 3 2 5 3 7" xfId="3415"/>
    <cellStyle name="Normal 3 2 5 3 7 2" xfId="6635"/>
    <cellStyle name="Normal 3 2 5 3 7 2 2" xfId="22735"/>
    <cellStyle name="Normal 3 2 5 3 7 2 2 2" xfId="45322"/>
    <cellStyle name="Normal 3 2 5 3 7 2 3" xfId="13075"/>
    <cellStyle name="Normal 3 2 5 3 7 2 3 2" xfId="35662"/>
    <cellStyle name="Normal 3 2 5 3 7 2 4" xfId="29222"/>
    <cellStyle name="Normal 3 2 5 3 7 3" xfId="19515"/>
    <cellStyle name="Normal 3 2 5 3 7 3 2" xfId="42102"/>
    <cellStyle name="Normal 3 2 5 3 7 4" xfId="16295"/>
    <cellStyle name="Normal 3 2 5 3 7 4 2" xfId="38882"/>
    <cellStyle name="Normal 3 2 5 3 7 5" xfId="9855"/>
    <cellStyle name="Normal 3 2 5 3 7 5 2" xfId="32442"/>
    <cellStyle name="Normal 3 2 5 3 7 6" xfId="26002"/>
    <cellStyle name="Normal 3 2 5 3 8" xfId="766"/>
    <cellStyle name="Normal 3 2 5 3 8 2" xfId="3998"/>
    <cellStyle name="Normal 3 2 5 3 8 2 2" xfId="20098"/>
    <cellStyle name="Normal 3 2 5 3 8 2 2 2" xfId="42685"/>
    <cellStyle name="Normal 3 2 5 3 8 2 3" xfId="10438"/>
    <cellStyle name="Normal 3 2 5 3 8 2 3 2" xfId="33025"/>
    <cellStyle name="Normal 3 2 5 3 8 2 4" xfId="26585"/>
    <cellStyle name="Normal 3 2 5 3 8 3" xfId="16878"/>
    <cellStyle name="Normal 3 2 5 3 8 3 2" xfId="39465"/>
    <cellStyle name="Normal 3 2 5 3 8 4" xfId="13658"/>
    <cellStyle name="Normal 3 2 5 3 8 4 2" xfId="36245"/>
    <cellStyle name="Normal 3 2 5 3 8 5" xfId="7218"/>
    <cellStyle name="Normal 3 2 5 3 8 5 2" xfId="29805"/>
    <cellStyle name="Normal 3 2 5 3 8 6" xfId="23365"/>
    <cellStyle name="Normal 3 2 5 3 9" xfId="3705"/>
    <cellStyle name="Normal 3 2 5 3 9 2" xfId="19805"/>
    <cellStyle name="Normal 3 2 5 3 9 2 2" xfId="42392"/>
    <cellStyle name="Normal 3 2 5 3 9 3" xfId="10145"/>
    <cellStyle name="Normal 3 2 5 3 9 3 2" xfId="32732"/>
    <cellStyle name="Normal 3 2 5 3 9 4" xfId="26292"/>
    <cellStyle name="Normal 3 2 5 4" xfId="913"/>
    <cellStyle name="Normal 3 2 5 4 2" xfId="2232"/>
    <cellStyle name="Normal 3 2 5 4 2 2" xfId="5453"/>
    <cellStyle name="Normal 3 2 5 4 2 2 2" xfId="21553"/>
    <cellStyle name="Normal 3 2 5 4 2 2 2 2" xfId="44140"/>
    <cellStyle name="Normal 3 2 5 4 2 2 3" xfId="11893"/>
    <cellStyle name="Normal 3 2 5 4 2 2 3 2" xfId="34480"/>
    <cellStyle name="Normal 3 2 5 4 2 2 4" xfId="28040"/>
    <cellStyle name="Normal 3 2 5 4 2 3" xfId="18333"/>
    <cellStyle name="Normal 3 2 5 4 2 3 2" xfId="40920"/>
    <cellStyle name="Normal 3 2 5 4 2 4" xfId="15113"/>
    <cellStyle name="Normal 3 2 5 4 2 4 2" xfId="37700"/>
    <cellStyle name="Normal 3 2 5 4 2 5" xfId="8673"/>
    <cellStyle name="Normal 3 2 5 4 2 5 2" xfId="31260"/>
    <cellStyle name="Normal 3 2 5 4 2 6" xfId="24820"/>
    <cellStyle name="Normal 3 2 5 4 3" xfId="4145"/>
    <cellStyle name="Normal 3 2 5 4 3 2" xfId="20245"/>
    <cellStyle name="Normal 3 2 5 4 3 2 2" xfId="42832"/>
    <cellStyle name="Normal 3 2 5 4 3 3" xfId="10585"/>
    <cellStyle name="Normal 3 2 5 4 3 3 2" xfId="33172"/>
    <cellStyle name="Normal 3 2 5 4 3 4" xfId="26732"/>
    <cellStyle name="Normal 3 2 5 4 4" xfId="17025"/>
    <cellStyle name="Normal 3 2 5 4 4 2" xfId="39612"/>
    <cellStyle name="Normal 3 2 5 4 5" xfId="13805"/>
    <cellStyle name="Normal 3 2 5 4 5 2" xfId="36392"/>
    <cellStyle name="Normal 3 2 5 4 6" xfId="7365"/>
    <cellStyle name="Normal 3 2 5 4 6 2" xfId="29952"/>
    <cellStyle name="Normal 3 2 5 4 7" xfId="23512"/>
    <cellStyle name="Normal 3 2 5 5" xfId="1265"/>
    <cellStyle name="Normal 3 2 5 5 2" xfId="2579"/>
    <cellStyle name="Normal 3 2 5 5 2 2" xfId="5800"/>
    <cellStyle name="Normal 3 2 5 5 2 2 2" xfId="21900"/>
    <cellStyle name="Normal 3 2 5 5 2 2 2 2" xfId="44487"/>
    <cellStyle name="Normal 3 2 5 5 2 2 3" xfId="12240"/>
    <cellStyle name="Normal 3 2 5 5 2 2 3 2" xfId="34827"/>
    <cellStyle name="Normal 3 2 5 5 2 2 4" xfId="28387"/>
    <cellStyle name="Normal 3 2 5 5 2 3" xfId="18680"/>
    <cellStyle name="Normal 3 2 5 5 2 3 2" xfId="41267"/>
    <cellStyle name="Normal 3 2 5 5 2 4" xfId="15460"/>
    <cellStyle name="Normal 3 2 5 5 2 4 2" xfId="38047"/>
    <cellStyle name="Normal 3 2 5 5 2 5" xfId="9020"/>
    <cellStyle name="Normal 3 2 5 5 2 5 2" xfId="31607"/>
    <cellStyle name="Normal 3 2 5 5 2 6" xfId="25167"/>
    <cellStyle name="Normal 3 2 5 5 3" xfId="4492"/>
    <cellStyle name="Normal 3 2 5 5 3 2" xfId="20592"/>
    <cellStyle name="Normal 3 2 5 5 3 2 2" xfId="43179"/>
    <cellStyle name="Normal 3 2 5 5 3 3" xfId="10932"/>
    <cellStyle name="Normal 3 2 5 5 3 3 2" xfId="33519"/>
    <cellStyle name="Normal 3 2 5 5 3 4" xfId="27079"/>
    <cellStyle name="Normal 3 2 5 5 4" xfId="17372"/>
    <cellStyle name="Normal 3 2 5 5 4 2" xfId="39959"/>
    <cellStyle name="Normal 3 2 5 5 5" xfId="14152"/>
    <cellStyle name="Normal 3 2 5 5 5 2" xfId="36739"/>
    <cellStyle name="Normal 3 2 5 5 6" xfId="7712"/>
    <cellStyle name="Normal 3 2 5 5 6 2" xfId="30299"/>
    <cellStyle name="Normal 3 2 5 5 7" xfId="23859"/>
    <cellStyle name="Normal 3 2 5 6" xfId="1661"/>
    <cellStyle name="Normal 3 2 5 6 2" xfId="4884"/>
    <cellStyle name="Normal 3 2 5 6 2 2" xfId="20984"/>
    <cellStyle name="Normal 3 2 5 6 2 2 2" xfId="43571"/>
    <cellStyle name="Normal 3 2 5 6 2 3" xfId="11324"/>
    <cellStyle name="Normal 3 2 5 6 2 3 2" xfId="33911"/>
    <cellStyle name="Normal 3 2 5 6 2 4" xfId="27471"/>
    <cellStyle name="Normal 3 2 5 6 3" xfId="17764"/>
    <cellStyle name="Normal 3 2 5 6 3 2" xfId="40351"/>
    <cellStyle name="Normal 3 2 5 6 4" xfId="14544"/>
    <cellStyle name="Normal 3 2 5 6 4 2" xfId="37131"/>
    <cellStyle name="Normal 3 2 5 6 5" xfId="8104"/>
    <cellStyle name="Normal 3 2 5 6 5 2" xfId="30691"/>
    <cellStyle name="Normal 3 2 5 6 6" xfId="24251"/>
    <cellStyle name="Normal 3 2 5 7" xfId="1884"/>
    <cellStyle name="Normal 3 2 5 7 2" xfId="5106"/>
    <cellStyle name="Normal 3 2 5 7 2 2" xfId="21206"/>
    <cellStyle name="Normal 3 2 5 7 2 2 2" xfId="43793"/>
    <cellStyle name="Normal 3 2 5 7 2 3" xfId="11546"/>
    <cellStyle name="Normal 3 2 5 7 2 3 2" xfId="34133"/>
    <cellStyle name="Normal 3 2 5 7 2 4" xfId="27693"/>
    <cellStyle name="Normal 3 2 5 7 3" xfId="17986"/>
    <cellStyle name="Normal 3 2 5 7 3 2" xfId="40573"/>
    <cellStyle name="Normal 3 2 5 7 4" xfId="14766"/>
    <cellStyle name="Normal 3 2 5 7 4 2" xfId="37353"/>
    <cellStyle name="Normal 3 2 5 7 5" xfId="8326"/>
    <cellStyle name="Normal 3 2 5 7 5 2" xfId="30913"/>
    <cellStyle name="Normal 3 2 5 7 6" xfId="24473"/>
    <cellStyle name="Normal 3 2 5 8" xfId="2931"/>
    <cellStyle name="Normal 3 2 5 8 2" xfId="6152"/>
    <cellStyle name="Normal 3 2 5 8 2 2" xfId="22252"/>
    <cellStyle name="Normal 3 2 5 8 2 2 2" xfId="44839"/>
    <cellStyle name="Normal 3 2 5 8 2 3" xfId="12592"/>
    <cellStyle name="Normal 3 2 5 8 2 3 2" xfId="35179"/>
    <cellStyle name="Normal 3 2 5 8 2 4" xfId="28739"/>
    <cellStyle name="Normal 3 2 5 8 3" xfId="19032"/>
    <cellStyle name="Normal 3 2 5 8 3 2" xfId="41619"/>
    <cellStyle name="Normal 3 2 5 8 4" xfId="15812"/>
    <cellStyle name="Normal 3 2 5 8 4 2" xfId="38399"/>
    <cellStyle name="Normal 3 2 5 8 5" xfId="9372"/>
    <cellStyle name="Normal 3 2 5 8 5 2" xfId="31959"/>
    <cellStyle name="Normal 3 2 5 8 6" xfId="25519"/>
    <cellStyle name="Normal 3 2 5 9" xfId="3222"/>
    <cellStyle name="Normal 3 2 5 9 2" xfId="6442"/>
    <cellStyle name="Normal 3 2 5 9 2 2" xfId="22542"/>
    <cellStyle name="Normal 3 2 5 9 2 2 2" xfId="45129"/>
    <cellStyle name="Normal 3 2 5 9 2 3" xfId="12882"/>
    <cellStyle name="Normal 3 2 5 9 2 3 2" xfId="35469"/>
    <cellStyle name="Normal 3 2 5 9 2 4" xfId="29029"/>
    <cellStyle name="Normal 3 2 5 9 3" xfId="19322"/>
    <cellStyle name="Normal 3 2 5 9 3 2" xfId="41909"/>
    <cellStyle name="Normal 3 2 5 9 4" xfId="16102"/>
    <cellStyle name="Normal 3 2 5 9 4 2" xfId="38689"/>
    <cellStyle name="Normal 3 2 5 9 5" xfId="9662"/>
    <cellStyle name="Normal 3 2 5 9 5 2" xfId="32249"/>
    <cellStyle name="Normal 3 2 5 9 6" xfId="25809"/>
    <cellStyle name="Normal 3 2 6" xfId="243"/>
    <cellStyle name="Normal 3 2 6 10" xfId="16411"/>
    <cellStyle name="Normal 3 2 6 10 2" xfId="38998"/>
    <cellStyle name="Normal 3 2 6 11" xfId="13191"/>
    <cellStyle name="Normal 3 2 6 11 2" xfId="35778"/>
    <cellStyle name="Normal 3 2 6 12" xfId="6751"/>
    <cellStyle name="Normal 3 2 6 12 2" xfId="29338"/>
    <cellStyle name="Normal 3 2 6 13" xfId="22898"/>
    <cellStyle name="Normal 3 2 6 2" xfId="962"/>
    <cellStyle name="Normal 3 2 6 2 2" xfId="1662"/>
    <cellStyle name="Normal 3 2 6 2 2 2" xfId="4885"/>
    <cellStyle name="Normal 3 2 6 2 2 2 2" xfId="20985"/>
    <cellStyle name="Normal 3 2 6 2 2 2 2 2" xfId="43572"/>
    <cellStyle name="Normal 3 2 6 2 2 2 3" xfId="11325"/>
    <cellStyle name="Normal 3 2 6 2 2 2 3 2" xfId="33912"/>
    <cellStyle name="Normal 3 2 6 2 2 2 4" xfId="27472"/>
    <cellStyle name="Normal 3 2 6 2 2 3" xfId="17765"/>
    <cellStyle name="Normal 3 2 6 2 2 3 2" xfId="40352"/>
    <cellStyle name="Normal 3 2 6 2 2 4" xfId="14545"/>
    <cellStyle name="Normal 3 2 6 2 2 4 2" xfId="37132"/>
    <cellStyle name="Normal 3 2 6 2 2 5" xfId="8105"/>
    <cellStyle name="Normal 3 2 6 2 2 5 2" xfId="30692"/>
    <cellStyle name="Normal 3 2 6 2 2 6" xfId="24252"/>
    <cellStyle name="Normal 3 2 6 2 3" xfId="2281"/>
    <cellStyle name="Normal 3 2 6 2 3 2" xfId="5502"/>
    <cellStyle name="Normal 3 2 6 2 3 2 2" xfId="21602"/>
    <cellStyle name="Normal 3 2 6 2 3 2 2 2" xfId="44189"/>
    <cellStyle name="Normal 3 2 6 2 3 2 3" xfId="11942"/>
    <cellStyle name="Normal 3 2 6 2 3 2 3 2" xfId="34529"/>
    <cellStyle name="Normal 3 2 6 2 3 2 4" xfId="28089"/>
    <cellStyle name="Normal 3 2 6 2 3 3" xfId="18382"/>
    <cellStyle name="Normal 3 2 6 2 3 3 2" xfId="40969"/>
    <cellStyle name="Normal 3 2 6 2 3 4" xfId="15162"/>
    <cellStyle name="Normal 3 2 6 2 3 4 2" xfId="37749"/>
    <cellStyle name="Normal 3 2 6 2 3 5" xfId="8722"/>
    <cellStyle name="Normal 3 2 6 2 3 5 2" xfId="31309"/>
    <cellStyle name="Normal 3 2 6 2 3 6" xfId="24869"/>
    <cellStyle name="Normal 3 2 6 2 4" xfId="4194"/>
    <cellStyle name="Normal 3 2 6 2 4 2" xfId="20294"/>
    <cellStyle name="Normal 3 2 6 2 4 2 2" xfId="42881"/>
    <cellStyle name="Normal 3 2 6 2 4 3" xfId="10634"/>
    <cellStyle name="Normal 3 2 6 2 4 3 2" xfId="33221"/>
    <cellStyle name="Normal 3 2 6 2 4 4" xfId="26781"/>
    <cellStyle name="Normal 3 2 6 2 5" xfId="17074"/>
    <cellStyle name="Normal 3 2 6 2 5 2" xfId="39661"/>
    <cellStyle name="Normal 3 2 6 2 6" xfId="13854"/>
    <cellStyle name="Normal 3 2 6 2 6 2" xfId="36441"/>
    <cellStyle name="Normal 3 2 6 2 7" xfId="7414"/>
    <cellStyle name="Normal 3 2 6 2 7 2" xfId="30001"/>
    <cellStyle name="Normal 3 2 6 2 8" xfId="23561"/>
    <cellStyle name="Normal 3 2 6 3" xfId="1314"/>
    <cellStyle name="Normal 3 2 6 3 2" xfId="2628"/>
    <cellStyle name="Normal 3 2 6 3 2 2" xfId="5849"/>
    <cellStyle name="Normal 3 2 6 3 2 2 2" xfId="21949"/>
    <cellStyle name="Normal 3 2 6 3 2 2 2 2" xfId="44536"/>
    <cellStyle name="Normal 3 2 6 3 2 2 3" xfId="12289"/>
    <cellStyle name="Normal 3 2 6 3 2 2 3 2" xfId="34876"/>
    <cellStyle name="Normal 3 2 6 3 2 2 4" xfId="28436"/>
    <cellStyle name="Normal 3 2 6 3 2 3" xfId="18729"/>
    <cellStyle name="Normal 3 2 6 3 2 3 2" xfId="41316"/>
    <cellStyle name="Normal 3 2 6 3 2 4" xfId="15509"/>
    <cellStyle name="Normal 3 2 6 3 2 4 2" xfId="38096"/>
    <cellStyle name="Normal 3 2 6 3 2 5" xfId="9069"/>
    <cellStyle name="Normal 3 2 6 3 2 5 2" xfId="31656"/>
    <cellStyle name="Normal 3 2 6 3 2 6" xfId="25216"/>
    <cellStyle name="Normal 3 2 6 3 3" xfId="4541"/>
    <cellStyle name="Normal 3 2 6 3 3 2" xfId="20641"/>
    <cellStyle name="Normal 3 2 6 3 3 2 2" xfId="43228"/>
    <cellStyle name="Normal 3 2 6 3 3 3" xfId="10981"/>
    <cellStyle name="Normal 3 2 6 3 3 3 2" xfId="33568"/>
    <cellStyle name="Normal 3 2 6 3 3 4" xfId="27128"/>
    <cellStyle name="Normal 3 2 6 3 4" xfId="17421"/>
    <cellStyle name="Normal 3 2 6 3 4 2" xfId="40008"/>
    <cellStyle name="Normal 3 2 6 3 5" xfId="14201"/>
    <cellStyle name="Normal 3 2 6 3 5 2" xfId="36788"/>
    <cellStyle name="Normal 3 2 6 3 6" xfId="7761"/>
    <cellStyle name="Normal 3 2 6 3 6 2" xfId="30348"/>
    <cellStyle name="Normal 3 2 6 3 7" xfId="23908"/>
    <cellStyle name="Normal 3 2 6 4" xfId="1663"/>
    <cellStyle name="Normal 3 2 6 4 2" xfId="4886"/>
    <cellStyle name="Normal 3 2 6 4 2 2" xfId="20986"/>
    <cellStyle name="Normal 3 2 6 4 2 2 2" xfId="43573"/>
    <cellStyle name="Normal 3 2 6 4 2 3" xfId="11326"/>
    <cellStyle name="Normal 3 2 6 4 2 3 2" xfId="33913"/>
    <cellStyle name="Normal 3 2 6 4 2 4" xfId="27473"/>
    <cellStyle name="Normal 3 2 6 4 3" xfId="17766"/>
    <cellStyle name="Normal 3 2 6 4 3 2" xfId="40353"/>
    <cellStyle name="Normal 3 2 6 4 4" xfId="14546"/>
    <cellStyle name="Normal 3 2 6 4 4 2" xfId="37133"/>
    <cellStyle name="Normal 3 2 6 4 5" xfId="8106"/>
    <cellStyle name="Normal 3 2 6 4 5 2" xfId="30693"/>
    <cellStyle name="Normal 3 2 6 4 6" xfId="24253"/>
    <cellStyle name="Normal 3 2 6 5" xfId="1933"/>
    <cellStyle name="Normal 3 2 6 5 2" xfId="5155"/>
    <cellStyle name="Normal 3 2 6 5 2 2" xfId="21255"/>
    <cellStyle name="Normal 3 2 6 5 2 2 2" xfId="43842"/>
    <cellStyle name="Normal 3 2 6 5 2 3" xfId="11595"/>
    <cellStyle name="Normal 3 2 6 5 2 3 2" xfId="34182"/>
    <cellStyle name="Normal 3 2 6 5 2 4" xfId="27742"/>
    <cellStyle name="Normal 3 2 6 5 3" xfId="18035"/>
    <cellStyle name="Normal 3 2 6 5 3 2" xfId="40622"/>
    <cellStyle name="Normal 3 2 6 5 4" xfId="14815"/>
    <cellStyle name="Normal 3 2 6 5 4 2" xfId="37402"/>
    <cellStyle name="Normal 3 2 6 5 5" xfId="8375"/>
    <cellStyle name="Normal 3 2 6 5 5 2" xfId="30962"/>
    <cellStyle name="Normal 3 2 6 5 6" xfId="24522"/>
    <cellStyle name="Normal 3 2 6 6" xfId="2950"/>
    <cellStyle name="Normal 3 2 6 6 2" xfId="6171"/>
    <cellStyle name="Normal 3 2 6 6 2 2" xfId="22271"/>
    <cellStyle name="Normal 3 2 6 6 2 2 2" xfId="44858"/>
    <cellStyle name="Normal 3 2 6 6 2 3" xfId="12611"/>
    <cellStyle name="Normal 3 2 6 6 2 3 2" xfId="35198"/>
    <cellStyle name="Normal 3 2 6 6 2 4" xfId="28758"/>
    <cellStyle name="Normal 3 2 6 6 3" xfId="19051"/>
    <cellStyle name="Normal 3 2 6 6 3 2" xfId="41638"/>
    <cellStyle name="Normal 3 2 6 6 4" xfId="15831"/>
    <cellStyle name="Normal 3 2 6 6 4 2" xfId="38418"/>
    <cellStyle name="Normal 3 2 6 6 5" xfId="9391"/>
    <cellStyle name="Normal 3 2 6 6 5 2" xfId="31978"/>
    <cellStyle name="Normal 3 2 6 6 6" xfId="25538"/>
    <cellStyle name="Normal 3 2 6 7" xfId="3241"/>
    <cellStyle name="Normal 3 2 6 7 2" xfId="6461"/>
    <cellStyle name="Normal 3 2 6 7 2 2" xfId="22561"/>
    <cellStyle name="Normal 3 2 6 7 2 2 2" xfId="45148"/>
    <cellStyle name="Normal 3 2 6 7 2 3" xfId="12901"/>
    <cellStyle name="Normal 3 2 6 7 2 3 2" xfId="35488"/>
    <cellStyle name="Normal 3 2 6 7 2 4" xfId="29048"/>
    <cellStyle name="Normal 3 2 6 7 3" xfId="19341"/>
    <cellStyle name="Normal 3 2 6 7 3 2" xfId="41928"/>
    <cellStyle name="Normal 3 2 6 7 4" xfId="16121"/>
    <cellStyle name="Normal 3 2 6 7 4 2" xfId="38708"/>
    <cellStyle name="Normal 3 2 6 7 5" xfId="9681"/>
    <cellStyle name="Normal 3 2 6 7 5 2" xfId="32268"/>
    <cellStyle name="Normal 3 2 6 7 6" xfId="25828"/>
    <cellStyle name="Normal 3 2 6 8" xfId="576"/>
    <cellStyle name="Normal 3 2 6 8 2" xfId="3847"/>
    <cellStyle name="Normal 3 2 6 8 2 2" xfId="19947"/>
    <cellStyle name="Normal 3 2 6 8 2 2 2" xfId="42534"/>
    <cellStyle name="Normal 3 2 6 8 2 3" xfId="10287"/>
    <cellStyle name="Normal 3 2 6 8 2 3 2" xfId="32874"/>
    <cellStyle name="Normal 3 2 6 8 2 4" xfId="26434"/>
    <cellStyle name="Normal 3 2 6 8 3" xfId="16727"/>
    <cellStyle name="Normal 3 2 6 8 3 2" xfId="39314"/>
    <cellStyle name="Normal 3 2 6 8 4" xfId="13507"/>
    <cellStyle name="Normal 3 2 6 8 4 2" xfId="36094"/>
    <cellStyle name="Normal 3 2 6 8 5" xfId="7067"/>
    <cellStyle name="Normal 3 2 6 8 5 2" xfId="29654"/>
    <cellStyle name="Normal 3 2 6 8 6" xfId="23214"/>
    <cellStyle name="Normal 3 2 6 9" xfId="3531"/>
    <cellStyle name="Normal 3 2 6 9 2" xfId="19631"/>
    <cellStyle name="Normal 3 2 6 9 2 2" xfId="42218"/>
    <cellStyle name="Normal 3 2 6 9 3" xfId="9971"/>
    <cellStyle name="Normal 3 2 6 9 3 2" xfId="32558"/>
    <cellStyle name="Normal 3 2 6 9 4" xfId="26118"/>
    <cellStyle name="Normal 3 2 7" xfId="341"/>
    <cellStyle name="Normal 3 2 7 10" xfId="16508"/>
    <cellStyle name="Normal 3 2 7 10 2" xfId="39095"/>
    <cellStyle name="Normal 3 2 7 11" xfId="13288"/>
    <cellStyle name="Normal 3 2 7 11 2" xfId="35875"/>
    <cellStyle name="Normal 3 2 7 12" xfId="6848"/>
    <cellStyle name="Normal 3 2 7 12 2" xfId="29435"/>
    <cellStyle name="Normal 3 2 7 13" xfId="22995"/>
    <cellStyle name="Normal 3 2 7 2" xfId="1079"/>
    <cellStyle name="Normal 3 2 7 2 2" xfId="1664"/>
    <cellStyle name="Normal 3 2 7 2 2 2" xfId="4887"/>
    <cellStyle name="Normal 3 2 7 2 2 2 2" xfId="20987"/>
    <cellStyle name="Normal 3 2 7 2 2 2 2 2" xfId="43574"/>
    <cellStyle name="Normal 3 2 7 2 2 2 3" xfId="11327"/>
    <cellStyle name="Normal 3 2 7 2 2 2 3 2" xfId="33914"/>
    <cellStyle name="Normal 3 2 7 2 2 2 4" xfId="27474"/>
    <cellStyle name="Normal 3 2 7 2 2 3" xfId="17767"/>
    <cellStyle name="Normal 3 2 7 2 2 3 2" xfId="40354"/>
    <cellStyle name="Normal 3 2 7 2 2 4" xfId="14547"/>
    <cellStyle name="Normal 3 2 7 2 2 4 2" xfId="37134"/>
    <cellStyle name="Normal 3 2 7 2 2 5" xfId="8107"/>
    <cellStyle name="Normal 3 2 7 2 2 5 2" xfId="30694"/>
    <cellStyle name="Normal 3 2 7 2 2 6" xfId="24254"/>
    <cellStyle name="Normal 3 2 7 2 3" xfId="2393"/>
    <cellStyle name="Normal 3 2 7 2 3 2" xfId="5614"/>
    <cellStyle name="Normal 3 2 7 2 3 2 2" xfId="21714"/>
    <cellStyle name="Normal 3 2 7 2 3 2 2 2" xfId="44301"/>
    <cellStyle name="Normal 3 2 7 2 3 2 3" xfId="12054"/>
    <cellStyle name="Normal 3 2 7 2 3 2 3 2" xfId="34641"/>
    <cellStyle name="Normal 3 2 7 2 3 2 4" xfId="28201"/>
    <cellStyle name="Normal 3 2 7 2 3 3" xfId="18494"/>
    <cellStyle name="Normal 3 2 7 2 3 3 2" xfId="41081"/>
    <cellStyle name="Normal 3 2 7 2 3 4" xfId="15274"/>
    <cellStyle name="Normal 3 2 7 2 3 4 2" xfId="37861"/>
    <cellStyle name="Normal 3 2 7 2 3 5" xfId="8834"/>
    <cellStyle name="Normal 3 2 7 2 3 5 2" xfId="31421"/>
    <cellStyle name="Normal 3 2 7 2 3 6" xfId="24981"/>
    <cellStyle name="Normal 3 2 7 2 4" xfId="4306"/>
    <cellStyle name="Normal 3 2 7 2 4 2" xfId="20406"/>
    <cellStyle name="Normal 3 2 7 2 4 2 2" xfId="42993"/>
    <cellStyle name="Normal 3 2 7 2 4 3" xfId="10746"/>
    <cellStyle name="Normal 3 2 7 2 4 3 2" xfId="33333"/>
    <cellStyle name="Normal 3 2 7 2 4 4" xfId="26893"/>
    <cellStyle name="Normal 3 2 7 2 5" xfId="17186"/>
    <cellStyle name="Normal 3 2 7 2 5 2" xfId="39773"/>
    <cellStyle name="Normal 3 2 7 2 6" xfId="13966"/>
    <cellStyle name="Normal 3 2 7 2 6 2" xfId="36553"/>
    <cellStyle name="Normal 3 2 7 2 7" xfId="7526"/>
    <cellStyle name="Normal 3 2 7 2 7 2" xfId="30113"/>
    <cellStyle name="Normal 3 2 7 2 8" xfId="23673"/>
    <cellStyle name="Normal 3 2 7 3" xfId="1426"/>
    <cellStyle name="Normal 3 2 7 3 2" xfId="2740"/>
    <cellStyle name="Normal 3 2 7 3 2 2" xfId="5961"/>
    <cellStyle name="Normal 3 2 7 3 2 2 2" xfId="22061"/>
    <cellStyle name="Normal 3 2 7 3 2 2 2 2" xfId="44648"/>
    <cellStyle name="Normal 3 2 7 3 2 2 3" xfId="12401"/>
    <cellStyle name="Normal 3 2 7 3 2 2 3 2" xfId="34988"/>
    <cellStyle name="Normal 3 2 7 3 2 2 4" xfId="28548"/>
    <cellStyle name="Normal 3 2 7 3 2 3" xfId="18841"/>
    <cellStyle name="Normal 3 2 7 3 2 3 2" xfId="41428"/>
    <cellStyle name="Normal 3 2 7 3 2 4" xfId="15621"/>
    <cellStyle name="Normal 3 2 7 3 2 4 2" xfId="38208"/>
    <cellStyle name="Normal 3 2 7 3 2 5" xfId="9181"/>
    <cellStyle name="Normal 3 2 7 3 2 5 2" xfId="31768"/>
    <cellStyle name="Normal 3 2 7 3 2 6" xfId="25328"/>
    <cellStyle name="Normal 3 2 7 3 3" xfId="4653"/>
    <cellStyle name="Normal 3 2 7 3 3 2" xfId="20753"/>
    <cellStyle name="Normal 3 2 7 3 3 2 2" xfId="43340"/>
    <cellStyle name="Normal 3 2 7 3 3 3" xfId="11093"/>
    <cellStyle name="Normal 3 2 7 3 3 3 2" xfId="33680"/>
    <cellStyle name="Normal 3 2 7 3 3 4" xfId="27240"/>
    <cellStyle name="Normal 3 2 7 3 4" xfId="17533"/>
    <cellStyle name="Normal 3 2 7 3 4 2" xfId="40120"/>
    <cellStyle name="Normal 3 2 7 3 5" xfId="14313"/>
    <cellStyle name="Normal 3 2 7 3 5 2" xfId="36900"/>
    <cellStyle name="Normal 3 2 7 3 6" xfId="7873"/>
    <cellStyle name="Normal 3 2 7 3 6 2" xfId="30460"/>
    <cellStyle name="Normal 3 2 7 3 7" xfId="24020"/>
    <cellStyle name="Normal 3 2 7 4" xfId="1665"/>
    <cellStyle name="Normal 3 2 7 4 2" xfId="4888"/>
    <cellStyle name="Normal 3 2 7 4 2 2" xfId="20988"/>
    <cellStyle name="Normal 3 2 7 4 2 2 2" xfId="43575"/>
    <cellStyle name="Normal 3 2 7 4 2 3" xfId="11328"/>
    <cellStyle name="Normal 3 2 7 4 2 3 2" xfId="33915"/>
    <cellStyle name="Normal 3 2 7 4 2 4" xfId="27475"/>
    <cellStyle name="Normal 3 2 7 4 3" xfId="17768"/>
    <cellStyle name="Normal 3 2 7 4 3 2" xfId="40355"/>
    <cellStyle name="Normal 3 2 7 4 4" xfId="14548"/>
    <cellStyle name="Normal 3 2 7 4 4 2" xfId="37135"/>
    <cellStyle name="Normal 3 2 7 4 5" xfId="8108"/>
    <cellStyle name="Normal 3 2 7 4 5 2" xfId="30695"/>
    <cellStyle name="Normal 3 2 7 4 6" xfId="24255"/>
    <cellStyle name="Normal 3 2 7 5" xfId="2046"/>
    <cellStyle name="Normal 3 2 7 5 2" xfId="5267"/>
    <cellStyle name="Normal 3 2 7 5 2 2" xfId="21367"/>
    <cellStyle name="Normal 3 2 7 5 2 2 2" xfId="43954"/>
    <cellStyle name="Normal 3 2 7 5 2 3" xfId="11707"/>
    <cellStyle name="Normal 3 2 7 5 2 3 2" xfId="34294"/>
    <cellStyle name="Normal 3 2 7 5 2 4" xfId="27854"/>
    <cellStyle name="Normal 3 2 7 5 3" xfId="18147"/>
    <cellStyle name="Normal 3 2 7 5 3 2" xfId="40734"/>
    <cellStyle name="Normal 3 2 7 5 4" xfId="14927"/>
    <cellStyle name="Normal 3 2 7 5 4 2" xfId="37514"/>
    <cellStyle name="Normal 3 2 7 5 5" xfId="8487"/>
    <cellStyle name="Normal 3 2 7 5 5 2" xfId="31074"/>
    <cellStyle name="Normal 3 2 7 5 6" xfId="24634"/>
    <cellStyle name="Normal 3 2 7 6" xfId="3048"/>
    <cellStyle name="Normal 3 2 7 6 2" xfId="6268"/>
    <cellStyle name="Normal 3 2 7 6 2 2" xfId="22368"/>
    <cellStyle name="Normal 3 2 7 6 2 2 2" xfId="44955"/>
    <cellStyle name="Normal 3 2 7 6 2 3" xfId="12708"/>
    <cellStyle name="Normal 3 2 7 6 2 3 2" xfId="35295"/>
    <cellStyle name="Normal 3 2 7 6 2 4" xfId="28855"/>
    <cellStyle name="Normal 3 2 7 6 3" xfId="19148"/>
    <cellStyle name="Normal 3 2 7 6 3 2" xfId="41735"/>
    <cellStyle name="Normal 3 2 7 6 4" xfId="15928"/>
    <cellStyle name="Normal 3 2 7 6 4 2" xfId="38515"/>
    <cellStyle name="Normal 3 2 7 6 5" xfId="9488"/>
    <cellStyle name="Normal 3 2 7 6 5 2" xfId="32075"/>
    <cellStyle name="Normal 3 2 7 6 6" xfId="25635"/>
    <cellStyle name="Normal 3 2 7 7" xfId="3338"/>
    <cellStyle name="Normal 3 2 7 7 2" xfId="6558"/>
    <cellStyle name="Normal 3 2 7 7 2 2" xfId="22658"/>
    <cellStyle name="Normal 3 2 7 7 2 2 2" xfId="45245"/>
    <cellStyle name="Normal 3 2 7 7 2 3" xfId="12998"/>
    <cellStyle name="Normal 3 2 7 7 2 3 2" xfId="35585"/>
    <cellStyle name="Normal 3 2 7 7 2 4" xfId="29145"/>
    <cellStyle name="Normal 3 2 7 7 3" xfId="19438"/>
    <cellStyle name="Normal 3 2 7 7 3 2" xfId="42025"/>
    <cellStyle name="Normal 3 2 7 7 4" xfId="16218"/>
    <cellStyle name="Normal 3 2 7 7 4 2" xfId="38805"/>
    <cellStyle name="Normal 3 2 7 7 5" xfId="9778"/>
    <cellStyle name="Normal 3 2 7 7 5 2" xfId="32365"/>
    <cellStyle name="Normal 3 2 7 7 6" xfId="25925"/>
    <cellStyle name="Normal 3 2 7 8" xfId="727"/>
    <cellStyle name="Normal 3 2 7 8 2" xfId="3959"/>
    <cellStyle name="Normal 3 2 7 8 2 2" xfId="20059"/>
    <cellStyle name="Normal 3 2 7 8 2 2 2" xfId="42646"/>
    <cellStyle name="Normal 3 2 7 8 2 3" xfId="10399"/>
    <cellStyle name="Normal 3 2 7 8 2 3 2" xfId="32986"/>
    <cellStyle name="Normal 3 2 7 8 2 4" xfId="26546"/>
    <cellStyle name="Normal 3 2 7 8 3" xfId="16839"/>
    <cellStyle name="Normal 3 2 7 8 3 2" xfId="39426"/>
    <cellStyle name="Normal 3 2 7 8 4" xfId="13619"/>
    <cellStyle name="Normal 3 2 7 8 4 2" xfId="36206"/>
    <cellStyle name="Normal 3 2 7 8 5" xfId="7179"/>
    <cellStyle name="Normal 3 2 7 8 5 2" xfId="29766"/>
    <cellStyle name="Normal 3 2 7 8 6" xfId="23326"/>
    <cellStyle name="Normal 3 2 7 9" xfId="3628"/>
    <cellStyle name="Normal 3 2 7 9 2" xfId="19728"/>
    <cellStyle name="Normal 3 2 7 9 2 2" xfId="42315"/>
    <cellStyle name="Normal 3 2 7 9 3" xfId="10068"/>
    <cellStyle name="Normal 3 2 7 9 3 2" xfId="32655"/>
    <cellStyle name="Normal 3 2 7 9 4" xfId="26215"/>
    <cellStyle name="Normal 3 2 8" xfId="746"/>
    <cellStyle name="Normal 3 2 8 10" xfId="23345"/>
    <cellStyle name="Normal 3 2 8 2" xfId="1098"/>
    <cellStyle name="Normal 3 2 8 2 2" xfId="2412"/>
    <cellStyle name="Normal 3 2 8 2 2 2" xfId="5633"/>
    <cellStyle name="Normal 3 2 8 2 2 2 2" xfId="21733"/>
    <cellStyle name="Normal 3 2 8 2 2 2 2 2" xfId="44320"/>
    <cellStyle name="Normal 3 2 8 2 2 2 3" xfId="12073"/>
    <cellStyle name="Normal 3 2 8 2 2 2 3 2" xfId="34660"/>
    <cellStyle name="Normal 3 2 8 2 2 2 4" xfId="28220"/>
    <cellStyle name="Normal 3 2 8 2 2 3" xfId="18513"/>
    <cellStyle name="Normal 3 2 8 2 2 3 2" xfId="41100"/>
    <cellStyle name="Normal 3 2 8 2 2 4" xfId="15293"/>
    <cellStyle name="Normal 3 2 8 2 2 4 2" xfId="37880"/>
    <cellStyle name="Normal 3 2 8 2 2 5" xfId="8853"/>
    <cellStyle name="Normal 3 2 8 2 2 5 2" xfId="31440"/>
    <cellStyle name="Normal 3 2 8 2 2 6" xfId="25000"/>
    <cellStyle name="Normal 3 2 8 2 3" xfId="4325"/>
    <cellStyle name="Normal 3 2 8 2 3 2" xfId="20425"/>
    <cellStyle name="Normal 3 2 8 2 3 2 2" xfId="43012"/>
    <cellStyle name="Normal 3 2 8 2 3 3" xfId="10765"/>
    <cellStyle name="Normal 3 2 8 2 3 3 2" xfId="33352"/>
    <cellStyle name="Normal 3 2 8 2 3 4" xfId="26912"/>
    <cellStyle name="Normal 3 2 8 2 4" xfId="17205"/>
    <cellStyle name="Normal 3 2 8 2 4 2" xfId="39792"/>
    <cellStyle name="Normal 3 2 8 2 5" xfId="13985"/>
    <cellStyle name="Normal 3 2 8 2 5 2" xfId="36572"/>
    <cellStyle name="Normal 3 2 8 2 6" xfId="7545"/>
    <cellStyle name="Normal 3 2 8 2 6 2" xfId="30132"/>
    <cellStyle name="Normal 3 2 8 2 7" xfId="23692"/>
    <cellStyle name="Normal 3 2 8 3" xfId="1445"/>
    <cellStyle name="Normal 3 2 8 3 2" xfId="2759"/>
    <cellStyle name="Normal 3 2 8 3 2 2" xfId="5980"/>
    <cellStyle name="Normal 3 2 8 3 2 2 2" xfId="22080"/>
    <cellStyle name="Normal 3 2 8 3 2 2 2 2" xfId="44667"/>
    <cellStyle name="Normal 3 2 8 3 2 2 3" xfId="12420"/>
    <cellStyle name="Normal 3 2 8 3 2 2 3 2" xfId="35007"/>
    <cellStyle name="Normal 3 2 8 3 2 2 4" xfId="28567"/>
    <cellStyle name="Normal 3 2 8 3 2 3" xfId="18860"/>
    <cellStyle name="Normal 3 2 8 3 2 3 2" xfId="41447"/>
    <cellStyle name="Normal 3 2 8 3 2 4" xfId="15640"/>
    <cellStyle name="Normal 3 2 8 3 2 4 2" xfId="38227"/>
    <cellStyle name="Normal 3 2 8 3 2 5" xfId="9200"/>
    <cellStyle name="Normal 3 2 8 3 2 5 2" xfId="31787"/>
    <cellStyle name="Normal 3 2 8 3 2 6" xfId="25347"/>
    <cellStyle name="Normal 3 2 8 3 3" xfId="4672"/>
    <cellStyle name="Normal 3 2 8 3 3 2" xfId="20772"/>
    <cellStyle name="Normal 3 2 8 3 3 2 2" xfId="43359"/>
    <cellStyle name="Normal 3 2 8 3 3 3" xfId="11112"/>
    <cellStyle name="Normal 3 2 8 3 3 3 2" xfId="33699"/>
    <cellStyle name="Normal 3 2 8 3 3 4" xfId="27259"/>
    <cellStyle name="Normal 3 2 8 3 4" xfId="17552"/>
    <cellStyle name="Normal 3 2 8 3 4 2" xfId="40139"/>
    <cellStyle name="Normal 3 2 8 3 5" xfId="14332"/>
    <cellStyle name="Normal 3 2 8 3 5 2" xfId="36919"/>
    <cellStyle name="Normal 3 2 8 3 6" xfId="7892"/>
    <cellStyle name="Normal 3 2 8 3 6 2" xfId="30479"/>
    <cellStyle name="Normal 3 2 8 3 7" xfId="24039"/>
    <cellStyle name="Normal 3 2 8 4" xfId="1666"/>
    <cellStyle name="Normal 3 2 8 4 2" xfId="4889"/>
    <cellStyle name="Normal 3 2 8 4 2 2" xfId="20989"/>
    <cellStyle name="Normal 3 2 8 4 2 2 2" xfId="43576"/>
    <cellStyle name="Normal 3 2 8 4 2 3" xfId="11329"/>
    <cellStyle name="Normal 3 2 8 4 2 3 2" xfId="33916"/>
    <cellStyle name="Normal 3 2 8 4 2 4" xfId="27476"/>
    <cellStyle name="Normal 3 2 8 4 3" xfId="17769"/>
    <cellStyle name="Normal 3 2 8 4 3 2" xfId="40356"/>
    <cellStyle name="Normal 3 2 8 4 4" xfId="14549"/>
    <cellStyle name="Normal 3 2 8 4 4 2" xfId="37136"/>
    <cellStyle name="Normal 3 2 8 4 5" xfId="8109"/>
    <cellStyle name="Normal 3 2 8 4 5 2" xfId="30696"/>
    <cellStyle name="Normal 3 2 8 4 6" xfId="24256"/>
    <cellStyle name="Normal 3 2 8 5" xfId="2065"/>
    <cellStyle name="Normal 3 2 8 5 2" xfId="5286"/>
    <cellStyle name="Normal 3 2 8 5 2 2" xfId="21386"/>
    <cellStyle name="Normal 3 2 8 5 2 2 2" xfId="43973"/>
    <cellStyle name="Normal 3 2 8 5 2 3" xfId="11726"/>
    <cellStyle name="Normal 3 2 8 5 2 3 2" xfId="34313"/>
    <cellStyle name="Normal 3 2 8 5 2 4" xfId="27873"/>
    <cellStyle name="Normal 3 2 8 5 3" xfId="18166"/>
    <cellStyle name="Normal 3 2 8 5 3 2" xfId="40753"/>
    <cellStyle name="Normal 3 2 8 5 4" xfId="14946"/>
    <cellStyle name="Normal 3 2 8 5 4 2" xfId="37533"/>
    <cellStyle name="Normal 3 2 8 5 5" xfId="8506"/>
    <cellStyle name="Normal 3 2 8 5 5 2" xfId="31093"/>
    <cellStyle name="Normal 3 2 8 5 6" xfId="24653"/>
    <cellStyle name="Normal 3 2 8 6" xfId="3978"/>
    <cellStyle name="Normal 3 2 8 6 2" xfId="20078"/>
    <cellStyle name="Normal 3 2 8 6 2 2" xfId="42665"/>
    <cellStyle name="Normal 3 2 8 6 3" xfId="10418"/>
    <cellStyle name="Normal 3 2 8 6 3 2" xfId="33005"/>
    <cellStyle name="Normal 3 2 8 6 4" xfId="26565"/>
    <cellStyle name="Normal 3 2 8 7" xfId="16858"/>
    <cellStyle name="Normal 3 2 8 7 2" xfId="39445"/>
    <cellStyle name="Normal 3 2 8 8" xfId="13638"/>
    <cellStyle name="Normal 3 2 8 8 2" xfId="36225"/>
    <cellStyle name="Normal 3 2 8 9" xfId="7198"/>
    <cellStyle name="Normal 3 2 8 9 2" xfId="29785"/>
    <cellStyle name="Normal 3 2 9" xfId="840"/>
    <cellStyle name="Normal 3 2 9 2" xfId="1667"/>
    <cellStyle name="Normal 3 2 9 2 2" xfId="4890"/>
    <cellStyle name="Normal 3 2 9 2 2 2" xfId="20990"/>
    <cellStyle name="Normal 3 2 9 2 2 2 2" xfId="43577"/>
    <cellStyle name="Normal 3 2 9 2 2 3" xfId="11330"/>
    <cellStyle name="Normal 3 2 9 2 2 3 2" xfId="33917"/>
    <cellStyle name="Normal 3 2 9 2 2 4" xfId="27477"/>
    <cellStyle name="Normal 3 2 9 2 3" xfId="17770"/>
    <cellStyle name="Normal 3 2 9 2 3 2" xfId="40357"/>
    <cellStyle name="Normal 3 2 9 2 4" xfId="14550"/>
    <cellStyle name="Normal 3 2 9 2 4 2" xfId="37137"/>
    <cellStyle name="Normal 3 2 9 2 5" xfId="8110"/>
    <cellStyle name="Normal 3 2 9 2 5 2" xfId="30697"/>
    <cellStyle name="Normal 3 2 9 2 6" xfId="24257"/>
    <cellStyle name="Normal 3 2 9 3" xfId="2159"/>
    <cellStyle name="Normal 3 2 9 3 2" xfId="5380"/>
    <cellStyle name="Normal 3 2 9 3 2 2" xfId="21480"/>
    <cellStyle name="Normal 3 2 9 3 2 2 2" xfId="44067"/>
    <cellStyle name="Normal 3 2 9 3 2 3" xfId="11820"/>
    <cellStyle name="Normal 3 2 9 3 2 3 2" xfId="34407"/>
    <cellStyle name="Normal 3 2 9 3 2 4" xfId="27967"/>
    <cellStyle name="Normal 3 2 9 3 3" xfId="18260"/>
    <cellStyle name="Normal 3 2 9 3 3 2" xfId="40847"/>
    <cellStyle name="Normal 3 2 9 3 4" xfId="15040"/>
    <cellStyle name="Normal 3 2 9 3 4 2" xfId="37627"/>
    <cellStyle name="Normal 3 2 9 3 5" xfId="8600"/>
    <cellStyle name="Normal 3 2 9 3 5 2" xfId="31187"/>
    <cellStyle name="Normal 3 2 9 3 6" xfId="24747"/>
    <cellStyle name="Normal 3 2 9 4" xfId="4072"/>
    <cellStyle name="Normal 3 2 9 4 2" xfId="20172"/>
    <cellStyle name="Normal 3 2 9 4 2 2" xfId="42759"/>
    <cellStyle name="Normal 3 2 9 4 3" xfId="10512"/>
    <cellStyle name="Normal 3 2 9 4 3 2" xfId="33099"/>
    <cellStyle name="Normal 3 2 9 4 4" xfId="26659"/>
    <cellStyle name="Normal 3 2 9 5" xfId="16952"/>
    <cellStyle name="Normal 3 2 9 5 2" xfId="39539"/>
    <cellStyle name="Normal 3 2 9 6" xfId="13732"/>
    <cellStyle name="Normal 3 2 9 6 2" xfId="36319"/>
    <cellStyle name="Normal 3 2 9 7" xfId="7292"/>
    <cellStyle name="Normal 3 2 9 7 2" xfId="29879"/>
    <cellStyle name="Normal 3 2 9 8" xfId="23439"/>
    <cellStyle name="Normal 3 3" xfId="106"/>
    <cellStyle name="Normal 3 3 10" xfId="1668"/>
    <cellStyle name="Normal 3 3 10 2" xfId="4891"/>
    <cellStyle name="Normal 3 3 10 2 2" xfId="20991"/>
    <cellStyle name="Normal 3 3 10 2 2 2" xfId="43578"/>
    <cellStyle name="Normal 3 3 10 2 3" xfId="11331"/>
    <cellStyle name="Normal 3 3 10 2 3 2" xfId="33918"/>
    <cellStyle name="Normal 3 3 10 2 4" xfId="27478"/>
    <cellStyle name="Normal 3 3 10 3" xfId="17771"/>
    <cellStyle name="Normal 3 3 10 3 2" xfId="40358"/>
    <cellStyle name="Normal 3 3 10 4" xfId="14551"/>
    <cellStyle name="Normal 3 3 10 4 2" xfId="37138"/>
    <cellStyle name="Normal 3 3 10 5" xfId="8111"/>
    <cellStyle name="Normal 3 3 10 5 2" xfId="30698"/>
    <cellStyle name="Normal 3 3 10 6" xfId="24258"/>
    <cellStyle name="Normal 3 3 11" xfId="1821"/>
    <cellStyle name="Normal 3 3 11 2" xfId="5043"/>
    <cellStyle name="Normal 3 3 11 2 2" xfId="21143"/>
    <cellStyle name="Normal 3 3 11 2 2 2" xfId="43730"/>
    <cellStyle name="Normal 3 3 11 2 3" xfId="11483"/>
    <cellStyle name="Normal 3 3 11 2 3 2" xfId="34070"/>
    <cellStyle name="Normal 3 3 11 2 4" xfId="27630"/>
    <cellStyle name="Normal 3 3 11 3" xfId="17923"/>
    <cellStyle name="Normal 3 3 11 3 2" xfId="40510"/>
    <cellStyle name="Normal 3 3 11 4" xfId="14703"/>
    <cellStyle name="Normal 3 3 11 4 2" xfId="37290"/>
    <cellStyle name="Normal 3 3 11 5" xfId="8263"/>
    <cellStyle name="Normal 3 3 11 5 2" xfId="30850"/>
    <cellStyle name="Normal 3 3 11 6" xfId="24410"/>
    <cellStyle name="Normal 3 3 12" xfId="2864"/>
    <cellStyle name="Normal 3 3 12 2" xfId="6085"/>
    <cellStyle name="Normal 3 3 12 2 2" xfId="22185"/>
    <cellStyle name="Normal 3 3 12 2 2 2" xfId="44772"/>
    <cellStyle name="Normal 3 3 12 2 3" xfId="12525"/>
    <cellStyle name="Normal 3 3 12 2 3 2" xfId="35112"/>
    <cellStyle name="Normal 3 3 12 2 4" xfId="28672"/>
    <cellStyle name="Normal 3 3 12 3" xfId="18965"/>
    <cellStyle name="Normal 3 3 12 3 2" xfId="41552"/>
    <cellStyle name="Normal 3 3 12 4" xfId="15745"/>
    <cellStyle name="Normal 3 3 12 4 2" xfId="38332"/>
    <cellStyle name="Normal 3 3 12 5" xfId="9305"/>
    <cellStyle name="Normal 3 3 12 5 2" xfId="31892"/>
    <cellStyle name="Normal 3 3 12 6" xfId="25452"/>
    <cellStyle name="Normal 3 3 13" xfId="3155"/>
    <cellStyle name="Normal 3 3 13 2" xfId="6375"/>
    <cellStyle name="Normal 3 3 13 2 2" xfId="22475"/>
    <cellStyle name="Normal 3 3 13 2 2 2" xfId="45062"/>
    <cellStyle name="Normal 3 3 13 2 3" xfId="12815"/>
    <cellStyle name="Normal 3 3 13 2 3 2" xfId="35402"/>
    <cellStyle name="Normal 3 3 13 2 4" xfId="28962"/>
    <cellStyle name="Normal 3 3 13 3" xfId="19255"/>
    <cellStyle name="Normal 3 3 13 3 2" xfId="41842"/>
    <cellStyle name="Normal 3 3 13 4" xfId="16035"/>
    <cellStyle name="Normal 3 3 13 4 2" xfId="38622"/>
    <cellStyle name="Normal 3 3 13 5" xfId="9595"/>
    <cellStyle name="Normal 3 3 13 5 2" xfId="32182"/>
    <cellStyle name="Normal 3 3 13 6" xfId="25742"/>
    <cellStyle name="Normal 3 3 14" xfId="448"/>
    <cellStyle name="Normal 3 3 14 2" xfId="3735"/>
    <cellStyle name="Normal 3 3 14 2 2" xfId="19835"/>
    <cellStyle name="Normal 3 3 14 2 2 2" xfId="42422"/>
    <cellStyle name="Normal 3 3 14 2 3" xfId="10175"/>
    <cellStyle name="Normal 3 3 14 2 3 2" xfId="32762"/>
    <cellStyle name="Normal 3 3 14 2 4" xfId="26322"/>
    <cellStyle name="Normal 3 3 14 3" xfId="16615"/>
    <cellStyle name="Normal 3 3 14 3 2" xfId="39202"/>
    <cellStyle name="Normal 3 3 14 4" xfId="13395"/>
    <cellStyle name="Normal 3 3 14 4 2" xfId="35982"/>
    <cellStyle name="Normal 3 3 14 5" xfId="6955"/>
    <cellStyle name="Normal 3 3 14 5 2" xfId="29542"/>
    <cellStyle name="Normal 3 3 14 6" xfId="23102"/>
    <cellStyle name="Normal 3 3 15" xfId="3445"/>
    <cellStyle name="Normal 3 3 15 2" xfId="19545"/>
    <cellStyle name="Normal 3 3 15 2 2" xfId="42132"/>
    <cellStyle name="Normal 3 3 15 3" xfId="9885"/>
    <cellStyle name="Normal 3 3 15 3 2" xfId="32472"/>
    <cellStyle name="Normal 3 3 15 4" xfId="26032"/>
    <cellStyle name="Normal 3 3 16" xfId="16325"/>
    <cellStyle name="Normal 3 3 16 2" xfId="38912"/>
    <cellStyle name="Normal 3 3 17" xfId="13105"/>
    <cellStyle name="Normal 3 3 17 2" xfId="35692"/>
    <cellStyle name="Normal 3 3 18" xfId="6665"/>
    <cellStyle name="Normal 3 3 18 2" xfId="29252"/>
    <cellStyle name="Normal 3 3 19" xfId="22812"/>
    <cellStyle name="Normal 3 3 2" xfId="124"/>
    <cellStyle name="Normal 3 3 2 10" xfId="2880"/>
    <cellStyle name="Normal 3 3 2 10 2" xfId="6101"/>
    <cellStyle name="Normal 3 3 2 10 2 2" xfId="22201"/>
    <cellStyle name="Normal 3 3 2 10 2 2 2" xfId="44788"/>
    <cellStyle name="Normal 3 3 2 10 2 3" xfId="12541"/>
    <cellStyle name="Normal 3 3 2 10 2 3 2" xfId="35128"/>
    <cellStyle name="Normal 3 3 2 10 2 4" xfId="28688"/>
    <cellStyle name="Normal 3 3 2 10 3" xfId="18981"/>
    <cellStyle name="Normal 3 3 2 10 3 2" xfId="41568"/>
    <cellStyle name="Normal 3 3 2 10 4" xfId="15761"/>
    <cellStyle name="Normal 3 3 2 10 4 2" xfId="38348"/>
    <cellStyle name="Normal 3 3 2 10 5" xfId="9321"/>
    <cellStyle name="Normal 3 3 2 10 5 2" xfId="31908"/>
    <cellStyle name="Normal 3 3 2 10 6" xfId="25468"/>
    <cellStyle name="Normal 3 3 2 11" xfId="3171"/>
    <cellStyle name="Normal 3 3 2 11 2" xfId="6391"/>
    <cellStyle name="Normal 3 3 2 11 2 2" xfId="22491"/>
    <cellStyle name="Normal 3 3 2 11 2 2 2" xfId="45078"/>
    <cellStyle name="Normal 3 3 2 11 2 3" xfId="12831"/>
    <cellStyle name="Normal 3 3 2 11 2 3 2" xfId="35418"/>
    <cellStyle name="Normal 3 3 2 11 2 4" xfId="28978"/>
    <cellStyle name="Normal 3 3 2 11 3" xfId="19271"/>
    <cellStyle name="Normal 3 3 2 11 3 2" xfId="41858"/>
    <cellStyle name="Normal 3 3 2 11 4" xfId="16051"/>
    <cellStyle name="Normal 3 3 2 11 4 2" xfId="38638"/>
    <cellStyle name="Normal 3 3 2 11 5" xfId="9611"/>
    <cellStyle name="Normal 3 3 2 11 5 2" xfId="32198"/>
    <cellStyle name="Normal 3 3 2 11 6" xfId="25758"/>
    <cellStyle name="Normal 3 3 2 12" xfId="464"/>
    <cellStyle name="Normal 3 3 2 12 2" xfId="3751"/>
    <cellStyle name="Normal 3 3 2 12 2 2" xfId="19851"/>
    <cellStyle name="Normal 3 3 2 12 2 2 2" xfId="42438"/>
    <cellStyle name="Normal 3 3 2 12 2 3" xfId="10191"/>
    <cellStyle name="Normal 3 3 2 12 2 3 2" xfId="32778"/>
    <cellStyle name="Normal 3 3 2 12 2 4" xfId="26338"/>
    <cellStyle name="Normal 3 3 2 12 3" xfId="16631"/>
    <cellStyle name="Normal 3 3 2 12 3 2" xfId="39218"/>
    <cellStyle name="Normal 3 3 2 12 4" xfId="13411"/>
    <cellStyle name="Normal 3 3 2 12 4 2" xfId="35998"/>
    <cellStyle name="Normal 3 3 2 12 5" xfId="6971"/>
    <cellStyle name="Normal 3 3 2 12 5 2" xfId="29558"/>
    <cellStyle name="Normal 3 3 2 12 6" xfId="23118"/>
    <cellStyle name="Normal 3 3 2 13" xfId="3461"/>
    <cellStyle name="Normal 3 3 2 13 2" xfId="19561"/>
    <cellStyle name="Normal 3 3 2 13 2 2" xfId="42148"/>
    <cellStyle name="Normal 3 3 2 13 3" xfId="9901"/>
    <cellStyle name="Normal 3 3 2 13 3 2" xfId="32488"/>
    <cellStyle name="Normal 3 3 2 13 4" xfId="26048"/>
    <cellStyle name="Normal 3 3 2 14" xfId="16341"/>
    <cellStyle name="Normal 3 3 2 14 2" xfId="38928"/>
    <cellStyle name="Normal 3 3 2 15" xfId="13121"/>
    <cellStyle name="Normal 3 3 2 15 2" xfId="35708"/>
    <cellStyle name="Normal 3 3 2 16" xfId="6681"/>
    <cellStyle name="Normal 3 3 2 16 2" xfId="29268"/>
    <cellStyle name="Normal 3 3 2 17" xfId="22828"/>
    <cellStyle name="Normal 3 3 2 2" xfId="209"/>
    <cellStyle name="Normal 3 3 2 2 10" xfId="501"/>
    <cellStyle name="Normal 3 3 2 2 10 2" xfId="3788"/>
    <cellStyle name="Normal 3 3 2 2 10 2 2" xfId="19888"/>
    <cellStyle name="Normal 3 3 2 2 10 2 2 2" xfId="42475"/>
    <cellStyle name="Normal 3 3 2 2 10 2 3" xfId="10228"/>
    <cellStyle name="Normal 3 3 2 2 10 2 3 2" xfId="32815"/>
    <cellStyle name="Normal 3 3 2 2 10 2 4" xfId="26375"/>
    <cellStyle name="Normal 3 3 2 2 10 3" xfId="16668"/>
    <cellStyle name="Normal 3 3 2 2 10 3 2" xfId="39255"/>
    <cellStyle name="Normal 3 3 2 2 10 4" xfId="13448"/>
    <cellStyle name="Normal 3 3 2 2 10 4 2" xfId="36035"/>
    <cellStyle name="Normal 3 3 2 2 10 5" xfId="7008"/>
    <cellStyle name="Normal 3 3 2 2 10 5 2" xfId="29595"/>
    <cellStyle name="Normal 3 3 2 2 10 6" xfId="23155"/>
    <cellStyle name="Normal 3 3 2 2 11" xfId="3498"/>
    <cellStyle name="Normal 3 3 2 2 11 2" xfId="19598"/>
    <cellStyle name="Normal 3 3 2 2 11 2 2" xfId="42185"/>
    <cellStyle name="Normal 3 3 2 2 11 3" xfId="9938"/>
    <cellStyle name="Normal 3 3 2 2 11 3 2" xfId="32525"/>
    <cellStyle name="Normal 3 3 2 2 11 4" xfId="26085"/>
    <cellStyle name="Normal 3 3 2 2 12" xfId="16378"/>
    <cellStyle name="Normal 3 3 2 2 12 2" xfId="38965"/>
    <cellStyle name="Normal 3 3 2 2 13" xfId="13158"/>
    <cellStyle name="Normal 3 3 2 2 13 2" xfId="35745"/>
    <cellStyle name="Normal 3 3 2 2 14" xfId="6718"/>
    <cellStyle name="Normal 3 3 2 2 14 2" xfId="29305"/>
    <cellStyle name="Normal 3 3 2 2 15" xfId="22865"/>
    <cellStyle name="Normal 3 3 2 2 2" xfId="308"/>
    <cellStyle name="Normal 3 3 2 2 2 10" xfId="16475"/>
    <cellStyle name="Normal 3 3 2 2 2 10 2" xfId="39062"/>
    <cellStyle name="Normal 3 3 2 2 2 11" xfId="13255"/>
    <cellStyle name="Normal 3 3 2 2 2 11 2" xfId="35842"/>
    <cellStyle name="Normal 3 3 2 2 2 12" xfId="6815"/>
    <cellStyle name="Normal 3 3 2 2 2 12 2" xfId="29402"/>
    <cellStyle name="Normal 3 3 2 2 2 13" xfId="22962"/>
    <cellStyle name="Normal 3 3 2 2 2 2" xfId="1027"/>
    <cellStyle name="Normal 3 3 2 2 2 2 2" xfId="2341"/>
    <cellStyle name="Normal 3 3 2 2 2 2 2 2" xfId="5562"/>
    <cellStyle name="Normal 3 3 2 2 2 2 2 2 2" xfId="21662"/>
    <cellStyle name="Normal 3 3 2 2 2 2 2 2 2 2" xfId="44249"/>
    <cellStyle name="Normal 3 3 2 2 2 2 2 2 3" xfId="12002"/>
    <cellStyle name="Normal 3 3 2 2 2 2 2 2 3 2" xfId="34589"/>
    <cellStyle name="Normal 3 3 2 2 2 2 2 2 4" xfId="28149"/>
    <cellStyle name="Normal 3 3 2 2 2 2 2 3" xfId="18442"/>
    <cellStyle name="Normal 3 3 2 2 2 2 2 3 2" xfId="41029"/>
    <cellStyle name="Normal 3 3 2 2 2 2 2 4" xfId="15222"/>
    <cellStyle name="Normal 3 3 2 2 2 2 2 4 2" xfId="37809"/>
    <cellStyle name="Normal 3 3 2 2 2 2 2 5" xfId="8782"/>
    <cellStyle name="Normal 3 3 2 2 2 2 2 5 2" xfId="31369"/>
    <cellStyle name="Normal 3 3 2 2 2 2 2 6" xfId="24929"/>
    <cellStyle name="Normal 3 3 2 2 2 2 3" xfId="4254"/>
    <cellStyle name="Normal 3 3 2 2 2 2 3 2" xfId="20354"/>
    <cellStyle name="Normal 3 3 2 2 2 2 3 2 2" xfId="42941"/>
    <cellStyle name="Normal 3 3 2 2 2 2 3 3" xfId="10694"/>
    <cellStyle name="Normal 3 3 2 2 2 2 3 3 2" xfId="33281"/>
    <cellStyle name="Normal 3 3 2 2 2 2 3 4" xfId="26841"/>
    <cellStyle name="Normal 3 3 2 2 2 2 4" xfId="17134"/>
    <cellStyle name="Normal 3 3 2 2 2 2 4 2" xfId="39721"/>
    <cellStyle name="Normal 3 3 2 2 2 2 5" xfId="13914"/>
    <cellStyle name="Normal 3 3 2 2 2 2 5 2" xfId="36501"/>
    <cellStyle name="Normal 3 3 2 2 2 2 6" xfId="7474"/>
    <cellStyle name="Normal 3 3 2 2 2 2 6 2" xfId="30061"/>
    <cellStyle name="Normal 3 3 2 2 2 2 7" xfId="23621"/>
    <cellStyle name="Normal 3 3 2 2 2 3" xfId="1374"/>
    <cellStyle name="Normal 3 3 2 2 2 3 2" xfId="2688"/>
    <cellStyle name="Normal 3 3 2 2 2 3 2 2" xfId="5909"/>
    <cellStyle name="Normal 3 3 2 2 2 3 2 2 2" xfId="22009"/>
    <cellStyle name="Normal 3 3 2 2 2 3 2 2 2 2" xfId="44596"/>
    <cellStyle name="Normal 3 3 2 2 2 3 2 2 3" xfId="12349"/>
    <cellStyle name="Normal 3 3 2 2 2 3 2 2 3 2" xfId="34936"/>
    <cellStyle name="Normal 3 3 2 2 2 3 2 2 4" xfId="28496"/>
    <cellStyle name="Normal 3 3 2 2 2 3 2 3" xfId="18789"/>
    <cellStyle name="Normal 3 3 2 2 2 3 2 3 2" xfId="41376"/>
    <cellStyle name="Normal 3 3 2 2 2 3 2 4" xfId="15569"/>
    <cellStyle name="Normal 3 3 2 2 2 3 2 4 2" xfId="38156"/>
    <cellStyle name="Normal 3 3 2 2 2 3 2 5" xfId="9129"/>
    <cellStyle name="Normal 3 3 2 2 2 3 2 5 2" xfId="31716"/>
    <cellStyle name="Normal 3 3 2 2 2 3 2 6" xfId="25276"/>
    <cellStyle name="Normal 3 3 2 2 2 3 3" xfId="4601"/>
    <cellStyle name="Normal 3 3 2 2 2 3 3 2" xfId="20701"/>
    <cellStyle name="Normal 3 3 2 2 2 3 3 2 2" xfId="43288"/>
    <cellStyle name="Normal 3 3 2 2 2 3 3 3" xfId="11041"/>
    <cellStyle name="Normal 3 3 2 2 2 3 3 3 2" xfId="33628"/>
    <cellStyle name="Normal 3 3 2 2 2 3 3 4" xfId="27188"/>
    <cellStyle name="Normal 3 3 2 2 2 3 4" xfId="17481"/>
    <cellStyle name="Normal 3 3 2 2 2 3 4 2" xfId="40068"/>
    <cellStyle name="Normal 3 3 2 2 2 3 5" xfId="14261"/>
    <cellStyle name="Normal 3 3 2 2 2 3 5 2" xfId="36848"/>
    <cellStyle name="Normal 3 3 2 2 2 3 6" xfId="7821"/>
    <cellStyle name="Normal 3 3 2 2 2 3 6 2" xfId="30408"/>
    <cellStyle name="Normal 3 3 2 2 2 3 7" xfId="23968"/>
    <cellStyle name="Normal 3 3 2 2 2 4" xfId="1669"/>
    <cellStyle name="Normal 3 3 2 2 2 4 2" xfId="4892"/>
    <cellStyle name="Normal 3 3 2 2 2 4 2 2" xfId="20992"/>
    <cellStyle name="Normal 3 3 2 2 2 4 2 2 2" xfId="43579"/>
    <cellStyle name="Normal 3 3 2 2 2 4 2 3" xfId="11332"/>
    <cellStyle name="Normal 3 3 2 2 2 4 2 3 2" xfId="33919"/>
    <cellStyle name="Normal 3 3 2 2 2 4 2 4" xfId="27479"/>
    <cellStyle name="Normal 3 3 2 2 2 4 3" xfId="17772"/>
    <cellStyle name="Normal 3 3 2 2 2 4 3 2" xfId="40359"/>
    <cellStyle name="Normal 3 3 2 2 2 4 4" xfId="14552"/>
    <cellStyle name="Normal 3 3 2 2 2 4 4 2" xfId="37139"/>
    <cellStyle name="Normal 3 3 2 2 2 4 5" xfId="8112"/>
    <cellStyle name="Normal 3 3 2 2 2 4 5 2" xfId="30699"/>
    <cellStyle name="Normal 3 3 2 2 2 4 6" xfId="24259"/>
    <cellStyle name="Normal 3 3 2 2 2 5" xfId="1993"/>
    <cellStyle name="Normal 3 3 2 2 2 5 2" xfId="5215"/>
    <cellStyle name="Normal 3 3 2 2 2 5 2 2" xfId="21315"/>
    <cellStyle name="Normal 3 3 2 2 2 5 2 2 2" xfId="43902"/>
    <cellStyle name="Normal 3 3 2 2 2 5 2 3" xfId="11655"/>
    <cellStyle name="Normal 3 3 2 2 2 5 2 3 2" xfId="34242"/>
    <cellStyle name="Normal 3 3 2 2 2 5 2 4" xfId="27802"/>
    <cellStyle name="Normal 3 3 2 2 2 5 3" xfId="18095"/>
    <cellStyle name="Normal 3 3 2 2 2 5 3 2" xfId="40682"/>
    <cellStyle name="Normal 3 3 2 2 2 5 4" xfId="14875"/>
    <cellStyle name="Normal 3 3 2 2 2 5 4 2" xfId="37462"/>
    <cellStyle name="Normal 3 3 2 2 2 5 5" xfId="8435"/>
    <cellStyle name="Normal 3 3 2 2 2 5 5 2" xfId="31022"/>
    <cellStyle name="Normal 3 3 2 2 2 5 6" xfId="24582"/>
    <cellStyle name="Normal 3 3 2 2 2 6" xfId="3015"/>
    <cellStyle name="Normal 3 3 2 2 2 6 2" xfId="6235"/>
    <cellStyle name="Normal 3 3 2 2 2 6 2 2" xfId="22335"/>
    <cellStyle name="Normal 3 3 2 2 2 6 2 2 2" xfId="44922"/>
    <cellStyle name="Normal 3 3 2 2 2 6 2 3" xfId="12675"/>
    <cellStyle name="Normal 3 3 2 2 2 6 2 3 2" xfId="35262"/>
    <cellStyle name="Normal 3 3 2 2 2 6 2 4" xfId="28822"/>
    <cellStyle name="Normal 3 3 2 2 2 6 3" xfId="19115"/>
    <cellStyle name="Normal 3 3 2 2 2 6 3 2" xfId="41702"/>
    <cellStyle name="Normal 3 3 2 2 2 6 4" xfId="15895"/>
    <cellStyle name="Normal 3 3 2 2 2 6 4 2" xfId="38482"/>
    <cellStyle name="Normal 3 3 2 2 2 6 5" xfId="9455"/>
    <cellStyle name="Normal 3 3 2 2 2 6 5 2" xfId="32042"/>
    <cellStyle name="Normal 3 3 2 2 2 6 6" xfId="25602"/>
    <cellStyle name="Normal 3 3 2 2 2 7" xfId="3305"/>
    <cellStyle name="Normal 3 3 2 2 2 7 2" xfId="6525"/>
    <cellStyle name="Normal 3 3 2 2 2 7 2 2" xfId="22625"/>
    <cellStyle name="Normal 3 3 2 2 2 7 2 2 2" xfId="45212"/>
    <cellStyle name="Normal 3 3 2 2 2 7 2 3" xfId="12965"/>
    <cellStyle name="Normal 3 3 2 2 2 7 2 3 2" xfId="35552"/>
    <cellStyle name="Normal 3 3 2 2 2 7 2 4" xfId="29112"/>
    <cellStyle name="Normal 3 3 2 2 2 7 3" xfId="19405"/>
    <cellStyle name="Normal 3 3 2 2 2 7 3 2" xfId="41992"/>
    <cellStyle name="Normal 3 3 2 2 2 7 4" xfId="16185"/>
    <cellStyle name="Normal 3 3 2 2 2 7 4 2" xfId="38772"/>
    <cellStyle name="Normal 3 3 2 2 2 7 5" xfId="9745"/>
    <cellStyle name="Normal 3 3 2 2 2 7 5 2" xfId="32332"/>
    <cellStyle name="Normal 3 3 2 2 2 7 6" xfId="25892"/>
    <cellStyle name="Normal 3 3 2 2 2 8" xfId="663"/>
    <cellStyle name="Normal 3 3 2 2 2 8 2" xfId="3907"/>
    <cellStyle name="Normal 3 3 2 2 2 8 2 2" xfId="20007"/>
    <cellStyle name="Normal 3 3 2 2 2 8 2 2 2" xfId="42594"/>
    <cellStyle name="Normal 3 3 2 2 2 8 2 3" xfId="10347"/>
    <cellStyle name="Normal 3 3 2 2 2 8 2 3 2" xfId="32934"/>
    <cellStyle name="Normal 3 3 2 2 2 8 2 4" xfId="26494"/>
    <cellStyle name="Normal 3 3 2 2 2 8 3" xfId="16787"/>
    <cellStyle name="Normal 3 3 2 2 2 8 3 2" xfId="39374"/>
    <cellStyle name="Normal 3 3 2 2 2 8 4" xfId="13567"/>
    <cellStyle name="Normal 3 3 2 2 2 8 4 2" xfId="36154"/>
    <cellStyle name="Normal 3 3 2 2 2 8 5" xfId="7127"/>
    <cellStyle name="Normal 3 3 2 2 2 8 5 2" xfId="29714"/>
    <cellStyle name="Normal 3 3 2 2 2 8 6" xfId="23274"/>
    <cellStyle name="Normal 3 3 2 2 2 9" xfId="3595"/>
    <cellStyle name="Normal 3 3 2 2 2 9 2" xfId="19695"/>
    <cellStyle name="Normal 3 3 2 2 2 9 2 2" xfId="42282"/>
    <cellStyle name="Normal 3 3 2 2 2 9 3" xfId="10035"/>
    <cellStyle name="Normal 3 3 2 2 2 9 3 2" xfId="32622"/>
    <cellStyle name="Normal 3 3 2 2 2 9 4" xfId="26182"/>
    <cellStyle name="Normal 3 3 2 2 3" xfId="404"/>
    <cellStyle name="Normal 3 3 2 2 3 10" xfId="13351"/>
    <cellStyle name="Normal 3 3 2 2 3 10 2" xfId="35938"/>
    <cellStyle name="Normal 3 3 2 2 3 11" xfId="6911"/>
    <cellStyle name="Normal 3 3 2 2 3 11 2" xfId="29498"/>
    <cellStyle name="Normal 3 3 2 2 3 12" xfId="23058"/>
    <cellStyle name="Normal 3 3 2 2 3 2" xfId="1186"/>
    <cellStyle name="Normal 3 3 2 2 3 2 2" xfId="2500"/>
    <cellStyle name="Normal 3 3 2 2 3 2 2 2" xfId="5721"/>
    <cellStyle name="Normal 3 3 2 2 3 2 2 2 2" xfId="21821"/>
    <cellStyle name="Normal 3 3 2 2 3 2 2 2 2 2" xfId="44408"/>
    <cellStyle name="Normal 3 3 2 2 3 2 2 2 3" xfId="12161"/>
    <cellStyle name="Normal 3 3 2 2 3 2 2 2 3 2" xfId="34748"/>
    <cellStyle name="Normal 3 3 2 2 3 2 2 2 4" xfId="28308"/>
    <cellStyle name="Normal 3 3 2 2 3 2 2 3" xfId="18601"/>
    <cellStyle name="Normal 3 3 2 2 3 2 2 3 2" xfId="41188"/>
    <cellStyle name="Normal 3 3 2 2 3 2 2 4" xfId="15381"/>
    <cellStyle name="Normal 3 3 2 2 3 2 2 4 2" xfId="37968"/>
    <cellStyle name="Normal 3 3 2 2 3 2 2 5" xfId="8941"/>
    <cellStyle name="Normal 3 3 2 2 3 2 2 5 2" xfId="31528"/>
    <cellStyle name="Normal 3 3 2 2 3 2 2 6" xfId="25088"/>
    <cellStyle name="Normal 3 3 2 2 3 2 3" xfId="4413"/>
    <cellStyle name="Normal 3 3 2 2 3 2 3 2" xfId="20513"/>
    <cellStyle name="Normal 3 3 2 2 3 2 3 2 2" xfId="43100"/>
    <cellStyle name="Normal 3 3 2 2 3 2 3 3" xfId="10853"/>
    <cellStyle name="Normal 3 3 2 2 3 2 3 3 2" xfId="33440"/>
    <cellStyle name="Normal 3 3 2 2 3 2 3 4" xfId="27000"/>
    <cellStyle name="Normal 3 3 2 2 3 2 4" xfId="17293"/>
    <cellStyle name="Normal 3 3 2 2 3 2 4 2" xfId="39880"/>
    <cellStyle name="Normal 3 3 2 2 3 2 5" xfId="14073"/>
    <cellStyle name="Normal 3 3 2 2 3 2 5 2" xfId="36660"/>
    <cellStyle name="Normal 3 3 2 2 3 2 6" xfId="7633"/>
    <cellStyle name="Normal 3 3 2 2 3 2 6 2" xfId="30220"/>
    <cellStyle name="Normal 3 3 2 2 3 2 7" xfId="23780"/>
    <cellStyle name="Normal 3 3 2 2 3 3" xfId="1533"/>
    <cellStyle name="Normal 3 3 2 2 3 3 2" xfId="2847"/>
    <cellStyle name="Normal 3 3 2 2 3 3 2 2" xfId="6068"/>
    <cellStyle name="Normal 3 3 2 2 3 3 2 2 2" xfId="22168"/>
    <cellStyle name="Normal 3 3 2 2 3 3 2 2 2 2" xfId="44755"/>
    <cellStyle name="Normal 3 3 2 2 3 3 2 2 3" xfId="12508"/>
    <cellStyle name="Normal 3 3 2 2 3 3 2 2 3 2" xfId="35095"/>
    <cellStyle name="Normal 3 3 2 2 3 3 2 2 4" xfId="28655"/>
    <cellStyle name="Normal 3 3 2 2 3 3 2 3" xfId="18948"/>
    <cellStyle name="Normal 3 3 2 2 3 3 2 3 2" xfId="41535"/>
    <cellStyle name="Normal 3 3 2 2 3 3 2 4" xfId="15728"/>
    <cellStyle name="Normal 3 3 2 2 3 3 2 4 2" xfId="38315"/>
    <cellStyle name="Normal 3 3 2 2 3 3 2 5" xfId="9288"/>
    <cellStyle name="Normal 3 3 2 2 3 3 2 5 2" xfId="31875"/>
    <cellStyle name="Normal 3 3 2 2 3 3 2 6" xfId="25435"/>
    <cellStyle name="Normal 3 3 2 2 3 3 3" xfId="4760"/>
    <cellStyle name="Normal 3 3 2 2 3 3 3 2" xfId="20860"/>
    <cellStyle name="Normal 3 3 2 2 3 3 3 2 2" xfId="43447"/>
    <cellStyle name="Normal 3 3 2 2 3 3 3 3" xfId="11200"/>
    <cellStyle name="Normal 3 3 2 2 3 3 3 3 2" xfId="33787"/>
    <cellStyle name="Normal 3 3 2 2 3 3 3 4" xfId="27347"/>
    <cellStyle name="Normal 3 3 2 2 3 3 4" xfId="17640"/>
    <cellStyle name="Normal 3 3 2 2 3 3 4 2" xfId="40227"/>
    <cellStyle name="Normal 3 3 2 2 3 3 5" xfId="14420"/>
    <cellStyle name="Normal 3 3 2 2 3 3 5 2" xfId="37007"/>
    <cellStyle name="Normal 3 3 2 2 3 3 6" xfId="7980"/>
    <cellStyle name="Normal 3 3 2 2 3 3 6 2" xfId="30567"/>
    <cellStyle name="Normal 3 3 2 2 3 3 7" xfId="24127"/>
    <cellStyle name="Normal 3 3 2 2 3 4" xfId="2153"/>
    <cellStyle name="Normal 3 3 2 2 3 4 2" xfId="5374"/>
    <cellStyle name="Normal 3 3 2 2 3 4 2 2" xfId="21474"/>
    <cellStyle name="Normal 3 3 2 2 3 4 2 2 2" xfId="44061"/>
    <cellStyle name="Normal 3 3 2 2 3 4 2 3" xfId="11814"/>
    <cellStyle name="Normal 3 3 2 2 3 4 2 3 2" xfId="34401"/>
    <cellStyle name="Normal 3 3 2 2 3 4 2 4" xfId="27961"/>
    <cellStyle name="Normal 3 3 2 2 3 4 3" xfId="18254"/>
    <cellStyle name="Normal 3 3 2 2 3 4 3 2" xfId="40841"/>
    <cellStyle name="Normal 3 3 2 2 3 4 4" xfId="15034"/>
    <cellStyle name="Normal 3 3 2 2 3 4 4 2" xfId="37621"/>
    <cellStyle name="Normal 3 3 2 2 3 4 5" xfId="8594"/>
    <cellStyle name="Normal 3 3 2 2 3 4 5 2" xfId="31181"/>
    <cellStyle name="Normal 3 3 2 2 3 4 6" xfId="24741"/>
    <cellStyle name="Normal 3 3 2 2 3 5" xfId="3111"/>
    <cellStyle name="Normal 3 3 2 2 3 5 2" xfId="6331"/>
    <cellStyle name="Normal 3 3 2 2 3 5 2 2" xfId="22431"/>
    <cellStyle name="Normal 3 3 2 2 3 5 2 2 2" xfId="45018"/>
    <cellStyle name="Normal 3 3 2 2 3 5 2 3" xfId="12771"/>
    <cellStyle name="Normal 3 3 2 2 3 5 2 3 2" xfId="35358"/>
    <cellStyle name="Normal 3 3 2 2 3 5 2 4" xfId="28918"/>
    <cellStyle name="Normal 3 3 2 2 3 5 3" xfId="19211"/>
    <cellStyle name="Normal 3 3 2 2 3 5 3 2" xfId="41798"/>
    <cellStyle name="Normal 3 3 2 2 3 5 4" xfId="15991"/>
    <cellStyle name="Normal 3 3 2 2 3 5 4 2" xfId="38578"/>
    <cellStyle name="Normal 3 3 2 2 3 5 5" xfId="9551"/>
    <cellStyle name="Normal 3 3 2 2 3 5 5 2" xfId="32138"/>
    <cellStyle name="Normal 3 3 2 2 3 5 6" xfId="25698"/>
    <cellStyle name="Normal 3 3 2 2 3 6" xfId="3401"/>
    <cellStyle name="Normal 3 3 2 2 3 6 2" xfId="6621"/>
    <cellStyle name="Normal 3 3 2 2 3 6 2 2" xfId="22721"/>
    <cellStyle name="Normal 3 3 2 2 3 6 2 2 2" xfId="45308"/>
    <cellStyle name="Normal 3 3 2 2 3 6 2 3" xfId="13061"/>
    <cellStyle name="Normal 3 3 2 2 3 6 2 3 2" xfId="35648"/>
    <cellStyle name="Normal 3 3 2 2 3 6 2 4" xfId="29208"/>
    <cellStyle name="Normal 3 3 2 2 3 6 3" xfId="19501"/>
    <cellStyle name="Normal 3 3 2 2 3 6 3 2" xfId="42088"/>
    <cellStyle name="Normal 3 3 2 2 3 6 4" xfId="16281"/>
    <cellStyle name="Normal 3 3 2 2 3 6 4 2" xfId="38868"/>
    <cellStyle name="Normal 3 3 2 2 3 6 5" xfId="9841"/>
    <cellStyle name="Normal 3 3 2 2 3 6 5 2" xfId="32428"/>
    <cellStyle name="Normal 3 3 2 2 3 6 6" xfId="25988"/>
    <cellStyle name="Normal 3 3 2 2 3 7" xfId="834"/>
    <cellStyle name="Normal 3 3 2 2 3 7 2" xfId="4066"/>
    <cellStyle name="Normal 3 3 2 2 3 7 2 2" xfId="20166"/>
    <cellStyle name="Normal 3 3 2 2 3 7 2 2 2" xfId="42753"/>
    <cellStyle name="Normal 3 3 2 2 3 7 2 3" xfId="10506"/>
    <cellStyle name="Normal 3 3 2 2 3 7 2 3 2" xfId="33093"/>
    <cellStyle name="Normal 3 3 2 2 3 7 2 4" xfId="26653"/>
    <cellStyle name="Normal 3 3 2 2 3 7 3" xfId="16946"/>
    <cellStyle name="Normal 3 3 2 2 3 7 3 2" xfId="39533"/>
    <cellStyle name="Normal 3 3 2 2 3 7 4" xfId="13726"/>
    <cellStyle name="Normal 3 3 2 2 3 7 4 2" xfId="36313"/>
    <cellStyle name="Normal 3 3 2 2 3 7 5" xfId="7286"/>
    <cellStyle name="Normal 3 3 2 2 3 7 5 2" xfId="29873"/>
    <cellStyle name="Normal 3 3 2 2 3 7 6" xfId="23433"/>
    <cellStyle name="Normal 3 3 2 2 3 8" xfId="3691"/>
    <cellStyle name="Normal 3 3 2 2 3 8 2" xfId="19791"/>
    <cellStyle name="Normal 3 3 2 2 3 8 2 2" xfId="42378"/>
    <cellStyle name="Normal 3 3 2 2 3 8 3" xfId="10131"/>
    <cellStyle name="Normal 3 3 2 2 3 8 3 2" xfId="32718"/>
    <cellStyle name="Normal 3 3 2 2 3 8 4" xfId="26278"/>
    <cellStyle name="Normal 3 3 2 2 3 9" xfId="16571"/>
    <cellStyle name="Normal 3 3 2 2 3 9 2" xfId="39158"/>
    <cellStyle name="Normal 3 3 2 2 4" xfId="903"/>
    <cellStyle name="Normal 3 3 2 2 4 2" xfId="2222"/>
    <cellStyle name="Normal 3 3 2 2 4 2 2" xfId="5443"/>
    <cellStyle name="Normal 3 3 2 2 4 2 2 2" xfId="21543"/>
    <cellStyle name="Normal 3 3 2 2 4 2 2 2 2" xfId="44130"/>
    <cellStyle name="Normal 3 3 2 2 4 2 2 3" xfId="11883"/>
    <cellStyle name="Normal 3 3 2 2 4 2 2 3 2" xfId="34470"/>
    <cellStyle name="Normal 3 3 2 2 4 2 2 4" xfId="28030"/>
    <cellStyle name="Normal 3 3 2 2 4 2 3" xfId="18323"/>
    <cellStyle name="Normal 3 3 2 2 4 2 3 2" xfId="40910"/>
    <cellStyle name="Normal 3 3 2 2 4 2 4" xfId="15103"/>
    <cellStyle name="Normal 3 3 2 2 4 2 4 2" xfId="37690"/>
    <cellStyle name="Normal 3 3 2 2 4 2 5" xfId="8663"/>
    <cellStyle name="Normal 3 3 2 2 4 2 5 2" xfId="31250"/>
    <cellStyle name="Normal 3 3 2 2 4 2 6" xfId="24810"/>
    <cellStyle name="Normal 3 3 2 2 4 3" xfId="4135"/>
    <cellStyle name="Normal 3 3 2 2 4 3 2" xfId="20235"/>
    <cellStyle name="Normal 3 3 2 2 4 3 2 2" xfId="42822"/>
    <cellStyle name="Normal 3 3 2 2 4 3 3" xfId="10575"/>
    <cellStyle name="Normal 3 3 2 2 4 3 3 2" xfId="33162"/>
    <cellStyle name="Normal 3 3 2 2 4 3 4" xfId="26722"/>
    <cellStyle name="Normal 3 3 2 2 4 4" xfId="17015"/>
    <cellStyle name="Normal 3 3 2 2 4 4 2" xfId="39602"/>
    <cellStyle name="Normal 3 3 2 2 4 5" xfId="13795"/>
    <cellStyle name="Normal 3 3 2 2 4 5 2" xfId="36382"/>
    <cellStyle name="Normal 3 3 2 2 4 6" xfId="7355"/>
    <cellStyle name="Normal 3 3 2 2 4 6 2" xfId="29942"/>
    <cellStyle name="Normal 3 3 2 2 4 7" xfId="23502"/>
    <cellStyle name="Normal 3 3 2 2 5" xfId="1255"/>
    <cellStyle name="Normal 3 3 2 2 5 2" xfId="2569"/>
    <cellStyle name="Normal 3 3 2 2 5 2 2" xfId="5790"/>
    <cellStyle name="Normal 3 3 2 2 5 2 2 2" xfId="21890"/>
    <cellStyle name="Normal 3 3 2 2 5 2 2 2 2" xfId="44477"/>
    <cellStyle name="Normal 3 3 2 2 5 2 2 3" xfId="12230"/>
    <cellStyle name="Normal 3 3 2 2 5 2 2 3 2" xfId="34817"/>
    <cellStyle name="Normal 3 3 2 2 5 2 2 4" xfId="28377"/>
    <cellStyle name="Normal 3 3 2 2 5 2 3" xfId="18670"/>
    <cellStyle name="Normal 3 3 2 2 5 2 3 2" xfId="41257"/>
    <cellStyle name="Normal 3 3 2 2 5 2 4" xfId="15450"/>
    <cellStyle name="Normal 3 3 2 2 5 2 4 2" xfId="38037"/>
    <cellStyle name="Normal 3 3 2 2 5 2 5" xfId="9010"/>
    <cellStyle name="Normal 3 3 2 2 5 2 5 2" xfId="31597"/>
    <cellStyle name="Normal 3 3 2 2 5 2 6" xfId="25157"/>
    <cellStyle name="Normal 3 3 2 2 5 3" xfId="4482"/>
    <cellStyle name="Normal 3 3 2 2 5 3 2" xfId="20582"/>
    <cellStyle name="Normal 3 3 2 2 5 3 2 2" xfId="43169"/>
    <cellStyle name="Normal 3 3 2 2 5 3 3" xfId="10922"/>
    <cellStyle name="Normal 3 3 2 2 5 3 3 2" xfId="33509"/>
    <cellStyle name="Normal 3 3 2 2 5 3 4" xfId="27069"/>
    <cellStyle name="Normal 3 3 2 2 5 4" xfId="17362"/>
    <cellStyle name="Normal 3 3 2 2 5 4 2" xfId="39949"/>
    <cellStyle name="Normal 3 3 2 2 5 5" xfId="14142"/>
    <cellStyle name="Normal 3 3 2 2 5 5 2" xfId="36729"/>
    <cellStyle name="Normal 3 3 2 2 5 6" xfId="7702"/>
    <cellStyle name="Normal 3 3 2 2 5 6 2" xfId="30289"/>
    <cellStyle name="Normal 3 3 2 2 5 7" xfId="23849"/>
    <cellStyle name="Normal 3 3 2 2 6" xfId="1670"/>
    <cellStyle name="Normal 3 3 2 2 6 2" xfId="4893"/>
    <cellStyle name="Normal 3 3 2 2 6 2 2" xfId="20993"/>
    <cellStyle name="Normal 3 3 2 2 6 2 2 2" xfId="43580"/>
    <cellStyle name="Normal 3 3 2 2 6 2 3" xfId="11333"/>
    <cellStyle name="Normal 3 3 2 2 6 2 3 2" xfId="33920"/>
    <cellStyle name="Normal 3 3 2 2 6 2 4" xfId="27480"/>
    <cellStyle name="Normal 3 3 2 2 6 3" xfId="17773"/>
    <cellStyle name="Normal 3 3 2 2 6 3 2" xfId="40360"/>
    <cellStyle name="Normal 3 3 2 2 6 4" xfId="14553"/>
    <cellStyle name="Normal 3 3 2 2 6 4 2" xfId="37140"/>
    <cellStyle name="Normal 3 3 2 2 6 5" xfId="8113"/>
    <cellStyle name="Normal 3 3 2 2 6 5 2" xfId="30700"/>
    <cellStyle name="Normal 3 3 2 2 6 6" xfId="24260"/>
    <cellStyle name="Normal 3 3 2 2 7" xfId="1874"/>
    <cellStyle name="Normal 3 3 2 2 7 2" xfId="5096"/>
    <cellStyle name="Normal 3 3 2 2 7 2 2" xfId="21196"/>
    <cellStyle name="Normal 3 3 2 2 7 2 2 2" xfId="43783"/>
    <cellStyle name="Normal 3 3 2 2 7 2 3" xfId="11536"/>
    <cellStyle name="Normal 3 3 2 2 7 2 3 2" xfId="34123"/>
    <cellStyle name="Normal 3 3 2 2 7 2 4" xfId="27683"/>
    <cellStyle name="Normal 3 3 2 2 7 3" xfId="17976"/>
    <cellStyle name="Normal 3 3 2 2 7 3 2" xfId="40563"/>
    <cellStyle name="Normal 3 3 2 2 7 4" xfId="14756"/>
    <cellStyle name="Normal 3 3 2 2 7 4 2" xfId="37343"/>
    <cellStyle name="Normal 3 3 2 2 7 5" xfId="8316"/>
    <cellStyle name="Normal 3 3 2 2 7 5 2" xfId="30903"/>
    <cellStyle name="Normal 3 3 2 2 7 6" xfId="24463"/>
    <cellStyle name="Normal 3 3 2 2 8" xfId="2917"/>
    <cellStyle name="Normal 3 3 2 2 8 2" xfId="6138"/>
    <cellStyle name="Normal 3 3 2 2 8 2 2" xfId="22238"/>
    <cellStyle name="Normal 3 3 2 2 8 2 2 2" xfId="44825"/>
    <cellStyle name="Normal 3 3 2 2 8 2 3" xfId="12578"/>
    <cellStyle name="Normal 3 3 2 2 8 2 3 2" xfId="35165"/>
    <cellStyle name="Normal 3 3 2 2 8 2 4" xfId="28725"/>
    <cellStyle name="Normal 3 3 2 2 8 3" xfId="19018"/>
    <cellStyle name="Normal 3 3 2 2 8 3 2" xfId="41605"/>
    <cellStyle name="Normal 3 3 2 2 8 4" xfId="15798"/>
    <cellStyle name="Normal 3 3 2 2 8 4 2" xfId="38385"/>
    <cellStyle name="Normal 3 3 2 2 8 5" xfId="9358"/>
    <cellStyle name="Normal 3 3 2 2 8 5 2" xfId="31945"/>
    <cellStyle name="Normal 3 3 2 2 8 6" xfId="25505"/>
    <cellStyle name="Normal 3 3 2 2 9" xfId="3208"/>
    <cellStyle name="Normal 3 3 2 2 9 2" xfId="6428"/>
    <cellStyle name="Normal 3 3 2 2 9 2 2" xfId="22528"/>
    <cellStyle name="Normal 3 3 2 2 9 2 2 2" xfId="45115"/>
    <cellStyle name="Normal 3 3 2 2 9 2 3" xfId="12868"/>
    <cellStyle name="Normal 3 3 2 2 9 2 3 2" xfId="35455"/>
    <cellStyle name="Normal 3 3 2 2 9 2 4" xfId="29015"/>
    <cellStyle name="Normal 3 3 2 2 9 3" xfId="19308"/>
    <cellStyle name="Normal 3 3 2 2 9 3 2" xfId="41895"/>
    <cellStyle name="Normal 3 3 2 2 9 4" xfId="16088"/>
    <cellStyle name="Normal 3 3 2 2 9 4 2" xfId="38675"/>
    <cellStyle name="Normal 3 3 2 2 9 5" xfId="9648"/>
    <cellStyle name="Normal 3 3 2 2 9 5 2" xfId="32235"/>
    <cellStyle name="Normal 3 3 2 2 9 6" xfId="25795"/>
    <cellStyle name="Normal 3 3 2 3" xfId="275"/>
    <cellStyle name="Normal 3 3 2 3 10" xfId="3562"/>
    <cellStyle name="Normal 3 3 2 3 10 2" xfId="19662"/>
    <cellStyle name="Normal 3 3 2 3 10 2 2" xfId="42249"/>
    <cellStyle name="Normal 3 3 2 3 10 3" xfId="10002"/>
    <cellStyle name="Normal 3 3 2 3 10 3 2" xfId="32589"/>
    <cellStyle name="Normal 3 3 2 3 10 4" xfId="26149"/>
    <cellStyle name="Normal 3 3 2 3 11" xfId="16442"/>
    <cellStyle name="Normal 3 3 2 3 11 2" xfId="39029"/>
    <cellStyle name="Normal 3 3 2 3 12" xfId="13222"/>
    <cellStyle name="Normal 3 3 2 3 12 2" xfId="35809"/>
    <cellStyle name="Normal 3 3 2 3 13" xfId="6782"/>
    <cellStyle name="Normal 3 3 2 3 13 2" xfId="29369"/>
    <cellStyle name="Normal 3 3 2 3 14" xfId="22929"/>
    <cellStyle name="Normal 3 3 2 3 2" xfId="700"/>
    <cellStyle name="Normal 3 3 2 3 2 2" xfId="1064"/>
    <cellStyle name="Normal 3 3 2 3 2 2 2" xfId="2378"/>
    <cellStyle name="Normal 3 3 2 3 2 2 2 2" xfId="5599"/>
    <cellStyle name="Normal 3 3 2 3 2 2 2 2 2" xfId="21699"/>
    <cellStyle name="Normal 3 3 2 3 2 2 2 2 2 2" xfId="44286"/>
    <cellStyle name="Normal 3 3 2 3 2 2 2 2 3" xfId="12039"/>
    <cellStyle name="Normal 3 3 2 3 2 2 2 2 3 2" xfId="34626"/>
    <cellStyle name="Normal 3 3 2 3 2 2 2 2 4" xfId="28186"/>
    <cellStyle name="Normal 3 3 2 3 2 2 2 3" xfId="18479"/>
    <cellStyle name="Normal 3 3 2 3 2 2 2 3 2" xfId="41066"/>
    <cellStyle name="Normal 3 3 2 3 2 2 2 4" xfId="15259"/>
    <cellStyle name="Normal 3 3 2 3 2 2 2 4 2" xfId="37846"/>
    <cellStyle name="Normal 3 3 2 3 2 2 2 5" xfId="8819"/>
    <cellStyle name="Normal 3 3 2 3 2 2 2 5 2" xfId="31406"/>
    <cellStyle name="Normal 3 3 2 3 2 2 2 6" xfId="24966"/>
    <cellStyle name="Normal 3 3 2 3 2 2 3" xfId="4291"/>
    <cellStyle name="Normal 3 3 2 3 2 2 3 2" xfId="20391"/>
    <cellStyle name="Normal 3 3 2 3 2 2 3 2 2" xfId="42978"/>
    <cellStyle name="Normal 3 3 2 3 2 2 3 3" xfId="10731"/>
    <cellStyle name="Normal 3 3 2 3 2 2 3 3 2" xfId="33318"/>
    <cellStyle name="Normal 3 3 2 3 2 2 3 4" xfId="26878"/>
    <cellStyle name="Normal 3 3 2 3 2 2 4" xfId="17171"/>
    <cellStyle name="Normal 3 3 2 3 2 2 4 2" xfId="39758"/>
    <cellStyle name="Normal 3 3 2 3 2 2 5" xfId="13951"/>
    <cellStyle name="Normal 3 3 2 3 2 2 5 2" xfId="36538"/>
    <cellStyle name="Normal 3 3 2 3 2 2 6" xfId="7511"/>
    <cellStyle name="Normal 3 3 2 3 2 2 6 2" xfId="30098"/>
    <cellStyle name="Normal 3 3 2 3 2 2 7" xfId="23658"/>
    <cellStyle name="Normal 3 3 2 3 2 3" xfId="1411"/>
    <cellStyle name="Normal 3 3 2 3 2 3 2" xfId="2725"/>
    <cellStyle name="Normal 3 3 2 3 2 3 2 2" xfId="5946"/>
    <cellStyle name="Normal 3 3 2 3 2 3 2 2 2" xfId="22046"/>
    <cellStyle name="Normal 3 3 2 3 2 3 2 2 2 2" xfId="44633"/>
    <cellStyle name="Normal 3 3 2 3 2 3 2 2 3" xfId="12386"/>
    <cellStyle name="Normal 3 3 2 3 2 3 2 2 3 2" xfId="34973"/>
    <cellStyle name="Normal 3 3 2 3 2 3 2 2 4" xfId="28533"/>
    <cellStyle name="Normal 3 3 2 3 2 3 2 3" xfId="18826"/>
    <cellStyle name="Normal 3 3 2 3 2 3 2 3 2" xfId="41413"/>
    <cellStyle name="Normal 3 3 2 3 2 3 2 4" xfId="15606"/>
    <cellStyle name="Normal 3 3 2 3 2 3 2 4 2" xfId="38193"/>
    <cellStyle name="Normal 3 3 2 3 2 3 2 5" xfId="9166"/>
    <cellStyle name="Normal 3 3 2 3 2 3 2 5 2" xfId="31753"/>
    <cellStyle name="Normal 3 3 2 3 2 3 2 6" xfId="25313"/>
    <cellStyle name="Normal 3 3 2 3 2 3 3" xfId="4638"/>
    <cellStyle name="Normal 3 3 2 3 2 3 3 2" xfId="20738"/>
    <cellStyle name="Normal 3 3 2 3 2 3 3 2 2" xfId="43325"/>
    <cellStyle name="Normal 3 3 2 3 2 3 3 3" xfId="11078"/>
    <cellStyle name="Normal 3 3 2 3 2 3 3 3 2" xfId="33665"/>
    <cellStyle name="Normal 3 3 2 3 2 3 3 4" xfId="27225"/>
    <cellStyle name="Normal 3 3 2 3 2 3 4" xfId="17518"/>
    <cellStyle name="Normal 3 3 2 3 2 3 4 2" xfId="40105"/>
    <cellStyle name="Normal 3 3 2 3 2 3 5" xfId="14298"/>
    <cellStyle name="Normal 3 3 2 3 2 3 5 2" xfId="36885"/>
    <cellStyle name="Normal 3 3 2 3 2 3 6" xfId="7858"/>
    <cellStyle name="Normal 3 3 2 3 2 3 6 2" xfId="30445"/>
    <cellStyle name="Normal 3 3 2 3 2 3 7" xfId="24005"/>
    <cellStyle name="Normal 3 3 2 3 2 4" xfId="2030"/>
    <cellStyle name="Normal 3 3 2 3 2 4 2" xfId="5252"/>
    <cellStyle name="Normal 3 3 2 3 2 4 2 2" xfId="21352"/>
    <cellStyle name="Normal 3 3 2 3 2 4 2 2 2" xfId="43939"/>
    <cellStyle name="Normal 3 3 2 3 2 4 2 3" xfId="11692"/>
    <cellStyle name="Normal 3 3 2 3 2 4 2 3 2" xfId="34279"/>
    <cellStyle name="Normal 3 3 2 3 2 4 2 4" xfId="27839"/>
    <cellStyle name="Normal 3 3 2 3 2 4 3" xfId="18132"/>
    <cellStyle name="Normal 3 3 2 3 2 4 3 2" xfId="40719"/>
    <cellStyle name="Normal 3 3 2 3 2 4 4" xfId="14912"/>
    <cellStyle name="Normal 3 3 2 3 2 4 4 2" xfId="37499"/>
    <cellStyle name="Normal 3 3 2 3 2 4 5" xfId="8472"/>
    <cellStyle name="Normal 3 3 2 3 2 4 5 2" xfId="31059"/>
    <cellStyle name="Normal 3 3 2 3 2 4 6" xfId="24619"/>
    <cellStyle name="Normal 3 3 2 3 2 5" xfId="3944"/>
    <cellStyle name="Normal 3 3 2 3 2 5 2" xfId="20044"/>
    <cellStyle name="Normal 3 3 2 3 2 5 2 2" xfId="42631"/>
    <cellStyle name="Normal 3 3 2 3 2 5 3" xfId="10384"/>
    <cellStyle name="Normal 3 3 2 3 2 5 3 2" xfId="32971"/>
    <cellStyle name="Normal 3 3 2 3 2 5 4" xfId="26531"/>
    <cellStyle name="Normal 3 3 2 3 2 6" xfId="16824"/>
    <cellStyle name="Normal 3 3 2 3 2 6 2" xfId="39411"/>
    <cellStyle name="Normal 3 3 2 3 2 7" xfId="13604"/>
    <cellStyle name="Normal 3 3 2 3 2 7 2" xfId="36191"/>
    <cellStyle name="Normal 3 3 2 3 2 8" xfId="7164"/>
    <cellStyle name="Normal 3 3 2 3 2 8 2" xfId="29751"/>
    <cellStyle name="Normal 3 3 2 3 2 9" xfId="23311"/>
    <cellStyle name="Normal 3 3 2 3 3" xfId="943"/>
    <cellStyle name="Normal 3 3 2 3 3 2" xfId="2262"/>
    <cellStyle name="Normal 3 3 2 3 3 2 2" xfId="5483"/>
    <cellStyle name="Normal 3 3 2 3 3 2 2 2" xfId="21583"/>
    <cellStyle name="Normal 3 3 2 3 3 2 2 2 2" xfId="44170"/>
    <cellStyle name="Normal 3 3 2 3 3 2 2 3" xfId="11923"/>
    <cellStyle name="Normal 3 3 2 3 3 2 2 3 2" xfId="34510"/>
    <cellStyle name="Normal 3 3 2 3 3 2 2 4" xfId="28070"/>
    <cellStyle name="Normal 3 3 2 3 3 2 3" xfId="18363"/>
    <cellStyle name="Normal 3 3 2 3 3 2 3 2" xfId="40950"/>
    <cellStyle name="Normal 3 3 2 3 3 2 4" xfId="15143"/>
    <cellStyle name="Normal 3 3 2 3 3 2 4 2" xfId="37730"/>
    <cellStyle name="Normal 3 3 2 3 3 2 5" xfId="8703"/>
    <cellStyle name="Normal 3 3 2 3 3 2 5 2" xfId="31290"/>
    <cellStyle name="Normal 3 3 2 3 3 2 6" xfId="24850"/>
    <cellStyle name="Normal 3 3 2 3 3 3" xfId="4175"/>
    <cellStyle name="Normal 3 3 2 3 3 3 2" xfId="20275"/>
    <cellStyle name="Normal 3 3 2 3 3 3 2 2" xfId="42862"/>
    <cellStyle name="Normal 3 3 2 3 3 3 3" xfId="10615"/>
    <cellStyle name="Normal 3 3 2 3 3 3 3 2" xfId="33202"/>
    <cellStyle name="Normal 3 3 2 3 3 3 4" xfId="26762"/>
    <cellStyle name="Normal 3 3 2 3 3 4" xfId="17055"/>
    <cellStyle name="Normal 3 3 2 3 3 4 2" xfId="39642"/>
    <cellStyle name="Normal 3 3 2 3 3 5" xfId="13835"/>
    <cellStyle name="Normal 3 3 2 3 3 5 2" xfId="36422"/>
    <cellStyle name="Normal 3 3 2 3 3 6" xfId="7395"/>
    <cellStyle name="Normal 3 3 2 3 3 6 2" xfId="29982"/>
    <cellStyle name="Normal 3 3 2 3 3 7" xfId="23542"/>
    <cellStyle name="Normal 3 3 2 3 4" xfId="1295"/>
    <cellStyle name="Normal 3 3 2 3 4 2" xfId="2609"/>
    <cellStyle name="Normal 3 3 2 3 4 2 2" xfId="5830"/>
    <cellStyle name="Normal 3 3 2 3 4 2 2 2" xfId="21930"/>
    <cellStyle name="Normal 3 3 2 3 4 2 2 2 2" xfId="44517"/>
    <cellStyle name="Normal 3 3 2 3 4 2 2 3" xfId="12270"/>
    <cellStyle name="Normal 3 3 2 3 4 2 2 3 2" xfId="34857"/>
    <cellStyle name="Normal 3 3 2 3 4 2 2 4" xfId="28417"/>
    <cellStyle name="Normal 3 3 2 3 4 2 3" xfId="18710"/>
    <cellStyle name="Normal 3 3 2 3 4 2 3 2" xfId="41297"/>
    <cellStyle name="Normal 3 3 2 3 4 2 4" xfId="15490"/>
    <cellStyle name="Normal 3 3 2 3 4 2 4 2" xfId="38077"/>
    <cellStyle name="Normal 3 3 2 3 4 2 5" xfId="9050"/>
    <cellStyle name="Normal 3 3 2 3 4 2 5 2" xfId="31637"/>
    <cellStyle name="Normal 3 3 2 3 4 2 6" xfId="25197"/>
    <cellStyle name="Normal 3 3 2 3 4 3" xfId="4522"/>
    <cellStyle name="Normal 3 3 2 3 4 3 2" xfId="20622"/>
    <cellStyle name="Normal 3 3 2 3 4 3 2 2" xfId="43209"/>
    <cellStyle name="Normal 3 3 2 3 4 3 3" xfId="10962"/>
    <cellStyle name="Normal 3 3 2 3 4 3 3 2" xfId="33549"/>
    <cellStyle name="Normal 3 3 2 3 4 3 4" xfId="27109"/>
    <cellStyle name="Normal 3 3 2 3 4 4" xfId="17402"/>
    <cellStyle name="Normal 3 3 2 3 4 4 2" xfId="39989"/>
    <cellStyle name="Normal 3 3 2 3 4 5" xfId="14182"/>
    <cellStyle name="Normal 3 3 2 3 4 5 2" xfId="36769"/>
    <cellStyle name="Normal 3 3 2 3 4 6" xfId="7742"/>
    <cellStyle name="Normal 3 3 2 3 4 6 2" xfId="30329"/>
    <cellStyle name="Normal 3 3 2 3 4 7" xfId="23889"/>
    <cellStyle name="Normal 3 3 2 3 5" xfId="1671"/>
    <cellStyle name="Normal 3 3 2 3 5 2" xfId="4894"/>
    <cellStyle name="Normal 3 3 2 3 5 2 2" xfId="20994"/>
    <cellStyle name="Normal 3 3 2 3 5 2 2 2" xfId="43581"/>
    <cellStyle name="Normal 3 3 2 3 5 2 3" xfId="11334"/>
    <cellStyle name="Normal 3 3 2 3 5 2 3 2" xfId="33921"/>
    <cellStyle name="Normal 3 3 2 3 5 2 4" xfId="27481"/>
    <cellStyle name="Normal 3 3 2 3 5 3" xfId="17774"/>
    <cellStyle name="Normal 3 3 2 3 5 3 2" xfId="40361"/>
    <cellStyle name="Normal 3 3 2 3 5 4" xfId="14554"/>
    <cellStyle name="Normal 3 3 2 3 5 4 2" xfId="37141"/>
    <cellStyle name="Normal 3 3 2 3 5 5" xfId="8114"/>
    <cellStyle name="Normal 3 3 2 3 5 5 2" xfId="30701"/>
    <cellStyle name="Normal 3 3 2 3 5 6" xfId="24261"/>
    <cellStyle name="Normal 3 3 2 3 6" xfId="1914"/>
    <cellStyle name="Normal 3 3 2 3 6 2" xfId="5136"/>
    <cellStyle name="Normal 3 3 2 3 6 2 2" xfId="21236"/>
    <cellStyle name="Normal 3 3 2 3 6 2 2 2" xfId="43823"/>
    <cellStyle name="Normal 3 3 2 3 6 2 3" xfId="11576"/>
    <cellStyle name="Normal 3 3 2 3 6 2 3 2" xfId="34163"/>
    <cellStyle name="Normal 3 3 2 3 6 2 4" xfId="27723"/>
    <cellStyle name="Normal 3 3 2 3 6 3" xfId="18016"/>
    <cellStyle name="Normal 3 3 2 3 6 3 2" xfId="40603"/>
    <cellStyle name="Normal 3 3 2 3 6 4" xfId="14796"/>
    <cellStyle name="Normal 3 3 2 3 6 4 2" xfId="37383"/>
    <cellStyle name="Normal 3 3 2 3 6 5" xfId="8356"/>
    <cellStyle name="Normal 3 3 2 3 6 5 2" xfId="30943"/>
    <cellStyle name="Normal 3 3 2 3 6 6" xfId="24503"/>
    <cellStyle name="Normal 3 3 2 3 7" xfId="2982"/>
    <cellStyle name="Normal 3 3 2 3 7 2" xfId="6202"/>
    <cellStyle name="Normal 3 3 2 3 7 2 2" xfId="22302"/>
    <cellStyle name="Normal 3 3 2 3 7 2 2 2" xfId="44889"/>
    <cellStyle name="Normal 3 3 2 3 7 2 3" xfId="12642"/>
    <cellStyle name="Normal 3 3 2 3 7 2 3 2" xfId="35229"/>
    <cellStyle name="Normal 3 3 2 3 7 2 4" xfId="28789"/>
    <cellStyle name="Normal 3 3 2 3 7 3" xfId="19082"/>
    <cellStyle name="Normal 3 3 2 3 7 3 2" xfId="41669"/>
    <cellStyle name="Normal 3 3 2 3 7 4" xfId="15862"/>
    <cellStyle name="Normal 3 3 2 3 7 4 2" xfId="38449"/>
    <cellStyle name="Normal 3 3 2 3 7 5" xfId="9422"/>
    <cellStyle name="Normal 3 3 2 3 7 5 2" xfId="32009"/>
    <cellStyle name="Normal 3 3 2 3 7 6" xfId="25569"/>
    <cellStyle name="Normal 3 3 2 3 8" xfId="3272"/>
    <cellStyle name="Normal 3 3 2 3 8 2" xfId="6492"/>
    <cellStyle name="Normal 3 3 2 3 8 2 2" xfId="22592"/>
    <cellStyle name="Normal 3 3 2 3 8 2 2 2" xfId="45179"/>
    <cellStyle name="Normal 3 3 2 3 8 2 3" xfId="12932"/>
    <cellStyle name="Normal 3 3 2 3 8 2 3 2" xfId="35519"/>
    <cellStyle name="Normal 3 3 2 3 8 2 4" xfId="29079"/>
    <cellStyle name="Normal 3 3 2 3 8 3" xfId="19372"/>
    <cellStyle name="Normal 3 3 2 3 8 3 2" xfId="41959"/>
    <cellStyle name="Normal 3 3 2 3 8 4" xfId="16152"/>
    <cellStyle name="Normal 3 3 2 3 8 4 2" xfId="38739"/>
    <cellStyle name="Normal 3 3 2 3 8 5" xfId="9712"/>
    <cellStyle name="Normal 3 3 2 3 8 5 2" xfId="32299"/>
    <cellStyle name="Normal 3 3 2 3 8 6" xfId="25859"/>
    <cellStyle name="Normal 3 3 2 3 9" xfId="541"/>
    <cellStyle name="Normal 3 3 2 3 9 2" xfId="3828"/>
    <cellStyle name="Normal 3 3 2 3 9 2 2" xfId="19928"/>
    <cellStyle name="Normal 3 3 2 3 9 2 2 2" xfId="42515"/>
    <cellStyle name="Normal 3 3 2 3 9 2 3" xfId="10268"/>
    <cellStyle name="Normal 3 3 2 3 9 2 3 2" xfId="32855"/>
    <cellStyle name="Normal 3 3 2 3 9 2 4" xfId="26415"/>
    <cellStyle name="Normal 3 3 2 3 9 3" xfId="16708"/>
    <cellStyle name="Normal 3 3 2 3 9 3 2" xfId="39295"/>
    <cellStyle name="Normal 3 3 2 3 9 4" xfId="13488"/>
    <cellStyle name="Normal 3 3 2 3 9 4 2" xfId="36075"/>
    <cellStyle name="Normal 3 3 2 3 9 5" xfId="7048"/>
    <cellStyle name="Normal 3 3 2 3 9 5 2" xfId="29635"/>
    <cellStyle name="Normal 3 3 2 3 9 6" xfId="23195"/>
    <cellStyle name="Normal 3 3 2 4" xfId="367"/>
    <cellStyle name="Normal 3 3 2 4 10" xfId="16534"/>
    <cellStyle name="Normal 3 3 2 4 10 2" xfId="39121"/>
    <cellStyle name="Normal 3 3 2 4 11" xfId="13314"/>
    <cellStyle name="Normal 3 3 2 4 11 2" xfId="35901"/>
    <cellStyle name="Normal 3 3 2 4 12" xfId="6874"/>
    <cellStyle name="Normal 3 3 2 4 12 2" xfId="29461"/>
    <cellStyle name="Normal 3 3 2 4 13" xfId="23021"/>
    <cellStyle name="Normal 3 3 2 4 2" xfId="990"/>
    <cellStyle name="Normal 3 3 2 4 2 2" xfId="2304"/>
    <cellStyle name="Normal 3 3 2 4 2 2 2" xfId="5525"/>
    <cellStyle name="Normal 3 3 2 4 2 2 2 2" xfId="21625"/>
    <cellStyle name="Normal 3 3 2 4 2 2 2 2 2" xfId="44212"/>
    <cellStyle name="Normal 3 3 2 4 2 2 2 3" xfId="11965"/>
    <cellStyle name="Normal 3 3 2 4 2 2 2 3 2" xfId="34552"/>
    <cellStyle name="Normal 3 3 2 4 2 2 2 4" xfId="28112"/>
    <cellStyle name="Normal 3 3 2 4 2 2 3" xfId="18405"/>
    <cellStyle name="Normal 3 3 2 4 2 2 3 2" xfId="40992"/>
    <cellStyle name="Normal 3 3 2 4 2 2 4" xfId="15185"/>
    <cellStyle name="Normal 3 3 2 4 2 2 4 2" xfId="37772"/>
    <cellStyle name="Normal 3 3 2 4 2 2 5" xfId="8745"/>
    <cellStyle name="Normal 3 3 2 4 2 2 5 2" xfId="31332"/>
    <cellStyle name="Normal 3 3 2 4 2 2 6" xfId="24892"/>
    <cellStyle name="Normal 3 3 2 4 2 3" xfId="4217"/>
    <cellStyle name="Normal 3 3 2 4 2 3 2" xfId="20317"/>
    <cellStyle name="Normal 3 3 2 4 2 3 2 2" xfId="42904"/>
    <cellStyle name="Normal 3 3 2 4 2 3 3" xfId="10657"/>
    <cellStyle name="Normal 3 3 2 4 2 3 3 2" xfId="33244"/>
    <cellStyle name="Normal 3 3 2 4 2 3 4" xfId="26804"/>
    <cellStyle name="Normal 3 3 2 4 2 4" xfId="17097"/>
    <cellStyle name="Normal 3 3 2 4 2 4 2" xfId="39684"/>
    <cellStyle name="Normal 3 3 2 4 2 5" xfId="13877"/>
    <cellStyle name="Normal 3 3 2 4 2 5 2" xfId="36464"/>
    <cellStyle name="Normal 3 3 2 4 2 6" xfId="7437"/>
    <cellStyle name="Normal 3 3 2 4 2 6 2" xfId="30024"/>
    <cellStyle name="Normal 3 3 2 4 2 7" xfId="23584"/>
    <cellStyle name="Normal 3 3 2 4 3" xfId="1337"/>
    <cellStyle name="Normal 3 3 2 4 3 2" xfId="2651"/>
    <cellStyle name="Normal 3 3 2 4 3 2 2" xfId="5872"/>
    <cellStyle name="Normal 3 3 2 4 3 2 2 2" xfId="21972"/>
    <cellStyle name="Normal 3 3 2 4 3 2 2 2 2" xfId="44559"/>
    <cellStyle name="Normal 3 3 2 4 3 2 2 3" xfId="12312"/>
    <cellStyle name="Normal 3 3 2 4 3 2 2 3 2" xfId="34899"/>
    <cellStyle name="Normal 3 3 2 4 3 2 2 4" xfId="28459"/>
    <cellStyle name="Normal 3 3 2 4 3 2 3" xfId="18752"/>
    <cellStyle name="Normal 3 3 2 4 3 2 3 2" xfId="41339"/>
    <cellStyle name="Normal 3 3 2 4 3 2 4" xfId="15532"/>
    <cellStyle name="Normal 3 3 2 4 3 2 4 2" xfId="38119"/>
    <cellStyle name="Normal 3 3 2 4 3 2 5" xfId="9092"/>
    <cellStyle name="Normal 3 3 2 4 3 2 5 2" xfId="31679"/>
    <cellStyle name="Normal 3 3 2 4 3 2 6" xfId="25239"/>
    <cellStyle name="Normal 3 3 2 4 3 3" xfId="4564"/>
    <cellStyle name="Normal 3 3 2 4 3 3 2" xfId="20664"/>
    <cellStyle name="Normal 3 3 2 4 3 3 2 2" xfId="43251"/>
    <cellStyle name="Normal 3 3 2 4 3 3 3" xfId="11004"/>
    <cellStyle name="Normal 3 3 2 4 3 3 3 2" xfId="33591"/>
    <cellStyle name="Normal 3 3 2 4 3 3 4" xfId="27151"/>
    <cellStyle name="Normal 3 3 2 4 3 4" xfId="17444"/>
    <cellStyle name="Normal 3 3 2 4 3 4 2" xfId="40031"/>
    <cellStyle name="Normal 3 3 2 4 3 5" xfId="14224"/>
    <cellStyle name="Normal 3 3 2 4 3 5 2" xfId="36811"/>
    <cellStyle name="Normal 3 3 2 4 3 6" xfId="7784"/>
    <cellStyle name="Normal 3 3 2 4 3 6 2" xfId="30371"/>
    <cellStyle name="Normal 3 3 2 4 3 7" xfId="23931"/>
    <cellStyle name="Normal 3 3 2 4 4" xfId="1672"/>
    <cellStyle name="Normal 3 3 2 4 4 2" xfId="4895"/>
    <cellStyle name="Normal 3 3 2 4 4 2 2" xfId="20995"/>
    <cellStyle name="Normal 3 3 2 4 4 2 2 2" xfId="43582"/>
    <cellStyle name="Normal 3 3 2 4 4 2 3" xfId="11335"/>
    <cellStyle name="Normal 3 3 2 4 4 2 3 2" xfId="33922"/>
    <cellStyle name="Normal 3 3 2 4 4 2 4" xfId="27482"/>
    <cellStyle name="Normal 3 3 2 4 4 3" xfId="17775"/>
    <cellStyle name="Normal 3 3 2 4 4 3 2" xfId="40362"/>
    <cellStyle name="Normal 3 3 2 4 4 4" xfId="14555"/>
    <cellStyle name="Normal 3 3 2 4 4 4 2" xfId="37142"/>
    <cellStyle name="Normal 3 3 2 4 4 5" xfId="8115"/>
    <cellStyle name="Normal 3 3 2 4 4 5 2" xfId="30702"/>
    <cellStyle name="Normal 3 3 2 4 4 6" xfId="24262"/>
    <cellStyle name="Normal 3 3 2 4 5" xfId="1956"/>
    <cellStyle name="Normal 3 3 2 4 5 2" xfId="5178"/>
    <cellStyle name="Normal 3 3 2 4 5 2 2" xfId="21278"/>
    <cellStyle name="Normal 3 3 2 4 5 2 2 2" xfId="43865"/>
    <cellStyle name="Normal 3 3 2 4 5 2 3" xfId="11618"/>
    <cellStyle name="Normal 3 3 2 4 5 2 3 2" xfId="34205"/>
    <cellStyle name="Normal 3 3 2 4 5 2 4" xfId="27765"/>
    <cellStyle name="Normal 3 3 2 4 5 3" xfId="18058"/>
    <cellStyle name="Normal 3 3 2 4 5 3 2" xfId="40645"/>
    <cellStyle name="Normal 3 3 2 4 5 4" xfId="14838"/>
    <cellStyle name="Normal 3 3 2 4 5 4 2" xfId="37425"/>
    <cellStyle name="Normal 3 3 2 4 5 5" xfId="8398"/>
    <cellStyle name="Normal 3 3 2 4 5 5 2" xfId="30985"/>
    <cellStyle name="Normal 3 3 2 4 5 6" xfId="24545"/>
    <cellStyle name="Normal 3 3 2 4 6" xfId="3074"/>
    <cellStyle name="Normal 3 3 2 4 6 2" xfId="6294"/>
    <cellStyle name="Normal 3 3 2 4 6 2 2" xfId="22394"/>
    <cellStyle name="Normal 3 3 2 4 6 2 2 2" xfId="44981"/>
    <cellStyle name="Normal 3 3 2 4 6 2 3" xfId="12734"/>
    <cellStyle name="Normal 3 3 2 4 6 2 3 2" xfId="35321"/>
    <cellStyle name="Normal 3 3 2 4 6 2 4" xfId="28881"/>
    <cellStyle name="Normal 3 3 2 4 6 3" xfId="19174"/>
    <cellStyle name="Normal 3 3 2 4 6 3 2" xfId="41761"/>
    <cellStyle name="Normal 3 3 2 4 6 4" xfId="15954"/>
    <cellStyle name="Normal 3 3 2 4 6 4 2" xfId="38541"/>
    <cellStyle name="Normal 3 3 2 4 6 5" xfId="9514"/>
    <cellStyle name="Normal 3 3 2 4 6 5 2" xfId="32101"/>
    <cellStyle name="Normal 3 3 2 4 6 6" xfId="25661"/>
    <cellStyle name="Normal 3 3 2 4 7" xfId="3364"/>
    <cellStyle name="Normal 3 3 2 4 7 2" xfId="6584"/>
    <cellStyle name="Normal 3 3 2 4 7 2 2" xfId="22684"/>
    <cellStyle name="Normal 3 3 2 4 7 2 2 2" xfId="45271"/>
    <cellStyle name="Normal 3 3 2 4 7 2 3" xfId="13024"/>
    <cellStyle name="Normal 3 3 2 4 7 2 3 2" xfId="35611"/>
    <cellStyle name="Normal 3 3 2 4 7 2 4" xfId="29171"/>
    <cellStyle name="Normal 3 3 2 4 7 3" xfId="19464"/>
    <cellStyle name="Normal 3 3 2 4 7 3 2" xfId="42051"/>
    <cellStyle name="Normal 3 3 2 4 7 4" xfId="16244"/>
    <cellStyle name="Normal 3 3 2 4 7 4 2" xfId="38831"/>
    <cellStyle name="Normal 3 3 2 4 7 5" xfId="9804"/>
    <cellStyle name="Normal 3 3 2 4 7 5 2" xfId="32391"/>
    <cellStyle name="Normal 3 3 2 4 7 6" xfId="25951"/>
    <cellStyle name="Normal 3 3 2 4 8" xfId="626"/>
    <cellStyle name="Normal 3 3 2 4 8 2" xfId="3870"/>
    <cellStyle name="Normal 3 3 2 4 8 2 2" xfId="19970"/>
    <cellStyle name="Normal 3 3 2 4 8 2 2 2" xfId="42557"/>
    <cellStyle name="Normal 3 3 2 4 8 2 3" xfId="10310"/>
    <cellStyle name="Normal 3 3 2 4 8 2 3 2" xfId="32897"/>
    <cellStyle name="Normal 3 3 2 4 8 2 4" xfId="26457"/>
    <cellStyle name="Normal 3 3 2 4 8 3" xfId="16750"/>
    <cellStyle name="Normal 3 3 2 4 8 3 2" xfId="39337"/>
    <cellStyle name="Normal 3 3 2 4 8 4" xfId="13530"/>
    <cellStyle name="Normal 3 3 2 4 8 4 2" xfId="36117"/>
    <cellStyle name="Normal 3 3 2 4 8 5" xfId="7090"/>
    <cellStyle name="Normal 3 3 2 4 8 5 2" xfId="29677"/>
    <cellStyle name="Normal 3 3 2 4 8 6" xfId="23237"/>
    <cellStyle name="Normal 3 3 2 4 9" xfId="3654"/>
    <cellStyle name="Normal 3 3 2 4 9 2" xfId="19754"/>
    <cellStyle name="Normal 3 3 2 4 9 2 2" xfId="42341"/>
    <cellStyle name="Normal 3 3 2 4 9 3" xfId="10094"/>
    <cellStyle name="Normal 3 3 2 4 9 3 2" xfId="32681"/>
    <cellStyle name="Normal 3 3 2 4 9 4" xfId="26241"/>
    <cellStyle name="Normal 3 3 2 5" xfId="796"/>
    <cellStyle name="Normal 3 3 2 5 2" xfId="1148"/>
    <cellStyle name="Normal 3 3 2 5 2 2" xfId="2462"/>
    <cellStyle name="Normal 3 3 2 5 2 2 2" xfId="5683"/>
    <cellStyle name="Normal 3 3 2 5 2 2 2 2" xfId="21783"/>
    <cellStyle name="Normal 3 3 2 5 2 2 2 2 2" xfId="44370"/>
    <cellStyle name="Normal 3 3 2 5 2 2 2 3" xfId="12123"/>
    <cellStyle name="Normal 3 3 2 5 2 2 2 3 2" xfId="34710"/>
    <cellStyle name="Normal 3 3 2 5 2 2 2 4" xfId="28270"/>
    <cellStyle name="Normal 3 3 2 5 2 2 3" xfId="18563"/>
    <cellStyle name="Normal 3 3 2 5 2 2 3 2" xfId="41150"/>
    <cellStyle name="Normal 3 3 2 5 2 2 4" xfId="15343"/>
    <cellStyle name="Normal 3 3 2 5 2 2 4 2" xfId="37930"/>
    <cellStyle name="Normal 3 3 2 5 2 2 5" xfId="8903"/>
    <cellStyle name="Normal 3 3 2 5 2 2 5 2" xfId="31490"/>
    <cellStyle name="Normal 3 3 2 5 2 2 6" xfId="25050"/>
    <cellStyle name="Normal 3 3 2 5 2 3" xfId="4375"/>
    <cellStyle name="Normal 3 3 2 5 2 3 2" xfId="20475"/>
    <cellStyle name="Normal 3 3 2 5 2 3 2 2" xfId="43062"/>
    <cellStyle name="Normal 3 3 2 5 2 3 3" xfId="10815"/>
    <cellStyle name="Normal 3 3 2 5 2 3 3 2" xfId="33402"/>
    <cellStyle name="Normal 3 3 2 5 2 3 4" xfId="26962"/>
    <cellStyle name="Normal 3 3 2 5 2 4" xfId="17255"/>
    <cellStyle name="Normal 3 3 2 5 2 4 2" xfId="39842"/>
    <cellStyle name="Normal 3 3 2 5 2 5" xfId="14035"/>
    <cellStyle name="Normal 3 3 2 5 2 5 2" xfId="36622"/>
    <cellStyle name="Normal 3 3 2 5 2 6" xfId="7595"/>
    <cellStyle name="Normal 3 3 2 5 2 6 2" xfId="30182"/>
    <cellStyle name="Normal 3 3 2 5 2 7" xfId="23742"/>
    <cellStyle name="Normal 3 3 2 5 3" xfId="1495"/>
    <cellStyle name="Normal 3 3 2 5 3 2" xfId="2809"/>
    <cellStyle name="Normal 3 3 2 5 3 2 2" xfId="6030"/>
    <cellStyle name="Normal 3 3 2 5 3 2 2 2" xfId="22130"/>
    <cellStyle name="Normal 3 3 2 5 3 2 2 2 2" xfId="44717"/>
    <cellStyle name="Normal 3 3 2 5 3 2 2 3" xfId="12470"/>
    <cellStyle name="Normal 3 3 2 5 3 2 2 3 2" xfId="35057"/>
    <cellStyle name="Normal 3 3 2 5 3 2 2 4" xfId="28617"/>
    <cellStyle name="Normal 3 3 2 5 3 2 3" xfId="18910"/>
    <cellStyle name="Normal 3 3 2 5 3 2 3 2" xfId="41497"/>
    <cellStyle name="Normal 3 3 2 5 3 2 4" xfId="15690"/>
    <cellStyle name="Normal 3 3 2 5 3 2 4 2" xfId="38277"/>
    <cellStyle name="Normal 3 3 2 5 3 2 5" xfId="9250"/>
    <cellStyle name="Normal 3 3 2 5 3 2 5 2" xfId="31837"/>
    <cellStyle name="Normal 3 3 2 5 3 2 6" xfId="25397"/>
    <cellStyle name="Normal 3 3 2 5 3 3" xfId="4722"/>
    <cellStyle name="Normal 3 3 2 5 3 3 2" xfId="20822"/>
    <cellStyle name="Normal 3 3 2 5 3 3 2 2" xfId="43409"/>
    <cellStyle name="Normal 3 3 2 5 3 3 3" xfId="11162"/>
    <cellStyle name="Normal 3 3 2 5 3 3 3 2" xfId="33749"/>
    <cellStyle name="Normal 3 3 2 5 3 3 4" xfId="27309"/>
    <cellStyle name="Normal 3 3 2 5 3 4" xfId="17602"/>
    <cellStyle name="Normal 3 3 2 5 3 4 2" xfId="40189"/>
    <cellStyle name="Normal 3 3 2 5 3 5" xfId="14382"/>
    <cellStyle name="Normal 3 3 2 5 3 5 2" xfId="36969"/>
    <cellStyle name="Normal 3 3 2 5 3 6" xfId="7942"/>
    <cellStyle name="Normal 3 3 2 5 3 6 2" xfId="30529"/>
    <cellStyle name="Normal 3 3 2 5 3 7" xfId="24089"/>
    <cellStyle name="Normal 3 3 2 5 4" xfId="2115"/>
    <cellStyle name="Normal 3 3 2 5 4 2" xfId="5336"/>
    <cellStyle name="Normal 3 3 2 5 4 2 2" xfId="21436"/>
    <cellStyle name="Normal 3 3 2 5 4 2 2 2" xfId="44023"/>
    <cellStyle name="Normal 3 3 2 5 4 2 3" xfId="11776"/>
    <cellStyle name="Normal 3 3 2 5 4 2 3 2" xfId="34363"/>
    <cellStyle name="Normal 3 3 2 5 4 2 4" xfId="27923"/>
    <cellStyle name="Normal 3 3 2 5 4 3" xfId="18216"/>
    <cellStyle name="Normal 3 3 2 5 4 3 2" xfId="40803"/>
    <cellStyle name="Normal 3 3 2 5 4 4" xfId="14996"/>
    <cellStyle name="Normal 3 3 2 5 4 4 2" xfId="37583"/>
    <cellStyle name="Normal 3 3 2 5 4 5" xfId="8556"/>
    <cellStyle name="Normal 3 3 2 5 4 5 2" xfId="31143"/>
    <cellStyle name="Normal 3 3 2 5 4 6" xfId="24703"/>
    <cellStyle name="Normal 3 3 2 5 5" xfId="4028"/>
    <cellStyle name="Normal 3 3 2 5 5 2" xfId="20128"/>
    <cellStyle name="Normal 3 3 2 5 5 2 2" xfId="42715"/>
    <cellStyle name="Normal 3 3 2 5 5 3" xfId="10468"/>
    <cellStyle name="Normal 3 3 2 5 5 3 2" xfId="33055"/>
    <cellStyle name="Normal 3 3 2 5 5 4" xfId="26615"/>
    <cellStyle name="Normal 3 3 2 5 6" xfId="16908"/>
    <cellStyle name="Normal 3 3 2 5 6 2" xfId="39495"/>
    <cellStyle name="Normal 3 3 2 5 7" xfId="13688"/>
    <cellStyle name="Normal 3 3 2 5 7 2" xfId="36275"/>
    <cellStyle name="Normal 3 3 2 5 8" xfId="7248"/>
    <cellStyle name="Normal 3 3 2 5 8 2" xfId="29835"/>
    <cellStyle name="Normal 3 3 2 5 9" xfId="23395"/>
    <cellStyle name="Normal 3 3 2 6" xfId="866"/>
    <cellStyle name="Normal 3 3 2 6 2" xfId="2185"/>
    <cellStyle name="Normal 3 3 2 6 2 2" xfId="5406"/>
    <cellStyle name="Normal 3 3 2 6 2 2 2" xfId="21506"/>
    <cellStyle name="Normal 3 3 2 6 2 2 2 2" xfId="44093"/>
    <cellStyle name="Normal 3 3 2 6 2 2 3" xfId="11846"/>
    <cellStyle name="Normal 3 3 2 6 2 2 3 2" xfId="34433"/>
    <cellStyle name="Normal 3 3 2 6 2 2 4" xfId="27993"/>
    <cellStyle name="Normal 3 3 2 6 2 3" xfId="18286"/>
    <cellStyle name="Normal 3 3 2 6 2 3 2" xfId="40873"/>
    <cellStyle name="Normal 3 3 2 6 2 4" xfId="15066"/>
    <cellStyle name="Normal 3 3 2 6 2 4 2" xfId="37653"/>
    <cellStyle name="Normal 3 3 2 6 2 5" xfId="8626"/>
    <cellStyle name="Normal 3 3 2 6 2 5 2" xfId="31213"/>
    <cellStyle name="Normal 3 3 2 6 2 6" xfId="24773"/>
    <cellStyle name="Normal 3 3 2 6 3" xfId="4098"/>
    <cellStyle name="Normal 3 3 2 6 3 2" xfId="20198"/>
    <cellStyle name="Normal 3 3 2 6 3 2 2" xfId="42785"/>
    <cellStyle name="Normal 3 3 2 6 3 3" xfId="10538"/>
    <cellStyle name="Normal 3 3 2 6 3 3 2" xfId="33125"/>
    <cellStyle name="Normal 3 3 2 6 3 4" xfId="26685"/>
    <cellStyle name="Normal 3 3 2 6 4" xfId="16978"/>
    <cellStyle name="Normal 3 3 2 6 4 2" xfId="39565"/>
    <cellStyle name="Normal 3 3 2 6 5" xfId="13758"/>
    <cellStyle name="Normal 3 3 2 6 5 2" xfId="36345"/>
    <cellStyle name="Normal 3 3 2 6 6" xfId="7318"/>
    <cellStyle name="Normal 3 3 2 6 6 2" xfId="29905"/>
    <cellStyle name="Normal 3 3 2 6 7" xfId="23465"/>
    <cellStyle name="Normal 3 3 2 7" xfId="1218"/>
    <cellStyle name="Normal 3 3 2 7 2" xfId="2532"/>
    <cellStyle name="Normal 3 3 2 7 2 2" xfId="5753"/>
    <cellStyle name="Normal 3 3 2 7 2 2 2" xfId="21853"/>
    <cellStyle name="Normal 3 3 2 7 2 2 2 2" xfId="44440"/>
    <cellStyle name="Normal 3 3 2 7 2 2 3" xfId="12193"/>
    <cellStyle name="Normal 3 3 2 7 2 2 3 2" xfId="34780"/>
    <cellStyle name="Normal 3 3 2 7 2 2 4" xfId="28340"/>
    <cellStyle name="Normal 3 3 2 7 2 3" xfId="18633"/>
    <cellStyle name="Normal 3 3 2 7 2 3 2" xfId="41220"/>
    <cellStyle name="Normal 3 3 2 7 2 4" xfId="15413"/>
    <cellStyle name="Normal 3 3 2 7 2 4 2" xfId="38000"/>
    <cellStyle name="Normal 3 3 2 7 2 5" xfId="8973"/>
    <cellStyle name="Normal 3 3 2 7 2 5 2" xfId="31560"/>
    <cellStyle name="Normal 3 3 2 7 2 6" xfId="25120"/>
    <cellStyle name="Normal 3 3 2 7 3" xfId="4445"/>
    <cellStyle name="Normal 3 3 2 7 3 2" xfId="20545"/>
    <cellStyle name="Normal 3 3 2 7 3 2 2" xfId="43132"/>
    <cellStyle name="Normal 3 3 2 7 3 3" xfId="10885"/>
    <cellStyle name="Normal 3 3 2 7 3 3 2" xfId="33472"/>
    <cellStyle name="Normal 3 3 2 7 3 4" xfId="27032"/>
    <cellStyle name="Normal 3 3 2 7 4" xfId="17325"/>
    <cellStyle name="Normal 3 3 2 7 4 2" xfId="39912"/>
    <cellStyle name="Normal 3 3 2 7 5" xfId="14105"/>
    <cellStyle name="Normal 3 3 2 7 5 2" xfId="36692"/>
    <cellStyle name="Normal 3 3 2 7 6" xfId="7665"/>
    <cellStyle name="Normal 3 3 2 7 6 2" xfId="30252"/>
    <cellStyle name="Normal 3 3 2 7 7" xfId="23812"/>
    <cellStyle name="Normal 3 3 2 8" xfId="1673"/>
    <cellStyle name="Normal 3 3 2 8 2" xfId="4896"/>
    <cellStyle name="Normal 3 3 2 8 2 2" xfId="20996"/>
    <cellStyle name="Normal 3 3 2 8 2 2 2" xfId="43583"/>
    <cellStyle name="Normal 3 3 2 8 2 3" xfId="11336"/>
    <cellStyle name="Normal 3 3 2 8 2 3 2" xfId="33923"/>
    <cellStyle name="Normal 3 3 2 8 2 4" xfId="27483"/>
    <cellStyle name="Normal 3 3 2 8 3" xfId="17776"/>
    <cellStyle name="Normal 3 3 2 8 3 2" xfId="40363"/>
    <cellStyle name="Normal 3 3 2 8 4" xfId="14556"/>
    <cellStyle name="Normal 3 3 2 8 4 2" xfId="37143"/>
    <cellStyle name="Normal 3 3 2 8 5" xfId="8116"/>
    <cellStyle name="Normal 3 3 2 8 5 2" xfId="30703"/>
    <cellStyle name="Normal 3 3 2 8 6" xfId="24263"/>
    <cellStyle name="Normal 3 3 2 9" xfId="1837"/>
    <cellStyle name="Normal 3 3 2 9 2" xfId="5059"/>
    <cellStyle name="Normal 3 3 2 9 2 2" xfId="21159"/>
    <cellStyle name="Normal 3 3 2 9 2 2 2" xfId="43746"/>
    <cellStyle name="Normal 3 3 2 9 2 3" xfId="11499"/>
    <cellStyle name="Normal 3 3 2 9 2 3 2" xfId="34086"/>
    <cellStyle name="Normal 3 3 2 9 2 4" xfId="27646"/>
    <cellStyle name="Normal 3 3 2 9 3" xfId="17939"/>
    <cellStyle name="Normal 3 3 2 9 3 2" xfId="40526"/>
    <cellStyle name="Normal 3 3 2 9 4" xfId="14719"/>
    <cellStyle name="Normal 3 3 2 9 4 2" xfId="37306"/>
    <cellStyle name="Normal 3 3 2 9 5" xfId="8279"/>
    <cellStyle name="Normal 3 3 2 9 5 2" xfId="30866"/>
    <cellStyle name="Normal 3 3 2 9 6" xfId="24426"/>
    <cellStyle name="Normal 3 3 3" xfId="143"/>
    <cellStyle name="Normal 3 3 3 10" xfId="481"/>
    <cellStyle name="Normal 3 3 3 10 2" xfId="3768"/>
    <cellStyle name="Normal 3 3 3 10 2 2" xfId="19868"/>
    <cellStyle name="Normal 3 3 3 10 2 2 2" xfId="42455"/>
    <cellStyle name="Normal 3 3 3 10 2 3" xfId="10208"/>
    <cellStyle name="Normal 3 3 3 10 2 3 2" xfId="32795"/>
    <cellStyle name="Normal 3 3 3 10 2 4" xfId="26355"/>
    <cellStyle name="Normal 3 3 3 10 3" xfId="16648"/>
    <cellStyle name="Normal 3 3 3 10 3 2" xfId="39235"/>
    <cellStyle name="Normal 3 3 3 10 4" xfId="13428"/>
    <cellStyle name="Normal 3 3 3 10 4 2" xfId="36015"/>
    <cellStyle name="Normal 3 3 3 10 5" xfId="6988"/>
    <cellStyle name="Normal 3 3 3 10 5 2" xfId="29575"/>
    <cellStyle name="Normal 3 3 3 10 6" xfId="23135"/>
    <cellStyle name="Normal 3 3 3 11" xfId="3478"/>
    <cellStyle name="Normal 3 3 3 11 2" xfId="19578"/>
    <cellStyle name="Normal 3 3 3 11 2 2" xfId="42165"/>
    <cellStyle name="Normal 3 3 3 11 3" xfId="9918"/>
    <cellStyle name="Normal 3 3 3 11 3 2" xfId="32505"/>
    <cellStyle name="Normal 3 3 3 11 4" xfId="26065"/>
    <cellStyle name="Normal 3 3 3 12" xfId="16358"/>
    <cellStyle name="Normal 3 3 3 12 2" xfId="38945"/>
    <cellStyle name="Normal 3 3 3 13" xfId="13138"/>
    <cellStyle name="Normal 3 3 3 13 2" xfId="35725"/>
    <cellStyle name="Normal 3 3 3 14" xfId="6698"/>
    <cellStyle name="Normal 3 3 3 14 2" xfId="29285"/>
    <cellStyle name="Normal 3 3 3 15" xfId="22845"/>
    <cellStyle name="Normal 3 3 3 2" xfId="289"/>
    <cellStyle name="Normal 3 3 3 2 10" xfId="16456"/>
    <cellStyle name="Normal 3 3 3 2 10 2" xfId="39043"/>
    <cellStyle name="Normal 3 3 3 2 11" xfId="13236"/>
    <cellStyle name="Normal 3 3 3 2 11 2" xfId="35823"/>
    <cellStyle name="Normal 3 3 3 2 12" xfId="6796"/>
    <cellStyle name="Normal 3 3 3 2 12 2" xfId="29383"/>
    <cellStyle name="Normal 3 3 3 2 13" xfId="22943"/>
    <cellStyle name="Normal 3 3 3 2 2" xfId="1007"/>
    <cellStyle name="Normal 3 3 3 2 2 2" xfId="2321"/>
    <cellStyle name="Normal 3 3 3 2 2 2 2" xfId="5542"/>
    <cellStyle name="Normal 3 3 3 2 2 2 2 2" xfId="21642"/>
    <cellStyle name="Normal 3 3 3 2 2 2 2 2 2" xfId="44229"/>
    <cellStyle name="Normal 3 3 3 2 2 2 2 3" xfId="11982"/>
    <cellStyle name="Normal 3 3 3 2 2 2 2 3 2" xfId="34569"/>
    <cellStyle name="Normal 3 3 3 2 2 2 2 4" xfId="28129"/>
    <cellStyle name="Normal 3 3 3 2 2 2 3" xfId="18422"/>
    <cellStyle name="Normal 3 3 3 2 2 2 3 2" xfId="41009"/>
    <cellStyle name="Normal 3 3 3 2 2 2 4" xfId="15202"/>
    <cellStyle name="Normal 3 3 3 2 2 2 4 2" xfId="37789"/>
    <cellStyle name="Normal 3 3 3 2 2 2 5" xfId="8762"/>
    <cellStyle name="Normal 3 3 3 2 2 2 5 2" xfId="31349"/>
    <cellStyle name="Normal 3 3 3 2 2 2 6" xfId="24909"/>
    <cellStyle name="Normal 3 3 3 2 2 3" xfId="4234"/>
    <cellStyle name="Normal 3 3 3 2 2 3 2" xfId="20334"/>
    <cellStyle name="Normal 3 3 3 2 2 3 2 2" xfId="42921"/>
    <cellStyle name="Normal 3 3 3 2 2 3 3" xfId="10674"/>
    <cellStyle name="Normal 3 3 3 2 2 3 3 2" xfId="33261"/>
    <cellStyle name="Normal 3 3 3 2 2 3 4" xfId="26821"/>
    <cellStyle name="Normal 3 3 3 2 2 4" xfId="17114"/>
    <cellStyle name="Normal 3 3 3 2 2 4 2" xfId="39701"/>
    <cellStyle name="Normal 3 3 3 2 2 5" xfId="13894"/>
    <cellStyle name="Normal 3 3 3 2 2 5 2" xfId="36481"/>
    <cellStyle name="Normal 3 3 3 2 2 6" xfId="7454"/>
    <cellStyle name="Normal 3 3 3 2 2 6 2" xfId="30041"/>
    <cellStyle name="Normal 3 3 3 2 2 7" xfId="23601"/>
    <cellStyle name="Normal 3 3 3 2 3" xfId="1354"/>
    <cellStyle name="Normal 3 3 3 2 3 2" xfId="2668"/>
    <cellStyle name="Normal 3 3 3 2 3 2 2" xfId="5889"/>
    <cellStyle name="Normal 3 3 3 2 3 2 2 2" xfId="21989"/>
    <cellStyle name="Normal 3 3 3 2 3 2 2 2 2" xfId="44576"/>
    <cellStyle name="Normal 3 3 3 2 3 2 2 3" xfId="12329"/>
    <cellStyle name="Normal 3 3 3 2 3 2 2 3 2" xfId="34916"/>
    <cellStyle name="Normal 3 3 3 2 3 2 2 4" xfId="28476"/>
    <cellStyle name="Normal 3 3 3 2 3 2 3" xfId="18769"/>
    <cellStyle name="Normal 3 3 3 2 3 2 3 2" xfId="41356"/>
    <cellStyle name="Normal 3 3 3 2 3 2 4" xfId="15549"/>
    <cellStyle name="Normal 3 3 3 2 3 2 4 2" xfId="38136"/>
    <cellStyle name="Normal 3 3 3 2 3 2 5" xfId="9109"/>
    <cellStyle name="Normal 3 3 3 2 3 2 5 2" xfId="31696"/>
    <cellStyle name="Normal 3 3 3 2 3 2 6" xfId="25256"/>
    <cellStyle name="Normal 3 3 3 2 3 3" xfId="4581"/>
    <cellStyle name="Normal 3 3 3 2 3 3 2" xfId="20681"/>
    <cellStyle name="Normal 3 3 3 2 3 3 2 2" xfId="43268"/>
    <cellStyle name="Normal 3 3 3 2 3 3 3" xfId="11021"/>
    <cellStyle name="Normal 3 3 3 2 3 3 3 2" xfId="33608"/>
    <cellStyle name="Normal 3 3 3 2 3 3 4" xfId="27168"/>
    <cellStyle name="Normal 3 3 3 2 3 4" xfId="17461"/>
    <cellStyle name="Normal 3 3 3 2 3 4 2" xfId="40048"/>
    <cellStyle name="Normal 3 3 3 2 3 5" xfId="14241"/>
    <cellStyle name="Normal 3 3 3 2 3 5 2" xfId="36828"/>
    <cellStyle name="Normal 3 3 3 2 3 6" xfId="7801"/>
    <cellStyle name="Normal 3 3 3 2 3 6 2" xfId="30388"/>
    <cellStyle name="Normal 3 3 3 2 3 7" xfId="23948"/>
    <cellStyle name="Normal 3 3 3 2 4" xfId="1674"/>
    <cellStyle name="Normal 3 3 3 2 4 2" xfId="4897"/>
    <cellStyle name="Normal 3 3 3 2 4 2 2" xfId="20997"/>
    <cellStyle name="Normal 3 3 3 2 4 2 2 2" xfId="43584"/>
    <cellStyle name="Normal 3 3 3 2 4 2 3" xfId="11337"/>
    <cellStyle name="Normal 3 3 3 2 4 2 3 2" xfId="33924"/>
    <cellStyle name="Normal 3 3 3 2 4 2 4" xfId="27484"/>
    <cellStyle name="Normal 3 3 3 2 4 3" xfId="17777"/>
    <cellStyle name="Normal 3 3 3 2 4 3 2" xfId="40364"/>
    <cellStyle name="Normal 3 3 3 2 4 4" xfId="14557"/>
    <cellStyle name="Normal 3 3 3 2 4 4 2" xfId="37144"/>
    <cellStyle name="Normal 3 3 3 2 4 5" xfId="8117"/>
    <cellStyle name="Normal 3 3 3 2 4 5 2" xfId="30704"/>
    <cellStyle name="Normal 3 3 3 2 4 6" xfId="24264"/>
    <cellStyle name="Normal 3 3 3 2 5" xfId="1973"/>
    <cellStyle name="Normal 3 3 3 2 5 2" xfId="5195"/>
    <cellStyle name="Normal 3 3 3 2 5 2 2" xfId="21295"/>
    <cellStyle name="Normal 3 3 3 2 5 2 2 2" xfId="43882"/>
    <cellStyle name="Normal 3 3 3 2 5 2 3" xfId="11635"/>
    <cellStyle name="Normal 3 3 3 2 5 2 3 2" xfId="34222"/>
    <cellStyle name="Normal 3 3 3 2 5 2 4" xfId="27782"/>
    <cellStyle name="Normal 3 3 3 2 5 3" xfId="18075"/>
    <cellStyle name="Normal 3 3 3 2 5 3 2" xfId="40662"/>
    <cellStyle name="Normal 3 3 3 2 5 4" xfId="14855"/>
    <cellStyle name="Normal 3 3 3 2 5 4 2" xfId="37442"/>
    <cellStyle name="Normal 3 3 3 2 5 5" xfId="8415"/>
    <cellStyle name="Normal 3 3 3 2 5 5 2" xfId="31002"/>
    <cellStyle name="Normal 3 3 3 2 5 6" xfId="24562"/>
    <cellStyle name="Normal 3 3 3 2 6" xfId="2996"/>
    <cellStyle name="Normal 3 3 3 2 6 2" xfId="6216"/>
    <cellStyle name="Normal 3 3 3 2 6 2 2" xfId="22316"/>
    <cellStyle name="Normal 3 3 3 2 6 2 2 2" xfId="44903"/>
    <cellStyle name="Normal 3 3 3 2 6 2 3" xfId="12656"/>
    <cellStyle name="Normal 3 3 3 2 6 2 3 2" xfId="35243"/>
    <cellStyle name="Normal 3 3 3 2 6 2 4" xfId="28803"/>
    <cellStyle name="Normal 3 3 3 2 6 3" xfId="19096"/>
    <cellStyle name="Normal 3 3 3 2 6 3 2" xfId="41683"/>
    <cellStyle name="Normal 3 3 3 2 6 4" xfId="15876"/>
    <cellStyle name="Normal 3 3 3 2 6 4 2" xfId="38463"/>
    <cellStyle name="Normal 3 3 3 2 6 5" xfId="9436"/>
    <cellStyle name="Normal 3 3 3 2 6 5 2" xfId="32023"/>
    <cellStyle name="Normal 3 3 3 2 6 6" xfId="25583"/>
    <cellStyle name="Normal 3 3 3 2 7" xfId="3286"/>
    <cellStyle name="Normal 3 3 3 2 7 2" xfId="6506"/>
    <cellStyle name="Normal 3 3 3 2 7 2 2" xfId="22606"/>
    <cellStyle name="Normal 3 3 3 2 7 2 2 2" xfId="45193"/>
    <cellStyle name="Normal 3 3 3 2 7 2 3" xfId="12946"/>
    <cellStyle name="Normal 3 3 3 2 7 2 3 2" xfId="35533"/>
    <cellStyle name="Normal 3 3 3 2 7 2 4" xfId="29093"/>
    <cellStyle name="Normal 3 3 3 2 7 3" xfId="19386"/>
    <cellStyle name="Normal 3 3 3 2 7 3 2" xfId="41973"/>
    <cellStyle name="Normal 3 3 3 2 7 4" xfId="16166"/>
    <cellStyle name="Normal 3 3 3 2 7 4 2" xfId="38753"/>
    <cellStyle name="Normal 3 3 3 2 7 5" xfId="9726"/>
    <cellStyle name="Normal 3 3 3 2 7 5 2" xfId="32313"/>
    <cellStyle name="Normal 3 3 3 2 7 6" xfId="25873"/>
    <cellStyle name="Normal 3 3 3 2 8" xfId="643"/>
    <cellStyle name="Normal 3 3 3 2 8 2" xfId="3887"/>
    <cellStyle name="Normal 3 3 3 2 8 2 2" xfId="19987"/>
    <cellStyle name="Normal 3 3 3 2 8 2 2 2" xfId="42574"/>
    <cellStyle name="Normal 3 3 3 2 8 2 3" xfId="10327"/>
    <cellStyle name="Normal 3 3 3 2 8 2 3 2" xfId="32914"/>
    <cellStyle name="Normal 3 3 3 2 8 2 4" xfId="26474"/>
    <cellStyle name="Normal 3 3 3 2 8 3" xfId="16767"/>
    <cellStyle name="Normal 3 3 3 2 8 3 2" xfId="39354"/>
    <cellStyle name="Normal 3 3 3 2 8 4" xfId="13547"/>
    <cellStyle name="Normal 3 3 3 2 8 4 2" xfId="36134"/>
    <cellStyle name="Normal 3 3 3 2 8 5" xfId="7107"/>
    <cellStyle name="Normal 3 3 3 2 8 5 2" xfId="29694"/>
    <cellStyle name="Normal 3 3 3 2 8 6" xfId="23254"/>
    <cellStyle name="Normal 3 3 3 2 9" xfId="3576"/>
    <cellStyle name="Normal 3 3 3 2 9 2" xfId="19676"/>
    <cellStyle name="Normal 3 3 3 2 9 2 2" xfId="42263"/>
    <cellStyle name="Normal 3 3 3 2 9 3" xfId="10016"/>
    <cellStyle name="Normal 3 3 3 2 9 3 2" xfId="32603"/>
    <cellStyle name="Normal 3 3 3 2 9 4" xfId="26163"/>
    <cellStyle name="Normal 3 3 3 3" xfId="384"/>
    <cellStyle name="Normal 3 3 3 3 10" xfId="16551"/>
    <cellStyle name="Normal 3 3 3 3 10 2" xfId="39138"/>
    <cellStyle name="Normal 3 3 3 3 11" xfId="13331"/>
    <cellStyle name="Normal 3 3 3 3 11 2" xfId="35918"/>
    <cellStyle name="Normal 3 3 3 3 12" xfId="6891"/>
    <cellStyle name="Normal 3 3 3 3 12 2" xfId="29478"/>
    <cellStyle name="Normal 3 3 3 3 13" xfId="23038"/>
    <cellStyle name="Normal 3 3 3 3 2" xfId="1168"/>
    <cellStyle name="Normal 3 3 3 3 2 2" xfId="2482"/>
    <cellStyle name="Normal 3 3 3 3 2 2 2" xfId="5703"/>
    <cellStyle name="Normal 3 3 3 3 2 2 2 2" xfId="21803"/>
    <cellStyle name="Normal 3 3 3 3 2 2 2 2 2" xfId="44390"/>
    <cellStyle name="Normal 3 3 3 3 2 2 2 3" xfId="12143"/>
    <cellStyle name="Normal 3 3 3 3 2 2 2 3 2" xfId="34730"/>
    <cellStyle name="Normal 3 3 3 3 2 2 2 4" xfId="28290"/>
    <cellStyle name="Normal 3 3 3 3 2 2 3" xfId="18583"/>
    <cellStyle name="Normal 3 3 3 3 2 2 3 2" xfId="41170"/>
    <cellStyle name="Normal 3 3 3 3 2 2 4" xfId="15363"/>
    <cellStyle name="Normal 3 3 3 3 2 2 4 2" xfId="37950"/>
    <cellStyle name="Normal 3 3 3 3 2 2 5" xfId="8923"/>
    <cellStyle name="Normal 3 3 3 3 2 2 5 2" xfId="31510"/>
    <cellStyle name="Normal 3 3 3 3 2 2 6" xfId="25070"/>
    <cellStyle name="Normal 3 3 3 3 2 3" xfId="4395"/>
    <cellStyle name="Normal 3 3 3 3 2 3 2" xfId="20495"/>
    <cellStyle name="Normal 3 3 3 3 2 3 2 2" xfId="43082"/>
    <cellStyle name="Normal 3 3 3 3 2 3 3" xfId="10835"/>
    <cellStyle name="Normal 3 3 3 3 2 3 3 2" xfId="33422"/>
    <cellStyle name="Normal 3 3 3 3 2 3 4" xfId="26982"/>
    <cellStyle name="Normal 3 3 3 3 2 4" xfId="17275"/>
    <cellStyle name="Normal 3 3 3 3 2 4 2" xfId="39862"/>
    <cellStyle name="Normal 3 3 3 3 2 5" xfId="14055"/>
    <cellStyle name="Normal 3 3 3 3 2 5 2" xfId="36642"/>
    <cellStyle name="Normal 3 3 3 3 2 6" xfId="7615"/>
    <cellStyle name="Normal 3 3 3 3 2 6 2" xfId="30202"/>
    <cellStyle name="Normal 3 3 3 3 2 7" xfId="23762"/>
    <cellStyle name="Normal 3 3 3 3 3" xfId="1515"/>
    <cellStyle name="Normal 3 3 3 3 3 2" xfId="2829"/>
    <cellStyle name="Normal 3 3 3 3 3 2 2" xfId="6050"/>
    <cellStyle name="Normal 3 3 3 3 3 2 2 2" xfId="22150"/>
    <cellStyle name="Normal 3 3 3 3 3 2 2 2 2" xfId="44737"/>
    <cellStyle name="Normal 3 3 3 3 3 2 2 3" xfId="12490"/>
    <cellStyle name="Normal 3 3 3 3 3 2 2 3 2" xfId="35077"/>
    <cellStyle name="Normal 3 3 3 3 3 2 2 4" xfId="28637"/>
    <cellStyle name="Normal 3 3 3 3 3 2 3" xfId="18930"/>
    <cellStyle name="Normal 3 3 3 3 3 2 3 2" xfId="41517"/>
    <cellStyle name="Normal 3 3 3 3 3 2 4" xfId="15710"/>
    <cellStyle name="Normal 3 3 3 3 3 2 4 2" xfId="38297"/>
    <cellStyle name="Normal 3 3 3 3 3 2 5" xfId="9270"/>
    <cellStyle name="Normal 3 3 3 3 3 2 5 2" xfId="31857"/>
    <cellStyle name="Normal 3 3 3 3 3 2 6" xfId="25417"/>
    <cellStyle name="Normal 3 3 3 3 3 3" xfId="4742"/>
    <cellStyle name="Normal 3 3 3 3 3 3 2" xfId="20842"/>
    <cellStyle name="Normal 3 3 3 3 3 3 2 2" xfId="43429"/>
    <cellStyle name="Normal 3 3 3 3 3 3 3" xfId="11182"/>
    <cellStyle name="Normal 3 3 3 3 3 3 3 2" xfId="33769"/>
    <cellStyle name="Normal 3 3 3 3 3 3 4" xfId="27329"/>
    <cellStyle name="Normal 3 3 3 3 3 4" xfId="17622"/>
    <cellStyle name="Normal 3 3 3 3 3 4 2" xfId="40209"/>
    <cellStyle name="Normal 3 3 3 3 3 5" xfId="14402"/>
    <cellStyle name="Normal 3 3 3 3 3 5 2" xfId="36989"/>
    <cellStyle name="Normal 3 3 3 3 3 6" xfId="7962"/>
    <cellStyle name="Normal 3 3 3 3 3 6 2" xfId="30549"/>
    <cellStyle name="Normal 3 3 3 3 3 7" xfId="24109"/>
    <cellStyle name="Normal 3 3 3 3 4" xfId="1675"/>
    <cellStyle name="Normal 3 3 3 3 4 2" xfId="4898"/>
    <cellStyle name="Normal 3 3 3 3 4 2 2" xfId="20998"/>
    <cellStyle name="Normal 3 3 3 3 4 2 2 2" xfId="43585"/>
    <cellStyle name="Normal 3 3 3 3 4 2 3" xfId="11338"/>
    <cellStyle name="Normal 3 3 3 3 4 2 3 2" xfId="33925"/>
    <cellStyle name="Normal 3 3 3 3 4 2 4" xfId="27485"/>
    <cellStyle name="Normal 3 3 3 3 4 3" xfId="17778"/>
    <cellStyle name="Normal 3 3 3 3 4 3 2" xfId="40365"/>
    <cellStyle name="Normal 3 3 3 3 4 4" xfId="14558"/>
    <cellStyle name="Normal 3 3 3 3 4 4 2" xfId="37145"/>
    <cellStyle name="Normal 3 3 3 3 4 5" xfId="8118"/>
    <cellStyle name="Normal 3 3 3 3 4 5 2" xfId="30705"/>
    <cellStyle name="Normal 3 3 3 3 4 6" xfId="24265"/>
    <cellStyle name="Normal 3 3 3 3 5" xfId="2135"/>
    <cellStyle name="Normal 3 3 3 3 5 2" xfId="5356"/>
    <cellStyle name="Normal 3 3 3 3 5 2 2" xfId="21456"/>
    <cellStyle name="Normal 3 3 3 3 5 2 2 2" xfId="44043"/>
    <cellStyle name="Normal 3 3 3 3 5 2 3" xfId="11796"/>
    <cellStyle name="Normal 3 3 3 3 5 2 3 2" xfId="34383"/>
    <cellStyle name="Normal 3 3 3 3 5 2 4" xfId="27943"/>
    <cellStyle name="Normal 3 3 3 3 5 3" xfId="18236"/>
    <cellStyle name="Normal 3 3 3 3 5 3 2" xfId="40823"/>
    <cellStyle name="Normal 3 3 3 3 5 4" xfId="15016"/>
    <cellStyle name="Normal 3 3 3 3 5 4 2" xfId="37603"/>
    <cellStyle name="Normal 3 3 3 3 5 5" xfId="8576"/>
    <cellStyle name="Normal 3 3 3 3 5 5 2" xfId="31163"/>
    <cellStyle name="Normal 3 3 3 3 5 6" xfId="24723"/>
    <cellStyle name="Normal 3 3 3 3 6" xfId="3091"/>
    <cellStyle name="Normal 3 3 3 3 6 2" xfId="6311"/>
    <cellStyle name="Normal 3 3 3 3 6 2 2" xfId="22411"/>
    <cellStyle name="Normal 3 3 3 3 6 2 2 2" xfId="44998"/>
    <cellStyle name="Normal 3 3 3 3 6 2 3" xfId="12751"/>
    <cellStyle name="Normal 3 3 3 3 6 2 3 2" xfId="35338"/>
    <cellStyle name="Normal 3 3 3 3 6 2 4" xfId="28898"/>
    <cellStyle name="Normal 3 3 3 3 6 3" xfId="19191"/>
    <cellStyle name="Normal 3 3 3 3 6 3 2" xfId="41778"/>
    <cellStyle name="Normal 3 3 3 3 6 4" xfId="15971"/>
    <cellStyle name="Normal 3 3 3 3 6 4 2" xfId="38558"/>
    <cellStyle name="Normal 3 3 3 3 6 5" xfId="9531"/>
    <cellStyle name="Normal 3 3 3 3 6 5 2" xfId="32118"/>
    <cellStyle name="Normal 3 3 3 3 6 6" xfId="25678"/>
    <cellStyle name="Normal 3 3 3 3 7" xfId="3381"/>
    <cellStyle name="Normal 3 3 3 3 7 2" xfId="6601"/>
    <cellStyle name="Normal 3 3 3 3 7 2 2" xfId="22701"/>
    <cellStyle name="Normal 3 3 3 3 7 2 2 2" xfId="45288"/>
    <cellStyle name="Normal 3 3 3 3 7 2 3" xfId="13041"/>
    <cellStyle name="Normal 3 3 3 3 7 2 3 2" xfId="35628"/>
    <cellStyle name="Normal 3 3 3 3 7 2 4" xfId="29188"/>
    <cellStyle name="Normal 3 3 3 3 7 3" xfId="19481"/>
    <cellStyle name="Normal 3 3 3 3 7 3 2" xfId="42068"/>
    <cellStyle name="Normal 3 3 3 3 7 4" xfId="16261"/>
    <cellStyle name="Normal 3 3 3 3 7 4 2" xfId="38848"/>
    <cellStyle name="Normal 3 3 3 3 7 5" xfId="9821"/>
    <cellStyle name="Normal 3 3 3 3 7 5 2" xfId="32408"/>
    <cellStyle name="Normal 3 3 3 3 7 6" xfId="25968"/>
    <cellStyle name="Normal 3 3 3 3 8" xfId="816"/>
    <cellStyle name="Normal 3 3 3 3 8 2" xfId="4048"/>
    <cellStyle name="Normal 3 3 3 3 8 2 2" xfId="20148"/>
    <cellStyle name="Normal 3 3 3 3 8 2 2 2" xfId="42735"/>
    <cellStyle name="Normal 3 3 3 3 8 2 3" xfId="10488"/>
    <cellStyle name="Normal 3 3 3 3 8 2 3 2" xfId="33075"/>
    <cellStyle name="Normal 3 3 3 3 8 2 4" xfId="26635"/>
    <cellStyle name="Normal 3 3 3 3 8 3" xfId="16928"/>
    <cellStyle name="Normal 3 3 3 3 8 3 2" xfId="39515"/>
    <cellStyle name="Normal 3 3 3 3 8 4" xfId="13708"/>
    <cellStyle name="Normal 3 3 3 3 8 4 2" xfId="36295"/>
    <cellStyle name="Normal 3 3 3 3 8 5" xfId="7268"/>
    <cellStyle name="Normal 3 3 3 3 8 5 2" xfId="29855"/>
    <cellStyle name="Normal 3 3 3 3 8 6" xfId="23415"/>
    <cellStyle name="Normal 3 3 3 3 9" xfId="3671"/>
    <cellStyle name="Normal 3 3 3 3 9 2" xfId="19771"/>
    <cellStyle name="Normal 3 3 3 3 9 2 2" xfId="42358"/>
    <cellStyle name="Normal 3 3 3 3 9 3" xfId="10111"/>
    <cellStyle name="Normal 3 3 3 3 9 3 2" xfId="32698"/>
    <cellStyle name="Normal 3 3 3 3 9 4" xfId="26258"/>
    <cellStyle name="Normal 3 3 3 4" xfId="883"/>
    <cellStyle name="Normal 3 3 3 4 2" xfId="2202"/>
    <cellStyle name="Normal 3 3 3 4 2 2" xfId="5423"/>
    <cellStyle name="Normal 3 3 3 4 2 2 2" xfId="21523"/>
    <cellStyle name="Normal 3 3 3 4 2 2 2 2" xfId="44110"/>
    <cellStyle name="Normal 3 3 3 4 2 2 3" xfId="11863"/>
    <cellStyle name="Normal 3 3 3 4 2 2 3 2" xfId="34450"/>
    <cellStyle name="Normal 3 3 3 4 2 2 4" xfId="28010"/>
    <cellStyle name="Normal 3 3 3 4 2 3" xfId="18303"/>
    <cellStyle name="Normal 3 3 3 4 2 3 2" xfId="40890"/>
    <cellStyle name="Normal 3 3 3 4 2 4" xfId="15083"/>
    <cellStyle name="Normal 3 3 3 4 2 4 2" xfId="37670"/>
    <cellStyle name="Normal 3 3 3 4 2 5" xfId="8643"/>
    <cellStyle name="Normal 3 3 3 4 2 5 2" xfId="31230"/>
    <cellStyle name="Normal 3 3 3 4 2 6" xfId="24790"/>
    <cellStyle name="Normal 3 3 3 4 3" xfId="4115"/>
    <cellStyle name="Normal 3 3 3 4 3 2" xfId="20215"/>
    <cellStyle name="Normal 3 3 3 4 3 2 2" xfId="42802"/>
    <cellStyle name="Normal 3 3 3 4 3 3" xfId="10555"/>
    <cellStyle name="Normal 3 3 3 4 3 3 2" xfId="33142"/>
    <cellStyle name="Normal 3 3 3 4 3 4" xfId="26702"/>
    <cellStyle name="Normal 3 3 3 4 4" xfId="16995"/>
    <cellStyle name="Normal 3 3 3 4 4 2" xfId="39582"/>
    <cellStyle name="Normal 3 3 3 4 5" xfId="13775"/>
    <cellStyle name="Normal 3 3 3 4 5 2" xfId="36362"/>
    <cellStyle name="Normal 3 3 3 4 6" xfId="7335"/>
    <cellStyle name="Normal 3 3 3 4 6 2" xfId="29922"/>
    <cellStyle name="Normal 3 3 3 4 7" xfId="23482"/>
    <cellStyle name="Normal 3 3 3 5" xfId="1235"/>
    <cellStyle name="Normal 3 3 3 5 2" xfId="2549"/>
    <cellStyle name="Normal 3 3 3 5 2 2" xfId="5770"/>
    <cellStyle name="Normal 3 3 3 5 2 2 2" xfId="21870"/>
    <cellStyle name="Normal 3 3 3 5 2 2 2 2" xfId="44457"/>
    <cellStyle name="Normal 3 3 3 5 2 2 3" xfId="12210"/>
    <cellStyle name="Normal 3 3 3 5 2 2 3 2" xfId="34797"/>
    <cellStyle name="Normal 3 3 3 5 2 2 4" xfId="28357"/>
    <cellStyle name="Normal 3 3 3 5 2 3" xfId="18650"/>
    <cellStyle name="Normal 3 3 3 5 2 3 2" xfId="41237"/>
    <cellStyle name="Normal 3 3 3 5 2 4" xfId="15430"/>
    <cellStyle name="Normal 3 3 3 5 2 4 2" xfId="38017"/>
    <cellStyle name="Normal 3 3 3 5 2 5" xfId="8990"/>
    <cellStyle name="Normal 3 3 3 5 2 5 2" xfId="31577"/>
    <cellStyle name="Normal 3 3 3 5 2 6" xfId="25137"/>
    <cellStyle name="Normal 3 3 3 5 3" xfId="4462"/>
    <cellStyle name="Normal 3 3 3 5 3 2" xfId="20562"/>
    <cellStyle name="Normal 3 3 3 5 3 2 2" xfId="43149"/>
    <cellStyle name="Normal 3 3 3 5 3 3" xfId="10902"/>
    <cellStyle name="Normal 3 3 3 5 3 3 2" xfId="33489"/>
    <cellStyle name="Normal 3 3 3 5 3 4" xfId="27049"/>
    <cellStyle name="Normal 3 3 3 5 4" xfId="17342"/>
    <cellStyle name="Normal 3 3 3 5 4 2" xfId="39929"/>
    <cellStyle name="Normal 3 3 3 5 5" xfId="14122"/>
    <cellStyle name="Normal 3 3 3 5 5 2" xfId="36709"/>
    <cellStyle name="Normal 3 3 3 5 6" xfId="7682"/>
    <cellStyle name="Normal 3 3 3 5 6 2" xfId="30269"/>
    <cellStyle name="Normal 3 3 3 5 7" xfId="23829"/>
    <cellStyle name="Normal 3 3 3 6" xfId="1676"/>
    <cellStyle name="Normal 3 3 3 6 2" xfId="4899"/>
    <cellStyle name="Normal 3 3 3 6 2 2" xfId="20999"/>
    <cellStyle name="Normal 3 3 3 6 2 2 2" xfId="43586"/>
    <cellStyle name="Normal 3 3 3 6 2 3" xfId="11339"/>
    <cellStyle name="Normal 3 3 3 6 2 3 2" xfId="33926"/>
    <cellStyle name="Normal 3 3 3 6 2 4" xfId="27486"/>
    <cellStyle name="Normal 3 3 3 6 3" xfId="17779"/>
    <cellStyle name="Normal 3 3 3 6 3 2" xfId="40366"/>
    <cellStyle name="Normal 3 3 3 6 4" xfId="14559"/>
    <cellStyle name="Normal 3 3 3 6 4 2" xfId="37146"/>
    <cellStyle name="Normal 3 3 3 6 5" xfId="8119"/>
    <cellStyle name="Normal 3 3 3 6 5 2" xfId="30706"/>
    <cellStyle name="Normal 3 3 3 6 6" xfId="24266"/>
    <cellStyle name="Normal 3 3 3 7" xfId="1854"/>
    <cellStyle name="Normal 3 3 3 7 2" xfId="5076"/>
    <cellStyle name="Normal 3 3 3 7 2 2" xfId="21176"/>
    <cellStyle name="Normal 3 3 3 7 2 2 2" xfId="43763"/>
    <cellStyle name="Normal 3 3 3 7 2 3" xfId="11516"/>
    <cellStyle name="Normal 3 3 3 7 2 3 2" xfId="34103"/>
    <cellStyle name="Normal 3 3 3 7 2 4" xfId="27663"/>
    <cellStyle name="Normal 3 3 3 7 3" xfId="17956"/>
    <cellStyle name="Normal 3 3 3 7 3 2" xfId="40543"/>
    <cellStyle name="Normal 3 3 3 7 4" xfId="14736"/>
    <cellStyle name="Normal 3 3 3 7 4 2" xfId="37323"/>
    <cellStyle name="Normal 3 3 3 7 5" xfId="8296"/>
    <cellStyle name="Normal 3 3 3 7 5 2" xfId="30883"/>
    <cellStyle name="Normal 3 3 3 7 6" xfId="24443"/>
    <cellStyle name="Normal 3 3 3 8" xfId="2897"/>
    <cellStyle name="Normal 3 3 3 8 2" xfId="6118"/>
    <cellStyle name="Normal 3 3 3 8 2 2" xfId="22218"/>
    <cellStyle name="Normal 3 3 3 8 2 2 2" xfId="44805"/>
    <cellStyle name="Normal 3 3 3 8 2 3" xfId="12558"/>
    <cellStyle name="Normal 3 3 3 8 2 3 2" xfId="35145"/>
    <cellStyle name="Normal 3 3 3 8 2 4" xfId="28705"/>
    <cellStyle name="Normal 3 3 3 8 3" xfId="18998"/>
    <cellStyle name="Normal 3 3 3 8 3 2" xfId="41585"/>
    <cellStyle name="Normal 3 3 3 8 4" xfId="15778"/>
    <cellStyle name="Normal 3 3 3 8 4 2" xfId="38365"/>
    <cellStyle name="Normal 3 3 3 8 5" xfId="9338"/>
    <cellStyle name="Normal 3 3 3 8 5 2" xfId="31925"/>
    <cellStyle name="Normal 3 3 3 8 6" xfId="25485"/>
    <cellStyle name="Normal 3 3 3 9" xfId="3188"/>
    <cellStyle name="Normal 3 3 3 9 2" xfId="6408"/>
    <cellStyle name="Normal 3 3 3 9 2 2" xfId="22508"/>
    <cellStyle name="Normal 3 3 3 9 2 2 2" xfId="45095"/>
    <cellStyle name="Normal 3 3 3 9 2 3" xfId="12848"/>
    <cellStyle name="Normal 3 3 3 9 2 3 2" xfId="35435"/>
    <cellStyle name="Normal 3 3 3 9 2 4" xfId="28995"/>
    <cellStyle name="Normal 3 3 3 9 3" xfId="19288"/>
    <cellStyle name="Normal 3 3 3 9 3 2" xfId="41875"/>
    <cellStyle name="Normal 3 3 3 9 4" xfId="16068"/>
    <cellStyle name="Normal 3 3 3 9 4 2" xfId="38655"/>
    <cellStyle name="Normal 3 3 3 9 5" xfId="9628"/>
    <cellStyle name="Normal 3 3 3 9 5 2" xfId="32215"/>
    <cellStyle name="Normal 3 3 3 9 6" xfId="25775"/>
    <cellStyle name="Normal 3 3 4" xfId="234"/>
    <cellStyle name="Normal 3 3 4 10" xfId="521"/>
    <cellStyle name="Normal 3 3 4 10 2" xfId="3808"/>
    <cellStyle name="Normal 3 3 4 10 2 2" xfId="19908"/>
    <cellStyle name="Normal 3 3 4 10 2 2 2" xfId="42495"/>
    <cellStyle name="Normal 3 3 4 10 2 3" xfId="10248"/>
    <cellStyle name="Normal 3 3 4 10 2 3 2" xfId="32835"/>
    <cellStyle name="Normal 3 3 4 10 2 4" xfId="26395"/>
    <cellStyle name="Normal 3 3 4 10 3" xfId="16688"/>
    <cellStyle name="Normal 3 3 4 10 3 2" xfId="39275"/>
    <cellStyle name="Normal 3 3 4 10 4" xfId="13468"/>
    <cellStyle name="Normal 3 3 4 10 4 2" xfId="36055"/>
    <cellStyle name="Normal 3 3 4 10 5" xfId="7028"/>
    <cellStyle name="Normal 3 3 4 10 5 2" xfId="29615"/>
    <cellStyle name="Normal 3 3 4 10 6" xfId="23175"/>
    <cellStyle name="Normal 3 3 4 11" xfId="3522"/>
    <cellStyle name="Normal 3 3 4 11 2" xfId="19622"/>
    <cellStyle name="Normal 3 3 4 11 2 2" xfId="42209"/>
    <cellStyle name="Normal 3 3 4 11 3" xfId="9962"/>
    <cellStyle name="Normal 3 3 4 11 3 2" xfId="32549"/>
    <cellStyle name="Normal 3 3 4 11 4" xfId="26109"/>
    <cellStyle name="Normal 3 3 4 12" xfId="16402"/>
    <cellStyle name="Normal 3 3 4 12 2" xfId="38989"/>
    <cellStyle name="Normal 3 3 4 13" xfId="13182"/>
    <cellStyle name="Normal 3 3 4 13 2" xfId="35769"/>
    <cellStyle name="Normal 3 3 4 14" xfId="6742"/>
    <cellStyle name="Normal 3 3 4 14 2" xfId="29329"/>
    <cellStyle name="Normal 3 3 4 15" xfId="22889"/>
    <cellStyle name="Normal 3 3 4 2" xfId="332"/>
    <cellStyle name="Normal 3 3 4 2 10" xfId="16499"/>
    <cellStyle name="Normal 3 3 4 2 10 2" xfId="39086"/>
    <cellStyle name="Normal 3 3 4 2 11" xfId="13279"/>
    <cellStyle name="Normal 3 3 4 2 11 2" xfId="35866"/>
    <cellStyle name="Normal 3 3 4 2 12" xfId="6839"/>
    <cellStyle name="Normal 3 3 4 2 12 2" xfId="29426"/>
    <cellStyle name="Normal 3 3 4 2 13" xfId="22986"/>
    <cellStyle name="Normal 3 3 4 2 2" xfId="1044"/>
    <cellStyle name="Normal 3 3 4 2 2 2" xfId="2358"/>
    <cellStyle name="Normal 3 3 4 2 2 2 2" xfId="5579"/>
    <cellStyle name="Normal 3 3 4 2 2 2 2 2" xfId="21679"/>
    <cellStyle name="Normal 3 3 4 2 2 2 2 2 2" xfId="44266"/>
    <cellStyle name="Normal 3 3 4 2 2 2 2 3" xfId="12019"/>
    <cellStyle name="Normal 3 3 4 2 2 2 2 3 2" xfId="34606"/>
    <cellStyle name="Normal 3 3 4 2 2 2 2 4" xfId="28166"/>
    <cellStyle name="Normal 3 3 4 2 2 2 3" xfId="18459"/>
    <cellStyle name="Normal 3 3 4 2 2 2 3 2" xfId="41046"/>
    <cellStyle name="Normal 3 3 4 2 2 2 4" xfId="15239"/>
    <cellStyle name="Normal 3 3 4 2 2 2 4 2" xfId="37826"/>
    <cellStyle name="Normal 3 3 4 2 2 2 5" xfId="8799"/>
    <cellStyle name="Normal 3 3 4 2 2 2 5 2" xfId="31386"/>
    <cellStyle name="Normal 3 3 4 2 2 2 6" xfId="24946"/>
    <cellStyle name="Normal 3 3 4 2 2 3" xfId="4271"/>
    <cellStyle name="Normal 3 3 4 2 2 3 2" xfId="20371"/>
    <cellStyle name="Normal 3 3 4 2 2 3 2 2" xfId="42958"/>
    <cellStyle name="Normal 3 3 4 2 2 3 3" xfId="10711"/>
    <cellStyle name="Normal 3 3 4 2 2 3 3 2" xfId="33298"/>
    <cellStyle name="Normal 3 3 4 2 2 3 4" xfId="26858"/>
    <cellStyle name="Normal 3 3 4 2 2 4" xfId="17151"/>
    <cellStyle name="Normal 3 3 4 2 2 4 2" xfId="39738"/>
    <cellStyle name="Normal 3 3 4 2 2 5" xfId="13931"/>
    <cellStyle name="Normal 3 3 4 2 2 5 2" xfId="36518"/>
    <cellStyle name="Normal 3 3 4 2 2 6" xfId="7491"/>
    <cellStyle name="Normal 3 3 4 2 2 6 2" xfId="30078"/>
    <cellStyle name="Normal 3 3 4 2 2 7" xfId="23638"/>
    <cellStyle name="Normal 3 3 4 2 3" xfId="1391"/>
    <cellStyle name="Normal 3 3 4 2 3 2" xfId="2705"/>
    <cellStyle name="Normal 3 3 4 2 3 2 2" xfId="5926"/>
    <cellStyle name="Normal 3 3 4 2 3 2 2 2" xfId="22026"/>
    <cellStyle name="Normal 3 3 4 2 3 2 2 2 2" xfId="44613"/>
    <cellStyle name="Normal 3 3 4 2 3 2 2 3" xfId="12366"/>
    <cellStyle name="Normal 3 3 4 2 3 2 2 3 2" xfId="34953"/>
    <cellStyle name="Normal 3 3 4 2 3 2 2 4" xfId="28513"/>
    <cellStyle name="Normal 3 3 4 2 3 2 3" xfId="18806"/>
    <cellStyle name="Normal 3 3 4 2 3 2 3 2" xfId="41393"/>
    <cellStyle name="Normal 3 3 4 2 3 2 4" xfId="15586"/>
    <cellStyle name="Normal 3 3 4 2 3 2 4 2" xfId="38173"/>
    <cellStyle name="Normal 3 3 4 2 3 2 5" xfId="9146"/>
    <cellStyle name="Normal 3 3 4 2 3 2 5 2" xfId="31733"/>
    <cellStyle name="Normal 3 3 4 2 3 2 6" xfId="25293"/>
    <cellStyle name="Normal 3 3 4 2 3 3" xfId="4618"/>
    <cellStyle name="Normal 3 3 4 2 3 3 2" xfId="20718"/>
    <cellStyle name="Normal 3 3 4 2 3 3 2 2" xfId="43305"/>
    <cellStyle name="Normal 3 3 4 2 3 3 3" xfId="11058"/>
    <cellStyle name="Normal 3 3 4 2 3 3 3 2" xfId="33645"/>
    <cellStyle name="Normal 3 3 4 2 3 3 4" xfId="27205"/>
    <cellStyle name="Normal 3 3 4 2 3 4" xfId="17498"/>
    <cellStyle name="Normal 3 3 4 2 3 4 2" xfId="40085"/>
    <cellStyle name="Normal 3 3 4 2 3 5" xfId="14278"/>
    <cellStyle name="Normal 3 3 4 2 3 5 2" xfId="36865"/>
    <cellStyle name="Normal 3 3 4 2 3 6" xfId="7838"/>
    <cellStyle name="Normal 3 3 4 2 3 6 2" xfId="30425"/>
    <cellStyle name="Normal 3 3 4 2 3 7" xfId="23985"/>
    <cellStyle name="Normal 3 3 4 2 4" xfId="1677"/>
    <cellStyle name="Normal 3 3 4 2 4 2" xfId="4900"/>
    <cellStyle name="Normal 3 3 4 2 4 2 2" xfId="21000"/>
    <cellStyle name="Normal 3 3 4 2 4 2 2 2" xfId="43587"/>
    <cellStyle name="Normal 3 3 4 2 4 2 3" xfId="11340"/>
    <cellStyle name="Normal 3 3 4 2 4 2 3 2" xfId="33927"/>
    <cellStyle name="Normal 3 3 4 2 4 2 4" xfId="27487"/>
    <cellStyle name="Normal 3 3 4 2 4 3" xfId="17780"/>
    <cellStyle name="Normal 3 3 4 2 4 3 2" xfId="40367"/>
    <cellStyle name="Normal 3 3 4 2 4 4" xfId="14560"/>
    <cellStyle name="Normal 3 3 4 2 4 4 2" xfId="37147"/>
    <cellStyle name="Normal 3 3 4 2 4 5" xfId="8120"/>
    <cellStyle name="Normal 3 3 4 2 4 5 2" xfId="30707"/>
    <cellStyle name="Normal 3 3 4 2 4 6" xfId="24267"/>
    <cellStyle name="Normal 3 3 4 2 5" xfId="2010"/>
    <cellStyle name="Normal 3 3 4 2 5 2" xfId="5232"/>
    <cellStyle name="Normal 3 3 4 2 5 2 2" xfId="21332"/>
    <cellStyle name="Normal 3 3 4 2 5 2 2 2" xfId="43919"/>
    <cellStyle name="Normal 3 3 4 2 5 2 3" xfId="11672"/>
    <cellStyle name="Normal 3 3 4 2 5 2 3 2" xfId="34259"/>
    <cellStyle name="Normal 3 3 4 2 5 2 4" xfId="27819"/>
    <cellStyle name="Normal 3 3 4 2 5 3" xfId="18112"/>
    <cellStyle name="Normal 3 3 4 2 5 3 2" xfId="40699"/>
    <cellStyle name="Normal 3 3 4 2 5 4" xfId="14892"/>
    <cellStyle name="Normal 3 3 4 2 5 4 2" xfId="37479"/>
    <cellStyle name="Normal 3 3 4 2 5 5" xfId="8452"/>
    <cellStyle name="Normal 3 3 4 2 5 5 2" xfId="31039"/>
    <cellStyle name="Normal 3 3 4 2 5 6" xfId="24599"/>
    <cellStyle name="Normal 3 3 4 2 6" xfId="3039"/>
    <cellStyle name="Normal 3 3 4 2 6 2" xfId="6259"/>
    <cellStyle name="Normal 3 3 4 2 6 2 2" xfId="22359"/>
    <cellStyle name="Normal 3 3 4 2 6 2 2 2" xfId="44946"/>
    <cellStyle name="Normal 3 3 4 2 6 2 3" xfId="12699"/>
    <cellStyle name="Normal 3 3 4 2 6 2 3 2" xfId="35286"/>
    <cellStyle name="Normal 3 3 4 2 6 2 4" xfId="28846"/>
    <cellStyle name="Normal 3 3 4 2 6 3" xfId="19139"/>
    <cellStyle name="Normal 3 3 4 2 6 3 2" xfId="41726"/>
    <cellStyle name="Normal 3 3 4 2 6 4" xfId="15919"/>
    <cellStyle name="Normal 3 3 4 2 6 4 2" xfId="38506"/>
    <cellStyle name="Normal 3 3 4 2 6 5" xfId="9479"/>
    <cellStyle name="Normal 3 3 4 2 6 5 2" xfId="32066"/>
    <cellStyle name="Normal 3 3 4 2 6 6" xfId="25626"/>
    <cellStyle name="Normal 3 3 4 2 7" xfId="3329"/>
    <cellStyle name="Normal 3 3 4 2 7 2" xfId="6549"/>
    <cellStyle name="Normal 3 3 4 2 7 2 2" xfId="22649"/>
    <cellStyle name="Normal 3 3 4 2 7 2 2 2" xfId="45236"/>
    <cellStyle name="Normal 3 3 4 2 7 2 3" xfId="12989"/>
    <cellStyle name="Normal 3 3 4 2 7 2 3 2" xfId="35576"/>
    <cellStyle name="Normal 3 3 4 2 7 2 4" xfId="29136"/>
    <cellStyle name="Normal 3 3 4 2 7 3" xfId="19429"/>
    <cellStyle name="Normal 3 3 4 2 7 3 2" xfId="42016"/>
    <cellStyle name="Normal 3 3 4 2 7 4" xfId="16209"/>
    <cellStyle name="Normal 3 3 4 2 7 4 2" xfId="38796"/>
    <cellStyle name="Normal 3 3 4 2 7 5" xfId="9769"/>
    <cellStyle name="Normal 3 3 4 2 7 5 2" xfId="32356"/>
    <cellStyle name="Normal 3 3 4 2 7 6" xfId="25916"/>
    <cellStyle name="Normal 3 3 4 2 8" xfId="680"/>
    <cellStyle name="Normal 3 3 4 2 8 2" xfId="3924"/>
    <cellStyle name="Normal 3 3 4 2 8 2 2" xfId="20024"/>
    <cellStyle name="Normal 3 3 4 2 8 2 2 2" xfId="42611"/>
    <cellStyle name="Normal 3 3 4 2 8 2 3" xfId="10364"/>
    <cellStyle name="Normal 3 3 4 2 8 2 3 2" xfId="32951"/>
    <cellStyle name="Normal 3 3 4 2 8 2 4" xfId="26511"/>
    <cellStyle name="Normal 3 3 4 2 8 3" xfId="16804"/>
    <cellStyle name="Normal 3 3 4 2 8 3 2" xfId="39391"/>
    <cellStyle name="Normal 3 3 4 2 8 4" xfId="13584"/>
    <cellStyle name="Normal 3 3 4 2 8 4 2" xfId="36171"/>
    <cellStyle name="Normal 3 3 4 2 8 5" xfId="7144"/>
    <cellStyle name="Normal 3 3 4 2 8 5 2" xfId="29731"/>
    <cellStyle name="Normal 3 3 4 2 8 6" xfId="23291"/>
    <cellStyle name="Normal 3 3 4 2 9" xfId="3619"/>
    <cellStyle name="Normal 3 3 4 2 9 2" xfId="19719"/>
    <cellStyle name="Normal 3 3 4 2 9 2 2" xfId="42306"/>
    <cellStyle name="Normal 3 3 4 2 9 3" xfId="10059"/>
    <cellStyle name="Normal 3 3 4 2 9 3 2" xfId="32646"/>
    <cellStyle name="Normal 3 3 4 2 9 4" xfId="26206"/>
    <cellStyle name="Normal 3 3 4 3" xfId="428"/>
    <cellStyle name="Normal 3 3 4 3 10" xfId="13375"/>
    <cellStyle name="Normal 3 3 4 3 10 2" xfId="35962"/>
    <cellStyle name="Normal 3 3 4 3 11" xfId="6935"/>
    <cellStyle name="Normal 3 3 4 3 11 2" xfId="29522"/>
    <cellStyle name="Normal 3 3 4 3 12" xfId="23082"/>
    <cellStyle name="Normal 3 3 4 3 2" xfId="1128"/>
    <cellStyle name="Normal 3 3 4 3 2 2" xfId="2442"/>
    <cellStyle name="Normal 3 3 4 3 2 2 2" xfId="5663"/>
    <cellStyle name="Normal 3 3 4 3 2 2 2 2" xfId="21763"/>
    <cellStyle name="Normal 3 3 4 3 2 2 2 2 2" xfId="44350"/>
    <cellStyle name="Normal 3 3 4 3 2 2 2 3" xfId="12103"/>
    <cellStyle name="Normal 3 3 4 3 2 2 2 3 2" xfId="34690"/>
    <cellStyle name="Normal 3 3 4 3 2 2 2 4" xfId="28250"/>
    <cellStyle name="Normal 3 3 4 3 2 2 3" xfId="18543"/>
    <cellStyle name="Normal 3 3 4 3 2 2 3 2" xfId="41130"/>
    <cellStyle name="Normal 3 3 4 3 2 2 4" xfId="15323"/>
    <cellStyle name="Normal 3 3 4 3 2 2 4 2" xfId="37910"/>
    <cellStyle name="Normal 3 3 4 3 2 2 5" xfId="8883"/>
    <cellStyle name="Normal 3 3 4 3 2 2 5 2" xfId="31470"/>
    <cellStyle name="Normal 3 3 4 3 2 2 6" xfId="25030"/>
    <cellStyle name="Normal 3 3 4 3 2 3" xfId="4355"/>
    <cellStyle name="Normal 3 3 4 3 2 3 2" xfId="20455"/>
    <cellStyle name="Normal 3 3 4 3 2 3 2 2" xfId="43042"/>
    <cellStyle name="Normal 3 3 4 3 2 3 3" xfId="10795"/>
    <cellStyle name="Normal 3 3 4 3 2 3 3 2" xfId="33382"/>
    <cellStyle name="Normal 3 3 4 3 2 3 4" xfId="26942"/>
    <cellStyle name="Normal 3 3 4 3 2 4" xfId="17235"/>
    <cellStyle name="Normal 3 3 4 3 2 4 2" xfId="39822"/>
    <cellStyle name="Normal 3 3 4 3 2 5" xfId="14015"/>
    <cellStyle name="Normal 3 3 4 3 2 5 2" xfId="36602"/>
    <cellStyle name="Normal 3 3 4 3 2 6" xfId="7575"/>
    <cellStyle name="Normal 3 3 4 3 2 6 2" xfId="30162"/>
    <cellStyle name="Normal 3 3 4 3 2 7" xfId="23722"/>
    <cellStyle name="Normal 3 3 4 3 3" xfId="1475"/>
    <cellStyle name="Normal 3 3 4 3 3 2" xfId="2789"/>
    <cellStyle name="Normal 3 3 4 3 3 2 2" xfId="6010"/>
    <cellStyle name="Normal 3 3 4 3 3 2 2 2" xfId="22110"/>
    <cellStyle name="Normal 3 3 4 3 3 2 2 2 2" xfId="44697"/>
    <cellStyle name="Normal 3 3 4 3 3 2 2 3" xfId="12450"/>
    <cellStyle name="Normal 3 3 4 3 3 2 2 3 2" xfId="35037"/>
    <cellStyle name="Normal 3 3 4 3 3 2 2 4" xfId="28597"/>
    <cellStyle name="Normal 3 3 4 3 3 2 3" xfId="18890"/>
    <cellStyle name="Normal 3 3 4 3 3 2 3 2" xfId="41477"/>
    <cellStyle name="Normal 3 3 4 3 3 2 4" xfId="15670"/>
    <cellStyle name="Normal 3 3 4 3 3 2 4 2" xfId="38257"/>
    <cellStyle name="Normal 3 3 4 3 3 2 5" xfId="9230"/>
    <cellStyle name="Normal 3 3 4 3 3 2 5 2" xfId="31817"/>
    <cellStyle name="Normal 3 3 4 3 3 2 6" xfId="25377"/>
    <cellStyle name="Normal 3 3 4 3 3 3" xfId="4702"/>
    <cellStyle name="Normal 3 3 4 3 3 3 2" xfId="20802"/>
    <cellStyle name="Normal 3 3 4 3 3 3 2 2" xfId="43389"/>
    <cellStyle name="Normal 3 3 4 3 3 3 3" xfId="11142"/>
    <cellStyle name="Normal 3 3 4 3 3 3 3 2" xfId="33729"/>
    <cellStyle name="Normal 3 3 4 3 3 3 4" xfId="27289"/>
    <cellStyle name="Normal 3 3 4 3 3 4" xfId="17582"/>
    <cellStyle name="Normal 3 3 4 3 3 4 2" xfId="40169"/>
    <cellStyle name="Normal 3 3 4 3 3 5" xfId="14362"/>
    <cellStyle name="Normal 3 3 4 3 3 5 2" xfId="36949"/>
    <cellStyle name="Normal 3 3 4 3 3 6" xfId="7922"/>
    <cellStyle name="Normal 3 3 4 3 3 6 2" xfId="30509"/>
    <cellStyle name="Normal 3 3 4 3 3 7" xfId="24069"/>
    <cellStyle name="Normal 3 3 4 3 4" xfId="2095"/>
    <cellStyle name="Normal 3 3 4 3 4 2" xfId="5316"/>
    <cellStyle name="Normal 3 3 4 3 4 2 2" xfId="21416"/>
    <cellStyle name="Normal 3 3 4 3 4 2 2 2" xfId="44003"/>
    <cellStyle name="Normal 3 3 4 3 4 2 3" xfId="11756"/>
    <cellStyle name="Normal 3 3 4 3 4 2 3 2" xfId="34343"/>
    <cellStyle name="Normal 3 3 4 3 4 2 4" xfId="27903"/>
    <cellStyle name="Normal 3 3 4 3 4 3" xfId="18196"/>
    <cellStyle name="Normal 3 3 4 3 4 3 2" xfId="40783"/>
    <cellStyle name="Normal 3 3 4 3 4 4" xfId="14976"/>
    <cellStyle name="Normal 3 3 4 3 4 4 2" xfId="37563"/>
    <cellStyle name="Normal 3 3 4 3 4 5" xfId="8536"/>
    <cellStyle name="Normal 3 3 4 3 4 5 2" xfId="31123"/>
    <cellStyle name="Normal 3 3 4 3 4 6" xfId="24683"/>
    <cellStyle name="Normal 3 3 4 3 5" xfId="3135"/>
    <cellStyle name="Normal 3 3 4 3 5 2" xfId="6355"/>
    <cellStyle name="Normal 3 3 4 3 5 2 2" xfId="22455"/>
    <cellStyle name="Normal 3 3 4 3 5 2 2 2" xfId="45042"/>
    <cellStyle name="Normal 3 3 4 3 5 2 3" xfId="12795"/>
    <cellStyle name="Normal 3 3 4 3 5 2 3 2" xfId="35382"/>
    <cellStyle name="Normal 3 3 4 3 5 2 4" xfId="28942"/>
    <cellStyle name="Normal 3 3 4 3 5 3" xfId="19235"/>
    <cellStyle name="Normal 3 3 4 3 5 3 2" xfId="41822"/>
    <cellStyle name="Normal 3 3 4 3 5 4" xfId="16015"/>
    <cellStyle name="Normal 3 3 4 3 5 4 2" xfId="38602"/>
    <cellStyle name="Normal 3 3 4 3 5 5" xfId="9575"/>
    <cellStyle name="Normal 3 3 4 3 5 5 2" xfId="32162"/>
    <cellStyle name="Normal 3 3 4 3 5 6" xfId="25722"/>
    <cellStyle name="Normal 3 3 4 3 6" xfId="3425"/>
    <cellStyle name="Normal 3 3 4 3 6 2" xfId="6645"/>
    <cellStyle name="Normal 3 3 4 3 6 2 2" xfId="22745"/>
    <cellStyle name="Normal 3 3 4 3 6 2 2 2" xfId="45332"/>
    <cellStyle name="Normal 3 3 4 3 6 2 3" xfId="13085"/>
    <cellStyle name="Normal 3 3 4 3 6 2 3 2" xfId="35672"/>
    <cellStyle name="Normal 3 3 4 3 6 2 4" xfId="29232"/>
    <cellStyle name="Normal 3 3 4 3 6 3" xfId="19525"/>
    <cellStyle name="Normal 3 3 4 3 6 3 2" xfId="42112"/>
    <cellStyle name="Normal 3 3 4 3 6 4" xfId="16305"/>
    <cellStyle name="Normal 3 3 4 3 6 4 2" xfId="38892"/>
    <cellStyle name="Normal 3 3 4 3 6 5" xfId="9865"/>
    <cellStyle name="Normal 3 3 4 3 6 5 2" xfId="32452"/>
    <cellStyle name="Normal 3 3 4 3 6 6" xfId="26012"/>
    <cellStyle name="Normal 3 3 4 3 7" xfId="776"/>
    <cellStyle name="Normal 3 3 4 3 7 2" xfId="4008"/>
    <cellStyle name="Normal 3 3 4 3 7 2 2" xfId="20108"/>
    <cellStyle name="Normal 3 3 4 3 7 2 2 2" xfId="42695"/>
    <cellStyle name="Normal 3 3 4 3 7 2 3" xfId="10448"/>
    <cellStyle name="Normal 3 3 4 3 7 2 3 2" xfId="33035"/>
    <cellStyle name="Normal 3 3 4 3 7 2 4" xfId="26595"/>
    <cellStyle name="Normal 3 3 4 3 7 3" xfId="16888"/>
    <cellStyle name="Normal 3 3 4 3 7 3 2" xfId="39475"/>
    <cellStyle name="Normal 3 3 4 3 7 4" xfId="13668"/>
    <cellStyle name="Normal 3 3 4 3 7 4 2" xfId="36255"/>
    <cellStyle name="Normal 3 3 4 3 7 5" xfId="7228"/>
    <cellStyle name="Normal 3 3 4 3 7 5 2" xfId="29815"/>
    <cellStyle name="Normal 3 3 4 3 7 6" xfId="23375"/>
    <cellStyle name="Normal 3 3 4 3 8" xfId="3715"/>
    <cellStyle name="Normal 3 3 4 3 8 2" xfId="19815"/>
    <cellStyle name="Normal 3 3 4 3 8 2 2" xfId="42402"/>
    <cellStyle name="Normal 3 3 4 3 8 3" xfId="10155"/>
    <cellStyle name="Normal 3 3 4 3 8 3 2" xfId="32742"/>
    <cellStyle name="Normal 3 3 4 3 8 4" xfId="26302"/>
    <cellStyle name="Normal 3 3 4 3 9" xfId="16595"/>
    <cellStyle name="Normal 3 3 4 3 9 2" xfId="39182"/>
    <cellStyle name="Normal 3 3 4 4" xfId="923"/>
    <cellStyle name="Normal 3 3 4 4 2" xfId="2242"/>
    <cellStyle name="Normal 3 3 4 4 2 2" xfId="5463"/>
    <cellStyle name="Normal 3 3 4 4 2 2 2" xfId="21563"/>
    <cellStyle name="Normal 3 3 4 4 2 2 2 2" xfId="44150"/>
    <cellStyle name="Normal 3 3 4 4 2 2 3" xfId="11903"/>
    <cellStyle name="Normal 3 3 4 4 2 2 3 2" xfId="34490"/>
    <cellStyle name="Normal 3 3 4 4 2 2 4" xfId="28050"/>
    <cellStyle name="Normal 3 3 4 4 2 3" xfId="18343"/>
    <cellStyle name="Normal 3 3 4 4 2 3 2" xfId="40930"/>
    <cellStyle name="Normal 3 3 4 4 2 4" xfId="15123"/>
    <cellStyle name="Normal 3 3 4 4 2 4 2" xfId="37710"/>
    <cellStyle name="Normal 3 3 4 4 2 5" xfId="8683"/>
    <cellStyle name="Normal 3 3 4 4 2 5 2" xfId="31270"/>
    <cellStyle name="Normal 3 3 4 4 2 6" xfId="24830"/>
    <cellStyle name="Normal 3 3 4 4 3" xfId="4155"/>
    <cellStyle name="Normal 3 3 4 4 3 2" xfId="20255"/>
    <cellStyle name="Normal 3 3 4 4 3 2 2" xfId="42842"/>
    <cellStyle name="Normal 3 3 4 4 3 3" xfId="10595"/>
    <cellStyle name="Normal 3 3 4 4 3 3 2" xfId="33182"/>
    <cellStyle name="Normal 3 3 4 4 3 4" xfId="26742"/>
    <cellStyle name="Normal 3 3 4 4 4" xfId="17035"/>
    <cellStyle name="Normal 3 3 4 4 4 2" xfId="39622"/>
    <cellStyle name="Normal 3 3 4 4 5" xfId="13815"/>
    <cellStyle name="Normal 3 3 4 4 5 2" xfId="36402"/>
    <cellStyle name="Normal 3 3 4 4 6" xfId="7375"/>
    <cellStyle name="Normal 3 3 4 4 6 2" xfId="29962"/>
    <cellStyle name="Normal 3 3 4 4 7" xfId="23522"/>
    <cellStyle name="Normal 3 3 4 5" xfId="1275"/>
    <cellStyle name="Normal 3 3 4 5 2" xfId="2589"/>
    <cellStyle name="Normal 3 3 4 5 2 2" xfId="5810"/>
    <cellStyle name="Normal 3 3 4 5 2 2 2" xfId="21910"/>
    <cellStyle name="Normal 3 3 4 5 2 2 2 2" xfId="44497"/>
    <cellStyle name="Normal 3 3 4 5 2 2 3" xfId="12250"/>
    <cellStyle name="Normal 3 3 4 5 2 2 3 2" xfId="34837"/>
    <cellStyle name="Normal 3 3 4 5 2 2 4" xfId="28397"/>
    <cellStyle name="Normal 3 3 4 5 2 3" xfId="18690"/>
    <cellStyle name="Normal 3 3 4 5 2 3 2" xfId="41277"/>
    <cellStyle name="Normal 3 3 4 5 2 4" xfId="15470"/>
    <cellStyle name="Normal 3 3 4 5 2 4 2" xfId="38057"/>
    <cellStyle name="Normal 3 3 4 5 2 5" xfId="9030"/>
    <cellStyle name="Normal 3 3 4 5 2 5 2" xfId="31617"/>
    <cellStyle name="Normal 3 3 4 5 2 6" xfId="25177"/>
    <cellStyle name="Normal 3 3 4 5 3" xfId="4502"/>
    <cellStyle name="Normal 3 3 4 5 3 2" xfId="20602"/>
    <cellStyle name="Normal 3 3 4 5 3 2 2" xfId="43189"/>
    <cellStyle name="Normal 3 3 4 5 3 3" xfId="10942"/>
    <cellStyle name="Normal 3 3 4 5 3 3 2" xfId="33529"/>
    <cellStyle name="Normal 3 3 4 5 3 4" xfId="27089"/>
    <cellStyle name="Normal 3 3 4 5 4" xfId="17382"/>
    <cellStyle name="Normal 3 3 4 5 4 2" xfId="39969"/>
    <cellStyle name="Normal 3 3 4 5 5" xfId="14162"/>
    <cellStyle name="Normal 3 3 4 5 5 2" xfId="36749"/>
    <cellStyle name="Normal 3 3 4 5 6" xfId="7722"/>
    <cellStyle name="Normal 3 3 4 5 6 2" xfId="30309"/>
    <cellStyle name="Normal 3 3 4 5 7" xfId="23869"/>
    <cellStyle name="Normal 3 3 4 6" xfId="1678"/>
    <cellStyle name="Normal 3 3 4 6 2" xfId="4901"/>
    <cellStyle name="Normal 3 3 4 6 2 2" xfId="21001"/>
    <cellStyle name="Normal 3 3 4 6 2 2 2" xfId="43588"/>
    <cellStyle name="Normal 3 3 4 6 2 3" xfId="11341"/>
    <cellStyle name="Normal 3 3 4 6 2 3 2" xfId="33928"/>
    <cellStyle name="Normal 3 3 4 6 2 4" xfId="27488"/>
    <cellStyle name="Normal 3 3 4 6 3" xfId="17781"/>
    <cellStyle name="Normal 3 3 4 6 3 2" xfId="40368"/>
    <cellStyle name="Normal 3 3 4 6 4" xfId="14561"/>
    <cellStyle name="Normal 3 3 4 6 4 2" xfId="37148"/>
    <cellStyle name="Normal 3 3 4 6 5" xfId="8121"/>
    <cellStyle name="Normal 3 3 4 6 5 2" xfId="30708"/>
    <cellStyle name="Normal 3 3 4 6 6" xfId="24268"/>
    <cellStyle name="Normal 3 3 4 7" xfId="1894"/>
    <cellStyle name="Normal 3 3 4 7 2" xfId="5116"/>
    <cellStyle name="Normal 3 3 4 7 2 2" xfId="21216"/>
    <cellStyle name="Normal 3 3 4 7 2 2 2" xfId="43803"/>
    <cellStyle name="Normal 3 3 4 7 2 3" xfId="11556"/>
    <cellStyle name="Normal 3 3 4 7 2 3 2" xfId="34143"/>
    <cellStyle name="Normal 3 3 4 7 2 4" xfId="27703"/>
    <cellStyle name="Normal 3 3 4 7 3" xfId="17996"/>
    <cellStyle name="Normal 3 3 4 7 3 2" xfId="40583"/>
    <cellStyle name="Normal 3 3 4 7 4" xfId="14776"/>
    <cellStyle name="Normal 3 3 4 7 4 2" xfId="37363"/>
    <cellStyle name="Normal 3 3 4 7 5" xfId="8336"/>
    <cellStyle name="Normal 3 3 4 7 5 2" xfId="30923"/>
    <cellStyle name="Normal 3 3 4 7 6" xfId="24483"/>
    <cellStyle name="Normal 3 3 4 8" xfId="2941"/>
    <cellStyle name="Normal 3 3 4 8 2" xfId="6162"/>
    <cellStyle name="Normal 3 3 4 8 2 2" xfId="22262"/>
    <cellStyle name="Normal 3 3 4 8 2 2 2" xfId="44849"/>
    <cellStyle name="Normal 3 3 4 8 2 3" xfId="12602"/>
    <cellStyle name="Normal 3 3 4 8 2 3 2" xfId="35189"/>
    <cellStyle name="Normal 3 3 4 8 2 4" xfId="28749"/>
    <cellStyle name="Normal 3 3 4 8 3" xfId="19042"/>
    <cellStyle name="Normal 3 3 4 8 3 2" xfId="41629"/>
    <cellStyle name="Normal 3 3 4 8 4" xfId="15822"/>
    <cellStyle name="Normal 3 3 4 8 4 2" xfId="38409"/>
    <cellStyle name="Normal 3 3 4 8 5" xfId="9382"/>
    <cellStyle name="Normal 3 3 4 8 5 2" xfId="31969"/>
    <cellStyle name="Normal 3 3 4 8 6" xfId="25529"/>
    <cellStyle name="Normal 3 3 4 9" xfId="3232"/>
    <cellStyle name="Normal 3 3 4 9 2" xfId="6452"/>
    <cellStyle name="Normal 3 3 4 9 2 2" xfId="22552"/>
    <cellStyle name="Normal 3 3 4 9 2 2 2" xfId="45139"/>
    <cellStyle name="Normal 3 3 4 9 2 3" xfId="12892"/>
    <cellStyle name="Normal 3 3 4 9 2 3 2" xfId="35479"/>
    <cellStyle name="Normal 3 3 4 9 2 4" xfId="29039"/>
    <cellStyle name="Normal 3 3 4 9 3" xfId="19332"/>
    <cellStyle name="Normal 3 3 4 9 3 2" xfId="41919"/>
    <cellStyle name="Normal 3 3 4 9 4" xfId="16112"/>
    <cellStyle name="Normal 3 3 4 9 4 2" xfId="38699"/>
    <cellStyle name="Normal 3 3 4 9 5" xfId="9672"/>
    <cellStyle name="Normal 3 3 4 9 5 2" xfId="32259"/>
    <cellStyle name="Normal 3 3 4 9 6" xfId="25819"/>
    <cellStyle name="Normal 3 3 5" xfId="267"/>
    <cellStyle name="Normal 3 3 5 10" xfId="16434"/>
    <cellStyle name="Normal 3 3 5 10 2" xfId="39021"/>
    <cellStyle name="Normal 3 3 5 11" xfId="13214"/>
    <cellStyle name="Normal 3 3 5 11 2" xfId="35801"/>
    <cellStyle name="Normal 3 3 5 12" xfId="6774"/>
    <cellStyle name="Normal 3 3 5 12 2" xfId="29361"/>
    <cellStyle name="Normal 3 3 5 13" xfId="22921"/>
    <cellStyle name="Normal 3 3 5 2" xfId="973"/>
    <cellStyle name="Normal 3 3 5 2 2" xfId="2291"/>
    <cellStyle name="Normal 3 3 5 2 2 2" xfId="5512"/>
    <cellStyle name="Normal 3 3 5 2 2 2 2" xfId="21612"/>
    <cellStyle name="Normal 3 3 5 2 2 2 2 2" xfId="44199"/>
    <cellStyle name="Normal 3 3 5 2 2 2 3" xfId="11952"/>
    <cellStyle name="Normal 3 3 5 2 2 2 3 2" xfId="34539"/>
    <cellStyle name="Normal 3 3 5 2 2 2 4" xfId="28099"/>
    <cellStyle name="Normal 3 3 5 2 2 3" xfId="18392"/>
    <cellStyle name="Normal 3 3 5 2 2 3 2" xfId="40979"/>
    <cellStyle name="Normal 3 3 5 2 2 4" xfId="15172"/>
    <cellStyle name="Normal 3 3 5 2 2 4 2" xfId="37759"/>
    <cellStyle name="Normal 3 3 5 2 2 5" xfId="8732"/>
    <cellStyle name="Normal 3 3 5 2 2 5 2" xfId="31319"/>
    <cellStyle name="Normal 3 3 5 2 2 6" xfId="24879"/>
    <cellStyle name="Normal 3 3 5 2 3" xfId="4204"/>
    <cellStyle name="Normal 3 3 5 2 3 2" xfId="20304"/>
    <cellStyle name="Normal 3 3 5 2 3 2 2" xfId="42891"/>
    <cellStyle name="Normal 3 3 5 2 3 3" xfId="10644"/>
    <cellStyle name="Normal 3 3 5 2 3 3 2" xfId="33231"/>
    <cellStyle name="Normal 3 3 5 2 3 4" xfId="26791"/>
    <cellStyle name="Normal 3 3 5 2 4" xfId="17084"/>
    <cellStyle name="Normal 3 3 5 2 4 2" xfId="39671"/>
    <cellStyle name="Normal 3 3 5 2 5" xfId="13864"/>
    <cellStyle name="Normal 3 3 5 2 5 2" xfId="36451"/>
    <cellStyle name="Normal 3 3 5 2 6" xfId="7424"/>
    <cellStyle name="Normal 3 3 5 2 6 2" xfId="30011"/>
    <cellStyle name="Normal 3 3 5 2 7" xfId="23571"/>
    <cellStyle name="Normal 3 3 5 3" xfId="1324"/>
    <cellStyle name="Normal 3 3 5 3 2" xfId="2638"/>
    <cellStyle name="Normal 3 3 5 3 2 2" xfId="5859"/>
    <cellStyle name="Normal 3 3 5 3 2 2 2" xfId="21959"/>
    <cellStyle name="Normal 3 3 5 3 2 2 2 2" xfId="44546"/>
    <cellStyle name="Normal 3 3 5 3 2 2 3" xfId="12299"/>
    <cellStyle name="Normal 3 3 5 3 2 2 3 2" xfId="34886"/>
    <cellStyle name="Normal 3 3 5 3 2 2 4" xfId="28446"/>
    <cellStyle name="Normal 3 3 5 3 2 3" xfId="18739"/>
    <cellStyle name="Normal 3 3 5 3 2 3 2" xfId="41326"/>
    <cellStyle name="Normal 3 3 5 3 2 4" xfId="15519"/>
    <cellStyle name="Normal 3 3 5 3 2 4 2" xfId="38106"/>
    <cellStyle name="Normal 3 3 5 3 2 5" xfId="9079"/>
    <cellStyle name="Normal 3 3 5 3 2 5 2" xfId="31666"/>
    <cellStyle name="Normal 3 3 5 3 2 6" xfId="25226"/>
    <cellStyle name="Normal 3 3 5 3 3" xfId="4551"/>
    <cellStyle name="Normal 3 3 5 3 3 2" xfId="20651"/>
    <cellStyle name="Normal 3 3 5 3 3 2 2" xfId="43238"/>
    <cellStyle name="Normal 3 3 5 3 3 3" xfId="10991"/>
    <cellStyle name="Normal 3 3 5 3 3 3 2" xfId="33578"/>
    <cellStyle name="Normal 3 3 5 3 3 4" xfId="27138"/>
    <cellStyle name="Normal 3 3 5 3 4" xfId="17431"/>
    <cellStyle name="Normal 3 3 5 3 4 2" xfId="40018"/>
    <cellStyle name="Normal 3 3 5 3 5" xfId="14211"/>
    <cellStyle name="Normal 3 3 5 3 5 2" xfId="36798"/>
    <cellStyle name="Normal 3 3 5 3 6" xfId="7771"/>
    <cellStyle name="Normal 3 3 5 3 6 2" xfId="30358"/>
    <cellStyle name="Normal 3 3 5 3 7" xfId="23918"/>
    <cellStyle name="Normal 3 3 5 4" xfId="1679"/>
    <cellStyle name="Normal 3 3 5 4 2" xfId="4902"/>
    <cellStyle name="Normal 3 3 5 4 2 2" xfId="21002"/>
    <cellStyle name="Normal 3 3 5 4 2 2 2" xfId="43589"/>
    <cellStyle name="Normal 3 3 5 4 2 3" xfId="11342"/>
    <cellStyle name="Normal 3 3 5 4 2 3 2" xfId="33929"/>
    <cellStyle name="Normal 3 3 5 4 2 4" xfId="27489"/>
    <cellStyle name="Normal 3 3 5 4 3" xfId="17782"/>
    <cellStyle name="Normal 3 3 5 4 3 2" xfId="40369"/>
    <cellStyle name="Normal 3 3 5 4 4" xfId="14562"/>
    <cellStyle name="Normal 3 3 5 4 4 2" xfId="37149"/>
    <cellStyle name="Normal 3 3 5 4 5" xfId="8122"/>
    <cellStyle name="Normal 3 3 5 4 5 2" xfId="30709"/>
    <cellStyle name="Normal 3 3 5 4 6" xfId="24269"/>
    <cellStyle name="Normal 3 3 5 5" xfId="1943"/>
    <cellStyle name="Normal 3 3 5 5 2" xfId="5165"/>
    <cellStyle name="Normal 3 3 5 5 2 2" xfId="21265"/>
    <cellStyle name="Normal 3 3 5 5 2 2 2" xfId="43852"/>
    <cellStyle name="Normal 3 3 5 5 2 3" xfId="11605"/>
    <cellStyle name="Normal 3 3 5 5 2 3 2" xfId="34192"/>
    <cellStyle name="Normal 3 3 5 5 2 4" xfId="27752"/>
    <cellStyle name="Normal 3 3 5 5 3" xfId="18045"/>
    <cellStyle name="Normal 3 3 5 5 3 2" xfId="40632"/>
    <cellStyle name="Normal 3 3 5 5 4" xfId="14825"/>
    <cellStyle name="Normal 3 3 5 5 4 2" xfId="37412"/>
    <cellStyle name="Normal 3 3 5 5 5" xfId="8385"/>
    <cellStyle name="Normal 3 3 5 5 5 2" xfId="30972"/>
    <cellStyle name="Normal 3 3 5 5 6" xfId="24532"/>
    <cellStyle name="Normal 3 3 5 6" xfId="2974"/>
    <cellStyle name="Normal 3 3 5 6 2" xfId="6194"/>
    <cellStyle name="Normal 3 3 5 6 2 2" xfId="22294"/>
    <cellStyle name="Normal 3 3 5 6 2 2 2" xfId="44881"/>
    <cellStyle name="Normal 3 3 5 6 2 3" xfId="12634"/>
    <cellStyle name="Normal 3 3 5 6 2 3 2" xfId="35221"/>
    <cellStyle name="Normal 3 3 5 6 2 4" xfId="28781"/>
    <cellStyle name="Normal 3 3 5 6 3" xfId="19074"/>
    <cellStyle name="Normal 3 3 5 6 3 2" xfId="41661"/>
    <cellStyle name="Normal 3 3 5 6 4" xfId="15854"/>
    <cellStyle name="Normal 3 3 5 6 4 2" xfId="38441"/>
    <cellStyle name="Normal 3 3 5 6 5" xfId="9414"/>
    <cellStyle name="Normal 3 3 5 6 5 2" xfId="32001"/>
    <cellStyle name="Normal 3 3 5 6 6" xfId="25561"/>
    <cellStyle name="Normal 3 3 5 7" xfId="3264"/>
    <cellStyle name="Normal 3 3 5 7 2" xfId="6484"/>
    <cellStyle name="Normal 3 3 5 7 2 2" xfId="22584"/>
    <cellStyle name="Normal 3 3 5 7 2 2 2" xfId="45171"/>
    <cellStyle name="Normal 3 3 5 7 2 3" xfId="12924"/>
    <cellStyle name="Normal 3 3 5 7 2 3 2" xfId="35511"/>
    <cellStyle name="Normal 3 3 5 7 2 4" xfId="29071"/>
    <cellStyle name="Normal 3 3 5 7 3" xfId="19364"/>
    <cellStyle name="Normal 3 3 5 7 3 2" xfId="41951"/>
    <cellStyle name="Normal 3 3 5 7 4" xfId="16144"/>
    <cellStyle name="Normal 3 3 5 7 4 2" xfId="38731"/>
    <cellStyle name="Normal 3 3 5 7 5" xfId="9704"/>
    <cellStyle name="Normal 3 3 5 7 5 2" xfId="32291"/>
    <cellStyle name="Normal 3 3 5 7 6" xfId="25851"/>
    <cellStyle name="Normal 3 3 5 8" xfId="588"/>
    <cellStyle name="Normal 3 3 5 8 2" xfId="3857"/>
    <cellStyle name="Normal 3 3 5 8 2 2" xfId="19957"/>
    <cellStyle name="Normal 3 3 5 8 2 2 2" xfId="42544"/>
    <cellStyle name="Normal 3 3 5 8 2 3" xfId="10297"/>
    <cellStyle name="Normal 3 3 5 8 2 3 2" xfId="32884"/>
    <cellStyle name="Normal 3 3 5 8 2 4" xfId="26444"/>
    <cellStyle name="Normal 3 3 5 8 3" xfId="16737"/>
    <cellStyle name="Normal 3 3 5 8 3 2" xfId="39324"/>
    <cellStyle name="Normal 3 3 5 8 4" xfId="13517"/>
    <cellStyle name="Normal 3 3 5 8 4 2" xfId="36104"/>
    <cellStyle name="Normal 3 3 5 8 5" xfId="7077"/>
    <cellStyle name="Normal 3 3 5 8 5 2" xfId="29664"/>
    <cellStyle name="Normal 3 3 5 8 6" xfId="23224"/>
    <cellStyle name="Normal 3 3 5 9" xfId="3554"/>
    <cellStyle name="Normal 3 3 5 9 2" xfId="19654"/>
    <cellStyle name="Normal 3 3 5 9 2 2" xfId="42241"/>
    <cellStyle name="Normal 3 3 5 9 3" xfId="9994"/>
    <cellStyle name="Normal 3 3 5 9 3 2" xfId="32581"/>
    <cellStyle name="Normal 3 3 5 9 4" xfId="26141"/>
    <cellStyle name="Normal 3 3 6" xfId="351"/>
    <cellStyle name="Normal 3 3 6 10" xfId="13298"/>
    <cellStyle name="Normal 3 3 6 10 2" xfId="35885"/>
    <cellStyle name="Normal 3 3 6 11" xfId="6858"/>
    <cellStyle name="Normal 3 3 6 11 2" xfId="29445"/>
    <cellStyle name="Normal 3 3 6 12" xfId="23005"/>
    <cellStyle name="Normal 3 3 6 2" xfId="1088"/>
    <cellStyle name="Normal 3 3 6 2 2" xfId="2402"/>
    <cellStyle name="Normal 3 3 6 2 2 2" xfId="5623"/>
    <cellStyle name="Normal 3 3 6 2 2 2 2" xfId="21723"/>
    <cellStyle name="Normal 3 3 6 2 2 2 2 2" xfId="44310"/>
    <cellStyle name="Normal 3 3 6 2 2 2 3" xfId="12063"/>
    <cellStyle name="Normal 3 3 6 2 2 2 3 2" xfId="34650"/>
    <cellStyle name="Normal 3 3 6 2 2 2 4" xfId="28210"/>
    <cellStyle name="Normal 3 3 6 2 2 3" xfId="18503"/>
    <cellStyle name="Normal 3 3 6 2 2 3 2" xfId="41090"/>
    <cellStyle name="Normal 3 3 6 2 2 4" xfId="15283"/>
    <cellStyle name="Normal 3 3 6 2 2 4 2" xfId="37870"/>
    <cellStyle name="Normal 3 3 6 2 2 5" xfId="8843"/>
    <cellStyle name="Normal 3 3 6 2 2 5 2" xfId="31430"/>
    <cellStyle name="Normal 3 3 6 2 2 6" xfId="24990"/>
    <cellStyle name="Normal 3 3 6 2 3" xfId="4315"/>
    <cellStyle name="Normal 3 3 6 2 3 2" xfId="20415"/>
    <cellStyle name="Normal 3 3 6 2 3 2 2" xfId="43002"/>
    <cellStyle name="Normal 3 3 6 2 3 3" xfId="10755"/>
    <cellStyle name="Normal 3 3 6 2 3 3 2" xfId="33342"/>
    <cellStyle name="Normal 3 3 6 2 3 4" xfId="26902"/>
    <cellStyle name="Normal 3 3 6 2 4" xfId="17195"/>
    <cellStyle name="Normal 3 3 6 2 4 2" xfId="39782"/>
    <cellStyle name="Normal 3 3 6 2 5" xfId="13975"/>
    <cellStyle name="Normal 3 3 6 2 5 2" xfId="36562"/>
    <cellStyle name="Normal 3 3 6 2 6" xfId="7535"/>
    <cellStyle name="Normal 3 3 6 2 6 2" xfId="30122"/>
    <cellStyle name="Normal 3 3 6 2 7" xfId="23682"/>
    <cellStyle name="Normal 3 3 6 3" xfId="1435"/>
    <cellStyle name="Normal 3 3 6 3 2" xfId="2749"/>
    <cellStyle name="Normal 3 3 6 3 2 2" xfId="5970"/>
    <cellStyle name="Normal 3 3 6 3 2 2 2" xfId="22070"/>
    <cellStyle name="Normal 3 3 6 3 2 2 2 2" xfId="44657"/>
    <cellStyle name="Normal 3 3 6 3 2 2 3" xfId="12410"/>
    <cellStyle name="Normal 3 3 6 3 2 2 3 2" xfId="34997"/>
    <cellStyle name="Normal 3 3 6 3 2 2 4" xfId="28557"/>
    <cellStyle name="Normal 3 3 6 3 2 3" xfId="18850"/>
    <cellStyle name="Normal 3 3 6 3 2 3 2" xfId="41437"/>
    <cellStyle name="Normal 3 3 6 3 2 4" xfId="15630"/>
    <cellStyle name="Normal 3 3 6 3 2 4 2" xfId="38217"/>
    <cellStyle name="Normal 3 3 6 3 2 5" xfId="9190"/>
    <cellStyle name="Normal 3 3 6 3 2 5 2" xfId="31777"/>
    <cellStyle name="Normal 3 3 6 3 2 6" xfId="25337"/>
    <cellStyle name="Normal 3 3 6 3 3" xfId="4662"/>
    <cellStyle name="Normal 3 3 6 3 3 2" xfId="20762"/>
    <cellStyle name="Normal 3 3 6 3 3 2 2" xfId="43349"/>
    <cellStyle name="Normal 3 3 6 3 3 3" xfId="11102"/>
    <cellStyle name="Normal 3 3 6 3 3 3 2" xfId="33689"/>
    <cellStyle name="Normal 3 3 6 3 3 4" xfId="27249"/>
    <cellStyle name="Normal 3 3 6 3 4" xfId="17542"/>
    <cellStyle name="Normal 3 3 6 3 4 2" xfId="40129"/>
    <cellStyle name="Normal 3 3 6 3 5" xfId="14322"/>
    <cellStyle name="Normal 3 3 6 3 5 2" xfId="36909"/>
    <cellStyle name="Normal 3 3 6 3 6" xfId="7882"/>
    <cellStyle name="Normal 3 3 6 3 6 2" xfId="30469"/>
    <cellStyle name="Normal 3 3 6 3 7" xfId="24029"/>
    <cellStyle name="Normal 3 3 6 4" xfId="2055"/>
    <cellStyle name="Normal 3 3 6 4 2" xfId="5276"/>
    <cellStyle name="Normal 3 3 6 4 2 2" xfId="21376"/>
    <cellStyle name="Normal 3 3 6 4 2 2 2" xfId="43963"/>
    <cellStyle name="Normal 3 3 6 4 2 3" xfId="11716"/>
    <cellStyle name="Normal 3 3 6 4 2 3 2" xfId="34303"/>
    <cellStyle name="Normal 3 3 6 4 2 4" xfId="27863"/>
    <cellStyle name="Normal 3 3 6 4 3" xfId="18156"/>
    <cellStyle name="Normal 3 3 6 4 3 2" xfId="40743"/>
    <cellStyle name="Normal 3 3 6 4 4" xfId="14936"/>
    <cellStyle name="Normal 3 3 6 4 4 2" xfId="37523"/>
    <cellStyle name="Normal 3 3 6 4 5" xfId="8496"/>
    <cellStyle name="Normal 3 3 6 4 5 2" xfId="31083"/>
    <cellStyle name="Normal 3 3 6 4 6" xfId="24643"/>
    <cellStyle name="Normal 3 3 6 5" xfId="3058"/>
    <cellStyle name="Normal 3 3 6 5 2" xfId="6278"/>
    <cellStyle name="Normal 3 3 6 5 2 2" xfId="22378"/>
    <cellStyle name="Normal 3 3 6 5 2 2 2" xfId="44965"/>
    <cellStyle name="Normal 3 3 6 5 2 3" xfId="12718"/>
    <cellStyle name="Normal 3 3 6 5 2 3 2" xfId="35305"/>
    <cellStyle name="Normal 3 3 6 5 2 4" xfId="28865"/>
    <cellStyle name="Normal 3 3 6 5 3" xfId="19158"/>
    <cellStyle name="Normal 3 3 6 5 3 2" xfId="41745"/>
    <cellStyle name="Normal 3 3 6 5 4" xfId="15938"/>
    <cellStyle name="Normal 3 3 6 5 4 2" xfId="38525"/>
    <cellStyle name="Normal 3 3 6 5 5" xfId="9498"/>
    <cellStyle name="Normal 3 3 6 5 5 2" xfId="32085"/>
    <cellStyle name="Normal 3 3 6 5 6" xfId="25645"/>
    <cellStyle name="Normal 3 3 6 6" xfId="3348"/>
    <cellStyle name="Normal 3 3 6 6 2" xfId="6568"/>
    <cellStyle name="Normal 3 3 6 6 2 2" xfId="22668"/>
    <cellStyle name="Normal 3 3 6 6 2 2 2" xfId="45255"/>
    <cellStyle name="Normal 3 3 6 6 2 3" xfId="13008"/>
    <cellStyle name="Normal 3 3 6 6 2 3 2" xfId="35595"/>
    <cellStyle name="Normal 3 3 6 6 2 4" xfId="29155"/>
    <cellStyle name="Normal 3 3 6 6 3" xfId="19448"/>
    <cellStyle name="Normal 3 3 6 6 3 2" xfId="42035"/>
    <cellStyle name="Normal 3 3 6 6 4" xfId="16228"/>
    <cellStyle name="Normal 3 3 6 6 4 2" xfId="38815"/>
    <cellStyle name="Normal 3 3 6 6 5" xfId="9788"/>
    <cellStyle name="Normal 3 3 6 6 5 2" xfId="32375"/>
    <cellStyle name="Normal 3 3 6 6 6" xfId="25935"/>
    <cellStyle name="Normal 3 3 6 7" xfId="736"/>
    <cellStyle name="Normal 3 3 6 7 2" xfId="3968"/>
    <cellStyle name="Normal 3 3 6 7 2 2" xfId="20068"/>
    <cellStyle name="Normal 3 3 6 7 2 2 2" xfId="42655"/>
    <cellStyle name="Normal 3 3 6 7 2 3" xfId="10408"/>
    <cellStyle name="Normal 3 3 6 7 2 3 2" xfId="32995"/>
    <cellStyle name="Normal 3 3 6 7 2 4" xfId="26555"/>
    <cellStyle name="Normal 3 3 6 7 3" xfId="16848"/>
    <cellStyle name="Normal 3 3 6 7 3 2" xfId="39435"/>
    <cellStyle name="Normal 3 3 6 7 4" xfId="13628"/>
    <cellStyle name="Normal 3 3 6 7 4 2" xfId="36215"/>
    <cellStyle name="Normal 3 3 6 7 5" xfId="7188"/>
    <cellStyle name="Normal 3 3 6 7 5 2" xfId="29775"/>
    <cellStyle name="Normal 3 3 6 7 6" xfId="23335"/>
    <cellStyle name="Normal 3 3 6 8" xfId="3638"/>
    <cellStyle name="Normal 3 3 6 8 2" xfId="19738"/>
    <cellStyle name="Normal 3 3 6 8 2 2" xfId="42325"/>
    <cellStyle name="Normal 3 3 6 8 3" xfId="10078"/>
    <cellStyle name="Normal 3 3 6 8 3 2" xfId="32665"/>
    <cellStyle name="Normal 3 3 6 8 4" xfId="26225"/>
    <cellStyle name="Normal 3 3 6 9" xfId="16518"/>
    <cellStyle name="Normal 3 3 6 9 2" xfId="39105"/>
    <cellStyle name="Normal 3 3 7" xfId="756"/>
    <cellStyle name="Normal 3 3 7 2" xfId="1108"/>
    <cellStyle name="Normal 3 3 7 2 2" xfId="2422"/>
    <cellStyle name="Normal 3 3 7 2 2 2" xfId="5643"/>
    <cellStyle name="Normal 3 3 7 2 2 2 2" xfId="21743"/>
    <cellStyle name="Normal 3 3 7 2 2 2 2 2" xfId="44330"/>
    <cellStyle name="Normal 3 3 7 2 2 2 3" xfId="12083"/>
    <cellStyle name="Normal 3 3 7 2 2 2 3 2" xfId="34670"/>
    <cellStyle name="Normal 3 3 7 2 2 2 4" xfId="28230"/>
    <cellStyle name="Normal 3 3 7 2 2 3" xfId="18523"/>
    <cellStyle name="Normal 3 3 7 2 2 3 2" xfId="41110"/>
    <cellStyle name="Normal 3 3 7 2 2 4" xfId="15303"/>
    <cellStyle name="Normal 3 3 7 2 2 4 2" xfId="37890"/>
    <cellStyle name="Normal 3 3 7 2 2 5" xfId="8863"/>
    <cellStyle name="Normal 3 3 7 2 2 5 2" xfId="31450"/>
    <cellStyle name="Normal 3 3 7 2 2 6" xfId="25010"/>
    <cellStyle name="Normal 3 3 7 2 3" xfId="4335"/>
    <cellStyle name="Normal 3 3 7 2 3 2" xfId="20435"/>
    <cellStyle name="Normal 3 3 7 2 3 2 2" xfId="43022"/>
    <cellStyle name="Normal 3 3 7 2 3 3" xfId="10775"/>
    <cellStyle name="Normal 3 3 7 2 3 3 2" xfId="33362"/>
    <cellStyle name="Normal 3 3 7 2 3 4" xfId="26922"/>
    <cellStyle name="Normal 3 3 7 2 4" xfId="17215"/>
    <cellStyle name="Normal 3 3 7 2 4 2" xfId="39802"/>
    <cellStyle name="Normal 3 3 7 2 5" xfId="13995"/>
    <cellStyle name="Normal 3 3 7 2 5 2" xfId="36582"/>
    <cellStyle name="Normal 3 3 7 2 6" xfId="7555"/>
    <cellStyle name="Normal 3 3 7 2 6 2" xfId="30142"/>
    <cellStyle name="Normal 3 3 7 2 7" xfId="23702"/>
    <cellStyle name="Normal 3 3 7 3" xfId="1455"/>
    <cellStyle name="Normal 3 3 7 3 2" xfId="2769"/>
    <cellStyle name="Normal 3 3 7 3 2 2" xfId="5990"/>
    <cellStyle name="Normal 3 3 7 3 2 2 2" xfId="22090"/>
    <cellStyle name="Normal 3 3 7 3 2 2 2 2" xfId="44677"/>
    <cellStyle name="Normal 3 3 7 3 2 2 3" xfId="12430"/>
    <cellStyle name="Normal 3 3 7 3 2 2 3 2" xfId="35017"/>
    <cellStyle name="Normal 3 3 7 3 2 2 4" xfId="28577"/>
    <cellStyle name="Normal 3 3 7 3 2 3" xfId="18870"/>
    <cellStyle name="Normal 3 3 7 3 2 3 2" xfId="41457"/>
    <cellStyle name="Normal 3 3 7 3 2 4" xfId="15650"/>
    <cellStyle name="Normal 3 3 7 3 2 4 2" xfId="38237"/>
    <cellStyle name="Normal 3 3 7 3 2 5" xfId="9210"/>
    <cellStyle name="Normal 3 3 7 3 2 5 2" xfId="31797"/>
    <cellStyle name="Normal 3 3 7 3 2 6" xfId="25357"/>
    <cellStyle name="Normal 3 3 7 3 3" xfId="4682"/>
    <cellStyle name="Normal 3 3 7 3 3 2" xfId="20782"/>
    <cellStyle name="Normal 3 3 7 3 3 2 2" xfId="43369"/>
    <cellStyle name="Normal 3 3 7 3 3 3" xfId="11122"/>
    <cellStyle name="Normal 3 3 7 3 3 3 2" xfId="33709"/>
    <cellStyle name="Normal 3 3 7 3 3 4" xfId="27269"/>
    <cellStyle name="Normal 3 3 7 3 4" xfId="17562"/>
    <cellStyle name="Normal 3 3 7 3 4 2" xfId="40149"/>
    <cellStyle name="Normal 3 3 7 3 5" xfId="14342"/>
    <cellStyle name="Normal 3 3 7 3 5 2" xfId="36929"/>
    <cellStyle name="Normal 3 3 7 3 6" xfId="7902"/>
    <cellStyle name="Normal 3 3 7 3 6 2" xfId="30489"/>
    <cellStyle name="Normal 3 3 7 3 7" xfId="24049"/>
    <cellStyle name="Normal 3 3 7 4" xfId="2075"/>
    <cellStyle name="Normal 3 3 7 4 2" xfId="5296"/>
    <cellStyle name="Normal 3 3 7 4 2 2" xfId="21396"/>
    <cellStyle name="Normal 3 3 7 4 2 2 2" xfId="43983"/>
    <cellStyle name="Normal 3 3 7 4 2 3" xfId="11736"/>
    <cellStyle name="Normal 3 3 7 4 2 3 2" xfId="34323"/>
    <cellStyle name="Normal 3 3 7 4 2 4" xfId="27883"/>
    <cellStyle name="Normal 3 3 7 4 3" xfId="18176"/>
    <cellStyle name="Normal 3 3 7 4 3 2" xfId="40763"/>
    <cellStyle name="Normal 3 3 7 4 4" xfId="14956"/>
    <cellStyle name="Normal 3 3 7 4 4 2" xfId="37543"/>
    <cellStyle name="Normal 3 3 7 4 5" xfId="8516"/>
    <cellStyle name="Normal 3 3 7 4 5 2" xfId="31103"/>
    <cellStyle name="Normal 3 3 7 4 6" xfId="24663"/>
    <cellStyle name="Normal 3 3 7 5" xfId="3988"/>
    <cellStyle name="Normal 3 3 7 5 2" xfId="20088"/>
    <cellStyle name="Normal 3 3 7 5 2 2" xfId="42675"/>
    <cellStyle name="Normal 3 3 7 5 3" xfId="10428"/>
    <cellStyle name="Normal 3 3 7 5 3 2" xfId="33015"/>
    <cellStyle name="Normal 3 3 7 5 4" xfId="26575"/>
    <cellStyle name="Normal 3 3 7 6" xfId="16868"/>
    <cellStyle name="Normal 3 3 7 6 2" xfId="39455"/>
    <cellStyle name="Normal 3 3 7 7" xfId="13648"/>
    <cellStyle name="Normal 3 3 7 7 2" xfId="36235"/>
    <cellStyle name="Normal 3 3 7 8" xfId="7208"/>
    <cellStyle name="Normal 3 3 7 8 2" xfId="29795"/>
    <cellStyle name="Normal 3 3 7 9" xfId="23355"/>
    <cellStyle name="Normal 3 3 8" xfId="850"/>
    <cellStyle name="Normal 3 3 8 2" xfId="2169"/>
    <cellStyle name="Normal 3 3 8 2 2" xfId="5390"/>
    <cellStyle name="Normal 3 3 8 2 2 2" xfId="21490"/>
    <cellStyle name="Normal 3 3 8 2 2 2 2" xfId="44077"/>
    <cellStyle name="Normal 3 3 8 2 2 3" xfId="11830"/>
    <cellStyle name="Normal 3 3 8 2 2 3 2" xfId="34417"/>
    <cellStyle name="Normal 3 3 8 2 2 4" xfId="27977"/>
    <cellStyle name="Normal 3 3 8 2 3" xfId="18270"/>
    <cellStyle name="Normal 3 3 8 2 3 2" xfId="40857"/>
    <cellStyle name="Normal 3 3 8 2 4" xfId="15050"/>
    <cellStyle name="Normal 3 3 8 2 4 2" xfId="37637"/>
    <cellStyle name="Normal 3 3 8 2 5" xfId="8610"/>
    <cellStyle name="Normal 3 3 8 2 5 2" xfId="31197"/>
    <cellStyle name="Normal 3 3 8 2 6" xfId="24757"/>
    <cellStyle name="Normal 3 3 8 3" xfId="4082"/>
    <cellStyle name="Normal 3 3 8 3 2" xfId="20182"/>
    <cellStyle name="Normal 3 3 8 3 2 2" xfId="42769"/>
    <cellStyle name="Normal 3 3 8 3 3" xfId="10522"/>
    <cellStyle name="Normal 3 3 8 3 3 2" xfId="33109"/>
    <cellStyle name="Normal 3 3 8 3 4" xfId="26669"/>
    <cellStyle name="Normal 3 3 8 4" xfId="16962"/>
    <cellStyle name="Normal 3 3 8 4 2" xfId="39549"/>
    <cellStyle name="Normal 3 3 8 5" xfId="13742"/>
    <cellStyle name="Normal 3 3 8 5 2" xfId="36329"/>
    <cellStyle name="Normal 3 3 8 6" xfId="7302"/>
    <cellStyle name="Normal 3 3 8 6 2" xfId="29889"/>
    <cellStyle name="Normal 3 3 8 7" xfId="23449"/>
    <cellStyle name="Normal 3 3 9" xfId="1202"/>
    <cellStyle name="Normal 3 3 9 2" xfId="2516"/>
    <cellStyle name="Normal 3 3 9 2 2" xfId="5737"/>
    <cellStyle name="Normal 3 3 9 2 2 2" xfId="21837"/>
    <cellStyle name="Normal 3 3 9 2 2 2 2" xfId="44424"/>
    <cellStyle name="Normal 3 3 9 2 2 3" xfId="12177"/>
    <cellStyle name="Normal 3 3 9 2 2 3 2" xfId="34764"/>
    <cellStyle name="Normal 3 3 9 2 2 4" xfId="28324"/>
    <cellStyle name="Normal 3 3 9 2 3" xfId="18617"/>
    <cellStyle name="Normal 3 3 9 2 3 2" xfId="41204"/>
    <cellStyle name="Normal 3 3 9 2 4" xfId="15397"/>
    <cellStyle name="Normal 3 3 9 2 4 2" xfId="37984"/>
    <cellStyle name="Normal 3 3 9 2 5" xfId="8957"/>
    <cellStyle name="Normal 3 3 9 2 5 2" xfId="31544"/>
    <cellStyle name="Normal 3 3 9 2 6" xfId="25104"/>
    <cellStyle name="Normal 3 3 9 3" xfId="4429"/>
    <cellStyle name="Normal 3 3 9 3 2" xfId="20529"/>
    <cellStyle name="Normal 3 3 9 3 2 2" xfId="43116"/>
    <cellStyle name="Normal 3 3 9 3 3" xfId="10869"/>
    <cellStyle name="Normal 3 3 9 3 3 2" xfId="33456"/>
    <cellStyle name="Normal 3 3 9 3 4" xfId="27016"/>
    <cellStyle name="Normal 3 3 9 4" xfId="17309"/>
    <cellStyle name="Normal 3 3 9 4 2" xfId="39896"/>
    <cellStyle name="Normal 3 3 9 5" xfId="14089"/>
    <cellStyle name="Normal 3 3 9 5 2" xfId="36676"/>
    <cellStyle name="Normal 3 3 9 6" xfId="7649"/>
    <cellStyle name="Normal 3 3 9 6 2" xfId="30236"/>
    <cellStyle name="Normal 3 3 9 7" xfId="23796"/>
    <cellStyle name="Normal 3 4" xfId="195"/>
    <cellStyle name="Normal 3 5" xfId="149"/>
    <cellStyle name="Normal 3 5 10" xfId="3194"/>
    <cellStyle name="Normal 3 5 10 2" xfId="6414"/>
    <cellStyle name="Normal 3 5 10 2 2" xfId="22514"/>
    <cellStyle name="Normal 3 5 10 2 2 2" xfId="45101"/>
    <cellStyle name="Normal 3 5 10 2 3" xfId="12854"/>
    <cellStyle name="Normal 3 5 10 2 3 2" xfId="35441"/>
    <cellStyle name="Normal 3 5 10 2 4" xfId="29001"/>
    <cellStyle name="Normal 3 5 10 3" xfId="19294"/>
    <cellStyle name="Normal 3 5 10 3 2" xfId="41881"/>
    <cellStyle name="Normal 3 5 10 4" xfId="16074"/>
    <cellStyle name="Normal 3 5 10 4 2" xfId="38661"/>
    <cellStyle name="Normal 3 5 10 5" xfId="9634"/>
    <cellStyle name="Normal 3 5 10 5 2" xfId="32221"/>
    <cellStyle name="Normal 3 5 10 6" xfId="25781"/>
    <cellStyle name="Normal 3 5 11" xfId="487"/>
    <cellStyle name="Normal 3 5 11 2" xfId="3774"/>
    <cellStyle name="Normal 3 5 11 2 2" xfId="19874"/>
    <cellStyle name="Normal 3 5 11 2 2 2" xfId="42461"/>
    <cellStyle name="Normal 3 5 11 2 3" xfId="10214"/>
    <cellStyle name="Normal 3 5 11 2 3 2" xfId="32801"/>
    <cellStyle name="Normal 3 5 11 2 4" xfId="26361"/>
    <cellStyle name="Normal 3 5 11 3" xfId="16654"/>
    <cellStyle name="Normal 3 5 11 3 2" xfId="39241"/>
    <cellStyle name="Normal 3 5 11 4" xfId="13434"/>
    <cellStyle name="Normal 3 5 11 4 2" xfId="36021"/>
    <cellStyle name="Normal 3 5 11 5" xfId="6994"/>
    <cellStyle name="Normal 3 5 11 5 2" xfId="29581"/>
    <cellStyle name="Normal 3 5 11 6" xfId="23141"/>
    <cellStyle name="Normal 3 5 12" xfId="3484"/>
    <cellStyle name="Normal 3 5 12 2" xfId="19584"/>
    <cellStyle name="Normal 3 5 12 2 2" xfId="42171"/>
    <cellStyle name="Normal 3 5 12 3" xfId="9924"/>
    <cellStyle name="Normal 3 5 12 3 2" xfId="32511"/>
    <cellStyle name="Normal 3 5 12 4" xfId="26071"/>
    <cellStyle name="Normal 3 5 13" xfId="16364"/>
    <cellStyle name="Normal 3 5 13 2" xfId="38951"/>
    <cellStyle name="Normal 3 5 14" xfId="13144"/>
    <cellStyle name="Normal 3 5 14 2" xfId="35731"/>
    <cellStyle name="Normal 3 5 15" xfId="6704"/>
    <cellStyle name="Normal 3 5 15 2" xfId="29291"/>
    <cellStyle name="Normal 3 5 16" xfId="22851"/>
    <cellStyle name="Normal 3 5 2" xfId="294"/>
    <cellStyle name="Normal 3 5 2 10" xfId="3581"/>
    <cellStyle name="Normal 3 5 2 10 2" xfId="19681"/>
    <cellStyle name="Normal 3 5 2 10 2 2" xfId="42268"/>
    <cellStyle name="Normal 3 5 2 10 3" xfId="10021"/>
    <cellStyle name="Normal 3 5 2 10 3 2" xfId="32608"/>
    <cellStyle name="Normal 3 5 2 10 4" xfId="26168"/>
    <cellStyle name="Normal 3 5 2 11" xfId="16461"/>
    <cellStyle name="Normal 3 5 2 11 2" xfId="39048"/>
    <cellStyle name="Normal 3 5 2 12" xfId="13241"/>
    <cellStyle name="Normal 3 5 2 12 2" xfId="35828"/>
    <cellStyle name="Normal 3 5 2 13" xfId="6801"/>
    <cellStyle name="Normal 3 5 2 13 2" xfId="29388"/>
    <cellStyle name="Normal 3 5 2 14" xfId="22948"/>
    <cellStyle name="Normal 3 5 2 2" xfId="686"/>
    <cellStyle name="Normal 3 5 2 2 2" xfId="1050"/>
    <cellStyle name="Normal 3 5 2 2 2 2" xfId="2364"/>
    <cellStyle name="Normal 3 5 2 2 2 2 2" xfId="5585"/>
    <cellStyle name="Normal 3 5 2 2 2 2 2 2" xfId="21685"/>
    <cellStyle name="Normal 3 5 2 2 2 2 2 2 2" xfId="44272"/>
    <cellStyle name="Normal 3 5 2 2 2 2 2 3" xfId="12025"/>
    <cellStyle name="Normal 3 5 2 2 2 2 2 3 2" xfId="34612"/>
    <cellStyle name="Normal 3 5 2 2 2 2 2 4" xfId="28172"/>
    <cellStyle name="Normal 3 5 2 2 2 2 3" xfId="18465"/>
    <cellStyle name="Normal 3 5 2 2 2 2 3 2" xfId="41052"/>
    <cellStyle name="Normal 3 5 2 2 2 2 4" xfId="15245"/>
    <cellStyle name="Normal 3 5 2 2 2 2 4 2" xfId="37832"/>
    <cellStyle name="Normal 3 5 2 2 2 2 5" xfId="8805"/>
    <cellStyle name="Normal 3 5 2 2 2 2 5 2" xfId="31392"/>
    <cellStyle name="Normal 3 5 2 2 2 2 6" xfId="24952"/>
    <cellStyle name="Normal 3 5 2 2 2 3" xfId="4277"/>
    <cellStyle name="Normal 3 5 2 2 2 3 2" xfId="20377"/>
    <cellStyle name="Normal 3 5 2 2 2 3 2 2" xfId="42964"/>
    <cellStyle name="Normal 3 5 2 2 2 3 3" xfId="10717"/>
    <cellStyle name="Normal 3 5 2 2 2 3 3 2" xfId="33304"/>
    <cellStyle name="Normal 3 5 2 2 2 3 4" xfId="26864"/>
    <cellStyle name="Normal 3 5 2 2 2 4" xfId="17157"/>
    <cellStyle name="Normal 3 5 2 2 2 4 2" xfId="39744"/>
    <cellStyle name="Normal 3 5 2 2 2 5" xfId="13937"/>
    <cellStyle name="Normal 3 5 2 2 2 5 2" xfId="36524"/>
    <cellStyle name="Normal 3 5 2 2 2 6" xfId="7497"/>
    <cellStyle name="Normal 3 5 2 2 2 6 2" xfId="30084"/>
    <cellStyle name="Normal 3 5 2 2 2 7" xfId="23644"/>
    <cellStyle name="Normal 3 5 2 2 3" xfId="1397"/>
    <cellStyle name="Normal 3 5 2 2 3 2" xfId="2711"/>
    <cellStyle name="Normal 3 5 2 2 3 2 2" xfId="5932"/>
    <cellStyle name="Normal 3 5 2 2 3 2 2 2" xfId="22032"/>
    <cellStyle name="Normal 3 5 2 2 3 2 2 2 2" xfId="44619"/>
    <cellStyle name="Normal 3 5 2 2 3 2 2 3" xfId="12372"/>
    <cellStyle name="Normal 3 5 2 2 3 2 2 3 2" xfId="34959"/>
    <cellStyle name="Normal 3 5 2 2 3 2 2 4" xfId="28519"/>
    <cellStyle name="Normal 3 5 2 2 3 2 3" xfId="18812"/>
    <cellStyle name="Normal 3 5 2 2 3 2 3 2" xfId="41399"/>
    <cellStyle name="Normal 3 5 2 2 3 2 4" xfId="15592"/>
    <cellStyle name="Normal 3 5 2 2 3 2 4 2" xfId="38179"/>
    <cellStyle name="Normal 3 5 2 2 3 2 5" xfId="9152"/>
    <cellStyle name="Normal 3 5 2 2 3 2 5 2" xfId="31739"/>
    <cellStyle name="Normal 3 5 2 2 3 2 6" xfId="25299"/>
    <cellStyle name="Normal 3 5 2 2 3 3" xfId="4624"/>
    <cellStyle name="Normal 3 5 2 2 3 3 2" xfId="20724"/>
    <cellStyle name="Normal 3 5 2 2 3 3 2 2" xfId="43311"/>
    <cellStyle name="Normal 3 5 2 2 3 3 3" xfId="11064"/>
    <cellStyle name="Normal 3 5 2 2 3 3 3 2" xfId="33651"/>
    <cellStyle name="Normal 3 5 2 2 3 3 4" xfId="27211"/>
    <cellStyle name="Normal 3 5 2 2 3 4" xfId="17504"/>
    <cellStyle name="Normal 3 5 2 2 3 4 2" xfId="40091"/>
    <cellStyle name="Normal 3 5 2 2 3 5" xfId="14284"/>
    <cellStyle name="Normal 3 5 2 2 3 5 2" xfId="36871"/>
    <cellStyle name="Normal 3 5 2 2 3 6" xfId="7844"/>
    <cellStyle name="Normal 3 5 2 2 3 6 2" xfId="30431"/>
    <cellStyle name="Normal 3 5 2 2 3 7" xfId="23991"/>
    <cellStyle name="Normal 3 5 2 2 4" xfId="2016"/>
    <cellStyle name="Normal 3 5 2 2 4 2" xfId="5238"/>
    <cellStyle name="Normal 3 5 2 2 4 2 2" xfId="21338"/>
    <cellStyle name="Normal 3 5 2 2 4 2 2 2" xfId="43925"/>
    <cellStyle name="Normal 3 5 2 2 4 2 3" xfId="11678"/>
    <cellStyle name="Normal 3 5 2 2 4 2 3 2" xfId="34265"/>
    <cellStyle name="Normal 3 5 2 2 4 2 4" xfId="27825"/>
    <cellStyle name="Normal 3 5 2 2 4 3" xfId="18118"/>
    <cellStyle name="Normal 3 5 2 2 4 3 2" xfId="40705"/>
    <cellStyle name="Normal 3 5 2 2 4 4" xfId="14898"/>
    <cellStyle name="Normal 3 5 2 2 4 4 2" xfId="37485"/>
    <cellStyle name="Normal 3 5 2 2 4 5" xfId="8458"/>
    <cellStyle name="Normal 3 5 2 2 4 5 2" xfId="31045"/>
    <cellStyle name="Normal 3 5 2 2 4 6" xfId="24605"/>
    <cellStyle name="Normal 3 5 2 2 5" xfId="3930"/>
    <cellStyle name="Normal 3 5 2 2 5 2" xfId="20030"/>
    <cellStyle name="Normal 3 5 2 2 5 2 2" xfId="42617"/>
    <cellStyle name="Normal 3 5 2 2 5 3" xfId="10370"/>
    <cellStyle name="Normal 3 5 2 2 5 3 2" xfId="32957"/>
    <cellStyle name="Normal 3 5 2 2 5 4" xfId="26517"/>
    <cellStyle name="Normal 3 5 2 2 6" xfId="16810"/>
    <cellStyle name="Normal 3 5 2 2 6 2" xfId="39397"/>
    <cellStyle name="Normal 3 5 2 2 7" xfId="13590"/>
    <cellStyle name="Normal 3 5 2 2 7 2" xfId="36177"/>
    <cellStyle name="Normal 3 5 2 2 8" xfId="7150"/>
    <cellStyle name="Normal 3 5 2 2 8 2" xfId="29737"/>
    <cellStyle name="Normal 3 5 2 2 9" xfId="23297"/>
    <cellStyle name="Normal 3 5 2 3" xfId="929"/>
    <cellStyle name="Normal 3 5 2 3 2" xfId="2248"/>
    <cellStyle name="Normal 3 5 2 3 2 2" xfId="5469"/>
    <cellStyle name="Normal 3 5 2 3 2 2 2" xfId="21569"/>
    <cellStyle name="Normal 3 5 2 3 2 2 2 2" xfId="44156"/>
    <cellStyle name="Normal 3 5 2 3 2 2 3" xfId="11909"/>
    <cellStyle name="Normal 3 5 2 3 2 2 3 2" xfId="34496"/>
    <cellStyle name="Normal 3 5 2 3 2 2 4" xfId="28056"/>
    <cellStyle name="Normal 3 5 2 3 2 3" xfId="18349"/>
    <cellStyle name="Normal 3 5 2 3 2 3 2" xfId="40936"/>
    <cellStyle name="Normal 3 5 2 3 2 4" xfId="15129"/>
    <cellStyle name="Normal 3 5 2 3 2 4 2" xfId="37716"/>
    <cellStyle name="Normal 3 5 2 3 2 5" xfId="8689"/>
    <cellStyle name="Normal 3 5 2 3 2 5 2" xfId="31276"/>
    <cellStyle name="Normal 3 5 2 3 2 6" xfId="24836"/>
    <cellStyle name="Normal 3 5 2 3 3" xfId="4161"/>
    <cellStyle name="Normal 3 5 2 3 3 2" xfId="20261"/>
    <cellStyle name="Normal 3 5 2 3 3 2 2" xfId="42848"/>
    <cellStyle name="Normal 3 5 2 3 3 3" xfId="10601"/>
    <cellStyle name="Normal 3 5 2 3 3 3 2" xfId="33188"/>
    <cellStyle name="Normal 3 5 2 3 3 4" xfId="26748"/>
    <cellStyle name="Normal 3 5 2 3 4" xfId="17041"/>
    <cellStyle name="Normal 3 5 2 3 4 2" xfId="39628"/>
    <cellStyle name="Normal 3 5 2 3 5" xfId="13821"/>
    <cellStyle name="Normal 3 5 2 3 5 2" xfId="36408"/>
    <cellStyle name="Normal 3 5 2 3 6" xfId="7381"/>
    <cellStyle name="Normal 3 5 2 3 6 2" xfId="29968"/>
    <cellStyle name="Normal 3 5 2 3 7" xfId="23528"/>
    <cellStyle name="Normal 3 5 2 4" xfId="1281"/>
    <cellStyle name="Normal 3 5 2 4 2" xfId="2595"/>
    <cellStyle name="Normal 3 5 2 4 2 2" xfId="5816"/>
    <cellStyle name="Normal 3 5 2 4 2 2 2" xfId="21916"/>
    <cellStyle name="Normal 3 5 2 4 2 2 2 2" xfId="44503"/>
    <cellStyle name="Normal 3 5 2 4 2 2 3" xfId="12256"/>
    <cellStyle name="Normal 3 5 2 4 2 2 3 2" xfId="34843"/>
    <cellStyle name="Normal 3 5 2 4 2 2 4" xfId="28403"/>
    <cellStyle name="Normal 3 5 2 4 2 3" xfId="18696"/>
    <cellStyle name="Normal 3 5 2 4 2 3 2" xfId="41283"/>
    <cellStyle name="Normal 3 5 2 4 2 4" xfId="15476"/>
    <cellStyle name="Normal 3 5 2 4 2 4 2" xfId="38063"/>
    <cellStyle name="Normal 3 5 2 4 2 5" xfId="9036"/>
    <cellStyle name="Normal 3 5 2 4 2 5 2" xfId="31623"/>
    <cellStyle name="Normal 3 5 2 4 2 6" xfId="25183"/>
    <cellStyle name="Normal 3 5 2 4 3" xfId="4508"/>
    <cellStyle name="Normal 3 5 2 4 3 2" xfId="20608"/>
    <cellStyle name="Normal 3 5 2 4 3 2 2" xfId="43195"/>
    <cellStyle name="Normal 3 5 2 4 3 3" xfId="10948"/>
    <cellStyle name="Normal 3 5 2 4 3 3 2" xfId="33535"/>
    <cellStyle name="Normal 3 5 2 4 3 4" xfId="27095"/>
    <cellStyle name="Normal 3 5 2 4 4" xfId="17388"/>
    <cellStyle name="Normal 3 5 2 4 4 2" xfId="39975"/>
    <cellStyle name="Normal 3 5 2 4 5" xfId="14168"/>
    <cellStyle name="Normal 3 5 2 4 5 2" xfId="36755"/>
    <cellStyle name="Normal 3 5 2 4 6" xfId="7728"/>
    <cellStyle name="Normal 3 5 2 4 6 2" xfId="30315"/>
    <cellStyle name="Normal 3 5 2 4 7" xfId="23875"/>
    <cellStyle name="Normal 3 5 2 5" xfId="1680"/>
    <cellStyle name="Normal 3 5 2 5 2" xfId="4903"/>
    <cellStyle name="Normal 3 5 2 5 2 2" xfId="21003"/>
    <cellStyle name="Normal 3 5 2 5 2 2 2" xfId="43590"/>
    <cellStyle name="Normal 3 5 2 5 2 3" xfId="11343"/>
    <cellStyle name="Normal 3 5 2 5 2 3 2" xfId="33930"/>
    <cellStyle name="Normal 3 5 2 5 2 4" xfId="27490"/>
    <cellStyle name="Normal 3 5 2 5 3" xfId="17783"/>
    <cellStyle name="Normal 3 5 2 5 3 2" xfId="40370"/>
    <cellStyle name="Normal 3 5 2 5 4" xfId="14563"/>
    <cellStyle name="Normal 3 5 2 5 4 2" xfId="37150"/>
    <cellStyle name="Normal 3 5 2 5 5" xfId="8123"/>
    <cellStyle name="Normal 3 5 2 5 5 2" xfId="30710"/>
    <cellStyle name="Normal 3 5 2 5 6" xfId="24270"/>
    <cellStyle name="Normal 3 5 2 6" xfId="1900"/>
    <cellStyle name="Normal 3 5 2 6 2" xfId="5122"/>
    <cellStyle name="Normal 3 5 2 6 2 2" xfId="21222"/>
    <cellStyle name="Normal 3 5 2 6 2 2 2" xfId="43809"/>
    <cellStyle name="Normal 3 5 2 6 2 3" xfId="11562"/>
    <cellStyle name="Normal 3 5 2 6 2 3 2" xfId="34149"/>
    <cellStyle name="Normal 3 5 2 6 2 4" xfId="27709"/>
    <cellStyle name="Normal 3 5 2 6 3" xfId="18002"/>
    <cellStyle name="Normal 3 5 2 6 3 2" xfId="40589"/>
    <cellStyle name="Normal 3 5 2 6 4" xfId="14782"/>
    <cellStyle name="Normal 3 5 2 6 4 2" xfId="37369"/>
    <cellStyle name="Normal 3 5 2 6 5" xfId="8342"/>
    <cellStyle name="Normal 3 5 2 6 5 2" xfId="30929"/>
    <cellStyle name="Normal 3 5 2 6 6" xfId="24489"/>
    <cellStyle name="Normal 3 5 2 7" xfId="3001"/>
    <cellStyle name="Normal 3 5 2 7 2" xfId="6221"/>
    <cellStyle name="Normal 3 5 2 7 2 2" xfId="22321"/>
    <cellStyle name="Normal 3 5 2 7 2 2 2" xfId="44908"/>
    <cellStyle name="Normal 3 5 2 7 2 3" xfId="12661"/>
    <cellStyle name="Normal 3 5 2 7 2 3 2" xfId="35248"/>
    <cellStyle name="Normal 3 5 2 7 2 4" xfId="28808"/>
    <cellStyle name="Normal 3 5 2 7 3" xfId="19101"/>
    <cellStyle name="Normal 3 5 2 7 3 2" xfId="41688"/>
    <cellStyle name="Normal 3 5 2 7 4" xfId="15881"/>
    <cellStyle name="Normal 3 5 2 7 4 2" xfId="38468"/>
    <cellStyle name="Normal 3 5 2 7 5" xfId="9441"/>
    <cellStyle name="Normal 3 5 2 7 5 2" xfId="32028"/>
    <cellStyle name="Normal 3 5 2 7 6" xfId="25588"/>
    <cellStyle name="Normal 3 5 2 8" xfId="3291"/>
    <cellStyle name="Normal 3 5 2 8 2" xfId="6511"/>
    <cellStyle name="Normal 3 5 2 8 2 2" xfId="22611"/>
    <cellStyle name="Normal 3 5 2 8 2 2 2" xfId="45198"/>
    <cellStyle name="Normal 3 5 2 8 2 3" xfId="12951"/>
    <cellStyle name="Normal 3 5 2 8 2 3 2" xfId="35538"/>
    <cellStyle name="Normal 3 5 2 8 2 4" xfId="29098"/>
    <cellStyle name="Normal 3 5 2 8 3" xfId="19391"/>
    <cellStyle name="Normal 3 5 2 8 3 2" xfId="41978"/>
    <cellStyle name="Normal 3 5 2 8 4" xfId="16171"/>
    <cellStyle name="Normal 3 5 2 8 4 2" xfId="38758"/>
    <cellStyle name="Normal 3 5 2 8 5" xfId="9731"/>
    <cellStyle name="Normal 3 5 2 8 5 2" xfId="32318"/>
    <cellStyle name="Normal 3 5 2 8 6" xfId="25878"/>
    <cellStyle name="Normal 3 5 2 9" xfId="527"/>
    <cellStyle name="Normal 3 5 2 9 2" xfId="3814"/>
    <cellStyle name="Normal 3 5 2 9 2 2" xfId="19914"/>
    <cellStyle name="Normal 3 5 2 9 2 2 2" xfId="42501"/>
    <cellStyle name="Normal 3 5 2 9 2 3" xfId="10254"/>
    <cellStyle name="Normal 3 5 2 9 2 3 2" xfId="32841"/>
    <cellStyle name="Normal 3 5 2 9 2 4" xfId="26401"/>
    <cellStyle name="Normal 3 5 2 9 3" xfId="16694"/>
    <cellStyle name="Normal 3 5 2 9 3 2" xfId="39281"/>
    <cellStyle name="Normal 3 5 2 9 4" xfId="13474"/>
    <cellStyle name="Normal 3 5 2 9 4 2" xfId="36061"/>
    <cellStyle name="Normal 3 5 2 9 5" xfId="7034"/>
    <cellStyle name="Normal 3 5 2 9 5 2" xfId="29621"/>
    <cellStyle name="Normal 3 5 2 9 6" xfId="23181"/>
    <cellStyle name="Normal 3 5 3" xfId="390"/>
    <cellStyle name="Normal 3 5 3 10" xfId="13337"/>
    <cellStyle name="Normal 3 5 3 10 2" xfId="35924"/>
    <cellStyle name="Normal 3 5 3 11" xfId="6897"/>
    <cellStyle name="Normal 3 5 3 11 2" xfId="29484"/>
    <cellStyle name="Normal 3 5 3 12" xfId="23044"/>
    <cellStyle name="Normal 3 5 3 2" xfId="1013"/>
    <cellStyle name="Normal 3 5 3 2 2" xfId="2327"/>
    <cellStyle name="Normal 3 5 3 2 2 2" xfId="5548"/>
    <cellStyle name="Normal 3 5 3 2 2 2 2" xfId="21648"/>
    <cellStyle name="Normal 3 5 3 2 2 2 2 2" xfId="44235"/>
    <cellStyle name="Normal 3 5 3 2 2 2 3" xfId="11988"/>
    <cellStyle name="Normal 3 5 3 2 2 2 3 2" xfId="34575"/>
    <cellStyle name="Normal 3 5 3 2 2 2 4" xfId="28135"/>
    <cellStyle name="Normal 3 5 3 2 2 3" xfId="18428"/>
    <cellStyle name="Normal 3 5 3 2 2 3 2" xfId="41015"/>
    <cellStyle name="Normal 3 5 3 2 2 4" xfId="15208"/>
    <cellStyle name="Normal 3 5 3 2 2 4 2" xfId="37795"/>
    <cellStyle name="Normal 3 5 3 2 2 5" xfId="8768"/>
    <cellStyle name="Normal 3 5 3 2 2 5 2" xfId="31355"/>
    <cellStyle name="Normal 3 5 3 2 2 6" xfId="24915"/>
    <cellStyle name="Normal 3 5 3 2 3" xfId="4240"/>
    <cellStyle name="Normal 3 5 3 2 3 2" xfId="20340"/>
    <cellStyle name="Normal 3 5 3 2 3 2 2" xfId="42927"/>
    <cellStyle name="Normal 3 5 3 2 3 3" xfId="10680"/>
    <cellStyle name="Normal 3 5 3 2 3 3 2" xfId="33267"/>
    <cellStyle name="Normal 3 5 3 2 3 4" xfId="26827"/>
    <cellStyle name="Normal 3 5 3 2 4" xfId="17120"/>
    <cellStyle name="Normal 3 5 3 2 4 2" xfId="39707"/>
    <cellStyle name="Normal 3 5 3 2 5" xfId="13900"/>
    <cellStyle name="Normal 3 5 3 2 5 2" xfId="36487"/>
    <cellStyle name="Normal 3 5 3 2 6" xfId="7460"/>
    <cellStyle name="Normal 3 5 3 2 6 2" xfId="30047"/>
    <cellStyle name="Normal 3 5 3 2 7" xfId="23607"/>
    <cellStyle name="Normal 3 5 3 3" xfId="1360"/>
    <cellStyle name="Normal 3 5 3 3 2" xfId="2674"/>
    <cellStyle name="Normal 3 5 3 3 2 2" xfId="5895"/>
    <cellStyle name="Normal 3 5 3 3 2 2 2" xfId="21995"/>
    <cellStyle name="Normal 3 5 3 3 2 2 2 2" xfId="44582"/>
    <cellStyle name="Normal 3 5 3 3 2 2 3" xfId="12335"/>
    <cellStyle name="Normal 3 5 3 3 2 2 3 2" xfId="34922"/>
    <cellStyle name="Normal 3 5 3 3 2 2 4" xfId="28482"/>
    <cellStyle name="Normal 3 5 3 3 2 3" xfId="18775"/>
    <cellStyle name="Normal 3 5 3 3 2 3 2" xfId="41362"/>
    <cellStyle name="Normal 3 5 3 3 2 4" xfId="15555"/>
    <cellStyle name="Normal 3 5 3 3 2 4 2" xfId="38142"/>
    <cellStyle name="Normal 3 5 3 3 2 5" xfId="9115"/>
    <cellStyle name="Normal 3 5 3 3 2 5 2" xfId="31702"/>
    <cellStyle name="Normal 3 5 3 3 2 6" xfId="25262"/>
    <cellStyle name="Normal 3 5 3 3 3" xfId="4587"/>
    <cellStyle name="Normal 3 5 3 3 3 2" xfId="20687"/>
    <cellStyle name="Normal 3 5 3 3 3 2 2" xfId="43274"/>
    <cellStyle name="Normal 3 5 3 3 3 3" xfId="11027"/>
    <cellStyle name="Normal 3 5 3 3 3 3 2" xfId="33614"/>
    <cellStyle name="Normal 3 5 3 3 3 4" xfId="27174"/>
    <cellStyle name="Normal 3 5 3 3 4" xfId="17467"/>
    <cellStyle name="Normal 3 5 3 3 4 2" xfId="40054"/>
    <cellStyle name="Normal 3 5 3 3 5" xfId="14247"/>
    <cellStyle name="Normal 3 5 3 3 5 2" xfId="36834"/>
    <cellStyle name="Normal 3 5 3 3 6" xfId="7807"/>
    <cellStyle name="Normal 3 5 3 3 6 2" xfId="30394"/>
    <cellStyle name="Normal 3 5 3 3 7" xfId="23954"/>
    <cellStyle name="Normal 3 5 3 4" xfId="1979"/>
    <cellStyle name="Normal 3 5 3 4 2" xfId="5201"/>
    <cellStyle name="Normal 3 5 3 4 2 2" xfId="21301"/>
    <cellStyle name="Normal 3 5 3 4 2 2 2" xfId="43888"/>
    <cellStyle name="Normal 3 5 3 4 2 3" xfId="11641"/>
    <cellStyle name="Normal 3 5 3 4 2 3 2" xfId="34228"/>
    <cellStyle name="Normal 3 5 3 4 2 4" xfId="27788"/>
    <cellStyle name="Normal 3 5 3 4 3" xfId="18081"/>
    <cellStyle name="Normal 3 5 3 4 3 2" xfId="40668"/>
    <cellStyle name="Normal 3 5 3 4 4" xfId="14861"/>
    <cellStyle name="Normal 3 5 3 4 4 2" xfId="37448"/>
    <cellStyle name="Normal 3 5 3 4 5" xfId="8421"/>
    <cellStyle name="Normal 3 5 3 4 5 2" xfId="31008"/>
    <cellStyle name="Normal 3 5 3 4 6" xfId="24568"/>
    <cellStyle name="Normal 3 5 3 5" xfId="3097"/>
    <cellStyle name="Normal 3 5 3 5 2" xfId="6317"/>
    <cellStyle name="Normal 3 5 3 5 2 2" xfId="22417"/>
    <cellStyle name="Normal 3 5 3 5 2 2 2" xfId="45004"/>
    <cellStyle name="Normal 3 5 3 5 2 3" xfId="12757"/>
    <cellStyle name="Normal 3 5 3 5 2 3 2" xfId="35344"/>
    <cellStyle name="Normal 3 5 3 5 2 4" xfId="28904"/>
    <cellStyle name="Normal 3 5 3 5 3" xfId="19197"/>
    <cellStyle name="Normal 3 5 3 5 3 2" xfId="41784"/>
    <cellStyle name="Normal 3 5 3 5 4" xfId="15977"/>
    <cellStyle name="Normal 3 5 3 5 4 2" xfId="38564"/>
    <cellStyle name="Normal 3 5 3 5 5" xfId="9537"/>
    <cellStyle name="Normal 3 5 3 5 5 2" xfId="32124"/>
    <cellStyle name="Normal 3 5 3 5 6" xfId="25684"/>
    <cellStyle name="Normal 3 5 3 6" xfId="3387"/>
    <cellStyle name="Normal 3 5 3 6 2" xfId="6607"/>
    <cellStyle name="Normal 3 5 3 6 2 2" xfId="22707"/>
    <cellStyle name="Normal 3 5 3 6 2 2 2" xfId="45294"/>
    <cellStyle name="Normal 3 5 3 6 2 3" xfId="13047"/>
    <cellStyle name="Normal 3 5 3 6 2 3 2" xfId="35634"/>
    <cellStyle name="Normal 3 5 3 6 2 4" xfId="29194"/>
    <cellStyle name="Normal 3 5 3 6 3" xfId="19487"/>
    <cellStyle name="Normal 3 5 3 6 3 2" xfId="42074"/>
    <cellStyle name="Normal 3 5 3 6 4" xfId="16267"/>
    <cellStyle name="Normal 3 5 3 6 4 2" xfId="38854"/>
    <cellStyle name="Normal 3 5 3 6 5" xfId="9827"/>
    <cellStyle name="Normal 3 5 3 6 5 2" xfId="32414"/>
    <cellStyle name="Normal 3 5 3 6 6" xfId="25974"/>
    <cellStyle name="Normal 3 5 3 7" xfId="649"/>
    <cellStyle name="Normal 3 5 3 7 2" xfId="3893"/>
    <cellStyle name="Normal 3 5 3 7 2 2" xfId="19993"/>
    <cellStyle name="Normal 3 5 3 7 2 2 2" xfId="42580"/>
    <cellStyle name="Normal 3 5 3 7 2 3" xfId="10333"/>
    <cellStyle name="Normal 3 5 3 7 2 3 2" xfId="32920"/>
    <cellStyle name="Normal 3 5 3 7 2 4" xfId="26480"/>
    <cellStyle name="Normal 3 5 3 7 3" xfId="16773"/>
    <cellStyle name="Normal 3 5 3 7 3 2" xfId="39360"/>
    <cellStyle name="Normal 3 5 3 7 4" xfId="13553"/>
    <cellStyle name="Normal 3 5 3 7 4 2" xfId="36140"/>
    <cellStyle name="Normal 3 5 3 7 5" xfId="7113"/>
    <cellStyle name="Normal 3 5 3 7 5 2" xfId="29700"/>
    <cellStyle name="Normal 3 5 3 7 6" xfId="23260"/>
    <cellStyle name="Normal 3 5 3 8" xfId="3677"/>
    <cellStyle name="Normal 3 5 3 8 2" xfId="19777"/>
    <cellStyle name="Normal 3 5 3 8 2 2" xfId="42364"/>
    <cellStyle name="Normal 3 5 3 8 3" xfId="10117"/>
    <cellStyle name="Normal 3 5 3 8 3 2" xfId="32704"/>
    <cellStyle name="Normal 3 5 3 8 4" xfId="26264"/>
    <cellStyle name="Normal 3 5 3 9" xfId="16557"/>
    <cellStyle name="Normal 3 5 3 9 2" xfId="39144"/>
    <cellStyle name="Normal 3 5 4" xfId="782"/>
    <cellStyle name="Normal 3 5 4 2" xfId="1134"/>
    <cellStyle name="Normal 3 5 4 2 2" xfId="2448"/>
    <cellStyle name="Normal 3 5 4 2 2 2" xfId="5669"/>
    <cellStyle name="Normal 3 5 4 2 2 2 2" xfId="21769"/>
    <cellStyle name="Normal 3 5 4 2 2 2 2 2" xfId="44356"/>
    <cellStyle name="Normal 3 5 4 2 2 2 3" xfId="12109"/>
    <cellStyle name="Normal 3 5 4 2 2 2 3 2" xfId="34696"/>
    <cellStyle name="Normal 3 5 4 2 2 2 4" xfId="28256"/>
    <cellStyle name="Normal 3 5 4 2 2 3" xfId="18549"/>
    <cellStyle name="Normal 3 5 4 2 2 3 2" xfId="41136"/>
    <cellStyle name="Normal 3 5 4 2 2 4" xfId="15329"/>
    <cellStyle name="Normal 3 5 4 2 2 4 2" xfId="37916"/>
    <cellStyle name="Normal 3 5 4 2 2 5" xfId="8889"/>
    <cellStyle name="Normal 3 5 4 2 2 5 2" xfId="31476"/>
    <cellStyle name="Normal 3 5 4 2 2 6" xfId="25036"/>
    <cellStyle name="Normal 3 5 4 2 3" xfId="4361"/>
    <cellStyle name="Normal 3 5 4 2 3 2" xfId="20461"/>
    <cellStyle name="Normal 3 5 4 2 3 2 2" xfId="43048"/>
    <cellStyle name="Normal 3 5 4 2 3 3" xfId="10801"/>
    <cellStyle name="Normal 3 5 4 2 3 3 2" xfId="33388"/>
    <cellStyle name="Normal 3 5 4 2 3 4" xfId="26948"/>
    <cellStyle name="Normal 3 5 4 2 4" xfId="17241"/>
    <cellStyle name="Normal 3 5 4 2 4 2" xfId="39828"/>
    <cellStyle name="Normal 3 5 4 2 5" xfId="14021"/>
    <cellStyle name="Normal 3 5 4 2 5 2" xfId="36608"/>
    <cellStyle name="Normal 3 5 4 2 6" xfId="7581"/>
    <cellStyle name="Normal 3 5 4 2 6 2" xfId="30168"/>
    <cellStyle name="Normal 3 5 4 2 7" xfId="23728"/>
    <cellStyle name="Normal 3 5 4 3" xfId="1481"/>
    <cellStyle name="Normal 3 5 4 3 2" xfId="2795"/>
    <cellStyle name="Normal 3 5 4 3 2 2" xfId="6016"/>
    <cellStyle name="Normal 3 5 4 3 2 2 2" xfId="22116"/>
    <cellStyle name="Normal 3 5 4 3 2 2 2 2" xfId="44703"/>
    <cellStyle name="Normal 3 5 4 3 2 2 3" xfId="12456"/>
    <cellStyle name="Normal 3 5 4 3 2 2 3 2" xfId="35043"/>
    <cellStyle name="Normal 3 5 4 3 2 2 4" xfId="28603"/>
    <cellStyle name="Normal 3 5 4 3 2 3" xfId="18896"/>
    <cellStyle name="Normal 3 5 4 3 2 3 2" xfId="41483"/>
    <cellStyle name="Normal 3 5 4 3 2 4" xfId="15676"/>
    <cellStyle name="Normal 3 5 4 3 2 4 2" xfId="38263"/>
    <cellStyle name="Normal 3 5 4 3 2 5" xfId="9236"/>
    <cellStyle name="Normal 3 5 4 3 2 5 2" xfId="31823"/>
    <cellStyle name="Normal 3 5 4 3 2 6" xfId="25383"/>
    <cellStyle name="Normal 3 5 4 3 3" xfId="4708"/>
    <cellStyle name="Normal 3 5 4 3 3 2" xfId="20808"/>
    <cellStyle name="Normal 3 5 4 3 3 2 2" xfId="43395"/>
    <cellStyle name="Normal 3 5 4 3 3 3" xfId="11148"/>
    <cellStyle name="Normal 3 5 4 3 3 3 2" xfId="33735"/>
    <cellStyle name="Normal 3 5 4 3 3 4" xfId="27295"/>
    <cellStyle name="Normal 3 5 4 3 4" xfId="17588"/>
    <cellStyle name="Normal 3 5 4 3 4 2" xfId="40175"/>
    <cellStyle name="Normal 3 5 4 3 5" xfId="14368"/>
    <cellStyle name="Normal 3 5 4 3 5 2" xfId="36955"/>
    <cellStyle name="Normal 3 5 4 3 6" xfId="7928"/>
    <cellStyle name="Normal 3 5 4 3 6 2" xfId="30515"/>
    <cellStyle name="Normal 3 5 4 3 7" xfId="24075"/>
    <cellStyle name="Normal 3 5 4 4" xfId="2101"/>
    <cellStyle name="Normal 3 5 4 4 2" xfId="5322"/>
    <cellStyle name="Normal 3 5 4 4 2 2" xfId="21422"/>
    <cellStyle name="Normal 3 5 4 4 2 2 2" xfId="44009"/>
    <cellStyle name="Normal 3 5 4 4 2 3" xfId="11762"/>
    <cellStyle name="Normal 3 5 4 4 2 3 2" xfId="34349"/>
    <cellStyle name="Normal 3 5 4 4 2 4" xfId="27909"/>
    <cellStyle name="Normal 3 5 4 4 3" xfId="18202"/>
    <cellStyle name="Normal 3 5 4 4 3 2" xfId="40789"/>
    <cellStyle name="Normal 3 5 4 4 4" xfId="14982"/>
    <cellStyle name="Normal 3 5 4 4 4 2" xfId="37569"/>
    <cellStyle name="Normal 3 5 4 4 5" xfId="8542"/>
    <cellStyle name="Normal 3 5 4 4 5 2" xfId="31129"/>
    <cellStyle name="Normal 3 5 4 4 6" xfId="24689"/>
    <cellStyle name="Normal 3 5 4 5" xfId="4014"/>
    <cellStyle name="Normal 3 5 4 5 2" xfId="20114"/>
    <cellStyle name="Normal 3 5 4 5 2 2" xfId="42701"/>
    <cellStyle name="Normal 3 5 4 5 3" xfId="10454"/>
    <cellStyle name="Normal 3 5 4 5 3 2" xfId="33041"/>
    <cellStyle name="Normal 3 5 4 5 4" xfId="26601"/>
    <cellStyle name="Normal 3 5 4 6" xfId="16894"/>
    <cellStyle name="Normal 3 5 4 6 2" xfId="39481"/>
    <cellStyle name="Normal 3 5 4 7" xfId="13674"/>
    <cellStyle name="Normal 3 5 4 7 2" xfId="36261"/>
    <cellStyle name="Normal 3 5 4 8" xfId="7234"/>
    <cellStyle name="Normal 3 5 4 8 2" xfId="29821"/>
    <cellStyle name="Normal 3 5 4 9" xfId="23381"/>
    <cellStyle name="Normal 3 5 5" xfId="889"/>
    <cellStyle name="Normal 3 5 5 2" xfId="2208"/>
    <cellStyle name="Normal 3 5 5 2 2" xfId="5429"/>
    <cellStyle name="Normal 3 5 5 2 2 2" xfId="21529"/>
    <cellStyle name="Normal 3 5 5 2 2 2 2" xfId="44116"/>
    <cellStyle name="Normal 3 5 5 2 2 3" xfId="11869"/>
    <cellStyle name="Normal 3 5 5 2 2 3 2" xfId="34456"/>
    <cellStyle name="Normal 3 5 5 2 2 4" xfId="28016"/>
    <cellStyle name="Normal 3 5 5 2 3" xfId="18309"/>
    <cellStyle name="Normal 3 5 5 2 3 2" xfId="40896"/>
    <cellStyle name="Normal 3 5 5 2 4" xfId="15089"/>
    <cellStyle name="Normal 3 5 5 2 4 2" xfId="37676"/>
    <cellStyle name="Normal 3 5 5 2 5" xfId="8649"/>
    <cellStyle name="Normal 3 5 5 2 5 2" xfId="31236"/>
    <cellStyle name="Normal 3 5 5 2 6" xfId="24796"/>
    <cellStyle name="Normal 3 5 5 3" xfId="4121"/>
    <cellStyle name="Normal 3 5 5 3 2" xfId="20221"/>
    <cellStyle name="Normal 3 5 5 3 2 2" xfId="42808"/>
    <cellStyle name="Normal 3 5 5 3 3" xfId="10561"/>
    <cellStyle name="Normal 3 5 5 3 3 2" xfId="33148"/>
    <cellStyle name="Normal 3 5 5 3 4" xfId="26708"/>
    <cellStyle name="Normal 3 5 5 4" xfId="17001"/>
    <cellStyle name="Normal 3 5 5 4 2" xfId="39588"/>
    <cellStyle name="Normal 3 5 5 5" xfId="13781"/>
    <cellStyle name="Normal 3 5 5 5 2" xfId="36368"/>
    <cellStyle name="Normal 3 5 5 6" xfId="7341"/>
    <cellStyle name="Normal 3 5 5 6 2" xfId="29928"/>
    <cellStyle name="Normal 3 5 5 7" xfId="23488"/>
    <cellStyle name="Normal 3 5 6" xfId="1241"/>
    <cellStyle name="Normal 3 5 6 2" xfId="2555"/>
    <cellStyle name="Normal 3 5 6 2 2" xfId="5776"/>
    <cellStyle name="Normal 3 5 6 2 2 2" xfId="21876"/>
    <cellStyle name="Normal 3 5 6 2 2 2 2" xfId="44463"/>
    <cellStyle name="Normal 3 5 6 2 2 3" xfId="12216"/>
    <cellStyle name="Normal 3 5 6 2 2 3 2" xfId="34803"/>
    <cellStyle name="Normal 3 5 6 2 2 4" xfId="28363"/>
    <cellStyle name="Normal 3 5 6 2 3" xfId="18656"/>
    <cellStyle name="Normal 3 5 6 2 3 2" xfId="41243"/>
    <cellStyle name="Normal 3 5 6 2 4" xfId="15436"/>
    <cellStyle name="Normal 3 5 6 2 4 2" xfId="38023"/>
    <cellStyle name="Normal 3 5 6 2 5" xfId="8996"/>
    <cellStyle name="Normal 3 5 6 2 5 2" xfId="31583"/>
    <cellStyle name="Normal 3 5 6 2 6" xfId="25143"/>
    <cellStyle name="Normal 3 5 6 3" xfId="4468"/>
    <cellStyle name="Normal 3 5 6 3 2" xfId="20568"/>
    <cellStyle name="Normal 3 5 6 3 2 2" xfId="43155"/>
    <cellStyle name="Normal 3 5 6 3 3" xfId="10908"/>
    <cellStyle name="Normal 3 5 6 3 3 2" xfId="33495"/>
    <cellStyle name="Normal 3 5 6 3 4" xfId="27055"/>
    <cellStyle name="Normal 3 5 6 4" xfId="17348"/>
    <cellStyle name="Normal 3 5 6 4 2" xfId="39935"/>
    <cellStyle name="Normal 3 5 6 5" xfId="14128"/>
    <cellStyle name="Normal 3 5 6 5 2" xfId="36715"/>
    <cellStyle name="Normal 3 5 6 6" xfId="7688"/>
    <cellStyle name="Normal 3 5 6 6 2" xfId="30275"/>
    <cellStyle name="Normal 3 5 6 7" xfId="23835"/>
    <cellStyle name="Normal 3 5 7" xfId="1681"/>
    <cellStyle name="Normal 3 5 7 2" xfId="4904"/>
    <cellStyle name="Normal 3 5 7 2 2" xfId="21004"/>
    <cellStyle name="Normal 3 5 7 2 2 2" xfId="43591"/>
    <cellStyle name="Normal 3 5 7 2 3" xfId="11344"/>
    <cellStyle name="Normal 3 5 7 2 3 2" xfId="33931"/>
    <cellStyle name="Normal 3 5 7 2 4" xfId="27491"/>
    <cellStyle name="Normal 3 5 7 3" xfId="17784"/>
    <cellStyle name="Normal 3 5 7 3 2" xfId="40371"/>
    <cellStyle name="Normal 3 5 7 4" xfId="14564"/>
    <cellStyle name="Normal 3 5 7 4 2" xfId="37151"/>
    <cellStyle name="Normal 3 5 7 5" xfId="8124"/>
    <cellStyle name="Normal 3 5 7 5 2" xfId="30711"/>
    <cellStyle name="Normal 3 5 7 6" xfId="24271"/>
    <cellStyle name="Normal 3 5 8" xfId="1860"/>
    <cellStyle name="Normal 3 5 8 2" xfId="5082"/>
    <cellStyle name="Normal 3 5 8 2 2" xfId="21182"/>
    <cellStyle name="Normal 3 5 8 2 2 2" xfId="43769"/>
    <cellStyle name="Normal 3 5 8 2 3" xfId="11522"/>
    <cellStyle name="Normal 3 5 8 2 3 2" xfId="34109"/>
    <cellStyle name="Normal 3 5 8 2 4" xfId="27669"/>
    <cellStyle name="Normal 3 5 8 3" xfId="17962"/>
    <cellStyle name="Normal 3 5 8 3 2" xfId="40549"/>
    <cellStyle name="Normal 3 5 8 4" xfId="14742"/>
    <cellStyle name="Normal 3 5 8 4 2" xfId="37329"/>
    <cellStyle name="Normal 3 5 8 5" xfId="8302"/>
    <cellStyle name="Normal 3 5 8 5 2" xfId="30889"/>
    <cellStyle name="Normal 3 5 8 6" xfId="24449"/>
    <cellStyle name="Normal 3 5 9" xfId="2903"/>
    <cellStyle name="Normal 3 5 9 2" xfId="6124"/>
    <cellStyle name="Normal 3 5 9 2 2" xfId="22224"/>
    <cellStyle name="Normal 3 5 9 2 2 2" xfId="44811"/>
    <cellStyle name="Normal 3 5 9 2 3" xfId="12564"/>
    <cellStyle name="Normal 3 5 9 2 3 2" xfId="35151"/>
    <cellStyle name="Normal 3 5 9 2 4" xfId="28711"/>
    <cellStyle name="Normal 3 5 9 3" xfId="19004"/>
    <cellStyle name="Normal 3 5 9 3 2" xfId="41591"/>
    <cellStyle name="Normal 3 5 9 4" xfId="15784"/>
    <cellStyle name="Normal 3 5 9 4 2" xfId="38371"/>
    <cellStyle name="Normal 3 5 9 5" xfId="9344"/>
    <cellStyle name="Normal 3 5 9 5 2" xfId="31931"/>
    <cellStyle name="Normal 3 5 9 6" xfId="25491"/>
    <cellStyle name="Normal 3 6" xfId="220"/>
    <cellStyle name="Normal 3 6 10" xfId="16388"/>
    <cellStyle name="Normal 3 6 10 2" xfId="38975"/>
    <cellStyle name="Normal 3 6 11" xfId="13168"/>
    <cellStyle name="Normal 3 6 11 2" xfId="35755"/>
    <cellStyle name="Normal 3 6 12" xfId="6728"/>
    <cellStyle name="Normal 3 6 12 2" xfId="29315"/>
    <cellStyle name="Normal 3 6 13" xfId="22875"/>
    <cellStyle name="Normal 3 6 2" xfId="318"/>
    <cellStyle name="Normal 3 6 2 10" xfId="13265"/>
    <cellStyle name="Normal 3 6 2 10 2" xfId="35852"/>
    <cellStyle name="Normal 3 6 2 11" xfId="6825"/>
    <cellStyle name="Normal 3 6 2 11 2" xfId="29412"/>
    <cellStyle name="Normal 3 6 2 12" xfId="22972"/>
    <cellStyle name="Normal 3 6 2 2" xfId="1114"/>
    <cellStyle name="Normal 3 6 2 2 2" xfId="2428"/>
    <cellStyle name="Normal 3 6 2 2 2 2" xfId="5649"/>
    <cellStyle name="Normal 3 6 2 2 2 2 2" xfId="21749"/>
    <cellStyle name="Normal 3 6 2 2 2 2 2 2" xfId="44336"/>
    <cellStyle name="Normal 3 6 2 2 2 2 3" xfId="12089"/>
    <cellStyle name="Normal 3 6 2 2 2 2 3 2" xfId="34676"/>
    <cellStyle name="Normal 3 6 2 2 2 2 4" xfId="28236"/>
    <cellStyle name="Normal 3 6 2 2 2 3" xfId="18529"/>
    <cellStyle name="Normal 3 6 2 2 2 3 2" xfId="41116"/>
    <cellStyle name="Normal 3 6 2 2 2 4" xfId="15309"/>
    <cellStyle name="Normal 3 6 2 2 2 4 2" xfId="37896"/>
    <cellStyle name="Normal 3 6 2 2 2 5" xfId="8869"/>
    <cellStyle name="Normal 3 6 2 2 2 5 2" xfId="31456"/>
    <cellStyle name="Normal 3 6 2 2 2 6" xfId="25016"/>
    <cellStyle name="Normal 3 6 2 2 3" xfId="4341"/>
    <cellStyle name="Normal 3 6 2 2 3 2" xfId="20441"/>
    <cellStyle name="Normal 3 6 2 2 3 2 2" xfId="43028"/>
    <cellStyle name="Normal 3 6 2 2 3 3" xfId="10781"/>
    <cellStyle name="Normal 3 6 2 2 3 3 2" xfId="33368"/>
    <cellStyle name="Normal 3 6 2 2 3 4" xfId="26928"/>
    <cellStyle name="Normal 3 6 2 2 4" xfId="17221"/>
    <cellStyle name="Normal 3 6 2 2 4 2" xfId="39808"/>
    <cellStyle name="Normal 3 6 2 2 5" xfId="14001"/>
    <cellStyle name="Normal 3 6 2 2 5 2" xfId="36588"/>
    <cellStyle name="Normal 3 6 2 2 6" xfId="7561"/>
    <cellStyle name="Normal 3 6 2 2 6 2" xfId="30148"/>
    <cellStyle name="Normal 3 6 2 2 7" xfId="23708"/>
    <cellStyle name="Normal 3 6 2 3" xfId="1461"/>
    <cellStyle name="Normal 3 6 2 3 2" xfId="2775"/>
    <cellStyle name="Normal 3 6 2 3 2 2" xfId="5996"/>
    <cellStyle name="Normal 3 6 2 3 2 2 2" xfId="22096"/>
    <cellStyle name="Normal 3 6 2 3 2 2 2 2" xfId="44683"/>
    <cellStyle name="Normal 3 6 2 3 2 2 3" xfId="12436"/>
    <cellStyle name="Normal 3 6 2 3 2 2 3 2" xfId="35023"/>
    <cellStyle name="Normal 3 6 2 3 2 2 4" xfId="28583"/>
    <cellStyle name="Normal 3 6 2 3 2 3" xfId="18876"/>
    <cellStyle name="Normal 3 6 2 3 2 3 2" xfId="41463"/>
    <cellStyle name="Normal 3 6 2 3 2 4" xfId="15656"/>
    <cellStyle name="Normal 3 6 2 3 2 4 2" xfId="38243"/>
    <cellStyle name="Normal 3 6 2 3 2 5" xfId="9216"/>
    <cellStyle name="Normal 3 6 2 3 2 5 2" xfId="31803"/>
    <cellStyle name="Normal 3 6 2 3 2 6" xfId="25363"/>
    <cellStyle name="Normal 3 6 2 3 3" xfId="4688"/>
    <cellStyle name="Normal 3 6 2 3 3 2" xfId="20788"/>
    <cellStyle name="Normal 3 6 2 3 3 2 2" xfId="43375"/>
    <cellStyle name="Normal 3 6 2 3 3 3" xfId="11128"/>
    <cellStyle name="Normal 3 6 2 3 3 3 2" xfId="33715"/>
    <cellStyle name="Normal 3 6 2 3 3 4" xfId="27275"/>
    <cellStyle name="Normal 3 6 2 3 4" xfId="17568"/>
    <cellStyle name="Normal 3 6 2 3 4 2" xfId="40155"/>
    <cellStyle name="Normal 3 6 2 3 5" xfId="14348"/>
    <cellStyle name="Normal 3 6 2 3 5 2" xfId="36935"/>
    <cellStyle name="Normal 3 6 2 3 6" xfId="7908"/>
    <cellStyle name="Normal 3 6 2 3 6 2" xfId="30495"/>
    <cellStyle name="Normal 3 6 2 3 7" xfId="24055"/>
    <cellStyle name="Normal 3 6 2 4" xfId="2081"/>
    <cellStyle name="Normal 3 6 2 4 2" xfId="5302"/>
    <cellStyle name="Normal 3 6 2 4 2 2" xfId="21402"/>
    <cellStyle name="Normal 3 6 2 4 2 2 2" xfId="43989"/>
    <cellStyle name="Normal 3 6 2 4 2 3" xfId="11742"/>
    <cellStyle name="Normal 3 6 2 4 2 3 2" xfId="34329"/>
    <cellStyle name="Normal 3 6 2 4 2 4" xfId="27889"/>
    <cellStyle name="Normal 3 6 2 4 3" xfId="18182"/>
    <cellStyle name="Normal 3 6 2 4 3 2" xfId="40769"/>
    <cellStyle name="Normal 3 6 2 4 4" xfId="14962"/>
    <cellStyle name="Normal 3 6 2 4 4 2" xfId="37549"/>
    <cellStyle name="Normal 3 6 2 4 5" xfId="8522"/>
    <cellStyle name="Normal 3 6 2 4 5 2" xfId="31109"/>
    <cellStyle name="Normal 3 6 2 4 6" xfId="24669"/>
    <cellStyle name="Normal 3 6 2 5" xfId="3025"/>
    <cellStyle name="Normal 3 6 2 5 2" xfId="6245"/>
    <cellStyle name="Normal 3 6 2 5 2 2" xfId="22345"/>
    <cellStyle name="Normal 3 6 2 5 2 2 2" xfId="44932"/>
    <cellStyle name="Normal 3 6 2 5 2 3" xfId="12685"/>
    <cellStyle name="Normal 3 6 2 5 2 3 2" xfId="35272"/>
    <cellStyle name="Normal 3 6 2 5 2 4" xfId="28832"/>
    <cellStyle name="Normal 3 6 2 5 3" xfId="19125"/>
    <cellStyle name="Normal 3 6 2 5 3 2" xfId="41712"/>
    <cellStyle name="Normal 3 6 2 5 4" xfId="15905"/>
    <cellStyle name="Normal 3 6 2 5 4 2" xfId="38492"/>
    <cellStyle name="Normal 3 6 2 5 5" xfId="9465"/>
    <cellStyle name="Normal 3 6 2 5 5 2" xfId="32052"/>
    <cellStyle name="Normal 3 6 2 5 6" xfId="25612"/>
    <cellStyle name="Normal 3 6 2 6" xfId="3315"/>
    <cellStyle name="Normal 3 6 2 6 2" xfId="6535"/>
    <cellStyle name="Normal 3 6 2 6 2 2" xfId="22635"/>
    <cellStyle name="Normal 3 6 2 6 2 2 2" xfId="45222"/>
    <cellStyle name="Normal 3 6 2 6 2 3" xfId="12975"/>
    <cellStyle name="Normal 3 6 2 6 2 3 2" xfId="35562"/>
    <cellStyle name="Normal 3 6 2 6 2 4" xfId="29122"/>
    <cellStyle name="Normal 3 6 2 6 3" xfId="19415"/>
    <cellStyle name="Normal 3 6 2 6 3 2" xfId="42002"/>
    <cellStyle name="Normal 3 6 2 6 4" xfId="16195"/>
    <cellStyle name="Normal 3 6 2 6 4 2" xfId="38782"/>
    <cellStyle name="Normal 3 6 2 6 5" xfId="9755"/>
    <cellStyle name="Normal 3 6 2 6 5 2" xfId="32342"/>
    <cellStyle name="Normal 3 6 2 6 6" xfId="25902"/>
    <cellStyle name="Normal 3 6 2 7" xfId="762"/>
    <cellStyle name="Normal 3 6 2 7 2" xfId="3994"/>
    <cellStyle name="Normal 3 6 2 7 2 2" xfId="20094"/>
    <cellStyle name="Normal 3 6 2 7 2 2 2" xfId="42681"/>
    <cellStyle name="Normal 3 6 2 7 2 3" xfId="10434"/>
    <cellStyle name="Normal 3 6 2 7 2 3 2" xfId="33021"/>
    <cellStyle name="Normal 3 6 2 7 2 4" xfId="26581"/>
    <cellStyle name="Normal 3 6 2 7 3" xfId="16874"/>
    <cellStyle name="Normal 3 6 2 7 3 2" xfId="39461"/>
    <cellStyle name="Normal 3 6 2 7 4" xfId="13654"/>
    <cellStyle name="Normal 3 6 2 7 4 2" xfId="36241"/>
    <cellStyle name="Normal 3 6 2 7 5" xfId="7214"/>
    <cellStyle name="Normal 3 6 2 7 5 2" xfId="29801"/>
    <cellStyle name="Normal 3 6 2 7 6" xfId="23361"/>
    <cellStyle name="Normal 3 6 2 8" xfId="3605"/>
    <cellStyle name="Normal 3 6 2 8 2" xfId="19705"/>
    <cellStyle name="Normal 3 6 2 8 2 2" xfId="42292"/>
    <cellStyle name="Normal 3 6 2 8 3" xfId="10045"/>
    <cellStyle name="Normal 3 6 2 8 3 2" xfId="32632"/>
    <cellStyle name="Normal 3 6 2 8 4" xfId="26192"/>
    <cellStyle name="Normal 3 6 2 9" xfId="16485"/>
    <cellStyle name="Normal 3 6 2 9 2" xfId="39072"/>
    <cellStyle name="Normal 3 6 3" xfId="414"/>
    <cellStyle name="Normal 3 6 3 10" xfId="23068"/>
    <cellStyle name="Normal 3 6 3 2" xfId="2271"/>
    <cellStyle name="Normal 3 6 3 2 2" xfId="5492"/>
    <cellStyle name="Normal 3 6 3 2 2 2" xfId="21592"/>
    <cellStyle name="Normal 3 6 3 2 2 2 2" xfId="44179"/>
    <cellStyle name="Normal 3 6 3 2 2 3" xfId="11932"/>
    <cellStyle name="Normal 3 6 3 2 2 3 2" xfId="34519"/>
    <cellStyle name="Normal 3 6 3 2 2 4" xfId="28079"/>
    <cellStyle name="Normal 3 6 3 2 3" xfId="18372"/>
    <cellStyle name="Normal 3 6 3 2 3 2" xfId="40959"/>
    <cellStyle name="Normal 3 6 3 2 4" xfId="15152"/>
    <cellStyle name="Normal 3 6 3 2 4 2" xfId="37739"/>
    <cellStyle name="Normal 3 6 3 2 5" xfId="8712"/>
    <cellStyle name="Normal 3 6 3 2 5 2" xfId="31299"/>
    <cellStyle name="Normal 3 6 3 2 6" xfId="24859"/>
    <cellStyle name="Normal 3 6 3 3" xfId="3121"/>
    <cellStyle name="Normal 3 6 3 3 2" xfId="6341"/>
    <cellStyle name="Normal 3 6 3 3 2 2" xfId="22441"/>
    <cellStyle name="Normal 3 6 3 3 2 2 2" xfId="45028"/>
    <cellStyle name="Normal 3 6 3 3 2 3" xfId="12781"/>
    <cellStyle name="Normal 3 6 3 3 2 3 2" xfId="35368"/>
    <cellStyle name="Normal 3 6 3 3 2 4" xfId="28928"/>
    <cellStyle name="Normal 3 6 3 3 3" xfId="19221"/>
    <cellStyle name="Normal 3 6 3 3 3 2" xfId="41808"/>
    <cellStyle name="Normal 3 6 3 3 4" xfId="16001"/>
    <cellStyle name="Normal 3 6 3 3 4 2" xfId="38588"/>
    <cellStyle name="Normal 3 6 3 3 5" xfId="9561"/>
    <cellStyle name="Normal 3 6 3 3 5 2" xfId="32148"/>
    <cellStyle name="Normal 3 6 3 3 6" xfId="25708"/>
    <cellStyle name="Normal 3 6 3 4" xfId="3411"/>
    <cellStyle name="Normal 3 6 3 4 2" xfId="6631"/>
    <cellStyle name="Normal 3 6 3 4 2 2" xfId="22731"/>
    <cellStyle name="Normal 3 6 3 4 2 2 2" xfId="45318"/>
    <cellStyle name="Normal 3 6 3 4 2 3" xfId="13071"/>
    <cellStyle name="Normal 3 6 3 4 2 3 2" xfId="35658"/>
    <cellStyle name="Normal 3 6 3 4 2 4" xfId="29218"/>
    <cellStyle name="Normal 3 6 3 4 3" xfId="19511"/>
    <cellStyle name="Normal 3 6 3 4 3 2" xfId="42098"/>
    <cellStyle name="Normal 3 6 3 4 4" xfId="16291"/>
    <cellStyle name="Normal 3 6 3 4 4 2" xfId="38878"/>
    <cellStyle name="Normal 3 6 3 4 5" xfId="9851"/>
    <cellStyle name="Normal 3 6 3 4 5 2" xfId="32438"/>
    <cellStyle name="Normal 3 6 3 4 6" xfId="25998"/>
    <cellStyle name="Normal 3 6 3 5" xfId="952"/>
    <cellStyle name="Normal 3 6 3 5 2" xfId="4184"/>
    <cellStyle name="Normal 3 6 3 5 2 2" xfId="20284"/>
    <cellStyle name="Normal 3 6 3 5 2 2 2" xfId="42871"/>
    <cellStyle name="Normal 3 6 3 5 2 3" xfId="10624"/>
    <cellStyle name="Normal 3 6 3 5 2 3 2" xfId="33211"/>
    <cellStyle name="Normal 3 6 3 5 2 4" xfId="26771"/>
    <cellStyle name="Normal 3 6 3 5 3" xfId="17064"/>
    <cellStyle name="Normal 3 6 3 5 3 2" xfId="39651"/>
    <cellStyle name="Normal 3 6 3 5 4" xfId="13844"/>
    <cellStyle name="Normal 3 6 3 5 4 2" xfId="36431"/>
    <cellStyle name="Normal 3 6 3 5 5" xfId="7404"/>
    <cellStyle name="Normal 3 6 3 5 5 2" xfId="29991"/>
    <cellStyle name="Normal 3 6 3 5 6" xfId="23551"/>
    <cellStyle name="Normal 3 6 3 6" xfId="3701"/>
    <cellStyle name="Normal 3 6 3 6 2" xfId="19801"/>
    <cellStyle name="Normal 3 6 3 6 2 2" xfId="42388"/>
    <cellStyle name="Normal 3 6 3 6 3" xfId="10141"/>
    <cellStyle name="Normal 3 6 3 6 3 2" xfId="32728"/>
    <cellStyle name="Normal 3 6 3 6 4" xfId="26288"/>
    <cellStyle name="Normal 3 6 3 7" xfId="16581"/>
    <cellStyle name="Normal 3 6 3 7 2" xfId="39168"/>
    <cellStyle name="Normal 3 6 3 8" xfId="13361"/>
    <cellStyle name="Normal 3 6 3 8 2" xfId="35948"/>
    <cellStyle name="Normal 3 6 3 9" xfId="6921"/>
    <cellStyle name="Normal 3 6 3 9 2" xfId="29508"/>
    <cellStyle name="Normal 3 6 4" xfId="1304"/>
    <cellStyle name="Normal 3 6 4 2" xfId="2618"/>
    <cellStyle name="Normal 3 6 4 2 2" xfId="5839"/>
    <cellStyle name="Normal 3 6 4 2 2 2" xfId="21939"/>
    <cellStyle name="Normal 3 6 4 2 2 2 2" xfId="44526"/>
    <cellStyle name="Normal 3 6 4 2 2 3" xfId="12279"/>
    <cellStyle name="Normal 3 6 4 2 2 3 2" xfId="34866"/>
    <cellStyle name="Normal 3 6 4 2 2 4" xfId="28426"/>
    <cellStyle name="Normal 3 6 4 2 3" xfId="18719"/>
    <cellStyle name="Normal 3 6 4 2 3 2" xfId="41306"/>
    <cellStyle name="Normal 3 6 4 2 4" xfId="15499"/>
    <cellStyle name="Normal 3 6 4 2 4 2" xfId="38086"/>
    <cellStyle name="Normal 3 6 4 2 5" xfId="9059"/>
    <cellStyle name="Normal 3 6 4 2 5 2" xfId="31646"/>
    <cellStyle name="Normal 3 6 4 2 6" xfId="25206"/>
    <cellStyle name="Normal 3 6 4 3" xfId="4531"/>
    <cellStyle name="Normal 3 6 4 3 2" xfId="20631"/>
    <cellStyle name="Normal 3 6 4 3 2 2" xfId="43218"/>
    <cellStyle name="Normal 3 6 4 3 3" xfId="10971"/>
    <cellStyle name="Normal 3 6 4 3 3 2" xfId="33558"/>
    <cellStyle name="Normal 3 6 4 3 4" xfId="27118"/>
    <cellStyle name="Normal 3 6 4 4" xfId="17411"/>
    <cellStyle name="Normal 3 6 4 4 2" xfId="39998"/>
    <cellStyle name="Normal 3 6 4 5" xfId="14191"/>
    <cellStyle name="Normal 3 6 4 5 2" xfId="36778"/>
    <cellStyle name="Normal 3 6 4 6" xfId="7751"/>
    <cellStyle name="Normal 3 6 4 6 2" xfId="30338"/>
    <cellStyle name="Normal 3 6 4 7" xfId="23898"/>
    <cellStyle name="Normal 3 6 5" xfId="1923"/>
    <cellStyle name="Normal 3 6 5 2" xfId="5145"/>
    <cellStyle name="Normal 3 6 5 2 2" xfId="21245"/>
    <cellStyle name="Normal 3 6 5 2 2 2" xfId="43832"/>
    <cellStyle name="Normal 3 6 5 2 3" xfId="11585"/>
    <cellStyle name="Normal 3 6 5 2 3 2" xfId="34172"/>
    <cellStyle name="Normal 3 6 5 2 4" xfId="27732"/>
    <cellStyle name="Normal 3 6 5 3" xfId="18025"/>
    <cellStyle name="Normal 3 6 5 3 2" xfId="40612"/>
    <cellStyle name="Normal 3 6 5 4" xfId="14805"/>
    <cellStyle name="Normal 3 6 5 4 2" xfId="37392"/>
    <cellStyle name="Normal 3 6 5 5" xfId="8365"/>
    <cellStyle name="Normal 3 6 5 5 2" xfId="30952"/>
    <cellStyle name="Normal 3 6 5 6" xfId="24512"/>
    <cellStyle name="Normal 3 6 6" xfId="2927"/>
    <cellStyle name="Normal 3 6 6 2" xfId="6148"/>
    <cellStyle name="Normal 3 6 6 2 2" xfId="22248"/>
    <cellStyle name="Normal 3 6 6 2 2 2" xfId="44835"/>
    <cellStyle name="Normal 3 6 6 2 3" xfId="12588"/>
    <cellStyle name="Normal 3 6 6 2 3 2" xfId="35175"/>
    <cellStyle name="Normal 3 6 6 2 4" xfId="28735"/>
    <cellStyle name="Normal 3 6 6 3" xfId="19028"/>
    <cellStyle name="Normal 3 6 6 3 2" xfId="41615"/>
    <cellStyle name="Normal 3 6 6 4" xfId="15808"/>
    <cellStyle name="Normal 3 6 6 4 2" xfId="38395"/>
    <cellStyle name="Normal 3 6 6 5" xfId="9368"/>
    <cellStyle name="Normal 3 6 6 5 2" xfId="31955"/>
    <cellStyle name="Normal 3 6 6 6" xfId="25515"/>
    <cellStyle name="Normal 3 6 7" xfId="3218"/>
    <cellStyle name="Normal 3 6 7 2" xfId="6438"/>
    <cellStyle name="Normal 3 6 7 2 2" xfId="22538"/>
    <cellStyle name="Normal 3 6 7 2 2 2" xfId="45125"/>
    <cellStyle name="Normal 3 6 7 2 3" xfId="12878"/>
    <cellStyle name="Normal 3 6 7 2 3 2" xfId="35465"/>
    <cellStyle name="Normal 3 6 7 2 4" xfId="29025"/>
    <cellStyle name="Normal 3 6 7 3" xfId="19318"/>
    <cellStyle name="Normal 3 6 7 3 2" xfId="41905"/>
    <cellStyle name="Normal 3 6 7 4" xfId="16098"/>
    <cellStyle name="Normal 3 6 7 4 2" xfId="38685"/>
    <cellStyle name="Normal 3 6 7 5" xfId="9658"/>
    <cellStyle name="Normal 3 6 7 5 2" xfId="32245"/>
    <cellStyle name="Normal 3 6 7 6" xfId="25805"/>
    <cellStyle name="Normal 3 6 8" xfId="550"/>
    <cellStyle name="Normal 3 6 8 2" xfId="3837"/>
    <cellStyle name="Normal 3 6 8 2 2" xfId="19937"/>
    <cellStyle name="Normal 3 6 8 2 2 2" xfId="42524"/>
    <cellStyle name="Normal 3 6 8 2 3" xfId="10277"/>
    <cellStyle name="Normal 3 6 8 2 3 2" xfId="32864"/>
    <cellStyle name="Normal 3 6 8 2 4" xfId="26424"/>
    <cellStyle name="Normal 3 6 8 3" xfId="16717"/>
    <cellStyle name="Normal 3 6 8 3 2" xfId="39304"/>
    <cellStyle name="Normal 3 6 8 4" xfId="13497"/>
    <cellStyle name="Normal 3 6 8 4 2" xfId="36084"/>
    <cellStyle name="Normal 3 6 8 5" xfId="7057"/>
    <cellStyle name="Normal 3 6 8 5 2" xfId="29644"/>
    <cellStyle name="Normal 3 6 8 6" xfId="23204"/>
    <cellStyle name="Normal 3 6 9" xfId="3508"/>
    <cellStyle name="Normal 3 6 9 2" xfId="19608"/>
    <cellStyle name="Normal 3 6 9 2 2" xfId="42195"/>
    <cellStyle name="Normal 3 6 9 3" xfId="9948"/>
    <cellStyle name="Normal 3 6 9 3 2" xfId="32535"/>
    <cellStyle name="Normal 3 6 9 4" xfId="26095"/>
    <cellStyle name="Normal 3 7" xfId="713"/>
    <cellStyle name="Normal 3 7 2" xfId="1075"/>
    <cellStyle name="Normal 3 7 2 2" xfId="2389"/>
    <cellStyle name="Normal 3 7 2 2 2" xfId="5610"/>
    <cellStyle name="Normal 3 7 2 2 2 2" xfId="21710"/>
    <cellStyle name="Normal 3 7 2 2 2 2 2" xfId="44297"/>
    <cellStyle name="Normal 3 7 2 2 2 3" xfId="12050"/>
    <cellStyle name="Normal 3 7 2 2 2 3 2" xfId="34637"/>
    <cellStyle name="Normal 3 7 2 2 2 4" xfId="28197"/>
    <cellStyle name="Normal 3 7 2 2 3" xfId="18490"/>
    <cellStyle name="Normal 3 7 2 2 3 2" xfId="41077"/>
    <cellStyle name="Normal 3 7 2 2 4" xfId="15270"/>
    <cellStyle name="Normal 3 7 2 2 4 2" xfId="37857"/>
    <cellStyle name="Normal 3 7 2 2 5" xfId="8830"/>
    <cellStyle name="Normal 3 7 2 2 5 2" xfId="31417"/>
    <cellStyle name="Normal 3 7 2 2 6" xfId="24977"/>
    <cellStyle name="Normal 3 7 2 3" xfId="4302"/>
    <cellStyle name="Normal 3 7 2 3 2" xfId="20402"/>
    <cellStyle name="Normal 3 7 2 3 2 2" xfId="42989"/>
    <cellStyle name="Normal 3 7 2 3 3" xfId="10742"/>
    <cellStyle name="Normal 3 7 2 3 3 2" xfId="33329"/>
    <cellStyle name="Normal 3 7 2 3 4" xfId="26889"/>
    <cellStyle name="Normal 3 7 2 4" xfId="17182"/>
    <cellStyle name="Normal 3 7 2 4 2" xfId="39769"/>
    <cellStyle name="Normal 3 7 2 5" xfId="13962"/>
    <cellStyle name="Normal 3 7 2 5 2" xfId="36549"/>
    <cellStyle name="Normal 3 7 2 6" xfId="7522"/>
    <cellStyle name="Normal 3 7 2 6 2" xfId="30109"/>
    <cellStyle name="Normal 3 7 2 7" xfId="23669"/>
    <cellStyle name="Normal 3 7 3" xfId="1422"/>
    <cellStyle name="Normal 3 7 3 2" xfId="2736"/>
    <cellStyle name="Normal 3 7 3 2 2" xfId="5957"/>
    <cellStyle name="Normal 3 7 3 2 2 2" xfId="22057"/>
    <cellStyle name="Normal 3 7 3 2 2 2 2" xfId="44644"/>
    <cellStyle name="Normal 3 7 3 2 2 3" xfId="12397"/>
    <cellStyle name="Normal 3 7 3 2 2 3 2" xfId="34984"/>
    <cellStyle name="Normal 3 7 3 2 2 4" xfId="28544"/>
    <cellStyle name="Normal 3 7 3 2 3" xfId="18837"/>
    <cellStyle name="Normal 3 7 3 2 3 2" xfId="41424"/>
    <cellStyle name="Normal 3 7 3 2 4" xfId="15617"/>
    <cellStyle name="Normal 3 7 3 2 4 2" xfId="38204"/>
    <cellStyle name="Normal 3 7 3 2 5" xfId="9177"/>
    <cellStyle name="Normal 3 7 3 2 5 2" xfId="31764"/>
    <cellStyle name="Normal 3 7 3 2 6" xfId="25324"/>
    <cellStyle name="Normal 3 7 3 3" xfId="4649"/>
    <cellStyle name="Normal 3 7 3 3 2" xfId="20749"/>
    <cellStyle name="Normal 3 7 3 3 2 2" xfId="43336"/>
    <cellStyle name="Normal 3 7 3 3 3" xfId="11089"/>
    <cellStyle name="Normal 3 7 3 3 3 2" xfId="33676"/>
    <cellStyle name="Normal 3 7 3 3 4" xfId="27236"/>
    <cellStyle name="Normal 3 7 3 4" xfId="17529"/>
    <cellStyle name="Normal 3 7 3 4 2" xfId="40116"/>
    <cellStyle name="Normal 3 7 3 5" xfId="14309"/>
    <cellStyle name="Normal 3 7 3 5 2" xfId="36896"/>
    <cellStyle name="Normal 3 7 3 6" xfId="7869"/>
    <cellStyle name="Normal 3 7 3 6 2" xfId="30456"/>
    <cellStyle name="Normal 3 7 3 7" xfId="24016"/>
    <cellStyle name="Normal 3 7 4" xfId="2042"/>
    <cellStyle name="Normal 3 7 4 2" xfId="5263"/>
    <cellStyle name="Normal 3 7 4 2 2" xfId="21363"/>
    <cellStyle name="Normal 3 7 4 2 2 2" xfId="43950"/>
    <cellStyle name="Normal 3 7 4 2 3" xfId="11703"/>
    <cellStyle name="Normal 3 7 4 2 3 2" xfId="34290"/>
    <cellStyle name="Normal 3 7 4 2 4" xfId="27850"/>
    <cellStyle name="Normal 3 7 4 3" xfId="18143"/>
    <cellStyle name="Normal 3 7 4 3 2" xfId="40730"/>
    <cellStyle name="Normal 3 7 4 4" xfId="14923"/>
    <cellStyle name="Normal 3 7 4 4 2" xfId="37510"/>
    <cellStyle name="Normal 3 7 4 5" xfId="8483"/>
    <cellStyle name="Normal 3 7 4 5 2" xfId="31070"/>
    <cellStyle name="Normal 3 7 4 6" xfId="24630"/>
    <cellStyle name="Normal 3 7 5" xfId="3955"/>
    <cellStyle name="Normal 3 7 5 2" xfId="20055"/>
    <cellStyle name="Normal 3 7 5 2 2" xfId="42642"/>
    <cellStyle name="Normal 3 7 5 3" xfId="10395"/>
    <cellStyle name="Normal 3 7 5 3 2" xfId="32982"/>
    <cellStyle name="Normal 3 7 5 4" xfId="26542"/>
    <cellStyle name="Normal 3 7 6" xfId="16835"/>
    <cellStyle name="Normal 3 7 6 2" xfId="39422"/>
    <cellStyle name="Normal 3 7 7" xfId="13615"/>
    <cellStyle name="Normal 3 7 7 2" xfId="36202"/>
    <cellStyle name="Normal 3 7 8" xfId="7175"/>
    <cellStyle name="Normal 3 7 8 2" xfId="29762"/>
    <cellStyle name="Normal 3 7 9" xfId="23322"/>
    <cellStyle name="Normal 3 8" xfId="742"/>
    <cellStyle name="Normal 3 8 2" xfId="1094"/>
    <cellStyle name="Normal 3 8 2 2" xfId="2408"/>
    <cellStyle name="Normal 3 8 2 2 2" xfId="5629"/>
    <cellStyle name="Normal 3 8 2 2 2 2" xfId="21729"/>
    <cellStyle name="Normal 3 8 2 2 2 2 2" xfId="44316"/>
    <cellStyle name="Normal 3 8 2 2 2 3" xfId="12069"/>
    <cellStyle name="Normal 3 8 2 2 2 3 2" xfId="34656"/>
    <cellStyle name="Normal 3 8 2 2 2 4" xfId="28216"/>
    <cellStyle name="Normal 3 8 2 2 3" xfId="18509"/>
    <cellStyle name="Normal 3 8 2 2 3 2" xfId="41096"/>
    <cellStyle name="Normal 3 8 2 2 4" xfId="15289"/>
    <cellStyle name="Normal 3 8 2 2 4 2" xfId="37876"/>
    <cellStyle name="Normal 3 8 2 2 5" xfId="8849"/>
    <cellStyle name="Normal 3 8 2 2 5 2" xfId="31436"/>
    <cellStyle name="Normal 3 8 2 2 6" xfId="24996"/>
    <cellStyle name="Normal 3 8 2 3" xfId="4321"/>
    <cellStyle name="Normal 3 8 2 3 2" xfId="20421"/>
    <cellStyle name="Normal 3 8 2 3 2 2" xfId="43008"/>
    <cellStyle name="Normal 3 8 2 3 3" xfId="10761"/>
    <cellStyle name="Normal 3 8 2 3 3 2" xfId="33348"/>
    <cellStyle name="Normal 3 8 2 3 4" xfId="26908"/>
    <cellStyle name="Normal 3 8 2 4" xfId="17201"/>
    <cellStyle name="Normal 3 8 2 4 2" xfId="39788"/>
    <cellStyle name="Normal 3 8 2 5" xfId="13981"/>
    <cellStyle name="Normal 3 8 2 5 2" xfId="36568"/>
    <cellStyle name="Normal 3 8 2 6" xfId="7541"/>
    <cellStyle name="Normal 3 8 2 6 2" xfId="30128"/>
    <cellStyle name="Normal 3 8 2 7" xfId="23688"/>
    <cellStyle name="Normal 3 8 3" xfId="1441"/>
    <cellStyle name="Normal 3 8 3 2" xfId="2755"/>
    <cellStyle name="Normal 3 8 3 2 2" xfId="5976"/>
    <cellStyle name="Normal 3 8 3 2 2 2" xfId="22076"/>
    <cellStyle name="Normal 3 8 3 2 2 2 2" xfId="44663"/>
    <cellStyle name="Normal 3 8 3 2 2 3" xfId="12416"/>
    <cellStyle name="Normal 3 8 3 2 2 3 2" xfId="35003"/>
    <cellStyle name="Normal 3 8 3 2 2 4" xfId="28563"/>
    <cellStyle name="Normal 3 8 3 2 3" xfId="18856"/>
    <cellStyle name="Normal 3 8 3 2 3 2" xfId="41443"/>
    <cellStyle name="Normal 3 8 3 2 4" xfId="15636"/>
    <cellStyle name="Normal 3 8 3 2 4 2" xfId="38223"/>
    <cellStyle name="Normal 3 8 3 2 5" xfId="9196"/>
    <cellStyle name="Normal 3 8 3 2 5 2" xfId="31783"/>
    <cellStyle name="Normal 3 8 3 2 6" xfId="25343"/>
    <cellStyle name="Normal 3 8 3 3" xfId="4668"/>
    <cellStyle name="Normal 3 8 3 3 2" xfId="20768"/>
    <cellStyle name="Normal 3 8 3 3 2 2" xfId="43355"/>
    <cellStyle name="Normal 3 8 3 3 3" xfId="11108"/>
    <cellStyle name="Normal 3 8 3 3 3 2" xfId="33695"/>
    <cellStyle name="Normal 3 8 3 3 4" xfId="27255"/>
    <cellStyle name="Normal 3 8 3 4" xfId="17548"/>
    <cellStyle name="Normal 3 8 3 4 2" xfId="40135"/>
    <cellStyle name="Normal 3 8 3 5" xfId="14328"/>
    <cellStyle name="Normal 3 8 3 5 2" xfId="36915"/>
    <cellStyle name="Normal 3 8 3 6" xfId="7888"/>
    <cellStyle name="Normal 3 8 3 6 2" xfId="30475"/>
    <cellStyle name="Normal 3 8 3 7" xfId="24035"/>
    <cellStyle name="Normal 3 8 4" xfId="2061"/>
    <cellStyle name="Normal 3 8 4 2" xfId="5282"/>
    <cellStyle name="Normal 3 8 4 2 2" xfId="21382"/>
    <cellStyle name="Normal 3 8 4 2 2 2" xfId="43969"/>
    <cellStyle name="Normal 3 8 4 2 3" xfId="11722"/>
    <cellStyle name="Normal 3 8 4 2 3 2" xfId="34309"/>
    <cellStyle name="Normal 3 8 4 2 4" xfId="27869"/>
    <cellStyle name="Normal 3 8 4 3" xfId="18162"/>
    <cellStyle name="Normal 3 8 4 3 2" xfId="40749"/>
    <cellStyle name="Normal 3 8 4 4" xfId="14942"/>
    <cellStyle name="Normal 3 8 4 4 2" xfId="37529"/>
    <cellStyle name="Normal 3 8 4 5" xfId="8502"/>
    <cellStyle name="Normal 3 8 4 5 2" xfId="31089"/>
    <cellStyle name="Normal 3 8 4 6" xfId="24649"/>
    <cellStyle name="Normal 3 8 5" xfId="3974"/>
    <cellStyle name="Normal 3 8 5 2" xfId="20074"/>
    <cellStyle name="Normal 3 8 5 2 2" xfId="42661"/>
    <cellStyle name="Normal 3 8 5 3" xfId="10414"/>
    <cellStyle name="Normal 3 8 5 3 2" xfId="33001"/>
    <cellStyle name="Normal 3 8 5 4" xfId="26561"/>
    <cellStyle name="Normal 3 8 6" xfId="16854"/>
    <cellStyle name="Normal 3 8 6 2" xfId="39441"/>
    <cellStyle name="Normal 3 8 7" xfId="13634"/>
    <cellStyle name="Normal 3 8 7 2" xfId="36221"/>
    <cellStyle name="Normal 3 8 8" xfId="7194"/>
    <cellStyle name="Normal 3 8 8 2" xfId="29781"/>
    <cellStyle name="Normal 3 8 9" xfId="23341"/>
    <cellStyle name="Normal 4" xfId="88"/>
    <cellStyle name="Normal 4 2" xfId="213"/>
    <cellStyle name="Normal 4 2 10" xfId="3212"/>
    <cellStyle name="Normal 4 2 10 2" xfId="6432"/>
    <cellStyle name="Normal 4 2 10 2 2" xfId="22532"/>
    <cellStyle name="Normal 4 2 10 2 2 2" xfId="45119"/>
    <cellStyle name="Normal 4 2 10 2 3" xfId="12872"/>
    <cellStyle name="Normal 4 2 10 2 3 2" xfId="35459"/>
    <cellStyle name="Normal 4 2 10 2 4" xfId="29019"/>
    <cellStyle name="Normal 4 2 10 3" xfId="19312"/>
    <cellStyle name="Normal 4 2 10 3 2" xfId="41899"/>
    <cellStyle name="Normal 4 2 10 4" xfId="16092"/>
    <cellStyle name="Normal 4 2 10 4 2" xfId="38679"/>
    <cellStyle name="Normal 4 2 10 5" xfId="9652"/>
    <cellStyle name="Normal 4 2 10 5 2" xfId="32239"/>
    <cellStyle name="Normal 4 2 10 6" xfId="25799"/>
    <cellStyle name="Normal 4 2 11" xfId="505"/>
    <cellStyle name="Normal 4 2 11 2" xfId="3792"/>
    <cellStyle name="Normal 4 2 11 2 2" xfId="19892"/>
    <cellStyle name="Normal 4 2 11 2 2 2" xfId="42479"/>
    <cellStyle name="Normal 4 2 11 2 3" xfId="10232"/>
    <cellStyle name="Normal 4 2 11 2 3 2" xfId="32819"/>
    <cellStyle name="Normal 4 2 11 2 4" xfId="26379"/>
    <cellStyle name="Normal 4 2 11 3" xfId="16672"/>
    <cellStyle name="Normal 4 2 11 3 2" xfId="39259"/>
    <cellStyle name="Normal 4 2 11 4" xfId="13452"/>
    <cellStyle name="Normal 4 2 11 4 2" xfId="36039"/>
    <cellStyle name="Normal 4 2 11 5" xfId="7012"/>
    <cellStyle name="Normal 4 2 11 5 2" xfId="29599"/>
    <cellStyle name="Normal 4 2 11 6" xfId="23159"/>
    <cellStyle name="Normal 4 2 12" xfId="3502"/>
    <cellStyle name="Normal 4 2 12 2" xfId="19602"/>
    <cellStyle name="Normal 4 2 12 2 2" xfId="42189"/>
    <cellStyle name="Normal 4 2 12 3" xfId="9942"/>
    <cellStyle name="Normal 4 2 12 3 2" xfId="32529"/>
    <cellStyle name="Normal 4 2 12 4" xfId="26089"/>
    <cellStyle name="Normal 4 2 13" xfId="16382"/>
    <cellStyle name="Normal 4 2 13 2" xfId="38969"/>
    <cellStyle name="Normal 4 2 14" xfId="13162"/>
    <cellStyle name="Normal 4 2 14 2" xfId="35749"/>
    <cellStyle name="Normal 4 2 15" xfId="6722"/>
    <cellStyle name="Normal 4 2 15 2" xfId="29309"/>
    <cellStyle name="Normal 4 2 16" xfId="22869"/>
    <cellStyle name="Normal 4 2 2" xfId="238"/>
    <cellStyle name="Normal 4 2 2 10" xfId="3526"/>
    <cellStyle name="Normal 4 2 2 10 2" xfId="19626"/>
    <cellStyle name="Normal 4 2 2 10 2 2" xfId="42213"/>
    <cellStyle name="Normal 4 2 2 10 3" xfId="9966"/>
    <cellStyle name="Normal 4 2 2 10 3 2" xfId="32553"/>
    <cellStyle name="Normal 4 2 2 10 4" xfId="26113"/>
    <cellStyle name="Normal 4 2 2 11" xfId="16406"/>
    <cellStyle name="Normal 4 2 2 11 2" xfId="38993"/>
    <cellStyle name="Normal 4 2 2 12" xfId="13186"/>
    <cellStyle name="Normal 4 2 2 12 2" xfId="35773"/>
    <cellStyle name="Normal 4 2 2 13" xfId="6746"/>
    <cellStyle name="Normal 4 2 2 13 2" xfId="29333"/>
    <cellStyle name="Normal 4 2 2 14" xfId="22893"/>
    <cellStyle name="Normal 4 2 2 2" xfId="336"/>
    <cellStyle name="Normal 4 2 2 2 10" xfId="13283"/>
    <cellStyle name="Normal 4 2 2 2 10 2" xfId="35870"/>
    <cellStyle name="Normal 4 2 2 2 11" xfId="6843"/>
    <cellStyle name="Normal 4 2 2 2 11 2" xfId="29430"/>
    <cellStyle name="Normal 4 2 2 2 12" xfId="22990"/>
    <cellStyle name="Normal 4 2 2 2 2" xfId="1068"/>
    <cellStyle name="Normal 4 2 2 2 2 2" xfId="2382"/>
    <cellStyle name="Normal 4 2 2 2 2 2 2" xfId="5603"/>
    <cellStyle name="Normal 4 2 2 2 2 2 2 2" xfId="21703"/>
    <cellStyle name="Normal 4 2 2 2 2 2 2 2 2" xfId="44290"/>
    <cellStyle name="Normal 4 2 2 2 2 2 2 3" xfId="12043"/>
    <cellStyle name="Normal 4 2 2 2 2 2 2 3 2" xfId="34630"/>
    <cellStyle name="Normal 4 2 2 2 2 2 2 4" xfId="28190"/>
    <cellStyle name="Normal 4 2 2 2 2 2 3" xfId="18483"/>
    <cellStyle name="Normal 4 2 2 2 2 2 3 2" xfId="41070"/>
    <cellStyle name="Normal 4 2 2 2 2 2 4" xfId="15263"/>
    <cellStyle name="Normal 4 2 2 2 2 2 4 2" xfId="37850"/>
    <cellStyle name="Normal 4 2 2 2 2 2 5" xfId="8823"/>
    <cellStyle name="Normal 4 2 2 2 2 2 5 2" xfId="31410"/>
    <cellStyle name="Normal 4 2 2 2 2 2 6" xfId="24970"/>
    <cellStyle name="Normal 4 2 2 2 2 3" xfId="4295"/>
    <cellStyle name="Normal 4 2 2 2 2 3 2" xfId="20395"/>
    <cellStyle name="Normal 4 2 2 2 2 3 2 2" xfId="42982"/>
    <cellStyle name="Normal 4 2 2 2 2 3 3" xfId="10735"/>
    <cellStyle name="Normal 4 2 2 2 2 3 3 2" xfId="33322"/>
    <cellStyle name="Normal 4 2 2 2 2 3 4" xfId="26882"/>
    <cellStyle name="Normal 4 2 2 2 2 4" xfId="17175"/>
    <cellStyle name="Normal 4 2 2 2 2 4 2" xfId="39762"/>
    <cellStyle name="Normal 4 2 2 2 2 5" xfId="13955"/>
    <cellStyle name="Normal 4 2 2 2 2 5 2" xfId="36542"/>
    <cellStyle name="Normal 4 2 2 2 2 6" xfId="7515"/>
    <cellStyle name="Normal 4 2 2 2 2 6 2" xfId="30102"/>
    <cellStyle name="Normal 4 2 2 2 2 7" xfId="23662"/>
    <cellStyle name="Normal 4 2 2 2 3" xfId="1415"/>
    <cellStyle name="Normal 4 2 2 2 3 2" xfId="2729"/>
    <cellStyle name="Normal 4 2 2 2 3 2 2" xfId="5950"/>
    <cellStyle name="Normal 4 2 2 2 3 2 2 2" xfId="22050"/>
    <cellStyle name="Normal 4 2 2 2 3 2 2 2 2" xfId="44637"/>
    <cellStyle name="Normal 4 2 2 2 3 2 2 3" xfId="12390"/>
    <cellStyle name="Normal 4 2 2 2 3 2 2 3 2" xfId="34977"/>
    <cellStyle name="Normal 4 2 2 2 3 2 2 4" xfId="28537"/>
    <cellStyle name="Normal 4 2 2 2 3 2 3" xfId="18830"/>
    <cellStyle name="Normal 4 2 2 2 3 2 3 2" xfId="41417"/>
    <cellStyle name="Normal 4 2 2 2 3 2 4" xfId="15610"/>
    <cellStyle name="Normal 4 2 2 2 3 2 4 2" xfId="38197"/>
    <cellStyle name="Normal 4 2 2 2 3 2 5" xfId="9170"/>
    <cellStyle name="Normal 4 2 2 2 3 2 5 2" xfId="31757"/>
    <cellStyle name="Normal 4 2 2 2 3 2 6" xfId="25317"/>
    <cellStyle name="Normal 4 2 2 2 3 3" xfId="4642"/>
    <cellStyle name="Normal 4 2 2 2 3 3 2" xfId="20742"/>
    <cellStyle name="Normal 4 2 2 2 3 3 2 2" xfId="43329"/>
    <cellStyle name="Normal 4 2 2 2 3 3 3" xfId="11082"/>
    <cellStyle name="Normal 4 2 2 2 3 3 3 2" xfId="33669"/>
    <cellStyle name="Normal 4 2 2 2 3 3 4" xfId="27229"/>
    <cellStyle name="Normal 4 2 2 2 3 4" xfId="17522"/>
    <cellStyle name="Normal 4 2 2 2 3 4 2" xfId="40109"/>
    <cellStyle name="Normal 4 2 2 2 3 5" xfId="14302"/>
    <cellStyle name="Normal 4 2 2 2 3 5 2" xfId="36889"/>
    <cellStyle name="Normal 4 2 2 2 3 6" xfId="7862"/>
    <cellStyle name="Normal 4 2 2 2 3 6 2" xfId="30449"/>
    <cellStyle name="Normal 4 2 2 2 3 7" xfId="24009"/>
    <cellStyle name="Normal 4 2 2 2 4" xfId="2034"/>
    <cellStyle name="Normal 4 2 2 2 4 2" xfId="5256"/>
    <cellStyle name="Normal 4 2 2 2 4 2 2" xfId="21356"/>
    <cellStyle name="Normal 4 2 2 2 4 2 2 2" xfId="43943"/>
    <cellStyle name="Normal 4 2 2 2 4 2 3" xfId="11696"/>
    <cellStyle name="Normal 4 2 2 2 4 2 3 2" xfId="34283"/>
    <cellStyle name="Normal 4 2 2 2 4 2 4" xfId="27843"/>
    <cellStyle name="Normal 4 2 2 2 4 3" xfId="18136"/>
    <cellStyle name="Normal 4 2 2 2 4 3 2" xfId="40723"/>
    <cellStyle name="Normal 4 2 2 2 4 4" xfId="14916"/>
    <cellStyle name="Normal 4 2 2 2 4 4 2" xfId="37503"/>
    <cellStyle name="Normal 4 2 2 2 4 5" xfId="8476"/>
    <cellStyle name="Normal 4 2 2 2 4 5 2" xfId="31063"/>
    <cellStyle name="Normal 4 2 2 2 4 6" xfId="24623"/>
    <cellStyle name="Normal 4 2 2 2 5" xfId="3043"/>
    <cellStyle name="Normal 4 2 2 2 5 2" xfId="6263"/>
    <cellStyle name="Normal 4 2 2 2 5 2 2" xfId="22363"/>
    <cellStyle name="Normal 4 2 2 2 5 2 2 2" xfId="44950"/>
    <cellStyle name="Normal 4 2 2 2 5 2 3" xfId="12703"/>
    <cellStyle name="Normal 4 2 2 2 5 2 3 2" xfId="35290"/>
    <cellStyle name="Normal 4 2 2 2 5 2 4" xfId="28850"/>
    <cellStyle name="Normal 4 2 2 2 5 3" xfId="19143"/>
    <cellStyle name="Normal 4 2 2 2 5 3 2" xfId="41730"/>
    <cellStyle name="Normal 4 2 2 2 5 4" xfId="15923"/>
    <cellStyle name="Normal 4 2 2 2 5 4 2" xfId="38510"/>
    <cellStyle name="Normal 4 2 2 2 5 5" xfId="9483"/>
    <cellStyle name="Normal 4 2 2 2 5 5 2" xfId="32070"/>
    <cellStyle name="Normal 4 2 2 2 5 6" xfId="25630"/>
    <cellStyle name="Normal 4 2 2 2 6" xfId="3333"/>
    <cellStyle name="Normal 4 2 2 2 6 2" xfId="6553"/>
    <cellStyle name="Normal 4 2 2 2 6 2 2" xfId="22653"/>
    <cellStyle name="Normal 4 2 2 2 6 2 2 2" xfId="45240"/>
    <cellStyle name="Normal 4 2 2 2 6 2 3" xfId="12993"/>
    <cellStyle name="Normal 4 2 2 2 6 2 3 2" xfId="35580"/>
    <cellStyle name="Normal 4 2 2 2 6 2 4" xfId="29140"/>
    <cellStyle name="Normal 4 2 2 2 6 3" xfId="19433"/>
    <cellStyle name="Normal 4 2 2 2 6 3 2" xfId="42020"/>
    <cellStyle name="Normal 4 2 2 2 6 4" xfId="16213"/>
    <cellStyle name="Normal 4 2 2 2 6 4 2" xfId="38800"/>
    <cellStyle name="Normal 4 2 2 2 6 5" xfId="9773"/>
    <cellStyle name="Normal 4 2 2 2 6 5 2" xfId="32360"/>
    <cellStyle name="Normal 4 2 2 2 6 6" xfId="25920"/>
    <cellStyle name="Normal 4 2 2 2 7" xfId="704"/>
    <cellStyle name="Normal 4 2 2 2 7 2" xfId="3948"/>
    <cellStyle name="Normal 4 2 2 2 7 2 2" xfId="20048"/>
    <cellStyle name="Normal 4 2 2 2 7 2 2 2" xfId="42635"/>
    <cellStyle name="Normal 4 2 2 2 7 2 3" xfId="10388"/>
    <cellStyle name="Normal 4 2 2 2 7 2 3 2" xfId="32975"/>
    <cellStyle name="Normal 4 2 2 2 7 2 4" xfId="26535"/>
    <cellStyle name="Normal 4 2 2 2 7 3" xfId="16828"/>
    <cellStyle name="Normal 4 2 2 2 7 3 2" xfId="39415"/>
    <cellStyle name="Normal 4 2 2 2 7 4" xfId="13608"/>
    <cellStyle name="Normal 4 2 2 2 7 4 2" xfId="36195"/>
    <cellStyle name="Normal 4 2 2 2 7 5" xfId="7168"/>
    <cellStyle name="Normal 4 2 2 2 7 5 2" xfId="29755"/>
    <cellStyle name="Normal 4 2 2 2 7 6" xfId="23315"/>
    <cellStyle name="Normal 4 2 2 2 8" xfId="3623"/>
    <cellStyle name="Normal 4 2 2 2 8 2" xfId="19723"/>
    <cellStyle name="Normal 4 2 2 2 8 2 2" xfId="42310"/>
    <cellStyle name="Normal 4 2 2 2 8 3" xfId="10063"/>
    <cellStyle name="Normal 4 2 2 2 8 3 2" xfId="32650"/>
    <cellStyle name="Normal 4 2 2 2 8 4" xfId="26210"/>
    <cellStyle name="Normal 4 2 2 2 9" xfId="16503"/>
    <cellStyle name="Normal 4 2 2 2 9 2" xfId="39090"/>
    <cellStyle name="Normal 4 2 2 3" xfId="432"/>
    <cellStyle name="Normal 4 2 2 3 10" xfId="23086"/>
    <cellStyle name="Normal 4 2 2 3 2" xfId="2266"/>
    <cellStyle name="Normal 4 2 2 3 2 2" xfId="5487"/>
    <cellStyle name="Normal 4 2 2 3 2 2 2" xfId="21587"/>
    <cellStyle name="Normal 4 2 2 3 2 2 2 2" xfId="44174"/>
    <cellStyle name="Normal 4 2 2 3 2 2 3" xfId="11927"/>
    <cellStyle name="Normal 4 2 2 3 2 2 3 2" xfId="34514"/>
    <cellStyle name="Normal 4 2 2 3 2 2 4" xfId="28074"/>
    <cellStyle name="Normal 4 2 2 3 2 3" xfId="18367"/>
    <cellStyle name="Normal 4 2 2 3 2 3 2" xfId="40954"/>
    <cellStyle name="Normal 4 2 2 3 2 4" xfId="15147"/>
    <cellStyle name="Normal 4 2 2 3 2 4 2" xfId="37734"/>
    <cellStyle name="Normal 4 2 2 3 2 5" xfId="8707"/>
    <cellStyle name="Normal 4 2 2 3 2 5 2" xfId="31294"/>
    <cellStyle name="Normal 4 2 2 3 2 6" xfId="24854"/>
    <cellStyle name="Normal 4 2 2 3 3" xfId="3139"/>
    <cellStyle name="Normal 4 2 2 3 3 2" xfId="6359"/>
    <cellStyle name="Normal 4 2 2 3 3 2 2" xfId="22459"/>
    <cellStyle name="Normal 4 2 2 3 3 2 2 2" xfId="45046"/>
    <cellStyle name="Normal 4 2 2 3 3 2 3" xfId="12799"/>
    <cellStyle name="Normal 4 2 2 3 3 2 3 2" xfId="35386"/>
    <cellStyle name="Normal 4 2 2 3 3 2 4" xfId="28946"/>
    <cellStyle name="Normal 4 2 2 3 3 3" xfId="19239"/>
    <cellStyle name="Normal 4 2 2 3 3 3 2" xfId="41826"/>
    <cellStyle name="Normal 4 2 2 3 3 4" xfId="16019"/>
    <cellStyle name="Normal 4 2 2 3 3 4 2" xfId="38606"/>
    <cellStyle name="Normal 4 2 2 3 3 5" xfId="9579"/>
    <cellStyle name="Normal 4 2 2 3 3 5 2" xfId="32166"/>
    <cellStyle name="Normal 4 2 2 3 3 6" xfId="25726"/>
    <cellStyle name="Normal 4 2 2 3 4" xfId="3429"/>
    <cellStyle name="Normal 4 2 2 3 4 2" xfId="6649"/>
    <cellStyle name="Normal 4 2 2 3 4 2 2" xfId="22749"/>
    <cellStyle name="Normal 4 2 2 3 4 2 2 2" xfId="45336"/>
    <cellStyle name="Normal 4 2 2 3 4 2 3" xfId="13089"/>
    <cellStyle name="Normal 4 2 2 3 4 2 3 2" xfId="35676"/>
    <cellStyle name="Normal 4 2 2 3 4 2 4" xfId="29236"/>
    <cellStyle name="Normal 4 2 2 3 4 3" xfId="19529"/>
    <cellStyle name="Normal 4 2 2 3 4 3 2" xfId="42116"/>
    <cellStyle name="Normal 4 2 2 3 4 4" xfId="16309"/>
    <cellStyle name="Normal 4 2 2 3 4 4 2" xfId="38896"/>
    <cellStyle name="Normal 4 2 2 3 4 5" xfId="9869"/>
    <cellStyle name="Normal 4 2 2 3 4 5 2" xfId="32456"/>
    <cellStyle name="Normal 4 2 2 3 4 6" xfId="26016"/>
    <cellStyle name="Normal 4 2 2 3 5" xfId="947"/>
    <cellStyle name="Normal 4 2 2 3 5 2" xfId="4179"/>
    <cellStyle name="Normal 4 2 2 3 5 2 2" xfId="20279"/>
    <cellStyle name="Normal 4 2 2 3 5 2 2 2" xfId="42866"/>
    <cellStyle name="Normal 4 2 2 3 5 2 3" xfId="10619"/>
    <cellStyle name="Normal 4 2 2 3 5 2 3 2" xfId="33206"/>
    <cellStyle name="Normal 4 2 2 3 5 2 4" xfId="26766"/>
    <cellStyle name="Normal 4 2 2 3 5 3" xfId="17059"/>
    <cellStyle name="Normal 4 2 2 3 5 3 2" xfId="39646"/>
    <cellStyle name="Normal 4 2 2 3 5 4" xfId="13839"/>
    <cellStyle name="Normal 4 2 2 3 5 4 2" xfId="36426"/>
    <cellStyle name="Normal 4 2 2 3 5 5" xfId="7399"/>
    <cellStyle name="Normal 4 2 2 3 5 5 2" xfId="29986"/>
    <cellStyle name="Normal 4 2 2 3 5 6" xfId="23546"/>
    <cellStyle name="Normal 4 2 2 3 6" xfId="3719"/>
    <cellStyle name="Normal 4 2 2 3 6 2" xfId="19819"/>
    <cellStyle name="Normal 4 2 2 3 6 2 2" xfId="42406"/>
    <cellStyle name="Normal 4 2 2 3 6 3" xfId="10159"/>
    <cellStyle name="Normal 4 2 2 3 6 3 2" xfId="32746"/>
    <cellStyle name="Normal 4 2 2 3 6 4" xfId="26306"/>
    <cellStyle name="Normal 4 2 2 3 7" xfId="16599"/>
    <cellStyle name="Normal 4 2 2 3 7 2" xfId="39186"/>
    <cellStyle name="Normal 4 2 2 3 8" xfId="13379"/>
    <cellStyle name="Normal 4 2 2 3 8 2" xfId="35966"/>
    <cellStyle name="Normal 4 2 2 3 9" xfId="6939"/>
    <cellStyle name="Normal 4 2 2 3 9 2" xfId="29526"/>
    <cellStyle name="Normal 4 2 2 4" xfId="1299"/>
    <cellStyle name="Normal 4 2 2 4 2" xfId="2613"/>
    <cellStyle name="Normal 4 2 2 4 2 2" xfId="5834"/>
    <cellStyle name="Normal 4 2 2 4 2 2 2" xfId="21934"/>
    <cellStyle name="Normal 4 2 2 4 2 2 2 2" xfId="44521"/>
    <cellStyle name="Normal 4 2 2 4 2 2 3" xfId="12274"/>
    <cellStyle name="Normal 4 2 2 4 2 2 3 2" xfId="34861"/>
    <cellStyle name="Normal 4 2 2 4 2 2 4" xfId="28421"/>
    <cellStyle name="Normal 4 2 2 4 2 3" xfId="18714"/>
    <cellStyle name="Normal 4 2 2 4 2 3 2" xfId="41301"/>
    <cellStyle name="Normal 4 2 2 4 2 4" xfId="15494"/>
    <cellStyle name="Normal 4 2 2 4 2 4 2" xfId="38081"/>
    <cellStyle name="Normal 4 2 2 4 2 5" xfId="9054"/>
    <cellStyle name="Normal 4 2 2 4 2 5 2" xfId="31641"/>
    <cellStyle name="Normal 4 2 2 4 2 6" xfId="25201"/>
    <cellStyle name="Normal 4 2 2 4 3" xfId="4526"/>
    <cellStyle name="Normal 4 2 2 4 3 2" xfId="20626"/>
    <cellStyle name="Normal 4 2 2 4 3 2 2" xfId="43213"/>
    <cellStyle name="Normal 4 2 2 4 3 3" xfId="10966"/>
    <cellStyle name="Normal 4 2 2 4 3 3 2" xfId="33553"/>
    <cellStyle name="Normal 4 2 2 4 3 4" xfId="27113"/>
    <cellStyle name="Normal 4 2 2 4 4" xfId="17406"/>
    <cellStyle name="Normal 4 2 2 4 4 2" xfId="39993"/>
    <cellStyle name="Normal 4 2 2 4 5" xfId="14186"/>
    <cellStyle name="Normal 4 2 2 4 5 2" xfId="36773"/>
    <cellStyle name="Normal 4 2 2 4 6" xfId="7746"/>
    <cellStyle name="Normal 4 2 2 4 6 2" xfId="30333"/>
    <cellStyle name="Normal 4 2 2 4 7" xfId="23893"/>
    <cellStyle name="Normal 4 2 2 5" xfId="1682"/>
    <cellStyle name="Normal 4 2 2 5 2" xfId="4905"/>
    <cellStyle name="Normal 4 2 2 5 2 2" xfId="21005"/>
    <cellStyle name="Normal 4 2 2 5 2 2 2" xfId="43592"/>
    <cellStyle name="Normal 4 2 2 5 2 3" xfId="11345"/>
    <cellStyle name="Normal 4 2 2 5 2 3 2" xfId="33932"/>
    <cellStyle name="Normal 4 2 2 5 2 4" xfId="27492"/>
    <cellStyle name="Normal 4 2 2 5 3" xfId="17785"/>
    <cellStyle name="Normal 4 2 2 5 3 2" xfId="40372"/>
    <cellStyle name="Normal 4 2 2 5 4" xfId="14565"/>
    <cellStyle name="Normal 4 2 2 5 4 2" xfId="37152"/>
    <cellStyle name="Normal 4 2 2 5 5" xfId="8125"/>
    <cellStyle name="Normal 4 2 2 5 5 2" xfId="30712"/>
    <cellStyle name="Normal 4 2 2 5 6" xfId="24272"/>
    <cellStyle name="Normal 4 2 2 6" xfId="1918"/>
    <cellStyle name="Normal 4 2 2 6 2" xfId="5140"/>
    <cellStyle name="Normal 4 2 2 6 2 2" xfId="21240"/>
    <cellStyle name="Normal 4 2 2 6 2 2 2" xfId="43827"/>
    <cellStyle name="Normal 4 2 2 6 2 3" xfId="11580"/>
    <cellStyle name="Normal 4 2 2 6 2 3 2" xfId="34167"/>
    <cellStyle name="Normal 4 2 2 6 2 4" xfId="27727"/>
    <cellStyle name="Normal 4 2 2 6 3" xfId="18020"/>
    <cellStyle name="Normal 4 2 2 6 3 2" xfId="40607"/>
    <cellStyle name="Normal 4 2 2 6 4" xfId="14800"/>
    <cellStyle name="Normal 4 2 2 6 4 2" xfId="37387"/>
    <cellStyle name="Normal 4 2 2 6 5" xfId="8360"/>
    <cellStyle name="Normal 4 2 2 6 5 2" xfId="30947"/>
    <cellStyle name="Normal 4 2 2 6 6" xfId="24507"/>
    <cellStyle name="Normal 4 2 2 7" xfId="2945"/>
    <cellStyle name="Normal 4 2 2 7 2" xfId="6166"/>
    <cellStyle name="Normal 4 2 2 7 2 2" xfId="22266"/>
    <cellStyle name="Normal 4 2 2 7 2 2 2" xfId="44853"/>
    <cellStyle name="Normal 4 2 2 7 2 3" xfId="12606"/>
    <cellStyle name="Normal 4 2 2 7 2 3 2" xfId="35193"/>
    <cellStyle name="Normal 4 2 2 7 2 4" xfId="28753"/>
    <cellStyle name="Normal 4 2 2 7 3" xfId="19046"/>
    <cellStyle name="Normal 4 2 2 7 3 2" xfId="41633"/>
    <cellStyle name="Normal 4 2 2 7 4" xfId="15826"/>
    <cellStyle name="Normal 4 2 2 7 4 2" xfId="38413"/>
    <cellStyle name="Normal 4 2 2 7 5" xfId="9386"/>
    <cellStyle name="Normal 4 2 2 7 5 2" xfId="31973"/>
    <cellStyle name="Normal 4 2 2 7 6" xfId="25533"/>
    <cellStyle name="Normal 4 2 2 8" xfId="3236"/>
    <cellStyle name="Normal 4 2 2 8 2" xfId="6456"/>
    <cellStyle name="Normal 4 2 2 8 2 2" xfId="22556"/>
    <cellStyle name="Normal 4 2 2 8 2 2 2" xfId="45143"/>
    <cellStyle name="Normal 4 2 2 8 2 3" xfId="12896"/>
    <cellStyle name="Normal 4 2 2 8 2 3 2" xfId="35483"/>
    <cellStyle name="Normal 4 2 2 8 2 4" xfId="29043"/>
    <cellStyle name="Normal 4 2 2 8 3" xfId="19336"/>
    <cellStyle name="Normal 4 2 2 8 3 2" xfId="41923"/>
    <cellStyle name="Normal 4 2 2 8 4" xfId="16116"/>
    <cellStyle name="Normal 4 2 2 8 4 2" xfId="38703"/>
    <cellStyle name="Normal 4 2 2 8 5" xfId="9676"/>
    <cellStyle name="Normal 4 2 2 8 5 2" xfId="32263"/>
    <cellStyle name="Normal 4 2 2 8 6" xfId="25823"/>
    <cellStyle name="Normal 4 2 2 9" xfId="545"/>
    <cellStyle name="Normal 4 2 2 9 2" xfId="3832"/>
    <cellStyle name="Normal 4 2 2 9 2 2" xfId="19932"/>
    <cellStyle name="Normal 4 2 2 9 2 2 2" xfId="42519"/>
    <cellStyle name="Normal 4 2 2 9 2 3" xfId="10272"/>
    <cellStyle name="Normal 4 2 2 9 2 3 2" xfId="32859"/>
    <cellStyle name="Normal 4 2 2 9 2 4" xfId="26419"/>
    <cellStyle name="Normal 4 2 2 9 3" xfId="16712"/>
    <cellStyle name="Normal 4 2 2 9 3 2" xfId="39299"/>
    <cellStyle name="Normal 4 2 2 9 4" xfId="13492"/>
    <cellStyle name="Normal 4 2 2 9 4 2" xfId="36079"/>
    <cellStyle name="Normal 4 2 2 9 5" xfId="7052"/>
    <cellStyle name="Normal 4 2 2 9 5 2" xfId="29639"/>
    <cellStyle name="Normal 4 2 2 9 6" xfId="23199"/>
    <cellStyle name="Normal 4 2 3" xfId="312"/>
    <cellStyle name="Normal 4 2 3 10" xfId="16479"/>
    <cellStyle name="Normal 4 2 3 10 2" xfId="39066"/>
    <cellStyle name="Normal 4 2 3 11" xfId="13259"/>
    <cellStyle name="Normal 4 2 3 11 2" xfId="35846"/>
    <cellStyle name="Normal 4 2 3 12" xfId="6819"/>
    <cellStyle name="Normal 4 2 3 12 2" xfId="29406"/>
    <cellStyle name="Normal 4 2 3 13" xfId="22966"/>
    <cellStyle name="Normal 4 2 3 2" xfId="977"/>
    <cellStyle name="Normal 4 2 3 2 2" xfId="2295"/>
    <cellStyle name="Normal 4 2 3 2 2 2" xfId="5516"/>
    <cellStyle name="Normal 4 2 3 2 2 2 2" xfId="21616"/>
    <cellStyle name="Normal 4 2 3 2 2 2 2 2" xfId="44203"/>
    <cellStyle name="Normal 4 2 3 2 2 2 3" xfId="11956"/>
    <cellStyle name="Normal 4 2 3 2 2 2 3 2" xfId="34543"/>
    <cellStyle name="Normal 4 2 3 2 2 2 4" xfId="28103"/>
    <cellStyle name="Normal 4 2 3 2 2 3" xfId="18396"/>
    <cellStyle name="Normal 4 2 3 2 2 3 2" xfId="40983"/>
    <cellStyle name="Normal 4 2 3 2 2 4" xfId="15176"/>
    <cellStyle name="Normal 4 2 3 2 2 4 2" xfId="37763"/>
    <cellStyle name="Normal 4 2 3 2 2 5" xfId="8736"/>
    <cellStyle name="Normal 4 2 3 2 2 5 2" xfId="31323"/>
    <cellStyle name="Normal 4 2 3 2 2 6" xfId="24883"/>
    <cellStyle name="Normal 4 2 3 2 3" xfId="4208"/>
    <cellStyle name="Normal 4 2 3 2 3 2" xfId="20308"/>
    <cellStyle name="Normal 4 2 3 2 3 2 2" xfId="42895"/>
    <cellStyle name="Normal 4 2 3 2 3 3" xfId="10648"/>
    <cellStyle name="Normal 4 2 3 2 3 3 2" xfId="33235"/>
    <cellStyle name="Normal 4 2 3 2 3 4" xfId="26795"/>
    <cellStyle name="Normal 4 2 3 2 4" xfId="17088"/>
    <cellStyle name="Normal 4 2 3 2 4 2" xfId="39675"/>
    <cellStyle name="Normal 4 2 3 2 5" xfId="13868"/>
    <cellStyle name="Normal 4 2 3 2 5 2" xfId="36455"/>
    <cellStyle name="Normal 4 2 3 2 6" xfId="7428"/>
    <cellStyle name="Normal 4 2 3 2 6 2" xfId="30015"/>
    <cellStyle name="Normal 4 2 3 2 7" xfId="23575"/>
    <cellStyle name="Normal 4 2 3 3" xfId="1328"/>
    <cellStyle name="Normal 4 2 3 3 2" xfId="2642"/>
    <cellStyle name="Normal 4 2 3 3 2 2" xfId="5863"/>
    <cellStyle name="Normal 4 2 3 3 2 2 2" xfId="21963"/>
    <cellStyle name="Normal 4 2 3 3 2 2 2 2" xfId="44550"/>
    <cellStyle name="Normal 4 2 3 3 2 2 3" xfId="12303"/>
    <cellStyle name="Normal 4 2 3 3 2 2 3 2" xfId="34890"/>
    <cellStyle name="Normal 4 2 3 3 2 2 4" xfId="28450"/>
    <cellStyle name="Normal 4 2 3 3 2 3" xfId="18743"/>
    <cellStyle name="Normal 4 2 3 3 2 3 2" xfId="41330"/>
    <cellStyle name="Normal 4 2 3 3 2 4" xfId="15523"/>
    <cellStyle name="Normal 4 2 3 3 2 4 2" xfId="38110"/>
    <cellStyle name="Normal 4 2 3 3 2 5" xfId="9083"/>
    <cellStyle name="Normal 4 2 3 3 2 5 2" xfId="31670"/>
    <cellStyle name="Normal 4 2 3 3 2 6" xfId="25230"/>
    <cellStyle name="Normal 4 2 3 3 3" xfId="4555"/>
    <cellStyle name="Normal 4 2 3 3 3 2" xfId="20655"/>
    <cellStyle name="Normal 4 2 3 3 3 2 2" xfId="43242"/>
    <cellStyle name="Normal 4 2 3 3 3 3" xfId="10995"/>
    <cellStyle name="Normal 4 2 3 3 3 3 2" xfId="33582"/>
    <cellStyle name="Normal 4 2 3 3 3 4" xfId="27142"/>
    <cellStyle name="Normal 4 2 3 3 4" xfId="17435"/>
    <cellStyle name="Normal 4 2 3 3 4 2" xfId="40022"/>
    <cellStyle name="Normal 4 2 3 3 5" xfId="14215"/>
    <cellStyle name="Normal 4 2 3 3 5 2" xfId="36802"/>
    <cellStyle name="Normal 4 2 3 3 6" xfId="7775"/>
    <cellStyle name="Normal 4 2 3 3 6 2" xfId="30362"/>
    <cellStyle name="Normal 4 2 3 3 7" xfId="23922"/>
    <cellStyle name="Normal 4 2 3 4" xfId="1683"/>
    <cellStyle name="Normal 4 2 3 4 2" xfId="4906"/>
    <cellStyle name="Normal 4 2 3 4 2 2" xfId="21006"/>
    <cellStyle name="Normal 4 2 3 4 2 2 2" xfId="43593"/>
    <cellStyle name="Normal 4 2 3 4 2 3" xfId="11346"/>
    <cellStyle name="Normal 4 2 3 4 2 3 2" xfId="33933"/>
    <cellStyle name="Normal 4 2 3 4 2 4" xfId="27493"/>
    <cellStyle name="Normal 4 2 3 4 3" xfId="17786"/>
    <cellStyle name="Normal 4 2 3 4 3 2" xfId="40373"/>
    <cellStyle name="Normal 4 2 3 4 4" xfId="14566"/>
    <cellStyle name="Normal 4 2 3 4 4 2" xfId="37153"/>
    <cellStyle name="Normal 4 2 3 4 5" xfId="8126"/>
    <cellStyle name="Normal 4 2 3 4 5 2" xfId="30713"/>
    <cellStyle name="Normal 4 2 3 4 6" xfId="24273"/>
    <cellStyle name="Normal 4 2 3 5" xfId="1947"/>
    <cellStyle name="Normal 4 2 3 5 2" xfId="5169"/>
    <cellStyle name="Normal 4 2 3 5 2 2" xfId="21269"/>
    <cellStyle name="Normal 4 2 3 5 2 2 2" xfId="43856"/>
    <cellStyle name="Normal 4 2 3 5 2 3" xfId="11609"/>
    <cellStyle name="Normal 4 2 3 5 2 3 2" xfId="34196"/>
    <cellStyle name="Normal 4 2 3 5 2 4" xfId="27756"/>
    <cellStyle name="Normal 4 2 3 5 3" xfId="18049"/>
    <cellStyle name="Normal 4 2 3 5 3 2" xfId="40636"/>
    <cellStyle name="Normal 4 2 3 5 4" xfId="14829"/>
    <cellStyle name="Normal 4 2 3 5 4 2" xfId="37416"/>
    <cellStyle name="Normal 4 2 3 5 5" xfId="8389"/>
    <cellStyle name="Normal 4 2 3 5 5 2" xfId="30976"/>
    <cellStyle name="Normal 4 2 3 5 6" xfId="24536"/>
    <cellStyle name="Normal 4 2 3 6" xfId="3019"/>
    <cellStyle name="Normal 4 2 3 6 2" xfId="6239"/>
    <cellStyle name="Normal 4 2 3 6 2 2" xfId="22339"/>
    <cellStyle name="Normal 4 2 3 6 2 2 2" xfId="44926"/>
    <cellStyle name="Normal 4 2 3 6 2 3" xfId="12679"/>
    <cellStyle name="Normal 4 2 3 6 2 3 2" xfId="35266"/>
    <cellStyle name="Normal 4 2 3 6 2 4" xfId="28826"/>
    <cellStyle name="Normal 4 2 3 6 3" xfId="19119"/>
    <cellStyle name="Normal 4 2 3 6 3 2" xfId="41706"/>
    <cellStyle name="Normal 4 2 3 6 4" xfId="15899"/>
    <cellStyle name="Normal 4 2 3 6 4 2" xfId="38486"/>
    <cellStyle name="Normal 4 2 3 6 5" xfId="9459"/>
    <cellStyle name="Normal 4 2 3 6 5 2" xfId="32046"/>
    <cellStyle name="Normal 4 2 3 6 6" xfId="25606"/>
    <cellStyle name="Normal 4 2 3 7" xfId="3309"/>
    <cellStyle name="Normal 4 2 3 7 2" xfId="6529"/>
    <cellStyle name="Normal 4 2 3 7 2 2" xfId="22629"/>
    <cellStyle name="Normal 4 2 3 7 2 2 2" xfId="45216"/>
    <cellStyle name="Normal 4 2 3 7 2 3" xfId="12969"/>
    <cellStyle name="Normal 4 2 3 7 2 3 2" xfId="35556"/>
    <cellStyle name="Normal 4 2 3 7 2 4" xfId="29116"/>
    <cellStyle name="Normal 4 2 3 7 3" xfId="19409"/>
    <cellStyle name="Normal 4 2 3 7 3 2" xfId="41996"/>
    <cellStyle name="Normal 4 2 3 7 4" xfId="16189"/>
    <cellStyle name="Normal 4 2 3 7 4 2" xfId="38776"/>
    <cellStyle name="Normal 4 2 3 7 5" xfId="9749"/>
    <cellStyle name="Normal 4 2 3 7 5 2" xfId="32336"/>
    <cellStyle name="Normal 4 2 3 7 6" xfId="25896"/>
    <cellStyle name="Normal 4 2 3 8" xfId="592"/>
    <cellStyle name="Normal 4 2 3 8 2" xfId="3861"/>
    <cellStyle name="Normal 4 2 3 8 2 2" xfId="19961"/>
    <cellStyle name="Normal 4 2 3 8 2 2 2" xfId="42548"/>
    <cellStyle name="Normal 4 2 3 8 2 3" xfId="10301"/>
    <cellStyle name="Normal 4 2 3 8 2 3 2" xfId="32888"/>
    <cellStyle name="Normal 4 2 3 8 2 4" xfId="26448"/>
    <cellStyle name="Normal 4 2 3 8 3" xfId="16741"/>
    <cellStyle name="Normal 4 2 3 8 3 2" xfId="39328"/>
    <cellStyle name="Normal 4 2 3 8 4" xfId="13521"/>
    <cellStyle name="Normal 4 2 3 8 4 2" xfId="36108"/>
    <cellStyle name="Normal 4 2 3 8 5" xfId="7081"/>
    <cellStyle name="Normal 4 2 3 8 5 2" xfId="29668"/>
    <cellStyle name="Normal 4 2 3 8 6" xfId="23228"/>
    <cellStyle name="Normal 4 2 3 9" xfId="3599"/>
    <cellStyle name="Normal 4 2 3 9 2" xfId="19699"/>
    <cellStyle name="Normal 4 2 3 9 2 2" xfId="42286"/>
    <cellStyle name="Normal 4 2 3 9 3" xfId="10039"/>
    <cellStyle name="Normal 4 2 3 9 3 2" xfId="32626"/>
    <cellStyle name="Normal 4 2 3 9 4" xfId="26186"/>
    <cellStyle name="Normal 4 2 4" xfId="408"/>
    <cellStyle name="Normal 4 2 4 10" xfId="13355"/>
    <cellStyle name="Normal 4 2 4 10 2" xfId="35942"/>
    <cellStyle name="Normal 4 2 4 11" xfId="6915"/>
    <cellStyle name="Normal 4 2 4 11 2" xfId="29502"/>
    <cellStyle name="Normal 4 2 4 12" xfId="23062"/>
    <cellStyle name="Normal 4 2 4 2" xfId="1152"/>
    <cellStyle name="Normal 4 2 4 2 2" xfId="2466"/>
    <cellStyle name="Normal 4 2 4 2 2 2" xfId="5687"/>
    <cellStyle name="Normal 4 2 4 2 2 2 2" xfId="21787"/>
    <cellStyle name="Normal 4 2 4 2 2 2 2 2" xfId="44374"/>
    <cellStyle name="Normal 4 2 4 2 2 2 3" xfId="12127"/>
    <cellStyle name="Normal 4 2 4 2 2 2 3 2" xfId="34714"/>
    <cellStyle name="Normal 4 2 4 2 2 2 4" xfId="28274"/>
    <cellStyle name="Normal 4 2 4 2 2 3" xfId="18567"/>
    <cellStyle name="Normal 4 2 4 2 2 3 2" xfId="41154"/>
    <cellStyle name="Normal 4 2 4 2 2 4" xfId="15347"/>
    <cellStyle name="Normal 4 2 4 2 2 4 2" xfId="37934"/>
    <cellStyle name="Normal 4 2 4 2 2 5" xfId="8907"/>
    <cellStyle name="Normal 4 2 4 2 2 5 2" xfId="31494"/>
    <cellStyle name="Normal 4 2 4 2 2 6" xfId="25054"/>
    <cellStyle name="Normal 4 2 4 2 3" xfId="4379"/>
    <cellStyle name="Normal 4 2 4 2 3 2" xfId="20479"/>
    <cellStyle name="Normal 4 2 4 2 3 2 2" xfId="43066"/>
    <cellStyle name="Normal 4 2 4 2 3 3" xfId="10819"/>
    <cellStyle name="Normal 4 2 4 2 3 3 2" xfId="33406"/>
    <cellStyle name="Normal 4 2 4 2 3 4" xfId="26966"/>
    <cellStyle name="Normal 4 2 4 2 4" xfId="17259"/>
    <cellStyle name="Normal 4 2 4 2 4 2" xfId="39846"/>
    <cellStyle name="Normal 4 2 4 2 5" xfId="14039"/>
    <cellStyle name="Normal 4 2 4 2 5 2" xfId="36626"/>
    <cellStyle name="Normal 4 2 4 2 6" xfId="7599"/>
    <cellStyle name="Normal 4 2 4 2 6 2" xfId="30186"/>
    <cellStyle name="Normal 4 2 4 2 7" xfId="23746"/>
    <cellStyle name="Normal 4 2 4 3" xfId="1499"/>
    <cellStyle name="Normal 4 2 4 3 2" xfId="2813"/>
    <cellStyle name="Normal 4 2 4 3 2 2" xfId="6034"/>
    <cellStyle name="Normal 4 2 4 3 2 2 2" xfId="22134"/>
    <cellStyle name="Normal 4 2 4 3 2 2 2 2" xfId="44721"/>
    <cellStyle name="Normal 4 2 4 3 2 2 3" xfId="12474"/>
    <cellStyle name="Normal 4 2 4 3 2 2 3 2" xfId="35061"/>
    <cellStyle name="Normal 4 2 4 3 2 2 4" xfId="28621"/>
    <cellStyle name="Normal 4 2 4 3 2 3" xfId="18914"/>
    <cellStyle name="Normal 4 2 4 3 2 3 2" xfId="41501"/>
    <cellStyle name="Normal 4 2 4 3 2 4" xfId="15694"/>
    <cellStyle name="Normal 4 2 4 3 2 4 2" xfId="38281"/>
    <cellStyle name="Normal 4 2 4 3 2 5" xfId="9254"/>
    <cellStyle name="Normal 4 2 4 3 2 5 2" xfId="31841"/>
    <cellStyle name="Normal 4 2 4 3 2 6" xfId="25401"/>
    <cellStyle name="Normal 4 2 4 3 3" xfId="4726"/>
    <cellStyle name="Normal 4 2 4 3 3 2" xfId="20826"/>
    <cellStyle name="Normal 4 2 4 3 3 2 2" xfId="43413"/>
    <cellStyle name="Normal 4 2 4 3 3 3" xfId="11166"/>
    <cellStyle name="Normal 4 2 4 3 3 3 2" xfId="33753"/>
    <cellStyle name="Normal 4 2 4 3 3 4" xfId="27313"/>
    <cellStyle name="Normal 4 2 4 3 4" xfId="17606"/>
    <cellStyle name="Normal 4 2 4 3 4 2" xfId="40193"/>
    <cellStyle name="Normal 4 2 4 3 5" xfId="14386"/>
    <cellStyle name="Normal 4 2 4 3 5 2" xfId="36973"/>
    <cellStyle name="Normal 4 2 4 3 6" xfId="7946"/>
    <cellStyle name="Normal 4 2 4 3 6 2" xfId="30533"/>
    <cellStyle name="Normal 4 2 4 3 7" xfId="24093"/>
    <cellStyle name="Normal 4 2 4 4" xfId="2119"/>
    <cellStyle name="Normal 4 2 4 4 2" xfId="5340"/>
    <cellStyle name="Normal 4 2 4 4 2 2" xfId="21440"/>
    <cellStyle name="Normal 4 2 4 4 2 2 2" xfId="44027"/>
    <cellStyle name="Normal 4 2 4 4 2 3" xfId="11780"/>
    <cellStyle name="Normal 4 2 4 4 2 3 2" xfId="34367"/>
    <cellStyle name="Normal 4 2 4 4 2 4" xfId="27927"/>
    <cellStyle name="Normal 4 2 4 4 3" xfId="18220"/>
    <cellStyle name="Normal 4 2 4 4 3 2" xfId="40807"/>
    <cellStyle name="Normal 4 2 4 4 4" xfId="15000"/>
    <cellStyle name="Normal 4 2 4 4 4 2" xfId="37587"/>
    <cellStyle name="Normal 4 2 4 4 5" xfId="8560"/>
    <cellStyle name="Normal 4 2 4 4 5 2" xfId="31147"/>
    <cellStyle name="Normal 4 2 4 4 6" xfId="24707"/>
    <cellStyle name="Normal 4 2 4 5" xfId="3115"/>
    <cellStyle name="Normal 4 2 4 5 2" xfId="6335"/>
    <cellStyle name="Normal 4 2 4 5 2 2" xfId="22435"/>
    <cellStyle name="Normal 4 2 4 5 2 2 2" xfId="45022"/>
    <cellStyle name="Normal 4 2 4 5 2 3" xfId="12775"/>
    <cellStyle name="Normal 4 2 4 5 2 3 2" xfId="35362"/>
    <cellStyle name="Normal 4 2 4 5 2 4" xfId="28922"/>
    <cellStyle name="Normal 4 2 4 5 3" xfId="19215"/>
    <cellStyle name="Normal 4 2 4 5 3 2" xfId="41802"/>
    <cellStyle name="Normal 4 2 4 5 4" xfId="15995"/>
    <cellStyle name="Normal 4 2 4 5 4 2" xfId="38582"/>
    <cellStyle name="Normal 4 2 4 5 5" xfId="9555"/>
    <cellStyle name="Normal 4 2 4 5 5 2" xfId="32142"/>
    <cellStyle name="Normal 4 2 4 5 6" xfId="25702"/>
    <cellStyle name="Normal 4 2 4 6" xfId="3405"/>
    <cellStyle name="Normal 4 2 4 6 2" xfId="6625"/>
    <cellStyle name="Normal 4 2 4 6 2 2" xfId="22725"/>
    <cellStyle name="Normal 4 2 4 6 2 2 2" xfId="45312"/>
    <cellStyle name="Normal 4 2 4 6 2 3" xfId="13065"/>
    <cellStyle name="Normal 4 2 4 6 2 3 2" xfId="35652"/>
    <cellStyle name="Normal 4 2 4 6 2 4" xfId="29212"/>
    <cellStyle name="Normal 4 2 4 6 3" xfId="19505"/>
    <cellStyle name="Normal 4 2 4 6 3 2" xfId="42092"/>
    <cellStyle name="Normal 4 2 4 6 4" xfId="16285"/>
    <cellStyle name="Normal 4 2 4 6 4 2" xfId="38872"/>
    <cellStyle name="Normal 4 2 4 6 5" xfId="9845"/>
    <cellStyle name="Normal 4 2 4 6 5 2" xfId="32432"/>
    <cellStyle name="Normal 4 2 4 6 6" xfId="25992"/>
    <cellStyle name="Normal 4 2 4 7" xfId="800"/>
    <cellStyle name="Normal 4 2 4 7 2" xfId="4032"/>
    <cellStyle name="Normal 4 2 4 7 2 2" xfId="20132"/>
    <cellStyle name="Normal 4 2 4 7 2 2 2" xfId="42719"/>
    <cellStyle name="Normal 4 2 4 7 2 3" xfId="10472"/>
    <cellStyle name="Normal 4 2 4 7 2 3 2" xfId="33059"/>
    <cellStyle name="Normal 4 2 4 7 2 4" xfId="26619"/>
    <cellStyle name="Normal 4 2 4 7 3" xfId="16912"/>
    <cellStyle name="Normal 4 2 4 7 3 2" xfId="39499"/>
    <cellStyle name="Normal 4 2 4 7 4" xfId="13692"/>
    <cellStyle name="Normal 4 2 4 7 4 2" xfId="36279"/>
    <cellStyle name="Normal 4 2 4 7 5" xfId="7252"/>
    <cellStyle name="Normal 4 2 4 7 5 2" xfId="29839"/>
    <cellStyle name="Normal 4 2 4 7 6" xfId="23399"/>
    <cellStyle name="Normal 4 2 4 8" xfId="3695"/>
    <cellStyle name="Normal 4 2 4 8 2" xfId="19795"/>
    <cellStyle name="Normal 4 2 4 8 2 2" xfId="42382"/>
    <cellStyle name="Normal 4 2 4 8 3" xfId="10135"/>
    <cellStyle name="Normal 4 2 4 8 3 2" xfId="32722"/>
    <cellStyle name="Normal 4 2 4 8 4" xfId="26282"/>
    <cellStyle name="Normal 4 2 4 9" xfId="16575"/>
    <cellStyle name="Normal 4 2 4 9 2" xfId="39162"/>
    <cellStyle name="Normal 4 2 5" xfId="907"/>
    <cellStyle name="Normal 4 2 5 2" xfId="2226"/>
    <cellStyle name="Normal 4 2 5 2 2" xfId="5447"/>
    <cellStyle name="Normal 4 2 5 2 2 2" xfId="21547"/>
    <cellStyle name="Normal 4 2 5 2 2 2 2" xfId="44134"/>
    <cellStyle name="Normal 4 2 5 2 2 3" xfId="11887"/>
    <cellStyle name="Normal 4 2 5 2 2 3 2" xfId="34474"/>
    <cellStyle name="Normal 4 2 5 2 2 4" xfId="28034"/>
    <cellStyle name="Normal 4 2 5 2 3" xfId="18327"/>
    <cellStyle name="Normal 4 2 5 2 3 2" xfId="40914"/>
    <cellStyle name="Normal 4 2 5 2 4" xfId="15107"/>
    <cellStyle name="Normal 4 2 5 2 4 2" xfId="37694"/>
    <cellStyle name="Normal 4 2 5 2 5" xfId="8667"/>
    <cellStyle name="Normal 4 2 5 2 5 2" xfId="31254"/>
    <cellStyle name="Normal 4 2 5 2 6" xfId="24814"/>
    <cellStyle name="Normal 4 2 5 3" xfId="4139"/>
    <cellStyle name="Normal 4 2 5 3 2" xfId="20239"/>
    <cellStyle name="Normal 4 2 5 3 2 2" xfId="42826"/>
    <cellStyle name="Normal 4 2 5 3 3" xfId="10579"/>
    <cellStyle name="Normal 4 2 5 3 3 2" xfId="33166"/>
    <cellStyle name="Normal 4 2 5 3 4" xfId="26726"/>
    <cellStyle name="Normal 4 2 5 4" xfId="17019"/>
    <cellStyle name="Normal 4 2 5 4 2" xfId="39606"/>
    <cellStyle name="Normal 4 2 5 5" xfId="13799"/>
    <cellStyle name="Normal 4 2 5 5 2" xfId="36386"/>
    <cellStyle name="Normal 4 2 5 6" xfId="7359"/>
    <cellStyle name="Normal 4 2 5 6 2" xfId="29946"/>
    <cellStyle name="Normal 4 2 5 7" xfId="23506"/>
    <cellStyle name="Normal 4 2 6" xfId="1259"/>
    <cellStyle name="Normal 4 2 6 2" xfId="2573"/>
    <cellStyle name="Normal 4 2 6 2 2" xfId="5794"/>
    <cellStyle name="Normal 4 2 6 2 2 2" xfId="21894"/>
    <cellStyle name="Normal 4 2 6 2 2 2 2" xfId="44481"/>
    <cellStyle name="Normal 4 2 6 2 2 3" xfId="12234"/>
    <cellStyle name="Normal 4 2 6 2 2 3 2" xfId="34821"/>
    <cellStyle name="Normal 4 2 6 2 2 4" xfId="28381"/>
    <cellStyle name="Normal 4 2 6 2 3" xfId="18674"/>
    <cellStyle name="Normal 4 2 6 2 3 2" xfId="41261"/>
    <cellStyle name="Normal 4 2 6 2 4" xfId="15454"/>
    <cellStyle name="Normal 4 2 6 2 4 2" xfId="38041"/>
    <cellStyle name="Normal 4 2 6 2 5" xfId="9014"/>
    <cellStyle name="Normal 4 2 6 2 5 2" xfId="31601"/>
    <cellStyle name="Normal 4 2 6 2 6" xfId="25161"/>
    <cellStyle name="Normal 4 2 6 3" xfId="4486"/>
    <cellStyle name="Normal 4 2 6 3 2" xfId="20586"/>
    <cellStyle name="Normal 4 2 6 3 2 2" xfId="43173"/>
    <cellStyle name="Normal 4 2 6 3 3" xfId="10926"/>
    <cellStyle name="Normal 4 2 6 3 3 2" xfId="33513"/>
    <cellStyle name="Normal 4 2 6 3 4" xfId="27073"/>
    <cellStyle name="Normal 4 2 6 4" xfId="17366"/>
    <cellStyle name="Normal 4 2 6 4 2" xfId="39953"/>
    <cellStyle name="Normal 4 2 6 5" xfId="14146"/>
    <cellStyle name="Normal 4 2 6 5 2" xfId="36733"/>
    <cellStyle name="Normal 4 2 6 6" xfId="7706"/>
    <cellStyle name="Normal 4 2 6 6 2" xfId="30293"/>
    <cellStyle name="Normal 4 2 6 7" xfId="23853"/>
    <cellStyle name="Normal 4 2 7" xfId="1684"/>
    <cellStyle name="Normal 4 2 7 2" xfId="4907"/>
    <cellStyle name="Normal 4 2 7 2 2" xfId="21007"/>
    <cellStyle name="Normal 4 2 7 2 2 2" xfId="43594"/>
    <cellStyle name="Normal 4 2 7 2 3" xfId="11347"/>
    <cellStyle name="Normal 4 2 7 2 3 2" xfId="33934"/>
    <cellStyle name="Normal 4 2 7 2 4" xfId="27494"/>
    <cellStyle name="Normal 4 2 7 3" xfId="17787"/>
    <cellStyle name="Normal 4 2 7 3 2" xfId="40374"/>
    <cellStyle name="Normal 4 2 7 4" xfId="14567"/>
    <cellStyle name="Normal 4 2 7 4 2" xfId="37154"/>
    <cellStyle name="Normal 4 2 7 5" xfId="8127"/>
    <cellStyle name="Normal 4 2 7 5 2" xfId="30714"/>
    <cellStyle name="Normal 4 2 7 6" xfId="24274"/>
    <cellStyle name="Normal 4 2 8" xfId="1878"/>
    <cellStyle name="Normal 4 2 8 2" xfId="5100"/>
    <cellStyle name="Normal 4 2 8 2 2" xfId="21200"/>
    <cellStyle name="Normal 4 2 8 2 2 2" xfId="43787"/>
    <cellStyle name="Normal 4 2 8 2 3" xfId="11540"/>
    <cellStyle name="Normal 4 2 8 2 3 2" xfId="34127"/>
    <cellStyle name="Normal 4 2 8 2 4" xfId="27687"/>
    <cellStyle name="Normal 4 2 8 3" xfId="17980"/>
    <cellStyle name="Normal 4 2 8 3 2" xfId="40567"/>
    <cellStyle name="Normal 4 2 8 4" xfId="14760"/>
    <cellStyle name="Normal 4 2 8 4 2" xfId="37347"/>
    <cellStyle name="Normal 4 2 8 5" xfId="8320"/>
    <cellStyle name="Normal 4 2 8 5 2" xfId="30907"/>
    <cellStyle name="Normal 4 2 8 6" xfId="24467"/>
    <cellStyle name="Normal 4 2 9" xfId="2921"/>
    <cellStyle name="Normal 4 2 9 2" xfId="6142"/>
    <cellStyle name="Normal 4 2 9 2 2" xfId="22242"/>
    <cellStyle name="Normal 4 2 9 2 2 2" xfId="44829"/>
    <cellStyle name="Normal 4 2 9 2 3" xfId="12582"/>
    <cellStyle name="Normal 4 2 9 2 3 2" xfId="35169"/>
    <cellStyle name="Normal 4 2 9 2 4" xfId="28729"/>
    <cellStyle name="Normal 4 2 9 3" xfId="19022"/>
    <cellStyle name="Normal 4 2 9 3 2" xfId="41609"/>
    <cellStyle name="Normal 4 2 9 4" xfId="15802"/>
    <cellStyle name="Normal 4 2 9 4 2" xfId="38389"/>
    <cellStyle name="Normal 4 2 9 5" xfId="9362"/>
    <cellStyle name="Normal 4 2 9 5 2" xfId="31949"/>
    <cellStyle name="Normal 4 2 9 6" xfId="25509"/>
    <cellStyle name="Normal 4 3" xfId="1685"/>
    <cellStyle name="Normal 4 3 2" xfId="4908"/>
    <cellStyle name="Normal 4 3 2 2" xfId="21008"/>
    <cellStyle name="Normal 4 3 2 2 2" xfId="43595"/>
    <cellStyle name="Normal 4 3 2 3" xfId="11348"/>
    <cellStyle name="Normal 4 3 2 3 2" xfId="33935"/>
    <cellStyle name="Normal 4 3 2 4" xfId="27495"/>
    <cellStyle name="Normal 4 3 3" xfId="17788"/>
    <cellStyle name="Normal 4 3 3 2" xfId="40375"/>
    <cellStyle name="Normal 4 3 4" xfId="14568"/>
    <cellStyle name="Normal 4 3 4 2" xfId="37155"/>
    <cellStyle name="Normal 4 3 5" xfId="8128"/>
    <cellStyle name="Normal 4 3 5 2" xfId="30715"/>
    <cellStyle name="Normal 4 3 6" xfId="24275"/>
    <cellStyle name="Normal 5" xfId="43"/>
    <cellStyle name="Normal 5 2" xfId="193"/>
    <cellStyle name="Normal 5 3" xfId="214"/>
    <cellStyle name="Normal 5 3 10" xfId="3213"/>
    <cellStyle name="Normal 5 3 10 2" xfId="6433"/>
    <cellStyle name="Normal 5 3 10 2 2" xfId="22533"/>
    <cellStyle name="Normal 5 3 10 2 2 2" xfId="45120"/>
    <cellStyle name="Normal 5 3 10 2 3" xfId="12873"/>
    <cellStyle name="Normal 5 3 10 2 3 2" xfId="35460"/>
    <cellStyle name="Normal 5 3 10 2 4" xfId="29020"/>
    <cellStyle name="Normal 5 3 10 3" xfId="19313"/>
    <cellStyle name="Normal 5 3 10 3 2" xfId="41900"/>
    <cellStyle name="Normal 5 3 10 4" xfId="16093"/>
    <cellStyle name="Normal 5 3 10 4 2" xfId="38680"/>
    <cellStyle name="Normal 5 3 10 5" xfId="9653"/>
    <cellStyle name="Normal 5 3 10 5 2" xfId="32240"/>
    <cellStyle name="Normal 5 3 10 6" xfId="25800"/>
    <cellStyle name="Normal 5 3 11" xfId="506"/>
    <cellStyle name="Normal 5 3 11 2" xfId="3793"/>
    <cellStyle name="Normal 5 3 11 2 2" xfId="19893"/>
    <cellStyle name="Normal 5 3 11 2 2 2" xfId="42480"/>
    <cellStyle name="Normal 5 3 11 2 3" xfId="10233"/>
    <cellStyle name="Normal 5 3 11 2 3 2" xfId="32820"/>
    <cellStyle name="Normal 5 3 11 2 4" xfId="26380"/>
    <cellStyle name="Normal 5 3 11 3" xfId="16673"/>
    <cellStyle name="Normal 5 3 11 3 2" xfId="39260"/>
    <cellStyle name="Normal 5 3 11 4" xfId="13453"/>
    <cellStyle name="Normal 5 3 11 4 2" xfId="36040"/>
    <cellStyle name="Normal 5 3 11 5" xfId="7013"/>
    <cellStyle name="Normal 5 3 11 5 2" xfId="29600"/>
    <cellStyle name="Normal 5 3 11 6" xfId="23160"/>
    <cellStyle name="Normal 5 3 12" xfId="3503"/>
    <cellStyle name="Normal 5 3 12 2" xfId="19603"/>
    <cellStyle name="Normal 5 3 12 2 2" xfId="42190"/>
    <cellStyle name="Normal 5 3 12 3" xfId="9943"/>
    <cellStyle name="Normal 5 3 12 3 2" xfId="32530"/>
    <cellStyle name="Normal 5 3 12 4" xfId="26090"/>
    <cellStyle name="Normal 5 3 13" xfId="16383"/>
    <cellStyle name="Normal 5 3 13 2" xfId="38970"/>
    <cellStyle name="Normal 5 3 14" xfId="13163"/>
    <cellStyle name="Normal 5 3 14 2" xfId="35750"/>
    <cellStyle name="Normal 5 3 15" xfId="6723"/>
    <cellStyle name="Normal 5 3 15 2" xfId="29310"/>
    <cellStyle name="Normal 5 3 16" xfId="22870"/>
    <cellStyle name="Normal 5 3 2" xfId="239"/>
    <cellStyle name="Normal 5 3 2 10" xfId="3527"/>
    <cellStyle name="Normal 5 3 2 10 2" xfId="19627"/>
    <cellStyle name="Normal 5 3 2 10 2 2" xfId="42214"/>
    <cellStyle name="Normal 5 3 2 10 3" xfId="9967"/>
    <cellStyle name="Normal 5 3 2 10 3 2" xfId="32554"/>
    <cellStyle name="Normal 5 3 2 10 4" xfId="26114"/>
    <cellStyle name="Normal 5 3 2 11" xfId="16407"/>
    <cellStyle name="Normal 5 3 2 11 2" xfId="38994"/>
    <cellStyle name="Normal 5 3 2 12" xfId="13187"/>
    <cellStyle name="Normal 5 3 2 12 2" xfId="35774"/>
    <cellStyle name="Normal 5 3 2 13" xfId="6747"/>
    <cellStyle name="Normal 5 3 2 13 2" xfId="29334"/>
    <cellStyle name="Normal 5 3 2 14" xfId="22894"/>
    <cellStyle name="Normal 5 3 2 2" xfId="337"/>
    <cellStyle name="Normal 5 3 2 2 10" xfId="13284"/>
    <cellStyle name="Normal 5 3 2 2 10 2" xfId="35871"/>
    <cellStyle name="Normal 5 3 2 2 11" xfId="6844"/>
    <cellStyle name="Normal 5 3 2 2 11 2" xfId="29431"/>
    <cellStyle name="Normal 5 3 2 2 12" xfId="22991"/>
    <cellStyle name="Normal 5 3 2 2 2" xfId="1069"/>
    <cellStyle name="Normal 5 3 2 2 2 2" xfId="2383"/>
    <cellStyle name="Normal 5 3 2 2 2 2 2" xfId="5604"/>
    <cellStyle name="Normal 5 3 2 2 2 2 2 2" xfId="21704"/>
    <cellStyle name="Normal 5 3 2 2 2 2 2 2 2" xfId="44291"/>
    <cellStyle name="Normal 5 3 2 2 2 2 2 3" xfId="12044"/>
    <cellStyle name="Normal 5 3 2 2 2 2 2 3 2" xfId="34631"/>
    <cellStyle name="Normal 5 3 2 2 2 2 2 4" xfId="28191"/>
    <cellStyle name="Normal 5 3 2 2 2 2 3" xfId="18484"/>
    <cellStyle name="Normal 5 3 2 2 2 2 3 2" xfId="41071"/>
    <cellStyle name="Normal 5 3 2 2 2 2 4" xfId="15264"/>
    <cellStyle name="Normal 5 3 2 2 2 2 4 2" xfId="37851"/>
    <cellStyle name="Normal 5 3 2 2 2 2 5" xfId="8824"/>
    <cellStyle name="Normal 5 3 2 2 2 2 5 2" xfId="31411"/>
    <cellStyle name="Normal 5 3 2 2 2 2 6" xfId="24971"/>
    <cellStyle name="Normal 5 3 2 2 2 3" xfId="4296"/>
    <cellStyle name="Normal 5 3 2 2 2 3 2" xfId="20396"/>
    <cellStyle name="Normal 5 3 2 2 2 3 2 2" xfId="42983"/>
    <cellStyle name="Normal 5 3 2 2 2 3 3" xfId="10736"/>
    <cellStyle name="Normal 5 3 2 2 2 3 3 2" xfId="33323"/>
    <cellStyle name="Normal 5 3 2 2 2 3 4" xfId="26883"/>
    <cellStyle name="Normal 5 3 2 2 2 4" xfId="17176"/>
    <cellStyle name="Normal 5 3 2 2 2 4 2" xfId="39763"/>
    <cellStyle name="Normal 5 3 2 2 2 5" xfId="13956"/>
    <cellStyle name="Normal 5 3 2 2 2 5 2" xfId="36543"/>
    <cellStyle name="Normal 5 3 2 2 2 6" xfId="7516"/>
    <cellStyle name="Normal 5 3 2 2 2 6 2" xfId="30103"/>
    <cellStyle name="Normal 5 3 2 2 2 7" xfId="23663"/>
    <cellStyle name="Normal 5 3 2 2 3" xfId="1416"/>
    <cellStyle name="Normal 5 3 2 2 3 2" xfId="2730"/>
    <cellStyle name="Normal 5 3 2 2 3 2 2" xfId="5951"/>
    <cellStyle name="Normal 5 3 2 2 3 2 2 2" xfId="22051"/>
    <cellStyle name="Normal 5 3 2 2 3 2 2 2 2" xfId="44638"/>
    <cellStyle name="Normal 5 3 2 2 3 2 2 3" xfId="12391"/>
    <cellStyle name="Normal 5 3 2 2 3 2 2 3 2" xfId="34978"/>
    <cellStyle name="Normal 5 3 2 2 3 2 2 4" xfId="28538"/>
    <cellStyle name="Normal 5 3 2 2 3 2 3" xfId="18831"/>
    <cellStyle name="Normal 5 3 2 2 3 2 3 2" xfId="41418"/>
    <cellStyle name="Normal 5 3 2 2 3 2 4" xfId="15611"/>
    <cellStyle name="Normal 5 3 2 2 3 2 4 2" xfId="38198"/>
    <cellStyle name="Normal 5 3 2 2 3 2 5" xfId="9171"/>
    <cellStyle name="Normal 5 3 2 2 3 2 5 2" xfId="31758"/>
    <cellStyle name="Normal 5 3 2 2 3 2 6" xfId="25318"/>
    <cellStyle name="Normal 5 3 2 2 3 3" xfId="4643"/>
    <cellStyle name="Normal 5 3 2 2 3 3 2" xfId="20743"/>
    <cellStyle name="Normal 5 3 2 2 3 3 2 2" xfId="43330"/>
    <cellStyle name="Normal 5 3 2 2 3 3 3" xfId="11083"/>
    <cellStyle name="Normal 5 3 2 2 3 3 3 2" xfId="33670"/>
    <cellStyle name="Normal 5 3 2 2 3 3 4" xfId="27230"/>
    <cellStyle name="Normal 5 3 2 2 3 4" xfId="17523"/>
    <cellStyle name="Normal 5 3 2 2 3 4 2" xfId="40110"/>
    <cellStyle name="Normal 5 3 2 2 3 5" xfId="14303"/>
    <cellStyle name="Normal 5 3 2 2 3 5 2" xfId="36890"/>
    <cellStyle name="Normal 5 3 2 2 3 6" xfId="7863"/>
    <cellStyle name="Normal 5 3 2 2 3 6 2" xfId="30450"/>
    <cellStyle name="Normal 5 3 2 2 3 7" xfId="24010"/>
    <cellStyle name="Normal 5 3 2 2 4" xfId="2035"/>
    <cellStyle name="Normal 5 3 2 2 4 2" xfId="5257"/>
    <cellStyle name="Normal 5 3 2 2 4 2 2" xfId="21357"/>
    <cellStyle name="Normal 5 3 2 2 4 2 2 2" xfId="43944"/>
    <cellStyle name="Normal 5 3 2 2 4 2 3" xfId="11697"/>
    <cellStyle name="Normal 5 3 2 2 4 2 3 2" xfId="34284"/>
    <cellStyle name="Normal 5 3 2 2 4 2 4" xfId="27844"/>
    <cellStyle name="Normal 5 3 2 2 4 3" xfId="18137"/>
    <cellStyle name="Normal 5 3 2 2 4 3 2" xfId="40724"/>
    <cellStyle name="Normal 5 3 2 2 4 4" xfId="14917"/>
    <cellStyle name="Normal 5 3 2 2 4 4 2" xfId="37504"/>
    <cellStyle name="Normal 5 3 2 2 4 5" xfId="8477"/>
    <cellStyle name="Normal 5 3 2 2 4 5 2" xfId="31064"/>
    <cellStyle name="Normal 5 3 2 2 4 6" xfId="24624"/>
    <cellStyle name="Normal 5 3 2 2 5" xfId="3044"/>
    <cellStyle name="Normal 5 3 2 2 5 2" xfId="6264"/>
    <cellStyle name="Normal 5 3 2 2 5 2 2" xfId="22364"/>
    <cellStyle name="Normal 5 3 2 2 5 2 2 2" xfId="44951"/>
    <cellStyle name="Normal 5 3 2 2 5 2 3" xfId="12704"/>
    <cellStyle name="Normal 5 3 2 2 5 2 3 2" xfId="35291"/>
    <cellStyle name="Normal 5 3 2 2 5 2 4" xfId="28851"/>
    <cellStyle name="Normal 5 3 2 2 5 3" xfId="19144"/>
    <cellStyle name="Normal 5 3 2 2 5 3 2" xfId="41731"/>
    <cellStyle name="Normal 5 3 2 2 5 4" xfId="15924"/>
    <cellStyle name="Normal 5 3 2 2 5 4 2" xfId="38511"/>
    <cellStyle name="Normal 5 3 2 2 5 5" xfId="9484"/>
    <cellStyle name="Normal 5 3 2 2 5 5 2" xfId="32071"/>
    <cellStyle name="Normal 5 3 2 2 5 6" xfId="25631"/>
    <cellStyle name="Normal 5 3 2 2 6" xfId="3334"/>
    <cellStyle name="Normal 5 3 2 2 6 2" xfId="6554"/>
    <cellStyle name="Normal 5 3 2 2 6 2 2" xfId="22654"/>
    <cellStyle name="Normal 5 3 2 2 6 2 2 2" xfId="45241"/>
    <cellStyle name="Normal 5 3 2 2 6 2 3" xfId="12994"/>
    <cellStyle name="Normal 5 3 2 2 6 2 3 2" xfId="35581"/>
    <cellStyle name="Normal 5 3 2 2 6 2 4" xfId="29141"/>
    <cellStyle name="Normal 5 3 2 2 6 3" xfId="19434"/>
    <cellStyle name="Normal 5 3 2 2 6 3 2" xfId="42021"/>
    <cellStyle name="Normal 5 3 2 2 6 4" xfId="16214"/>
    <cellStyle name="Normal 5 3 2 2 6 4 2" xfId="38801"/>
    <cellStyle name="Normal 5 3 2 2 6 5" xfId="9774"/>
    <cellStyle name="Normal 5 3 2 2 6 5 2" xfId="32361"/>
    <cellStyle name="Normal 5 3 2 2 6 6" xfId="25921"/>
    <cellStyle name="Normal 5 3 2 2 7" xfId="705"/>
    <cellStyle name="Normal 5 3 2 2 7 2" xfId="3949"/>
    <cellStyle name="Normal 5 3 2 2 7 2 2" xfId="20049"/>
    <cellStyle name="Normal 5 3 2 2 7 2 2 2" xfId="42636"/>
    <cellStyle name="Normal 5 3 2 2 7 2 3" xfId="10389"/>
    <cellStyle name="Normal 5 3 2 2 7 2 3 2" xfId="32976"/>
    <cellStyle name="Normal 5 3 2 2 7 2 4" xfId="26536"/>
    <cellStyle name="Normal 5 3 2 2 7 3" xfId="16829"/>
    <cellStyle name="Normal 5 3 2 2 7 3 2" xfId="39416"/>
    <cellStyle name="Normal 5 3 2 2 7 4" xfId="13609"/>
    <cellStyle name="Normal 5 3 2 2 7 4 2" xfId="36196"/>
    <cellStyle name="Normal 5 3 2 2 7 5" xfId="7169"/>
    <cellStyle name="Normal 5 3 2 2 7 5 2" xfId="29756"/>
    <cellStyle name="Normal 5 3 2 2 7 6" xfId="23316"/>
    <cellStyle name="Normal 5 3 2 2 8" xfId="3624"/>
    <cellStyle name="Normal 5 3 2 2 8 2" xfId="19724"/>
    <cellStyle name="Normal 5 3 2 2 8 2 2" xfId="42311"/>
    <cellStyle name="Normal 5 3 2 2 8 3" xfId="10064"/>
    <cellStyle name="Normal 5 3 2 2 8 3 2" xfId="32651"/>
    <cellStyle name="Normal 5 3 2 2 8 4" xfId="26211"/>
    <cellStyle name="Normal 5 3 2 2 9" xfId="16504"/>
    <cellStyle name="Normal 5 3 2 2 9 2" xfId="39091"/>
    <cellStyle name="Normal 5 3 2 3" xfId="433"/>
    <cellStyle name="Normal 5 3 2 3 10" xfId="23087"/>
    <cellStyle name="Normal 5 3 2 3 2" xfId="2267"/>
    <cellStyle name="Normal 5 3 2 3 2 2" xfId="5488"/>
    <cellStyle name="Normal 5 3 2 3 2 2 2" xfId="21588"/>
    <cellStyle name="Normal 5 3 2 3 2 2 2 2" xfId="44175"/>
    <cellStyle name="Normal 5 3 2 3 2 2 3" xfId="11928"/>
    <cellStyle name="Normal 5 3 2 3 2 2 3 2" xfId="34515"/>
    <cellStyle name="Normal 5 3 2 3 2 2 4" xfId="28075"/>
    <cellStyle name="Normal 5 3 2 3 2 3" xfId="18368"/>
    <cellStyle name="Normal 5 3 2 3 2 3 2" xfId="40955"/>
    <cellStyle name="Normal 5 3 2 3 2 4" xfId="15148"/>
    <cellStyle name="Normal 5 3 2 3 2 4 2" xfId="37735"/>
    <cellStyle name="Normal 5 3 2 3 2 5" xfId="8708"/>
    <cellStyle name="Normal 5 3 2 3 2 5 2" xfId="31295"/>
    <cellStyle name="Normal 5 3 2 3 2 6" xfId="24855"/>
    <cellStyle name="Normal 5 3 2 3 3" xfId="3140"/>
    <cellStyle name="Normal 5 3 2 3 3 2" xfId="6360"/>
    <cellStyle name="Normal 5 3 2 3 3 2 2" xfId="22460"/>
    <cellStyle name="Normal 5 3 2 3 3 2 2 2" xfId="45047"/>
    <cellStyle name="Normal 5 3 2 3 3 2 3" xfId="12800"/>
    <cellStyle name="Normal 5 3 2 3 3 2 3 2" xfId="35387"/>
    <cellStyle name="Normal 5 3 2 3 3 2 4" xfId="28947"/>
    <cellStyle name="Normal 5 3 2 3 3 3" xfId="19240"/>
    <cellStyle name="Normal 5 3 2 3 3 3 2" xfId="41827"/>
    <cellStyle name="Normal 5 3 2 3 3 4" xfId="16020"/>
    <cellStyle name="Normal 5 3 2 3 3 4 2" xfId="38607"/>
    <cellStyle name="Normal 5 3 2 3 3 5" xfId="9580"/>
    <cellStyle name="Normal 5 3 2 3 3 5 2" xfId="32167"/>
    <cellStyle name="Normal 5 3 2 3 3 6" xfId="25727"/>
    <cellStyle name="Normal 5 3 2 3 4" xfId="3430"/>
    <cellStyle name="Normal 5 3 2 3 4 2" xfId="6650"/>
    <cellStyle name="Normal 5 3 2 3 4 2 2" xfId="22750"/>
    <cellStyle name="Normal 5 3 2 3 4 2 2 2" xfId="45337"/>
    <cellStyle name="Normal 5 3 2 3 4 2 3" xfId="13090"/>
    <cellStyle name="Normal 5 3 2 3 4 2 3 2" xfId="35677"/>
    <cellStyle name="Normal 5 3 2 3 4 2 4" xfId="29237"/>
    <cellStyle name="Normal 5 3 2 3 4 3" xfId="19530"/>
    <cellStyle name="Normal 5 3 2 3 4 3 2" xfId="42117"/>
    <cellStyle name="Normal 5 3 2 3 4 4" xfId="16310"/>
    <cellStyle name="Normal 5 3 2 3 4 4 2" xfId="38897"/>
    <cellStyle name="Normal 5 3 2 3 4 5" xfId="9870"/>
    <cellStyle name="Normal 5 3 2 3 4 5 2" xfId="32457"/>
    <cellStyle name="Normal 5 3 2 3 4 6" xfId="26017"/>
    <cellStyle name="Normal 5 3 2 3 5" xfId="948"/>
    <cellStyle name="Normal 5 3 2 3 5 2" xfId="4180"/>
    <cellStyle name="Normal 5 3 2 3 5 2 2" xfId="20280"/>
    <cellStyle name="Normal 5 3 2 3 5 2 2 2" xfId="42867"/>
    <cellStyle name="Normal 5 3 2 3 5 2 3" xfId="10620"/>
    <cellStyle name="Normal 5 3 2 3 5 2 3 2" xfId="33207"/>
    <cellStyle name="Normal 5 3 2 3 5 2 4" xfId="26767"/>
    <cellStyle name="Normal 5 3 2 3 5 3" xfId="17060"/>
    <cellStyle name="Normal 5 3 2 3 5 3 2" xfId="39647"/>
    <cellStyle name="Normal 5 3 2 3 5 4" xfId="13840"/>
    <cellStyle name="Normal 5 3 2 3 5 4 2" xfId="36427"/>
    <cellStyle name="Normal 5 3 2 3 5 5" xfId="7400"/>
    <cellStyle name="Normal 5 3 2 3 5 5 2" xfId="29987"/>
    <cellStyle name="Normal 5 3 2 3 5 6" xfId="23547"/>
    <cellStyle name="Normal 5 3 2 3 6" xfId="3720"/>
    <cellStyle name="Normal 5 3 2 3 6 2" xfId="19820"/>
    <cellStyle name="Normal 5 3 2 3 6 2 2" xfId="42407"/>
    <cellStyle name="Normal 5 3 2 3 6 3" xfId="10160"/>
    <cellStyle name="Normal 5 3 2 3 6 3 2" xfId="32747"/>
    <cellStyle name="Normal 5 3 2 3 6 4" xfId="26307"/>
    <cellStyle name="Normal 5 3 2 3 7" xfId="16600"/>
    <cellStyle name="Normal 5 3 2 3 7 2" xfId="39187"/>
    <cellStyle name="Normal 5 3 2 3 8" xfId="13380"/>
    <cellStyle name="Normal 5 3 2 3 8 2" xfId="35967"/>
    <cellStyle name="Normal 5 3 2 3 9" xfId="6940"/>
    <cellStyle name="Normal 5 3 2 3 9 2" xfId="29527"/>
    <cellStyle name="Normal 5 3 2 4" xfId="1300"/>
    <cellStyle name="Normal 5 3 2 4 2" xfId="2614"/>
    <cellStyle name="Normal 5 3 2 4 2 2" xfId="5835"/>
    <cellStyle name="Normal 5 3 2 4 2 2 2" xfId="21935"/>
    <cellStyle name="Normal 5 3 2 4 2 2 2 2" xfId="44522"/>
    <cellStyle name="Normal 5 3 2 4 2 2 3" xfId="12275"/>
    <cellStyle name="Normal 5 3 2 4 2 2 3 2" xfId="34862"/>
    <cellStyle name="Normal 5 3 2 4 2 2 4" xfId="28422"/>
    <cellStyle name="Normal 5 3 2 4 2 3" xfId="18715"/>
    <cellStyle name="Normal 5 3 2 4 2 3 2" xfId="41302"/>
    <cellStyle name="Normal 5 3 2 4 2 4" xfId="15495"/>
    <cellStyle name="Normal 5 3 2 4 2 4 2" xfId="38082"/>
    <cellStyle name="Normal 5 3 2 4 2 5" xfId="9055"/>
    <cellStyle name="Normal 5 3 2 4 2 5 2" xfId="31642"/>
    <cellStyle name="Normal 5 3 2 4 2 6" xfId="25202"/>
    <cellStyle name="Normal 5 3 2 4 3" xfId="4527"/>
    <cellStyle name="Normal 5 3 2 4 3 2" xfId="20627"/>
    <cellStyle name="Normal 5 3 2 4 3 2 2" xfId="43214"/>
    <cellStyle name="Normal 5 3 2 4 3 3" xfId="10967"/>
    <cellStyle name="Normal 5 3 2 4 3 3 2" xfId="33554"/>
    <cellStyle name="Normal 5 3 2 4 3 4" xfId="27114"/>
    <cellStyle name="Normal 5 3 2 4 4" xfId="17407"/>
    <cellStyle name="Normal 5 3 2 4 4 2" xfId="39994"/>
    <cellStyle name="Normal 5 3 2 4 5" xfId="14187"/>
    <cellStyle name="Normal 5 3 2 4 5 2" xfId="36774"/>
    <cellStyle name="Normal 5 3 2 4 6" xfId="7747"/>
    <cellStyle name="Normal 5 3 2 4 6 2" xfId="30334"/>
    <cellStyle name="Normal 5 3 2 4 7" xfId="23894"/>
    <cellStyle name="Normal 5 3 2 5" xfId="1686"/>
    <cellStyle name="Normal 5 3 2 5 2" xfId="4909"/>
    <cellStyle name="Normal 5 3 2 5 2 2" xfId="21009"/>
    <cellStyle name="Normal 5 3 2 5 2 2 2" xfId="43596"/>
    <cellStyle name="Normal 5 3 2 5 2 3" xfId="11349"/>
    <cellStyle name="Normal 5 3 2 5 2 3 2" xfId="33936"/>
    <cellStyle name="Normal 5 3 2 5 2 4" xfId="27496"/>
    <cellStyle name="Normal 5 3 2 5 3" xfId="17789"/>
    <cellStyle name="Normal 5 3 2 5 3 2" xfId="40376"/>
    <cellStyle name="Normal 5 3 2 5 4" xfId="14569"/>
    <cellStyle name="Normal 5 3 2 5 4 2" xfId="37156"/>
    <cellStyle name="Normal 5 3 2 5 5" xfId="8129"/>
    <cellStyle name="Normal 5 3 2 5 5 2" xfId="30716"/>
    <cellStyle name="Normal 5 3 2 5 6" xfId="24276"/>
    <cellStyle name="Normal 5 3 2 6" xfId="1919"/>
    <cellStyle name="Normal 5 3 2 6 2" xfId="5141"/>
    <cellStyle name="Normal 5 3 2 6 2 2" xfId="21241"/>
    <cellStyle name="Normal 5 3 2 6 2 2 2" xfId="43828"/>
    <cellStyle name="Normal 5 3 2 6 2 3" xfId="11581"/>
    <cellStyle name="Normal 5 3 2 6 2 3 2" xfId="34168"/>
    <cellStyle name="Normal 5 3 2 6 2 4" xfId="27728"/>
    <cellStyle name="Normal 5 3 2 6 3" xfId="18021"/>
    <cellStyle name="Normal 5 3 2 6 3 2" xfId="40608"/>
    <cellStyle name="Normal 5 3 2 6 4" xfId="14801"/>
    <cellStyle name="Normal 5 3 2 6 4 2" xfId="37388"/>
    <cellStyle name="Normal 5 3 2 6 5" xfId="8361"/>
    <cellStyle name="Normal 5 3 2 6 5 2" xfId="30948"/>
    <cellStyle name="Normal 5 3 2 6 6" xfId="24508"/>
    <cellStyle name="Normal 5 3 2 7" xfId="2946"/>
    <cellStyle name="Normal 5 3 2 7 2" xfId="6167"/>
    <cellStyle name="Normal 5 3 2 7 2 2" xfId="22267"/>
    <cellStyle name="Normal 5 3 2 7 2 2 2" xfId="44854"/>
    <cellStyle name="Normal 5 3 2 7 2 3" xfId="12607"/>
    <cellStyle name="Normal 5 3 2 7 2 3 2" xfId="35194"/>
    <cellStyle name="Normal 5 3 2 7 2 4" xfId="28754"/>
    <cellStyle name="Normal 5 3 2 7 3" xfId="19047"/>
    <cellStyle name="Normal 5 3 2 7 3 2" xfId="41634"/>
    <cellStyle name="Normal 5 3 2 7 4" xfId="15827"/>
    <cellStyle name="Normal 5 3 2 7 4 2" xfId="38414"/>
    <cellStyle name="Normal 5 3 2 7 5" xfId="9387"/>
    <cellStyle name="Normal 5 3 2 7 5 2" xfId="31974"/>
    <cellStyle name="Normal 5 3 2 7 6" xfId="25534"/>
    <cellStyle name="Normal 5 3 2 8" xfId="3237"/>
    <cellStyle name="Normal 5 3 2 8 2" xfId="6457"/>
    <cellStyle name="Normal 5 3 2 8 2 2" xfId="22557"/>
    <cellStyle name="Normal 5 3 2 8 2 2 2" xfId="45144"/>
    <cellStyle name="Normal 5 3 2 8 2 3" xfId="12897"/>
    <cellStyle name="Normal 5 3 2 8 2 3 2" xfId="35484"/>
    <cellStyle name="Normal 5 3 2 8 2 4" xfId="29044"/>
    <cellStyle name="Normal 5 3 2 8 3" xfId="19337"/>
    <cellStyle name="Normal 5 3 2 8 3 2" xfId="41924"/>
    <cellStyle name="Normal 5 3 2 8 4" xfId="16117"/>
    <cellStyle name="Normal 5 3 2 8 4 2" xfId="38704"/>
    <cellStyle name="Normal 5 3 2 8 5" xfId="9677"/>
    <cellStyle name="Normal 5 3 2 8 5 2" xfId="32264"/>
    <cellStyle name="Normal 5 3 2 8 6" xfId="25824"/>
    <cellStyle name="Normal 5 3 2 9" xfId="546"/>
    <cellStyle name="Normal 5 3 2 9 2" xfId="3833"/>
    <cellStyle name="Normal 5 3 2 9 2 2" xfId="19933"/>
    <cellStyle name="Normal 5 3 2 9 2 2 2" xfId="42520"/>
    <cellStyle name="Normal 5 3 2 9 2 3" xfId="10273"/>
    <cellStyle name="Normal 5 3 2 9 2 3 2" xfId="32860"/>
    <cellStyle name="Normal 5 3 2 9 2 4" xfId="26420"/>
    <cellStyle name="Normal 5 3 2 9 3" xfId="16713"/>
    <cellStyle name="Normal 5 3 2 9 3 2" xfId="39300"/>
    <cellStyle name="Normal 5 3 2 9 4" xfId="13493"/>
    <cellStyle name="Normal 5 3 2 9 4 2" xfId="36080"/>
    <cellStyle name="Normal 5 3 2 9 5" xfId="7053"/>
    <cellStyle name="Normal 5 3 2 9 5 2" xfId="29640"/>
    <cellStyle name="Normal 5 3 2 9 6" xfId="23200"/>
    <cellStyle name="Normal 5 3 3" xfId="313"/>
    <cellStyle name="Normal 5 3 3 10" xfId="13260"/>
    <cellStyle name="Normal 5 3 3 10 2" xfId="35847"/>
    <cellStyle name="Normal 5 3 3 11" xfId="6820"/>
    <cellStyle name="Normal 5 3 3 11 2" xfId="29407"/>
    <cellStyle name="Normal 5 3 3 12" xfId="22967"/>
    <cellStyle name="Normal 5 3 3 2" xfId="978"/>
    <cellStyle name="Normal 5 3 3 2 2" xfId="2296"/>
    <cellStyle name="Normal 5 3 3 2 2 2" xfId="5517"/>
    <cellStyle name="Normal 5 3 3 2 2 2 2" xfId="21617"/>
    <cellStyle name="Normal 5 3 3 2 2 2 2 2" xfId="44204"/>
    <cellStyle name="Normal 5 3 3 2 2 2 3" xfId="11957"/>
    <cellStyle name="Normal 5 3 3 2 2 2 3 2" xfId="34544"/>
    <cellStyle name="Normal 5 3 3 2 2 2 4" xfId="28104"/>
    <cellStyle name="Normal 5 3 3 2 2 3" xfId="18397"/>
    <cellStyle name="Normal 5 3 3 2 2 3 2" xfId="40984"/>
    <cellStyle name="Normal 5 3 3 2 2 4" xfId="15177"/>
    <cellStyle name="Normal 5 3 3 2 2 4 2" xfId="37764"/>
    <cellStyle name="Normal 5 3 3 2 2 5" xfId="8737"/>
    <cellStyle name="Normal 5 3 3 2 2 5 2" xfId="31324"/>
    <cellStyle name="Normal 5 3 3 2 2 6" xfId="24884"/>
    <cellStyle name="Normal 5 3 3 2 3" xfId="4209"/>
    <cellStyle name="Normal 5 3 3 2 3 2" xfId="20309"/>
    <cellStyle name="Normal 5 3 3 2 3 2 2" xfId="42896"/>
    <cellStyle name="Normal 5 3 3 2 3 3" xfId="10649"/>
    <cellStyle name="Normal 5 3 3 2 3 3 2" xfId="33236"/>
    <cellStyle name="Normal 5 3 3 2 3 4" xfId="26796"/>
    <cellStyle name="Normal 5 3 3 2 4" xfId="17089"/>
    <cellStyle name="Normal 5 3 3 2 4 2" xfId="39676"/>
    <cellStyle name="Normal 5 3 3 2 5" xfId="13869"/>
    <cellStyle name="Normal 5 3 3 2 5 2" xfId="36456"/>
    <cellStyle name="Normal 5 3 3 2 6" xfId="7429"/>
    <cellStyle name="Normal 5 3 3 2 6 2" xfId="30016"/>
    <cellStyle name="Normal 5 3 3 2 7" xfId="23576"/>
    <cellStyle name="Normal 5 3 3 3" xfId="1329"/>
    <cellStyle name="Normal 5 3 3 3 2" xfId="2643"/>
    <cellStyle name="Normal 5 3 3 3 2 2" xfId="5864"/>
    <cellStyle name="Normal 5 3 3 3 2 2 2" xfId="21964"/>
    <cellStyle name="Normal 5 3 3 3 2 2 2 2" xfId="44551"/>
    <cellStyle name="Normal 5 3 3 3 2 2 3" xfId="12304"/>
    <cellStyle name="Normal 5 3 3 3 2 2 3 2" xfId="34891"/>
    <cellStyle name="Normal 5 3 3 3 2 2 4" xfId="28451"/>
    <cellStyle name="Normal 5 3 3 3 2 3" xfId="18744"/>
    <cellStyle name="Normal 5 3 3 3 2 3 2" xfId="41331"/>
    <cellStyle name="Normal 5 3 3 3 2 4" xfId="15524"/>
    <cellStyle name="Normal 5 3 3 3 2 4 2" xfId="38111"/>
    <cellStyle name="Normal 5 3 3 3 2 5" xfId="9084"/>
    <cellStyle name="Normal 5 3 3 3 2 5 2" xfId="31671"/>
    <cellStyle name="Normal 5 3 3 3 2 6" xfId="25231"/>
    <cellStyle name="Normal 5 3 3 3 3" xfId="4556"/>
    <cellStyle name="Normal 5 3 3 3 3 2" xfId="20656"/>
    <cellStyle name="Normal 5 3 3 3 3 2 2" xfId="43243"/>
    <cellStyle name="Normal 5 3 3 3 3 3" xfId="10996"/>
    <cellStyle name="Normal 5 3 3 3 3 3 2" xfId="33583"/>
    <cellStyle name="Normal 5 3 3 3 3 4" xfId="27143"/>
    <cellStyle name="Normal 5 3 3 3 4" xfId="17436"/>
    <cellStyle name="Normal 5 3 3 3 4 2" xfId="40023"/>
    <cellStyle name="Normal 5 3 3 3 5" xfId="14216"/>
    <cellStyle name="Normal 5 3 3 3 5 2" xfId="36803"/>
    <cellStyle name="Normal 5 3 3 3 6" xfId="7776"/>
    <cellStyle name="Normal 5 3 3 3 6 2" xfId="30363"/>
    <cellStyle name="Normal 5 3 3 3 7" xfId="23923"/>
    <cellStyle name="Normal 5 3 3 4" xfId="1948"/>
    <cellStyle name="Normal 5 3 3 4 2" xfId="5170"/>
    <cellStyle name="Normal 5 3 3 4 2 2" xfId="21270"/>
    <cellStyle name="Normal 5 3 3 4 2 2 2" xfId="43857"/>
    <cellStyle name="Normal 5 3 3 4 2 3" xfId="11610"/>
    <cellStyle name="Normal 5 3 3 4 2 3 2" xfId="34197"/>
    <cellStyle name="Normal 5 3 3 4 2 4" xfId="27757"/>
    <cellStyle name="Normal 5 3 3 4 3" xfId="18050"/>
    <cellStyle name="Normal 5 3 3 4 3 2" xfId="40637"/>
    <cellStyle name="Normal 5 3 3 4 4" xfId="14830"/>
    <cellStyle name="Normal 5 3 3 4 4 2" xfId="37417"/>
    <cellStyle name="Normal 5 3 3 4 5" xfId="8390"/>
    <cellStyle name="Normal 5 3 3 4 5 2" xfId="30977"/>
    <cellStyle name="Normal 5 3 3 4 6" xfId="24537"/>
    <cellStyle name="Normal 5 3 3 5" xfId="3020"/>
    <cellStyle name="Normal 5 3 3 5 2" xfId="6240"/>
    <cellStyle name="Normal 5 3 3 5 2 2" xfId="22340"/>
    <cellStyle name="Normal 5 3 3 5 2 2 2" xfId="44927"/>
    <cellStyle name="Normal 5 3 3 5 2 3" xfId="12680"/>
    <cellStyle name="Normal 5 3 3 5 2 3 2" xfId="35267"/>
    <cellStyle name="Normal 5 3 3 5 2 4" xfId="28827"/>
    <cellStyle name="Normal 5 3 3 5 3" xfId="19120"/>
    <cellStyle name="Normal 5 3 3 5 3 2" xfId="41707"/>
    <cellStyle name="Normal 5 3 3 5 4" xfId="15900"/>
    <cellStyle name="Normal 5 3 3 5 4 2" xfId="38487"/>
    <cellStyle name="Normal 5 3 3 5 5" xfId="9460"/>
    <cellStyle name="Normal 5 3 3 5 5 2" xfId="32047"/>
    <cellStyle name="Normal 5 3 3 5 6" xfId="25607"/>
    <cellStyle name="Normal 5 3 3 6" xfId="3310"/>
    <cellStyle name="Normal 5 3 3 6 2" xfId="6530"/>
    <cellStyle name="Normal 5 3 3 6 2 2" xfId="22630"/>
    <cellStyle name="Normal 5 3 3 6 2 2 2" xfId="45217"/>
    <cellStyle name="Normal 5 3 3 6 2 3" xfId="12970"/>
    <cellStyle name="Normal 5 3 3 6 2 3 2" xfId="35557"/>
    <cellStyle name="Normal 5 3 3 6 2 4" xfId="29117"/>
    <cellStyle name="Normal 5 3 3 6 3" xfId="19410"/>
    <cellStyle name="Normal 5 3 3 6 3 2" xfId="41997"/>
    <cellStyle name="Normal 5 3 3 6 4" xfId="16190"/>
    <cellStyle name="Normal 5 3 3 6 4 2" xfId="38777"/>
    <cellStyle name="Normal 5 3 3 6 5" xfId="9750"/>
    <cellStyle name="Normal 5 3 3 6 5 2" xfId="32337"/>
    <cellStyle name="Normal 5 3 3 6 6" xfId="25897"/>
    <cellStyle name="Normal 5 3 3 7" xfId="593"/>
    <cellStyle name="Normal 5 3 3 7 2" xfId="3862"/>
    <cellStyle name="Normal 5 3 3 7 2 2" xfId="19962"/>
    <cellStyle name="Normal 5 3 3 7 2 2 2" xfId="42549"/>
    <cellStyle name="Normal 5 3 3 7 2 3" xfId="10302"/>
    <cellStyle name="Normal 5 3 3 7 2 3 2" xfId="32889"/>
    <cellStyle name="Normal 5 3 3 7 2 4" xfId="26449"/>
    <cellStyle name="Normal 5 3 3 7 3" xfId="16742"/>
    <cellStyle name="Normal 5 3 3 7 3 2" xfId="39329"/>
    <cellStyle name="Normal 5 3 3 7 4" xfId="13522"/>
    <cellStyle name="Normal 5 3 3 7 4 2" xfId="36109"/>
    <cellStyle name="Normal 5 3 3 7 5" xfId="7082"/>
    <cellStyle name="Normal 5 3 3 7 5 2" xfId="29669"/>
    <cellStyle name="Normal 5 3 3 7 6" xfId="23229"/>
    <cellStyle name="Normal 5 3 3 8" xfId="3600"/>
    <cellStyle name="Normal 5 3 3 8 2" xfId="19700"/>
    <cellStyle name="Normal 5 3 3 8 2 2" xfId="42287"/>
    <cellStyle name="Normal 5 3 3 8 3" xfId="10040"/>
    <cellStyle name="Normal 5 3 3 8 3 2" xfId="32627"/>
    <cellStyle name="Normal 5 3 3 8 4" xfId="26187"/>
    <cellStyle name="Normal 5 3 3 9" xfId="16480"/>
    <cellStyle name="Normal 5 3 3 9 2" xfId="39067"/>
    <cellStyle name="Normal 5 3 4" xfId="409"/>
    <cellStyle name="Normal 5 3 4 10" xfId="13356"/>
    <cellStyle name="Normal 5 3 4 10 2" xfId="35943"/>
    <cellStyle name="Normal 5 3 4 11" xfId="6916"/>
    <cellStyle name="Normal 5 3 4 11 2" xfId="29503"/>
    <cellStyle name="Normal 5 3 4 12" xfId="23063"/>
    <cellStyle name="Normal 5 3 4 2" xfId="1153"/>
    <cellStyle name="Normal 5 3 4 2 2" xfId="2467"/>
    <cellStyle name="Normal 5 3 4 2 2 2" xfId="5688"/>
    <cellStyle name="Normal 5 3 4 2 2 2 2" xfId="21788"/>
    <cellStyle name="Normal 5 3 4 2 2 2 2 2" xfId="44375"/>
    <cellStyle name="Normal 5 3 4 2 2 2 3" xfId="12128"/>
    <cellStyle name="Normal 5 3 4 2 2 2 3 2" xfId="34715"/>
    <cellStyle name="Normal 5 3 4 2 2 2 4" xfId="28275"/>
    <cellStyle name="Normal 5 3 4 2 2 3" xfId="18568"/>
    <cellStyle name="Normal 5 3 4 2 2 3 2" xfId="41155"/>
    <cellStyle name="Normal 5 3 4 2 2 4" xfId="15348"/>
    <cellStyle name="Normal 5 3 4 2 2 4 2" xfId="37935"/>
    <cellStyle name="Normal 5 3 4 2 2 5" xfId="8908"/>
    <cellStyle name="Normal 5 3 4 2 2 5 2" xfId="31495"/>
    <cellStyle name="Normal 5 3 4 2 2 6" xfId="25055"/>
    <cellStyle name="Normal 5 3 4 2 3" xfId="4380"/>
    <cellStyle name="Normal 5 3 4 2 3 2" xfId="20480"/>
    <cellStyle name="Normal 5 3 4 2 3 2 2" xfId="43067"/>
    <cellStyle name="Normal 5 3 4 2 3 3" xfId="10820"/>
    <cellStyle name="Normal 5 3 4 2 3 3 2" xfId="33407"/>
    <cellStyle name="Normal 5 3 4 2 3 4" xfId="26967"/>
    <cellStyle name="Normal 5 3 4 2 4" xfId="17260"/>
    <cellStyle name="Normal 5 3 4 2 4 2" xfId="39847"/>
    <cellStyle name="Normal 5 3 4 2 5" xfId="14040"/>
    <cellStyle name="Normal 5 3 4 2 5 2" xfId="36627"/>
    <cellStyle name="Normal 5 3 4 2 6" xfId="7600"/>
    <cellStyle name="Normal 5 3 4 2 6 2" xfId="30187"/>
    <cellStyle name="Normal 5 3 4 2 7" xfId="23747"/>
    <cellStyle name="Normal 5 3 4 3" xfId="1500"/>
    <cellStyle name="Normal 5 3 4 3 2" xfId="2814"/>
    <cellStyle name="Normal 5 3 4 3 2 2" xfId="6035"/>
    <cellStyle name="Normal 5 3 4 3 2 2 2" xfId="22135"/>
    <cellStyle name="Normal 5 3 4 3 2 2 2 2" xfId="44722"/>
    <cellStyle name="Normal 5 3 4 3 2 2 3" xfId="12475"/>
    <cellStyle name="Normal 5 3 4 3 2 2 3 2" xfId="35062"/>
    <cellStyle name="Normal 5 3 4 3 2 2 4" xfId="28622"/>
    <cellStyle name="Normal 5 3 4 3 2 3" xfId="18915"/>
    <cellStyle name="Normal 5 3 4 3 2 3 2" xfId="41502"/>
    <cellStyle name="Normal 5 3 4 3 2 4" xfId="15695"/>
    <cellStyle name="Normal 5 3 4 3 2 4 2" xfId="38282"/>
    <cellStyle name="Normal 5 3 4 3 2 5" xfId="9255"/>
    <cellStyle name="Normal 5 3 4 3 2 5 2" xfId="31842"/>
    <cellStyle name="Normal 5 3 4 3 2 6" xfId="25402"/>
    <cellStyle name="Normal 5 3 4 3 3" xfId="4727"/>
    <cellStyle name="Normal 5 3 4 3 3 2" xfId="20827"/>
    <cellStyle name="Normal 5 3 4 3 3 2 2" xfId="43414"/>
    <cellStyle name="Normal 5 3 4 3 3 3" xfId="11167"/>
    <cellStyle name="Normal 5 3 4 3 3 3 2" xfId="33754"/>
    <cellStyle name="Normal 5 3 4 3 3 4" xfId="27314"/>
    <cellStyle name="Normal 5 3 4 3 4" xfId="17607"/>
    <cellStyle name="Normal 5 3 4 3 4 2" xfId="40194"/>
    <cellStyle name="Normal 5 3 4 3 5" xfId="14387"/>
    <cellStyle name="Normal 5 3 4 3 5 2" xfId="36974"/>
    <cellStyle name="Normal 5 3 4 3 6" xfId="7947"/>
    <cellStyle name="Normal 5 3 4 3 6 2" xfId="30534"/>
    <cellStyle name="Normal 5 3 4 3 7" xfId="24094"/>
    <cellStyle name="Normal 5 3 4 4" xfId="2120"/>
    <cellStyle name="Normal 5 3 4 4 2" xfId="5341"/>
    <cellStyle name="Normal 5 3 4 4 2 2" xfId="21441"/>
    <cellStyle name="Normal 5 3 4 4 2 2 2" xfId="44028"/>
    <cellStyle name="Normal 5 3 4 4 2 3" xfId="11781"/>
    <cellStyle name="Normal 5 3 4 4 2 3 2" xfId="34368"/>
    <cellStyle name="Normal 5 3 4 4 2 4" xfId="27928"/>
    <cellStyle name="Normal 5 3 4 4 3" xfId="18221"/>
    <cellStyle name="Normal 5 3 4 4 3 2" xfId="40808"/>
    <cellStyle name="Normal 5 3 4 4 4" xfId="15001"/>
    <cellStyle name="Normal 5 3 4 4 4 2" xfId="37588"/>
    <cellStyle name="Normal 5 3 4 4 5" xfId="8561"/>
    <cellStyle name="Normal 5 3 4 4 5 2" xfId="31148"/>
    <cellStyle name="Normal 5 3 4 4 6" xfId="24708"/>
    <cellStyle name="Normal 5 3 4 5" xfId="3116"/>
    <cellStyle name="Normal 5 3 4 5 2" xfId="6336"/>
    <cellStyle name="Normal 5 3 4 5 2 2" xfId="22436"/>
    <cellStyle name="Normal 5 3 4 5 2 2 2" xfId="45023"/>
    <cellStyle name="Normal 5 3 4 5 2 3" xfId="12776"/>
    <cellStyle name="Normal 5 3 4 5 2 3 2" xfId="35363"/>
    <cellStyle name="Normal 5 3 4 5 2 4" xfId="28923"/>
    <cellStyle name="Normal 5 3 4 5 3" xfId="19216"/>
    <cellStyle name="Normal 5 3 4 5 3 2" xfId="41803"/>
    <cellStyle name="Normal 5 3 4 5 4" xfId="15996"/>
    <cellStyle name="Normal 5 3 4 5 4 2" xfId="38583"/>
    <cellStyle name="Normal 5 3 4 5 5" xfId="9556"/>
    <cellStyle name="Normal 5 3 4 5 5 2" xfId="32143"/>
    <cellStyle name="Normal 5 3 4 5 6" xfId="25703"/>
    <cellStyle name="Normal 5 3 4 6" xfId="3406"/>
    <cellStyle name="Normal 5 3 4 6 2" xfId="6626"/>
    <cellStyle name="Normal 5 3 4 6 2 2" xfId="22726"/>
    <cellStyle name="Normal 5 3 4 6 2 2 2" xfId="45313"/>
    <cellStyle name="Normal 5 3 4 6 2 3" xfId="13066"/>
    <cellStyle name="Normal 5 3 4 6 2 3 2" xfId="35653"/>
    <cellStyle name="Normal 5 3 4 6 2 4" xfId="29213"/>
    <cellStyle name="Normal 5 3 4 6 3" xfId="19506"/>
    <cellStyle name="Normal 5 3 4 6 3 2" xfId="42093"/>
    <cellStyle name="Normal 5 3 4 6 4" xfId="16286"/>
    <cellStyle name="Normal 5 3 4 6 4 2" xfId="38873"/>
    <cellStyle name="Normal 5 3 4 6 5" xfId="9846"/>
    <cellStyle name="Normal 5 3 4 6 5 2" xfId="32433"/>
    <cellStyle name="Normal 5 3 4 6 6" xfId="25993"/>
    <cellStyle name="Normal 5 3 4 7" xfId="801"/>
    <cellStyle name="Normal 5 3 4 7 2" xfId="4033"/>
    <cellStyle name="Normal 5 3 4 7 2 2" xfId="20133"/>
    <cellStyle name="Normal 5 3 4 7 2 2 2" xfId="42720"/>
    <cellStyle name="Normal 5 3 4 7 2 3" xfId="10473"/>
    <cellStyle name="Normal 5 3 4 7 2 3 2" xfId="33060"/>
    <cellStyle name="Normal 5 3 4 7 2 4" xfId="26620"/>
    <cellStyle name="Normal 5 3 4 7 3" xfId="16913"/>
    <cellStyle name="Normal 5 3 4 7 3 2" xfId="39500"/>
    <cellStyle name="Normal 5 3 4 7 4" xfId="13693"/>
    <cellStyle name="Normal 5 3 4 7 4 2" xfId="36280"/>
    <cellStyle name="Normal 5 3 4 7 5" xfId="7253"/>
    <cellStyle name="Normal 5 3 4 7 5 2" xfId="29840"/>
    <cellStyle name="Normal 5 3 4 7 6" xfId="23400"/>
    <cellStyle name="Normal 5 3 4 8" xfId="3696"/>
    <cellStyle name="Normal 5 3 4 8 2" xfId="19796"/>
    <cellStyle name="Normal 5 3 4 8 2 2" xfId="42383"/>
    <cellStyle name="Normal 5 3 4 8 3" xfId="10136"/>
    <cellStyle name="Normal 5 3 4 8 3 2" xfId="32723"/>
    <cellStyle name="Normal 5 3 4 8 4" xfId="26283"/>
    <cellStyle name="Normal 5 3 4 9" xfId="16576"/>
    <cellStyle name="Normal 5 3 4 9 2" xfId="39163"/>
    <cellStyle name="Normal 5 3 5" xfId="908"/>
    <cellStyle name="Normal 5 3 5 2" xfId="2227"/>
    <cellStyle name="Normal 5 3 5 2 2" xfId="5448"/>
    <cellStyle name="Normal 5 3 5 2 2 2" xfId="21548"/>
    <cellStyle name="Normal 5 3 5 2 2 2 2" xfId="44135"/>
    <cellStyle name="Normal 5 3 5 2 2 3" xfId="11888"/>
    <cellStyle name="Normal 5 3 5 2 2 3 2" xfId="34475"/>
    <cellStyle name="Normal 5 3 5 2 2 4" xfId="28035"/>
    <cellStyle name="Normal 5 3 5 2 3" xfId="18328"/>
    <cellStyle name="Normal 5 3 5 2 3 2" xfId="40915"/>
    <cellStyle name="Normal 5 3 5 2 4" xfId="15108"/>
    <cellStyle name="Normal 5 3 5 2 4 2" xfId="37695"/>
    <cellStyle name="Normal 5 3 5 2 5" xfId="8668"/>
    <cellStyle name="Normal 5 3 5 2 5 2" xfId="31255"/>
    <cellStyle name="Normal 5 3 5 2 6" xfId="24815"/>
    <cellStyle name="Normal 5 3 5 3" xfId="4140"/>
    <cellStyle name="Normal 5 3 5 3 2" xfId="20240"/>
    <cellStyle name="Normal 5 3 5 3 2 2" xfId="42827"/>
    <cellStyle name="Normal 5 3 5 3 3" xfId="10580"/>
    <cellStyle name="Normal 5 3 5 3 3 2" xfId="33167"/>
    <cellStyle name="Normal 5 3 5 3 4" xfId="26727"/>
    <cellStyle name="Normal 5 3 5 4" xfId="17020"/>
    <cellStyle name="Normal 5 3 5 4 2" xfId="39607"/>
    <cellStyle name="Normal 5 3 5 5" xfId="13800"/>
    <cellStyle name="Normal 5 3 5 5 2" xfId="36387"/>
    <cellStyle name="Normal 5 3 5 6" xfId="7360"/>
    <cellStyle name="Normal 5 3 5 6 2" xfId="29947"/>
    <cellStyle name="Normal 5 3 5 7" xfId="23507"/>
    <cellStyle name="Normal 5 3 6" xfId="1260"/>
    <cellStyle name="Normal 5 3 6 2" xfId="2574"/>
    <cellStyle name="Normal 5 3 6 2 2" xfId="5795"/>
    <cellStyle name="Normal 5 3 6 2 2 2" xfId="21895"/>
    <cellStyle name="Normal 5 3 6 2 2 2 2" xfId="44482"/>
    <cellStyle name="Normal 5 3 6 2 2 3" xfId="12235"/>
    <cellStyle name="Normal 5 3 6 2 2 3 2" xfId="34822"/>
    <cellStyle name="Normal 5 3 6 2 2 4" xfId="28382"/>
    <cellStyle name="Normal 5 3 6 2 3" xfId="18675"/>
    <cellStyle name="Normal 5 3 6 2 3 2" xfId="41262"/>
    <cellStyle name="Normal 5 3 6 2 4" xfId="15455"/>
    <cellStyle name="Normal 5 3 6 2 4 2" xfId="38042"/>
    <cellStyle name="Normal 5 3 6 2 5" xfId="9015"/>
    <cellStyle name="Normal 5 3 6 2 5 2" xfId="31602"/>
    <cellStyle name="Normal 5 3 6 2 6" xfId="25162"/>
    <cellStyle name="Normal 5 3 6 3" xfId="4487"/>
    <cellStyle name="Normal 5 3 6 3 2" xfId="20587"/>
    <cellStyle name="Normal 5 3 6 3 2 2" xfId="43174"/>
    <cellStyle name="Normal 5 3 6 3 3" xfId="10927"/>
    <cellStyle name="Normal 5 3 6 3 3 2" xfId="33514"/>
    <cellStyle name="Normal 5 3 6 3 4" xfId="27074"/>
    <cellStyle name="Normal 5 3 6 4" xfId="17367"/>
    <cellStyle name="Normal 5 3 6 4 2" xfId="39954"/>
    <cellStyle name="Normal 5 3 6 5" xfId="14147"/>
    <cellStyle name="Normal 5 3 6 5 2" xfId="36734"/>
    <cellStyle name="Normal 5 3 6 6" xfId="7707"/>
    <cellStyle name="Normal 5 3 6 6 2" xfId="30294"/>
    <cellStyle name="Normal 5 3 6 7" xfId="23854"/>
    <cellStyle name="Normal 5 3 7" xfId="1687"/>
    <cellStyle name="Normal 5 3 7 2" xfId="4910"/>
    <cellStyle name="Normal 5 3 7 2 2" xfId="21010"/>
    <cellStyle name="Normal 5 3 7 2 2 2" xfId="43597"/>
    <cellStyle name="Normal 5 3 7 2 3" xfId="11350"/>
    <cellStyle name="Normal 5 3 7 2 3 2" xfId="33937"/>
    <cellStyle name="Normal 5 3 7 2 4" xfId="27497"/>
    <cellStyle name="Normal 5 3 7 3" xfId="17790"/>
    <cellStyle name="Normal 5 3 7 3 2" xfId="40377"/>
    <cellStyle name="Normal 5 3 7 4" xfId="14570"/>
    <cellStyle name="Normal 5 3 7 4 2" xfId="37157"/>
    <cellStyle name="Normal 5 3 7 5" xfId="8130"/>
    <cellStyle name="Normal 5 3 7 5 2" xfId="30717"/>
    <cellStyle name="Normal 5 3 7 6" xfId="24277"/>
    <cellStyle name="Normal 5 3 8" xfId="1879"/>
    <cellStyle name="Normal 5 3 8 2" xfId="5101"/>
    <cellStyle name="Normal 5 3 8 2 2" xfId="21201"/>
    <cellStyle name="Normal 5 3 8 2 2 2" xfId="43788"/>
    <cellStyle name="Normal 5 3 8 2 3" xfId="11541"/>
    <cellStyle name="Normal 5 3 8 2 3 2" xfId="34128"/>
    <cellStyle name="Normal 5 3 8 2 4" xfId="27688"/>
    <cellStyle name="Normal 5 3 8 3" xfId="17981"/>
    <cellStyle name="Normal 5 3 8 3 2" xfId="40568"/>
    <cellStyle name="Normal 5 3 8 4" xfId="14761"/>
    <cellStyle name="Normal 5 3 8 4 2" xfId="37348"/>
    <cellStyle name="Normal 5 3 8 5" xfId="8321"/>
    <cellStyle name="Normal 5 3 8 5 2" xfId="30908"/>
    <cellStyle name="Normal 5 3 8 6" xfId="24468"/>
    <cellStyle name="Normal 5 3 9" xfId="2922"/>
    <cellStyle name="Normal 5 3 9 2" xfId="6143"/>
    <cellStyle name="Normal 5 3 9 2 2" xfId="22243"/>
    <cellStyle name="Normal 5 3 9 2 2 2" xfId="44830"/>
    <cellStyle name="Normal 5 3 9 2 3" xfId="12583"/>
    <cellStyle name="Normal 5 3 9 2 3 2" xfId="35170"/>
    <cellStyle name="Normal 5 3 9 2 4" xfId="28730"/>
    <cellStyle name="Normal 5 3 9 3" xfId="19023"/>
    <cellStyle name="Normal 5 3 9 3 2" xfId="41610"/>
    <cellStyle name="Normal 5 3 9 4" xfId="15803"/>
    <cellStyle name="Normal 5 3 9 4 2" xfId="38390"/>
    <cellStyle name="Normal 5 3 9 5" xfId="9363"/>
    <cellStyle name="Normal 5 3 9 5 2" xfId="31950"/>
    <cellStyle name="Normal 5 3 9 6" xfId="25510"/>
    <cellStyle name="Normal 5 4" xfId="216"/>
    <cellStyle name="Normal 6" xfId="44"/>
    <cellStyle name="Normal 6 2" xfId="215"/>
    <cellStyle name="Normal 6 2 10" xfId="3214"/>
    <cellStyle name="Normal 6 2 10 2" xfId="6434"/>
    <cellStyle name="Normal 6 2 10 2 2" xfId="22534"/>
    <cellStyle name="Normal 6 2 10 2 2 2" xfId="45121"/>
    <cellStyle name="Normal 6 2 10 2 3" xfId="12874"/>
    <cellStyle name="Normal 6 2 10 2 3 2" xfId="35461"/>
    <cellStyle name="Normal 6 2 10 2 4" xfId="29021"/>
    <cellStyle name="Normal 6 2 10 3" xfId="19314"/>
    <cellStyle name="Normal 6 2 10 3 2" xfId="41901"/>
    <cellStyle name="Normal 6 2 10 4" xfId="16094"/>
    <cellStyle name="Normal 6 2 10 4 2" xfId="38681"/>
    <cellStyle name="Normal 6 2 10 5" xfId="9654"/>
    <cellStyle name="Normal 6 2 10 5 2" xfId="32241"/>
    <cellStyle name="Normal 6 2 10 6" xfId="25801"/>
    <cellStyle name="Normal 6 2 11" xfId="507"/>
    <cellStyle name="Normal 6 2 11 2" xfId="3794"/>
    <cellStyle name="Normal 6 2 11 2 2" xfId="19894"/>
    <cellStyle name="Normal 6 2 11 2 2 2" xfId="42481"/>
    <cellStyle name="Normal 6 2 11 2 3" xfId="10234"/>
    <cellStyle name="Normal 6 2 11 2 3 2" xfId="32821"/>
    <cellStyle name="Normal 6 2 11 2 4" xfId="26381"/>
    <cellStyle name="Normal 6 2 11 3" xfId="16674"/>
    <cellStyle name="Normal 6 2 11 3 2" xfId="39261"/>
    <cellStyle name="Normal 6 2 11 4" xfId="13454"/>
    <cellStyle name="Normal 6 2 11 4 2" xfId="36041"/>
    <cellStyle name="Normal 6 2 11 5" xfId="7014"/>
    <cellStyle name="Normal 6 2 11 5 2" xfId="29601"/>
    <cellStyle name="Normal 6 2 11 6" xfId="23161"/>
    <cellStyle name="Normal 6 2 12" xfId="3504"/>
    <cellStyle name="Normal 6 2 12 2" xfId="19604"/>
    <cellStyle name="Normal 6 2 12 2 2" xfId="42191"/>
    <cellStyle name="Normal 6 2 12 3" xfId="9944"/>
    <cellStyle name="Normal 6 2 12 3 2" xfId="32531"/>
    <cellStyle name="Normal 6 2 12 4" xfId="26091"/>
    <cellStyle name="Normal 6 2 13" xfId="16384"/>
    <cellStyle name="Normal 6 2 13 2" xfId="38971"/>
    <cellStyle name="Normal 6 2 14" xfId="13164"/>
    <cellStyle name="Normal 6 2 14 2" xfId="35751"/>
    <cellStyle name="Normal 6 2 15" xfId="6724"/>
    <cellStyle name="Normal 6 2 15 2" xfId="29311"/>
    <cellStyle name="Normal 6 2 16" xfId="22871"/>
    <cellStyle name="Normal 6 2 2" xfId="240"/>
    <cellStyle name="Normal 6 2 2 10" xfId="3528"/>
    <cellStyle name="Normal 6 2 2 10 2" xfId="19628"/>
    <cellStyle name="Normal 6 2 2 10 2 2" xfId="42215"/>
    <cellStyle name="Normal 6 2 2 10 3" xfId="9968"/>
    <cellStyle name="Normal 6 2 2 10 3 2" xfId="32555"/>
    <cellStyle name="Normal 6 2 2 10 4" xfId="26115"/>
    <cellStyle name="Normal 6 2 2 11" xfId="16408"/>
    <cellStyle name="Normal 6 2 2 11 2" xfId="38995"/>
    <cellStyle name="Normal 6 2 2 12" xfId="13188"/>
    <cellStyle name="Normal 6 2 2 12 2" xfId="35775"/>
    <cellStyle name="Normal 6 2 2 13" xfId="6748"/>
    <cellStyle name="Normal 6 2 2 13 2" xfId="29335"/>
    <cellStyle name="Normal 6 2 2 14" xfId="22895"/>
    <cellStyle name="Normal 6 2 2 2" xfId="338"/>
    <cellStyle name="Normal 6 2 2 2 10" xfId="13285"/>
    <cellStyle name="Normal 6 2 2 2 10 2" xfId="35872"/>
    <cellStyle name="Normal 6 2 2 2 11" xfId="6845"/>
    <cellStyle name="Normal 6 2 2 2 11 2" xfId="29432"/>
    <cellStyle name="Normal 6 2 2 2 12" xfId="22992"/>
    <cellStyle name="Normal 6 2 2 2 2" xfId="1070"/>
    <cellStyle name="Normal 6 2 2 2 2 2" xfId="2384"/>
    <cellStyle name="Normal 6 2 2 2 2 2 2" xfId="5605"/>
    <cellStyle name="Normal 6 2 2 2 2 2 2 2" xfId="21705"/>
    <cellStyle name="Normal 6 2 2 2 2 2 2 2 2" xfId="44292"/>
    <cellStyle name="Normal 6 2 2 2 2 2 2 3" xfId="12045"/>
    <cellStyle name="Normal 6 2 2 2 2 2 2 3 2" xfId="34632"/>
    <cellStyle name="Normal 6 2 2 2 2 2 2 4" xfId="28192"/>
    <cellStyle name="Normal 6 2 2 2 2 2 3" xfId="18485"/>
    <cellStyle name="Normal 6 2 2 2 2 2 3 2" xfId="41072"/>
    <cellStyle name="Normal 6 2 2 2 2 2 4" xfId="15265"/>
    <cellStyle name="Normal 6 2 2 2 2 2 4 2" xfId="37852"/>
    <cellStyle name="Normal 6 2 2 2 2 2 5" xfId="8825"/>
    <cellStyle name="Normal 6 2 2 2 2 2 5 2" xfId="31412"/>
    <cellStyle name="Normal 6 2 2 2 2 2 6" xfId="24972"/>
    <cellStyle name="Normal 6 2 2 2 2 3" xfId="4297"/>
    <cellStyle name="Normal 6 2 2 2 2 3 2" xfId="20397"/>
    <cellStyle name="Normal 6 2 2 2 2 3 2 2" xfId="42984"/>
    <cellStyle name="Normal 6 2 2 2 2 3 3" xfId="10737"/>
    <cellStyle name="Normal 6 2 2 2 2 3 3 2" xfId="33324"/>
    <cellStyle name="Normal 6 2 2 2 2 3 4" xfId="26884"/>
    <cellStyle name="Normal 6 2 2 2 2 4" xfId="17177"/>
    <cellStyle name="Normal 6 2 2 2 2 4 2" xfId="39764"/>
    <cellStyle name="Normal 6 2 2 2 2 5" xfId="13957"/>
    <cellStyle name="Normal 6 2 2 2 2 5 2" xfId="36544"/>
    <cellStyle name="Normal 6 2 2 2 2 6" xfId="7517"/>
    <cellStyle name="Normal 6 2 2 2 2 6 2" xfId="30104"/>
    <cellStyle name="Normal 6 2 2 2 2 7" xfId="23664"/>
    <cellStyle name="Normal 6 2 2 2 3" xfId="1417"/>
    <cellStyle name="Normal 6 2 2 2 3 2" xfId="2731"/>
    <cellStyle name="Normal 6 2 2 2 3 2 2" xfId="5952"/>
    <cellStyle name="Normal 6 2 2 2 3 2 2 2" xfId="22052"/>
    <cellStyle name="Normal 6 2 2 2 3 2 2 2 2" xfId="44639"/>
    <cellStyle name="Normal 6 2 2 2 3 2 2 3" xfId="12392"/>
    <cellStyle name="Normal 6 2 2 2 3 2 2 3 2" xfId="34979"/>
    <cellStyle name="Normal 6 2 2 2 3 2 2 4" xfId="28539"/>
    <cellStyle name="Normal 6 2 2 2 3 2 3" xfId="18832"/>
    <cellStyle name="Normal 6 2 2 2 3 2 3 2" xfId="41419"/>
    <cellStyle name="Normal 6 2 2 2 3 2 4" xfId="15612"/>
    <cellStyle name="Normal 6 2 2 2 3 2 4 2" xfId="38199"/>
    <cellStyle name="Normal 6 2 2 2 3 2 5" xfId="9172"/>
    <cellStyle name="Normal 6 2 2 2 3 2 5 2" xfId="31759"/>
    <cellStyle name="Normal 6 2 2 2 3 2 6" xfId="25319"/>
    <cellStyle name="Normal 6 2 2 2 3 3" xfId="4644"/>
    <cellStyle name="Normal 6 2 2 2 3 3 2" xfId="20744"/>
    <cellStyle name="Normal 6 2 2 2 3 3 2 2" xfId="43331"/>
    <cellStyle name="Normal 6 2 2 2 3 3 3" xfId="11084"/>
    <cellStyle name="Normal 6 2 2 2 3 3 3 2" xfId="33671"/>
    <cellStyle name="Normal 6 2 2 2 3 3 4" xfId="27231"/>
    <cellStyle name="Normal 6 2 2 2 3 4" xfId="17524"/>
    <cellStyle name="Normal 6 2 2 2 3 4 2" xfId="40111"/>
    <cellStyle name="Normal 6 2 2 2 3 5" xfId="14304"/>
    <cellStyle name="Normal 6 2 2 2 3 5 2" xfId="36891"/>
    <cellStyle name="Normal 6 2 2 2 3 6" xfId="7864"/>
    <cellStyle name="Normal 6 2 2 2 3 6 2" xfId="30451"/>
    <cellStyle name="Normal 6 2 2 2 3 7" xfId="24011"/>
    <cellStyle name="Normal 6 2 2 2 4" xfId="2036"/>
    <cellStyle name="Normal 6 2 2 2 4 2" xfId="5258"/>
    <cellStyle name="Normal 6 2 2 2 4 2 2" xfId="21358"/>
    <cellStyle name="Normal 6 2 2 2 4 2 2 2" xfId="43945"/>
    <cellStyle name="Normal 6 2 2 2 4 2 3" xfId="11698"/>
    <cellStyle name="Normal 6 2 2 2 4 2 3 2" xfId="34285"/>
    <cellStyle name="Normal 6 2 2 2 4 2 4" xfId="27845"/>
    <cellStyle name="Normal 6 2 2 2 4 3" xfId="18138"/>
    <cellStyle name="Normal 6 2 2 2 4 3 2" xfId="40725"/>
    <cellStyle name="Normal 6 2 2 2 4 4" xfId="14918"/>
    <cellStyle name="Normal 6 2 2 2 4 4 2" xfId="37505"/>
    <cellStyle name="Normal 6 2 2 2 4 5" xfId="8478"/>
    <cellStyle name="Normal 6 2 2 2 4 5 2" xfId="31065"/>
    <cellStyle name="Normal 6 2 2 2 4 6" xfId="24625"/>
    <cellStyle name="Normal 6 2 2 2 5" xfId="3045"/>
    <cellStyle name="Normal 6 2 2 2 5 2" xfId="6265"/>
    <cellStyle name="Normal 6 2 2 2 5 2 2" xfId="22365"/>
    <cellStyle name="Normal 6 2 2 2 5 2 2 2" xfId="44952"/>
    <cellStyle name="Normal 6 2 2 2 5 2 3" xfId="12705"/>
    <cellStyle name="Normal 6 2 2 2 5 2 3 2" xfId="35292"/>
    <cellStyle name="Normal 6 2 2 2 5 2 4" xfId="28852"/>
    <cellStyle name="Normal 6 2 2 2 5 3" xfId="19145"/>
    <cellStyle name="Normal 6 2 2 2 5 3 2" xfId="41732"/>
    <cellStyle name="Normal 6 2 2 2 5 4" xfId="15925"/>
    <cellStyle name="Normal 6 2 2 2 5 4 2" xfId="38512"/>
    <cellStyle name="Normal 6 2 2 2 5 5" xfId="9485"/>
    <cellStyle name="Normal 6 2 2 2 5 5 2" xfId="32072"/>
    <cellStyle name="Normal 6 2 2 2 5 6" xfId="25632"/>
    <cellStyle name="Normal 6 2 2 2 6" xfId="3335"/>
    <cellStyle name="Normal 6 2 2 2 6 2" xfId="6555"/>
    <cellStyle name="Normal 6 2 2 2 6 2 2" xfId="22655"/>
    <cellStyle name="Normal 6 2 2 2 6 2 2 2" xfId="45242"/>
    <cellStyle name="Normal 6 2 2 2 6 2 3" xfId="12995"/>
    <cellStyle name="Normal 6 2 2 2 6 2 3 2" xfId="35582"/>
    <cellStyle name="Normal 6 2 2 2 6 2 4" xfId="29142"/>
    <cellStyle name="Normal 6 2 2 2 6 3" xfId="19435"/>
    <cellStyle name="Normal 6 2 2 2 6 3 2" xfId="42022"/>
    <cellStyle name="Normal 6 2 2 2 6 4" xfId="16215"/>
    <cellStyle name="Normal 6 2 2 2 6 4 2" xfId="38802"/>
    <cellStyle name="Normal 6 2 2 2 6 5" xfId="9775"/>
    <cellStyle name="Normal 6 2 2 2 6 5 2" xfId="32362"/>
    <cellStyle name="Normal 6 2 2 2 6 6" xfId="25922"/>
    <cellStyle name="Normal 6 2 2 2 7" xfId="706"/>
    <cellStyle name="Normal 6 2 2 2 7 2" xfId="3950"/>
    <cellStyle name="Normal 6 2 2 2 7 2 2" xfId="20050"/>
    <cellStyle name="Normal 6 2 2 2 7 2 2 2" xfId="42637"/>
    <cellStyle name="Normal 6 2 2 2 7 2 3" xfId="10390"/>
    <cellStyle name="Normal 6 2 2 2 7 2 3 2" xfId="32977"/>
    <cellStyle name="Normal 6 2 2 2 7 2 4" xfId="26537"/>
    <cellStyle name="Normal 6 2 2 2 7 3" xfId="16830"/>
    <cellStyle name="Normal 6 2 2 2 7 3 2" xfId="39417"/>
    <cellStyle name="Normal 6 2 2 2 7 4" xfId="13610"/>
    <cellStyle name="Normal 6 2 2 2 7 4 2" xfId="36197"/>
    <cellStyle name="Normal 6 2 2 2 7 5" xfId="7170"/>
    <cellStyle name="Normal 6 2 2 2 7 5 2" xfId="29757"/>
    <cellStyle name="Normal 6 2 2 2 7 6" xfId="23317"/>
    <cellStyle name="Normal 6 2 2 2 8" xfId="3625"/>
    <cellStyle name="Normal 6 2 2 2 8 2" xfId="19725"/>
    <cellStyle name="Normal 6 2 2 2 8 2 2" xfId="42312"/>
    <cellStyle name="Normal 6 2 2 2 8 3" xfId="10065"/>
    <cellStyle name="Normal 6 2 2 2 8 3 2" xfId="32652"/>
    <cellStyle name="Normal 6 2 2 2 8 4" xfId="26212"/>
    <cellStyle name="Normal 6 2 2 2 9" xfId="16505"/>
    <cellStyle name="Normal 6 2 2 2 9 2" xfId="39092"/>
    <cellStyle name="Normal 6 2 2 3" xfId="434"/>
    <cellStyle name="Normal 6 2 2 3 10" xfId="23088"/>
    <cellStyle name="Normal 6 2 2 3 2" xfId="2268"/>
    <cellStyle name="Normal 6 2 2 3 2 2" xfId="5489"/>
    <cellStyle name="Normal 6 2 2 3 2 2 2" xfId="21589"/>
    <cellStyle name="Normal 6 2 2 3 2 2 2 2" xfId="44176"/>
    <cellStyle name="Normal 6 2 2 3 2 2 3" xfId="11929"/>
    <cellStyle name="Normal 6 2 2 3 2 2 3 2" xfId="34516"/>
    <cellStyle name="Normal 6 2 2 3 2 2 4" xfId="28076"/>
    <cellStyle name="Normal 6 2 2 3 2 3" xfId="18369"/>
    <cellStyle name="Normal 6 2 2 3 2 3 2" xfId="40956"/>
    <cellStyle name="Normal 6 2 2 3 2 4" xfId="15149"/>
    <cellStyle name="Normal 6 2 2 3 2 4 2" xfId="37736"/>
    <cellStyle name="Normal 6 2 2 3 2 5" xfId="8709"/>
    <cellStyle name="Normal 6 2 2 3 2 5 2" xfId="31296"/>
    <cellStyle name="Normal 6 2 2 3 2 6" xfId="24856"/>
    <cellStyle name="Normal 6 2 2 3 3" xfId="3141"/>
    <cellStyle name="Normal 6 2 2 3 3 2" xfId="6361"/>
    <cellStyle name="Normal 6 2 2 3 3 2 2" xfId="22461"/>
    <cellStyle name="Normal 6 2 2 3 3 2 2 2" xfId="45048"/>
    <cellStyle name="Normal 6 2 2 3 3 2 3" xfId="12801"/>
    <cellStyle name="Normal 6 2 2 3 3 2 3 2" xfId="35388"/>
    <cellStyle name="Normal 6 2 2 3 3 2 4" xfId="28948"/>
    <cellStyle name="Normal 6 2 2 3 3 3" xfId="19241"/>
    <cellStyle name="Normal 6 2 2 3 3 3 2" xfId="41828"/>
    <cellStyle name="Normal 6 2 2 3 3 4" xfId="16021"/>
    <cellStyle name="Normal 6 2 2 3 3 4 2" xfId="38608"/>
    <cellStyle name="Normal 6 2 2 3 3 5" xfId="9581"/>
    <cellStyle name="Normal 6 2 2 3 3 5 2" xfId="32168"/>
    <cellStyle name="Normal 6 2 2 3 3 6" xfId="25728"/>
    <cellStyle name="Normal 6 2 2 3 4" xfId="3431"/>
    <cellStyle name="Normal 6 2 2 3 4 2" xfId="6651"/>
    <cellStyle name="Normal 6 2 2 3 4 2 2" xfId="22751"/>
    <cellStyle name="Normal 6 2 2 3 4 2 2 2" xfId="45338"/>
    <cellStyle name="Normal 6 2 2 3 4 2 3" xfId="13091"/>
    <cellStyle name="Normal 6 2 2 3 4 2 3 2" xfId="35678"/>
    <cellStyle name="Normal 6 2 2 3 4 2 4" xfId="29238"/>
    <cellStyle name="Normal 6 2 2 3 4 3" xfId="19531"/>
    <cellStyle name="Normal 6 2 2 3 4 3 2" xfId="42118"/>
    <cellStyle name="Normal 6 2 2 3 4 4" xfId="16311"/>
    <cellStyle name="Normal 6 2 2 3 4 4 2" xfId="38898"/>
    <cellStyle name="Normal 6 2 2 3 4 5" xfId="9871"/>
    <cellStyle name="Normal 6 2 2 3 4 5 2" xfId="32458"/>
    <cellStyle name="Normal 6 2 2 3 4 6" xfId="26018"/>
    <cellStyle name="Normal 6 2 2 3 5" xfId="949"/>
    <cellStyle name="Normal 6 2 2 3 5 2" xfId="4181"/>
    <cellStyle name="Normal 6 2 2 3 5 2 2" xfId="20281"/>
    <cellStyle name="Normal 6 2 2 3 5 2 2 2" xfId="42868"/>
    <cellStyle name="Normal 6 2 2 3 5 2 3" xfId="10621"/>
    <cellStyle name="Normal 6 2 2 3 5 2 3 2" xfId="33208"/>
    <cellStyle name="Normal 6 2 2 3 5 2 4" xfId="26768"/>
    <cellStyle name="Normal 6 2 2 3 5 3" xfId="17061"/>
    <cellStyle name="Normal 6 2 2 3 5 3 2" xfId="39648"/>
    <cellStyle name="Normal 6 2 2 3 5 4" xfId="13841"/>
    <cellStyle name="Normal 6 2 2 3 5 4 2" xfId="36428"/>
    <cellStyle name="Normal 6 2 2 3 5 5" xfId="7401"/>
    <cellStyle name="Normal 6 2 2 3 5 5 2" xfId="29988"/>
    <cellStyle name="Normal 6 2 2 3 5 6" xfId="23548"/>
    <cellStyle name="Normal 6 2 2 3 6" xfId="3721"/>
    <cellStyle name="Normal 6 2 2 3 6 2" xfId="19821"/>
    <cellStyle name="Normal 6 2 2 3 6 2 2" xfId="42408"/>
    <cellStyle name="Normal 6 2 2 3 6 3" xfId="10161"/>
    <cellStyle name="Normal 6 2 2 3 6 3 2" xfId="32748"/>
    <cellStyle name="Normal 6 2 2 3 6 4" xfId="26308"/>
    <cellStyle name="Normal 6 2 2 3 7" xfId="16601"/>
    <cellStyle name="Normal 6 2 2 3 7 2" xfId="39188"/>
    <cellStyle name="Normal 6 2 2 3 8" xfId="13381"/>
    <cellStyle name="Normal 6 2 2 3 8 2" xfId="35968"/>
    <cellStyle name="Normal 6 2 2 3 9" xfId="6941"/>
    <cellStyle name="Normal 6 2 2 3 9 2" xfId="29528"/>
    <cellStyle name="Normal 6 2 2 4" xfId="1301"/>
    <cellStyle name="Normal 6 2 2 4 2" xfId="2615"/>
    <cellStyle name="Normal 6 2 2 4 2 2" xfId="5836"/>
    <cellStyle name="Normal 6 2 2 4 2 2 2" xfId="21936"/>
    <cellStyle name="Normal 6 2 2 4 2 2 2 2" xfId="44523"/>
    <cellStyle name="Normal 6 2 2 4 2 2 3" xfId="12276"/>
    <cellStyle name="Normal 6 2 2 4 2 2 3 2" xfId="34863"/>
    <cellStyle name="Normal 6 2 2 4 2 2 4" xfId="28423"/>
    <cellStyle name="Normal 6 2 2 4 2 3" xfId="18716"/>
    <cellStyle name="Normal 6 2 2 4 2 3 2" xfId="41303"/>
    <cellStyle name="Normal 6 2 2 4 2 4" xfId="15496"/>
    <cellStyle name="Normal 6 2 2 4 2 4 2" xfId="38083"/>
    <cellStyle name="Normal 6 2 2 4 2 5" xfId="9056"/>
    <cellStyle name="Normal 6 2 2 4 2 5 2" xfId="31643"/>
    <cellStyle name="Normal 6 2 2 4 2 6" xfId="25203"/>
    <cellStyle name="Normal 6 2 2 4 3" xfId="4528"/>
    <cellStyle name="Normal 6 2 2 4 3 2" xfId="20628"/>
    <cellStyle name="Normal 6 2 2 4 3 2 2" xfId="43215"/>
    <cellStyle name="Normal 6 2 2 4 3 3" xfId="10968"/>
    <cellStyle name="Normal 6 2 2 4 3 3 2" xfId="33555"/>
    <cellStyle name="Normal 6 2 2 4 3 4" xfId="27115"/>
    <cellStyle name="Normal 6 2 2 4 4" xfId="17408"/>
    <cellStyle name="Normal 6 2 2 4 4 2" xfId="39995"/>
    <cellStyle name="Normal 6 2 2 4 5" xfId="14188"/>
    <cellStyle name="Normal 6 2 2 4 5 2" xfId="36775"/>
    <cellStyle name="Normal 6 2 2 4 6" xfId="7748"/>
    <cellStyle name="Normal 6 2 2 4 6 2" xfId="30335"/>
    <cellStyle name="Normal 6 2 2 4 7" xfId="23895"/>
    <cellStyle name="Normal 6 2 2 5" xfId="1688"/>
    <cellStyle name="Normal 6 2 2 5 2" xfId="4911"/>
    <cellStyle name="Normal 6 2 2 5 2 2" xfId="21011"/>
    <cellStyle name="Normal 6 2 2 5 2 2 2" xfId="43598"/>
    <cellStyle name="Normal 6 2 2 5 2 3" xfId="11351"/>
    <cellStyle name="Normal 6 2 2 5 2 3 2" xfId="33938"/>
    <cellStyle name="Normal 6 2 2 5 2 4" xfId="27498"/>
    <cellStyle name="Normal 6 2 2 5 3" xfId="17791"/>
    <cellStyle name="Normal 6 2 2 5 3 2" xfId="40378"/>
    <cellStyle name="Normal 6 2 2 5 4" xfId="14571"/>
    <cellStyle name="Normal 6 2 2 5 4 2" xfId="37158"/>
    <cellStyle name="Normal 6 2 2 5 5" xfId="8131"/>
    <cellStyle name="Normal 6 2 2 5 5 2" xfId="30718"/>
    <cellStyle name="Normal 6 2 2 5 6" xfId="24278"/>
    <cellStyle name="Normal 6 2 2 6" xfId="1920"/>
    <cellStyle name="Normal 6 2 2 6 2" xfId="5142"/>
    <cellStyle name="Normal 6 2 2 6 2 2" xfId="21242"/>
    <cellStyle name="Normal 6 2 2 6 2 2 2" xfId="43829"/>
    <cellStyle name="Normal 6 2 2 6 2 3" xfId="11582"/>
    <cellStyle name="Normal 6 2 2 6 2 3 2" xfId="34169"/>
    <cellStyle name="Normal 6 2 2 6 2 4" xfId="27729"/>
    <cellStyle name="Normal 6 2 2 6 3" xfId="18022"/>
    <cellStyle name="Normal 6 2 2 6 3 2" xfId="40609"/>
    <cellStyle name="Normal 6 2 2 6 4" xfId="14802"/>
    <cellStyle name="Normal 6 2 2 6 4 2" xfId="37389"/>
    <cellStyle name="Normal 6 2 2 6 5" xfId="8362"/>
    <cellStyle name="Normal 6 2 2 6 5 2" xfId="30949"/>
    <cellStyle name="Normal 6 2 2 6 6" xfId="24509"/>
    <cellStyle name="Normal 6 2 2 7" xfId="2947"/>
    <cellStyle name="Normal 6 2 2 7 2" xfId="6168"/>
    <cellStyle name="Normal 6 2 2 7 2 2" xfId="22268"/>
    <cellStyle name="Normal 6 2 2 7 2 2 2" xfId="44855"/>
    <cellStyle name="Normal 6 2 2 7 2 3" xfId="12608"/>
    <cellStyle name="Normal 6 2 2 7 2 3 2" xfId="35195"/>
    <cellStyle name="Normal 6 2 2 7 2 4" xfId="28755"/>
    <cellStyle name="Normal 6 2 2 7 3" xfId="19048"/>
    <cellStyle name="Normal 6 2 2 7 3 2" xfId="41635"/>
    <cellStyle name="Normal 6 2 2 7 4" xfId="15828"/>
    <cellStyle name="Normal 6 2 2 7 4 2" xfId="38415"/>
    <cellStyle name="Normal 6 2 2 7 5" xfId="9388"/>
    <cellStyle name="Normal 6 2 2 7 5 2" xfId="31975"/>
    <cellStyle name="Normal 6 2 2 7 6" xfId="25535"/>
    <cellStyle name="Normal 6 2 2 8" xfId="3238"/>
    <cellStyle name="Normal 6 2 2 8 2" xfId="6458"/>
    <cellStyle name="Normal 6 2 2 8 2 2" xfId="22558"/>
    <cellStyle name="Normal 6 2 2 8 2 2 2" xfId="45145"/>
    <cellStyle name="Normal 6 2 2 8 2 3" xfId="12898"/>
    <cellStyle name="Normal 6 2 2 8 2 3 2" xfId="35485"/>
    <cellStyle name="Normal 6 2 2 8 2 4" xfId="29045"/>
    <cellStyle name="Normal 6 2 2 8 3" xfId="19338"/>
    <cellStyle name="Normal 6 2 2 8 3 2" xfId="41925"/>
    <cellStyle name="Normal 6 2 2 8 4" xfId="16118"/>
    <cellStyle name="Normal 6 2 2 8 4 2" xfId="38705"/>
    <cellStyle name="Normal 6 2 2 8 5" xfId="9678"/>
    <cellStyle name="Normal 6 2 2 8 5 2" xfId="32265"/>
    <cellStyle name="Normal 6 2 2 8 6" xfId="25825"/>
    <cellStyle name="Normal 6 2 2 9" xfId="547"/>
    <cellStyle name="Normal 6 2 2 9 2" xfId="3834"/>
    <cellStyle name="Normal 6 2 2 9 2 2" xfId="19934"/>
    <cellStyle name="Normal 6 2 2 9 2 2 2" xfId="42521"/>
    <cellStyle name="Normal 6 2 2 9 2 3" xfId="10274"/>
    <cellStyle name="Normal 6 2 2 9 2 3 2" xfId="32861"/>
    <cellStyle name="Normal 6 2 2 9 2 4" xfId="26421"/>
    <cellStyle name="Normal 6 2 2 9 3" xfId="16714"/>
    <cellStyle name="Normal 6 2 2 9 3 2" xfId="39301"/>
    <cellStyle name="Normal 6 2 2 9 4" xfId="13494"/>
    <cellStyle name="Normal 6 2 2 9 4 2" xfId="36081"/>
    <cellStyle name="Normal 6 2 2 9 5" xfId="7054"/>
    <cellStyle name="Normal 6 2 2 9 5 2" xfId="29641"/>
    <cellStyle name="Normal 6 2 2 9 6" xfId="23201"/>
    <cellStyle name="Normal 6 2 3" xfId="314"/>
    <cellStyle name="Normal 6 2 3 10" xfId="13261"/>
    <cellStyle name="Normal 6 2 3 10 2" xfId="35848"/>
    <cellStyle name="Normal 6 2 3 11" xfId="6821"/>
    <cellStyle name="Normal 6 2 3 11 2" xfId="29408"/>
    <cellStyle name="Normal 6 2 3 12" xfId="22968"/>
    <cellStyle name="Normal 6 2 3 2" xfId="979"/>
    <cellStyle name="Normal 6 2 3 2 2" xfId="2297"/>
    <cellStyle name="Normal 6 2 3 2 2 2" xfId="5518"/>
    <cellStyle name="Normal 6 2 3 2 2 2 2" xfId="21618"/>
    <cellStyle name="Normal 6 2 3 2 2 2 2 2" xfId="44205"/>
    <cellStyle name="Normal 6 2 3 2 2 2 3" xfId="11958"/>
    <cellStyle name="Normal 6 2 3 2 2 2 3 2" xfId="34545"/>
    <cellStyle name="Normal 6 2 3 2 2 2 4" xfId="28105"/>
    <cellStyle name="Normal 6 2 3 2 2 3" xfId="18398"/>
    <cellStyle name="Normal 6 2 3 2 2 3 2" xfId="40985"/>
    <cellStyle name="Normal 6 2 3 2 2 4" xfId="15178"/>
    <cellStyle name="Normal 6 2 3 2 2 4 2" xfId="37765"/>
    <cellStyle name="Normal 6 2 3 2 2 5" xfId="8738"/>
    <cellStyle name="Normal 6 2 3 2 2 5 2" xfId="31325"/>
    <cellStyle name="Normal 6 2 3 2 2 6" xfId="24885"/>
    <cellStyle name="Normal 6 2 3 2 3" xfId="4210"/>
    <cellStyle name="Normal 6 2 3 2 3 2" xfId="20310"/>
    <cellStyle name="Normal 6 2 3 2 3 2 2" xfId="42897"/>
    <cellStyle name="Normal 6 2 3 2 3 3" xfId="10650"/>
    <cellStyle name="Normal 6 2 3 2 3 3 2" xfId="33237"/>
    <cellStyle name="Normal 6 2 3 2 3 4" xfId="26797"/>
    <cellStyle name="Normal 6 2 3 2 4" xfId="17090"/>
    <cellStyle name="Normal 6 2 3 2 4 2" xfId="39677"/>
    <cellStyle name="Normal 6 2 3 2 5" xfId="13870"/>
    <cellStyle name="Normal 6 2 3 2 5 2" xfId="36457"/>
    <cellStyle name="Normal 6 2 3 2 6" xfId="7430"/>
    <cellStyle name="Normal 6 2 3 2 6 2" xfId="30017"/>
    <cellStyle name="Normal 6 2 3 2 7" xfId="23577"/>
    <cellStyle name="Normal 6 2 3 3" xfId="1330"/>
    <cellStyle name="Normal 6 2 3 3 2" xfId="2644"/>
    <cellStyle name="Normal 6 2 3 3 2 2" xfId="5865"/>
    <cellStyle name="Normal 6 2 3 3 2 2 2" xfId="21965"/>
    <cellStyle name="Normal 6 2 3 3 2 2 2 2" xfId="44552"/>
    <cellStyle name="Normal 6 2 3 3 2 2 3" xfId="12305"/>
    <cellStyle name="Normal 6 2 3 3 2 2 3 2" xfId="34892"/>
    <cellStyle name="Normal 6 2 3 3 2 2 4" xfId="28452"/>
    <cellStyle name="Normal 6 2 3 3 2 3" xfId="18745"/>
    <cellStyle name="Normal 6 2 3 3 2 3 2" xfId="41332"/>
    <cellStyle name="Normal 6 2 3 3 2 4" xfId="15525"/>
    <cellStyle name="Normal 6 2 3 3 2 4 2" xfId="38112"/>
    <cellStyle name="Normal 6 2 3 3 2 5" xfId="9085"/>
    <cellStyle name="Normal 6 2 3 3 2 5 2" xfId="31672"/>
    <cellStyle name="Normal 6 2 3 3 2 6" xfId="25232"/>
    <cellStyle name="Normal 6 2 3 3 3" xfId="4557"/>
    <cellStyle name="Normal 6 2 3 3 3 2" xfId="20657"/>
    <cellStyle name="Normal 6 2 3 3 3 2 2" xfId="43244"/>
    <cellStyle name="Normal 6 2 3 3 3 3" xfId="10997"/>
    <cellStyle name="Normal 6 2 3 3 3 3 2" xfId="33584"/>
    <cellStyle name="Normal 6 2 3 3 3 4" xfId="27144"/>
    <cellStyle name="Normal 6 2 3 3 4" xfId="17437"/>
    <cellStyle name="Normal 6 2 3 3 4 2" xfId="40024"/>
    <cellStyle name="Normal 6 2 3 3 5" xfId="14217"/>
    <cellStyle name="Normal 6 2 3 3 5 2" xfId="36804"/>
    <cellStyle name="Normal 6 2 3 3 6" xfId="7777"/>
    <cellStyle name="Normal 6 2 3 3 6 2" xfId="30364"/>
    <cellStyle name="Normal 6 2 3 3 7" xfId="23924"/>
    <cellStyle name="Normal 6 2 3 4" xfId="1949"/>
    <cellStyle name="Normal 6 2 3 4 2" xfId="5171"/>
    <cellStyle name="Normal 6 2 3 4 2 2" xfId="21271"/>
    <cellStyle name="Normal 6 2 3 4 2 2 2" xfId="43858"/>
    <cellStyle name="Normal 6 2 3 4 2 3" xfId="11611"/>
    <cellStyle name="Normal 6 2 3 4 2 3 2" xfId="34198"/>
    <cellStyle name="Normal 6 2 3 4 2 4" xfId="27758"/>
    <cellStyle name="Normal 6 2 3 4 3" xfId="18051"/>
    <cellStyle name="Normal 6 2 3 4 3 2" xfId="40638"/>
    <cellStyle name="Normal 6 2 3 4 4" xfId="14831"/>
    <cellStyle name="Normal 6 2 3 4 4 2" xfId="37418"/>
    <cellStyle name="Normal 6 2 3 4 5" xfId="8391"/>
    <cellStyle name="Normal 6 2 3 4 5 2" xfId="30978"/>
    <cellStyle name="Normal 6 2 3 4 6" xfId="24538"/>
    <cellStyle name="Normal 6 2 3 5" xfId="3021"/>
    <cellStyle name="Normal 6 2 3 5 2" xfId="6241"/>
    <cellStyle name="Normal 6 2 3 5 2 2" xfId="22341"/>
    <cellStyle name="Normal 6 2 3 5 2 2 2" xfId="44928"/>
    <cellStyle name="Normal 6 2 3 5 2 3" xfId="12681"/>
    <cellStyle name="Normal 6 2 3 5 2 3 2" xfId="35268"/>
    <cellStyle name="Normal 6 2 3 5 2 4" xfId="28828"/>
    <cellStyle name="Normal 6 2 3 5 3" xfId="19121"/>
    <cellStyle name="Normal 6 2 3 5 3 2" xfId="41708"/>
    <cellStyle name="Normal 6 2 3 5 4" xfId="15901"/>
    <cellStyle name="Normal 6 2 3 5 4 2" xfId="38488"/>
    <cellStyle name="Normal 6 2 3 5 5" xfId="9461"/>
    <cellStyle name="Normal 6 2 3 5 5 2" xfId="32048"/>
    <cellStyle name="Normal 6 2 3 5 6" xfId="25608"/>
    <cellStyle name="Normal 6 2 3 6" xfId="3311"/>
    <cellStyle name="Normal 6 2 3 6 2" xfId="6531"/>
    <cellStyle name="Normal 6 2 3 6 2 2" xfId="22631"/>
    <cellStyle name="Normal 6 2 3 6 2 2 2" xfId="45218"/>
    <cellStyle name="Normal 6 2 3 6 2 3" xfId="12971"/>
    <cellStyle name="Normal 6 2 3 6 2 3 2" xfId="35558"/>
    <cellStyle name="Normal 6 2 3 6 2 4" xfId="29118"/>
    <cellStyle name="Normal 6 2 3 6 3" xfId="19411"/>
    <cellStyle name="Normal 6 2 3 6 3 2" xfId="41998"/>
    <cellStyle name="Normal 6 2 3 6 4" xfId="16191"/>
    <cellStyle name="Normal 6 2 3 6 4 2" xfId="38778"/>
    <cellStyle name="Normal 6 2 3 6 5" xfId="9751"/>
    <cellStyle name="Normal 6 2 3 6 5 2" xfId="32338"/>
    <cellStyle name="Normal 6 2 3 6 6" xfId="25898"/>
    <cellStyle name="Normal 6 2 3 7" xfId="594"/>
    <cellStyle name="Normal 6 2 3 7 2" xfId="3863"/>
    <cellStyle name="Normal 6 2 3 7 2 2" xfId="19963"/>
    <cellStyle name="Normal 6 2 3 7 2 2 2" xfId="42550"/>
    <cellStyle name="Normal 6 2 3 7 2 3" xfId="10303"/>
    <cellStyle name="Normal 6 2 3 7 2 3 2" xfId="32890"/>
    <cellStyle name="Normal 6 2 3 7 2 4" xfId="26450"/>
    <cellStyle name="Normal 6 2 3 7 3" xfId="16743"/>
    <cellStyle name="Normal 6 2 3 7 3 2" xfId="39330"/>
    <cellStyle name="Normal 6 2 3 7 4" xfId="13523"/>
    <cellStyle name="Normal 6 2 3 7 4 2" xfId="36110"/>
    <cellStyle name="Normal 6 2 3 7 5" xfId="7083"/>
    <cellStyle name="Normal 6 2 3 7 5 2" xfId="29670"/>
    <cellStyle name="Normal 6 2 3 7 6" xfId="23230"/>
    <cellStyle name="Normal 6 2 3 8" xfId="3601"/>
    <cellStyle name="Normal 6 2 3 8 2" xfId="19701"/>
    <cellStyle name="Normal 6 2 3 8 2 2" xfId="42288"/>
    <cellStyle name="Normal 6 2 3 8 3" xfId="10041"/>
    <cellStyle name="Normal 6 2 3 8 3 2" xfId="32628"/>
    <cellStyle name="Normal 6 2 3 8 4" xfId="26188"/>
    <cellStyle name="Normal 6 2 3 9" xfId="16481"/>
    <cellStyle name="Normal 6 2 3 9 2" xfId="39068"/>
    <cellStyle name="Normal 6 2 4" xfId="410"/>
    <cellStyle name="Normal 6 2 4 10" xfId="13357"/>
    <cellStyle name="Normal 6 2 4 10 2" xfId="35944"/>
    <cellStyle name="Normal 6 2 4 11" xfId="6917"/>
    <cellStyle name="Normal 6 2 4 11 2" xfId="29504"/>
    <cellStyle name="Normal 6 2 4 12" xfId="23064"/>
    <cellStyle name="Normal 6 2 4 2" xfId="1154"/>
    <cellStyle name="Normal 6 2 4 2 2" xfId="2468"/>
    <cellStyle name="Normal 6 2 4 2 2 2" xfId="5689"/>
    <cellStyle name="Normal 6 2 4 2 2 2 2" xfId="21789"/>
    <cellStyle name="Normal 6 2 4 2 2 2 2 2" xfId="44376"/>
    <cellStyle name="Normal 6 2 4 2 2 2 3" xfId="12129"/>
    <cellStyle name="Normal 6 2 4 2 2 2 3 2" xfId="34716"/>
    <cellStyle name="Normal 6 2 4 2 2 2 4" xfId="28276"/>
    <cellStyle name="Normal 6 2 4 2 2 3" xfId="18569"/>
    <cellStyle name="Normal 6 2 4 2 2 3 2" xfId="41156"/>
    <cellStyle name="Normal 6 2 4 2 2 4" xfId="15349"/>
    <cellStyle name="Normal 6 2 4 2 2 4 2" xfId="37936"/>
    <cellStyle name="Normal 6 2 4 2 2 5" xfId="8909"/>
    <cellStyle name="Normal 6 2 4 2 2 5 2" xfId="31496"/>
    <cellStyle name="Normal 6 2 4 2 2 6" xfId="25056"/>
    <cellStyle name="Normal 6 2 4 2 3" xfId="4381"/>
    <cellStyle name="Normal 6 2 4 2 3 2" xfId="20481"/>
    <cellStyle name="Normal 6 2 4 2 3 2 2" xfId="43068"/>
    <cellStyle name="Normal 6 2 4 2 3 3" xfId="10821"/>
    <cellStyle name="Normal 6 2 4 2 3 3 2" xfId="33408"/>
    <cellStyle name="Normal 6 2 4 2 3 4" xfId="26968"/>
    <cellStyle name="Normal 6 2 4 2 4" xfId="17261"/>
    <cellStyle name="Normal 6 2 4 2 4 2" xfId="39848"/>
    <cellStyle name="Normal 6 2 4 2 5" xfId="14041"/>
    <cellStyle name="Normal 6 2 4 2 5 2" xfId="36628"/>
    <cellStyle name="Normal 6 2 4 2 6" xfId="7601"/>
    <cellStyle name="Normal 6 2 4 2 6 2" xfId="30188"/>
    <cellStyle name="Normal 6 2 4 2 7" xfId="23748"/>
    <cellStyle name="Normal 6 2 4 3" xfId="1501"/>
    <cellStyle name="Normal 6 2 4 3 2" xfId="2815"/>
    <cellStyle name="Normal 6 2 4 3 2 2" xfId="6036"/>
    <cellStyle name="Normal 6 2 4 3 2 2 2" xfId="22136"/>
    <cellStyle name="Normal 6 2 4 3 2 2 2 2" xfId="44723"/>
    <cellStyle name="Normal 6 2 4 3 2 2 3" xfId="12476"/>
    <cellStyle name="Normal 6 2 4 3 2 2 3 2" xfId="35063"/>
    <cellStyle name="Normal 6 2 4 3 2 2 4" xfId="28623"/>
    <cellStyle name="Normal 6 2 4 3 2 3" xfId="18916"/>
    <cellStyle name="Normal 6 2 4 3 2 3 2" xfId="41503"/>
    <cellStyle name="Normal 6 2 4 3 2 4" xfId="15696"/>
    <cellStyle name="Normal 6 2 4 3 2 4 2" xfId="38283"/>
    <cellStyle name="Normal 6 2 4 3 2 5" xfId="9256"/>
    <cellStyle name="Normal 6 2 4 3 2 5 2" xfId="31843"/>
    <cellStyle name="Normal 6 2 4 3 2 6" xfId="25403"/>
    <cellStyle name="Normal 6 2 4 3 3" xfId="4728"/>
    <cellStyle name="Normal 6 2 4 3 3 2" xfId="20828"/>
    <cellStyle name="Normal 6 2 4 3 3 2 2" xfId="43415"/>
    <cellStyle name="Normal 6 2 4 3 3 3" xfId="11168"/>
    <cellStyle name="Normal 6 2 4 3 3 3 2" xfId="33755"/>
    <cellStyle name="Normal 6 2 4 3 3 4" xfId="27315"/>
    <cellStyle name="Normal 6 2 4 3 4" xfId="17608"/>
    <cellStyle name="Normal 6 2 4 3 4 2" xfId="40195"/>
    <cellStyle name="Normal 6 2 4 3 5" xfId="14388"/>
    <cellStyle name="Normal 6 2 4 3 5 2" xfId="36975"/>
    <cellStyle name="Normal 6 2 4 3 6" xfId="7948"/>
    <cellStyle name="Normal 6 2 4 3 6 2" xfId="30535"/>
    <cellStyle name="Normal 6 2 4 3 7" xfId="24095"/>
    <cellStyle name="Normal 6 2 4 4" xfId="2121"/>
    <cellStyle name="Normal 6 2 4 4 2" xfId="5342"/>
    <cellStyle name="Normal 6 2 4 4 2 2" xfId="21442"/>
    <cellStyle name="Normal 6 2 4 4 2 2 2" xfId="44029"/>
    <cellStyle name="Normal 6 2 4 4 2 3" xfId="11782"/>
    <cellStyle name="Normal 6 2 4 4 2 3 2" xfId="34369"/>
    <cellStyle name="Normal 6 2 4 4 2 4" xfId="27929"/>
    <cellStyle name="Normal 6 2 4 4 3" xfId="18222"/>
    <cellStyle name="Normal 6 2 4 4 3 2" xfId="40809"/>
    <cellStyle name="Normal 6 2 4 4 4" xfId="15002"/>
    <cellStyle name="Normal 6 2 4 4 4 2" xfId="37589"/>
    <cellStyle name="Normal 6 2 4 4 5" xfId="8562"/>
    <cellStyle name="Normal 6 2 4 4 5 2" xfId="31149"/>
    <cellStyle name="Normal 6 2 4 4 6" xfId="24709"/>
    <cellStyle name="Normal 6 2 4 5" xfId="3117"/>
    <cellStyle name="Normal 6 2 4 5 2" xfId="6337"/>
    <cellStyle name="Normal 6 2 4 5 2 2" xfId="22437"/>
    <cellStyle name="Normal 6 2 4 5 2 2 2" xfId="45024"/>
    <cellStyle name="Normal 6 2 4 5 2 3" xfId="12777"/>
    <cellStyle name="Normal 6 2 4 5 2 3 2" xfId="35364"/>
    <cellStyle name="Normal 6 2 4 5 2 4" xfId="28924"/>
    <cellStyle name="Normal 6 2 4 5 3" xfId="19217"/>
    <cellStyle name="Normal 6 2 4 5 3 2" xfId="41804"/>
    <cellStyle name="Normal 6 2 4 5 4" xfId="15997"/>
    <cellStyle name="Normal 6 2 4 5 4 2" xfId="38584"/>
    <cellStyle name="Normal 6 2 4 5 5" xfId="9557"/>
    <cellStyle name="Normal 6 2 4 5 5 2" xfId="32144"/>
    <cellStyle name="Normal 6 2 4 5 6" xfId="25704"/>
    <cellStyle name="Normal 6 2 4 6" xfId="3407"/>
    <cellStyle name="Normal 6 2 4 6 2" xfId="6627"/>
    <cellStyle name="Normal 6 2 4 6 2 2" xfId="22727"/>
    <cellStyle name="Normal 6 2 4 6 2 2 2" xfId="45314"/>
    <cellStyle name="Normal 6 2 4 6 2 3" xfId="13067"/>
    <cellStyle name="Normal 6 2 4 6 2 3 2" xfId="35654"/>
    <cellStyle name="Normal 6 2 4 6 2 4" xfId="29214"/>
    <cellStyle name="Normal 6 2 4 6 3" xfId="19507"/>
    <cellStyle name="Normal 6 2 4 6 3 2" xfId="42094"/>
    <cellStyle name="Normal 6 2 4 6 4" xfId="16287"/>
    <cellStyle name="Normal 6 2 4 6 4 2" xfId="38874"/>
    <cellStyle name="Normal 6 2 4 6 5" xfId="9847"/>
    <cellStyle name="Normal 6 2 4 6 5 2" xfId="32434"/>
    <cellStyle name="Normal 6 2 4 6 6" xfId="25994"/>
    <cellStyle name="Normal 6 2 4 7" xfId="802"/>
    <cellStyle name="Normal 6 2 4 7 2" xfId="4034"/>
    <cellStyle name="Normal 6 2 4 7 2 2" xfId="20134"/>
    <cellStyle name="Normal 6 2 4 7 2 2 2" xfId="42721"/>
    <cellStyle name="Normal 6 2 4 7 2 3" xfId="10474"/>
    <cellStyle name="Normal 6 2 4 7 2 3 2" xfId="33061"/>
    <cellStyle name="Normal 6 2 4 7 2 4" xfId="26621"/>
    <cellStyle name="Normal 6 2 4 7 3" xfId="16914"/>
    <cellStyle name="Normal 6 2 4 7 3 2" xfId="39501"/>
    <cellStyle name="Normal 6 2 4 7 4" xfId="13694"/>
    <cellStyle name="Normal 6 2 4 7 4 2" xfId="36281"/>
    <cellStyle name="Normal 6 2 4 7 5" xfId="7254"/>
    <cellStyle name="Normal 6 2 4 7 5 2" xfId="29841"/>
    <cellStyle name="Normal 6 2 4 7 6" xfId="23401"/>
    <cellStyle name="Normal 6 2 4 8" xfId="3697"/>
    <cellStyle name="Normal 6 2 4 8 2" xfId="19797"/>
    <cellStyle name="Normal 6 2 4 8 2 2" xfId="42384"/>
    <cellStyle name="Normal 6 2 4 8 3" xfId="10137"/>
    <cellStyle name="Normal 6 2 4 8 3 2" xfId="32724"/>
    <cellStyle name="Normal 6 2 4 8 4" xfId="26284"/>
    <cellStyle name="Normal 6 2 4 9" xfId="16577"/>
    <cellStyle name="Normal 6 2 4 9 2" xfId="39164"/>
    <cellStyle name="Normal 6 2 5" xfId="909"/>
    <cellStyle name="Normal 6 2 5 2" xfId="2228"/>
    <cellStyle name="Normal 6 2 5 2 2" xfId="5449"/>
    <cellStyle name="Normal 6 2 5 2 2 2" xfId="21549"/>
    <cellStyle name="Normal 6 2 5 2 2 2 2" xfId="44136"/>
    <cellStyle name="Normal 6 2 5 2 2 3" xfId="11889"/>
    <cellStyle name="Normal 6 2 5 2 2 3 2" xfId="34476"/>
    <cellStyle name="Normal 6 2 5 2 2 4" xfId="28036"/>
    <cellStyle name="Normal 6 2 5 2 3" xfId="18329"/>
    <cellStyle name="Normal 6 2 5 2 3 2" xfId="40916"/>
    <cellStyle name="Normal 6 2 5 2 4" xfId="15109"/>
    <cellStyle name="Normal 6 2 5 2 4 2" xfId="37696"/>
    <cellStyle name="Normal 6 2 5 2 5" xfId="8669"/>
    <cellStyle name="Normal 6 2 5 2 5 2" xfId="31256"/>
    <cellStyle name="Normal 6 2 5 2 6" xfId="24816"/>
    <cellStyle name="Normal 6 2 5 3" xfId="4141"/>
    <cellStyle name="Normal 6 2 5 3 2" xfId="20241"/>
    <cellStyle name="Normal 6 2 5 3 2 2" xfId="42828"/>
    <cellStyle name="Normal 6 2 5 3 3" xfId="10581"/>
    <cellStyle name="Normal 6 2 5 3 3 2" xfId="33168"/>
    <cellStyle name="Normal 6 2 5 3 4" xfId="26728"/>
    <cellStyle name="Normal 6 2 5 4" xfId="17021"/>
    <cellStyle name="Normal 6 2 5 4 2" xfId="39608"/>
    <cellStyle name="Normal 6 2 5 5" xfId="13801"/>
    <cellStyle name="Normal 6 2 5 5 2" xfId="36388"/>
    <cellStyle name="Normal 6 2 5 6" xfId="7361"/>
    <cellStyle name="Normal 6 2 5 6 2" xfId="29948"/>
    <cellStyle name="Normal 6 2 5 7" xfId="23508"/>
    <cellStyle name="Normal 6 2 6" xfId="1261"/>
    <cellStyle name="Normal 6 2 6 2" xfId="2575"/>
    <cellStyle name="Normal 6 2 6 2 2" xfId="5796"/>
    <cellStyle name="Normal 6 2 6 2 2 2" xfId="21896"/>
    <cellStyle name="Normal 6 2 6 2 2 2 2" xfId="44483"/>
    <cellStyle name="Normal 6 2 6 2 2 3" xfId="12236"/>
    <cellStyle name="Normal 6 2 6 2 2 3 2" xfId="34823"/>
    <cellStyle name="Normal 6 2 6 2 2 4" xfId="28383"/>
    <cellStyle name="Normal 6 2 6 2 3" xfId="18676"/>
    <cellStyle name="Normal 6 2 6 2 3 2" xfId="41263"/>
    <cellStyle name="Normal 6 2 6 2 4" xfId="15456"/>
    <cellStyle name="Normal 6 2 6 2 4 2" xfId="38043"/>
    <cellStyle name="Normal 6 2 6 2 5" xfId="9016"/>
    <cellStyle name="Normal 6 2 6 2 5 2" xfId="31603"/>
    <cellStyle name="Normal 6 2 6 2 6" xfId="25163"/>
    <cellStyle name="Normal 6 2 6 3" xfId="4488"/>
    <cellStyle name="Normal 6 2 6 3 2" xfId="20588"/>
    <cellStyle name="Normal 6 2 6 3 2 2" xfId="43175"/>
    <cellStyle name="Normal 6 2 6 3 3" xfId="10928"/>
    <cellStyle name="Normal 6 2 6 3 3 2" xfId="33515"/>
    <cellStyle name="Normal 6 2 6 3 4" xfId="27075"/>
    <cellStyle name="Normal 6 2 6 4" xfId="17368"/>
    <cellStyle name="Normal 6 2 6 4 2" xfId="39955"/>
    <cellStyle name="Normal 6 2 6 5" xfId="14148"/>
    <cellStyle name="Normal 6 2 6 5 2" xfId="36735"/>
    <cellStyle name="Normal 6 2 6 6" xfId="7708"/>
    <cellStyle name="Normal 6 2 6 6 2" xfId="30295"/>
    <cellStyle name="Normal 6 2 6 7" xfId="23855"/>
    <cellStyle name="Normal 6 2 7" xfId="1689"/>
    <cellStyle name="Normal 6 2 7 2" xfId="4912"/>
    <cellStyle name="Normal 6 2 7 2 2" xfId="21012"/>
    <cellStyle name="Normal 6 2 7 2 2 2" xfId="43599"/>
    <cellStyle name="Normal 6 2 7 2 3" xfId="11352"/>
    <cellStyle name="Normal 6 2 7 2 3 2" xfId="33939"/>
    <cellStyle name="Normal 6 2 7 2 4" xfId="27499"/>
    <cellStyle name="Normal 6 2 7 3" xfId="17792"/>
    <cellStyle name="Normal 6 2 7 3 2" xfId="40379"/>
    <cellStyle name="Normal 6 2 7 4" xfId="14572"/>
    <cellStyle name="Normal 6 2 7 4 2" xfId="37159"/>
    <cellStyle name="Normal 6 2 7 5" xfId="8132"/>
    <cellStyle name="Normal 6 2 7 5 2" xfId="30719"/>
    <cellStyle name="Normal 6 2 7 6" xfId="24279"/>
    <cellStyle name="Normal 6 2 8" xfId="1880"/>
    <cellStyle name="Normal 6 2 8 2" xfId="5102"/>
    <cellStyle name="Normal 6 2 8 2 2" xfId="21202"/>
    <cellStyle name="Normal 6 2 8 2 2 2" xfId="43789"/>
    <cellStyle name="Normal 6 2 8 2 3" xfId="11542"/>
    <cellStyle name="Normal 6 2 8 2 3 2" xfId="34129"/>
    <cellStyle name="Normal 6 2 8 2 4" xfId="27689"/>
    <cellStyle name="Normal 6 2 8 3" xfId="17982"/>
    <cellStyle name="Normal 6 2 8 3 2" xfId="40569"/>
    <cellStyle name="Normal 6 2 8 4" xfId="14762"/>
    <cellStyle name="Normal 6 2 8 4 2" xfId="37349"/>
    <cellStyle name="Normal 6 2 8 5" xfId="8322"/>
    <cellStyle name="Normal 6 2 8 5 2" xfId="30909"/>
    <cellStyle name="Normal 6 2 8 6" xfId="24469"/>
    <cellStyle name="Normal 6 2 9" xfId="2923"/>
    <cellStyle name="Normal 6 2 9 2" xfId="6144"/>
    <cellStyle name="Normal 6 2 9 2 2" xfId="22244"/>
    <cellStyle name="Normal 6 2 9 2 2 2" xfId="44831"/>
    <cellStyle name="Normal 6 2 9 2 3" xfId="12584"/>
    <cellStyle name="Normal 6 2 9 2 3 2" xfId="35171"/>
    <cellStyle name="Normal 6 2 9 2 4" xfId="28731"/>
    <cellStyle name="Normal 6 2 9 3" xfId="19024"/>
    <cellStyle name="Normal 6 2 9 3 2" xfId="41611"/>
    <cellStyle name="Normal 6 2 9 4" xfId="15804"/>
    <cellStyle name="Normal 6 2 9 4 2" xfId="38391"/>
    <cellStyle name="Normal 6 2 9 5" xfId="9364"/>
    <cellStyle name="Normal 6 2 9 5 2" xfId="31951"/>
    <cellStyle name="Normal 6 2 9 6" xfId="25511"/>
    <cellStyle name="Normal 7" xfId="89"/>
    <cellStyle name="Normal 7 10" xfId="1190"/>
    <cellStyle name="Normal 7 10 2" xfId="2504"/>
    <cellStyle name="Normal 7 10 2 2" xfId="5725"/>
    <cellStyle name="Normal 7 10 2 2 2" xfId="21825"/>
    <cellStyle name="Normal 7 10 2 2 2 2" xfId="44412"/>
    <cellStyle name="Normal 7 10 2 2 3" xfId="12165"/>
    <cellStyle name="Normal 7 10 2 2 3 2" xfId="34752"/>
    <cellStyle name="Normal 7 10 2 2 4" xfId="28312"/>
    <cellStyle name="Normal 7 10 2 3" xfId="18605"/>
    <cellStyle name="Normal 7 10 2 3 2" xfId="41192"/>
    <cellStyle name="Normal 7 10 2 4" xfId="15385"/>
    <cellStyle name="Normal 7 10 2 4 2" xfId="37972"/>
    <cellStyle name="Normal 7 10 2 5" xfId="8945"/>
    <cellStyle name="Normal 7 10 2 5 2" xfId="31532"/>
    <cellStyle name="Normal 7 10 2 6" xfId="25092"/>
    <cellStyle name="Normal 7 10 3" xfId="4417"/>
    <cellStyle name="Normal 7 10 3 2" xfId="20517"/>
    <cellStyle name="Normal 7 10 3 2 2" xfId="43104"/>
    <cellStyle name="Normal 7 10 3 3" xfId="10857"/>
    <cellStyle name="Normal 7 10 3 3 2" xfId="33444"/>
    <cellStyle name="Normal 7 10 3 4" xfId="27004"/>
    <cellStyle name="Normal 7 10 4" xfId="17297"/>
    <cellStyle name="Normal 7 10 4 2" xfId="39884"/>
    <cellStyle name="Normal 7 10 5" xfId="14077"/>
    <cellStyle name="Normal 7 10 5 2" xfId="36664"/>
    <cellStyle name="Normal 7 10 6" xfId="7637"/>
    <cellStyle name="Normal 7 10 6 2" xfId="30224"/>
    <cellStyle name="Normal 7 10 7" xfId="23784"/>
    <cellStyle name="Normal 7 11" xfId="1690"/>
    <cellStyle name="Normal 7 11 2" xfId="4913"/>
    <cellStyle name="Normal 7 11 2 2" xfId="21013"/>
    <cellStyle name="Normal 7 11 2 2 2" xfId="43600"/>
    <cellStyle name="Normal 7 11 2 3" xfId="11353"/>
    <cellStyle name="Normal 7 11 2 3 2" xfId="33940"/>
    <cellStyle name="Normal 7 11 2 4" xfId="27500"/>
    <cellStyle name="Normal 7 11 3" xfId="17793"/>
    <cellStyle name="Normal 7 11 3 2" xfId="40380"/>
    <cellStyle name="Normal 7 11 4" xfId="14573"/>
    <cellStyle name="Normal 7 11 4 2" xfId="37160"/>
    <cellStyle name="Normal 7 11 5" xfId="8133"/>
    <cellStyle name="Normal 7 11 5 2" xfId="30720"/>
    <cellStyle name="Normal 7 11 6" xfId="24280"/>
    <cellStyle name="Normal 7 12" xfId="1809"/>
    <cellStyle name="Normal 7 12 2" xfId="5031"/>
    <cellStyle name="Normal 7 12 2 2" xfId="21131"/>
    <cellStyle name="Normal 7 12 2 2 2" xfId="43718"/>
    <cellStyle name="Normal 7 12 2 3" xfId="11471"/>
    <cellStyle name="Normal 7 12 2 3 2" xfId="34058"/>
    <cellStyle name="Normal 7 12 2 4" xfId="27618"/>
    <cellStyle name="Normal 7 12 3" xfId="17911"/>
    <cellStyle name="Normal 7 12 3 2" xfId="40498"/>
    <cellStyle name="Normal 7 12 4" xfId="14691"/>
    <cellStyle name="Normal 7 12 4 2" xfId="37278"/>
    <cellStyle name="Normal 7 12 5" xfId="8251"/>
    <cellStyle name="Normal 7 12 5 2" xfId="30838"/>
    <cellStyle name="Normal 7 12 6" xfId="24398"/>
    <cellStyle name="Normal 7 13" xfId="2852"/>
    <cellStyle name="Normal 7 13 2" xfId="6073"/>
    <cellStyle name="Normal 7 13 2 2" xfId="22173"/>
    <cellStyle name="Normal 7 13 2 2 2" xfId="44760"/>
    <cellStyle name="Normal 7 13 2 3" xfId="12513"/>
    <cellStyle name="Normal 7 13 2 3 2" xfId="35100"/>
    <cellStyle name="Normal 7 13 2 4" xfId="28660"/>
    <cellStyle name="Normal 7 13 3" xfId="18953"/>
    <cellStyle name="Normal 7 13 3 2" xfId="41540"/>
    <cellStyle name="Normal 7 13 4" xfId="15733"/>
    <cellStyle name="Normal 7 13 4 2" xfId="38320"/>
    <cellStyle name="Normal 7 13 5" xfId="9293"/>
    <cellStyle name="Normal 7 13 5 2" xfId="31880"/>
    <cellStyle name="Normal 7 13 6" xfId="25440"/>
    <cellStyle name="Normal 7 14" xfId="3143"/>
    <cellStyle name="Normal 7 14 2" xfId="6363"/>
    <cellStyle name="Normal 7 14 2 2" xfId="22463"/>
    <cellStyle name="Normal 7 14 2 2 2" xfId="45050"/>
    <cellStyle name="Normal 7 14 2 3" xfId="12803"/>
    <cellStyle name="Normal 7 14 2 3 2" xfId="35390"/>
    <cellStyle name="Normal 7 14 2 4" xfId="28950"/>
    <cellStyle name="Normal 7 14 3" xfId="19243"/>
    <cellStyle name="Normal 7 14 3 2" xfId="41830"/>
    <cellStyle name="Normal 7 14 4" xfId="16023"/>
    <cellStyle name="Normal 7 14 4 2" xfId="38610"/>
    <cellStyle name="Normal 7 14 5" xfId="9583"/>
    <cellStyle name="Normal 7 14 5 2" xfId="32170"/>
    <cellStyle name="Normal 7 14 6" xfId="25730"/>
    <cellStyle name="Normal 7 15" xfId="436"/>
    <cellStyle name="Normal 7 15 2" xfId="3723"/>
    <cellStyle name="Normal 7 15 2 2" xfId="19823"/>
    <cellStyle name="Normal 7 15 2 2 2" xfId="42410"/>
    <cellStyle name="Normal 7 15 2 3" xfId="10163"/>
    <cellStyle name="Normal 7 15 2 3 2" xfId="32750"/>
    <cellStyle name="Normal 7 15 2 4" xfId="26310"/>
    <cellStyle name="Normal 7 15 3" xfId="16603"/>
    <cellStyle name="Normal 7 15 3 2" xfId="39190"/>
    <cellStyle name="Normal 7 15 4" xfId="13383"/>
    <cellStyle name="Normal 7 15 4 2" xfId="35970"/>
    <cellStyle name="Normal 7 15 5" xfId="6943"/>
    <cellStyle name="Normal 7 15 5 2" xfId="29530"/>
    <cellStyle name="Normal 7 15 6" xfId="23090"/>
    <cellStyle name="Normal 7 16" xfId="3433"/>
    <cellStyle name="Normal 7 16 2" xfId="19533"/>
    <cellStyle name="Normal 7 16 2 2" xfId="42120"/>
    <cellStyle name="Normal 7 16 3" xfId="9873"/>
    <cellStyle name="Normal 7 16 3 2" xfId="32460"/>
    <cellStyle name="Normal 7 16 4" xfId="26020"/>
    <cellStyle name="Normal 7 17" xfId="16313"/>
    <cellStyle name="Normal 7 17 2" xfId="38900"/>
    <cellStyle name="Normal 7 18" xfId="13093"/>
    <cellStyle name="Normal 7 18 2" xfId="35680"/>
    <cellStyle name="Normal 7 19" xfId="6653"/>
    <cellStyle name="Normal 7 19 2" xfId="29240"/>
    <cellStyle name="Normal 7 2" xfId="98"/>
    <cellStyle name="Normal 7 2 10" xfId="1691"/>
    <cellStyle name="Normal 7 2 10 2" xfId="4914"/>
    <cellStyle name="Normal 7 2 10 2 2" xfId="21014"/>
    <cellStyle name="Normal 7 2 10 2 2 2" xfId="43601"/>
    <cellStyle name="Normal 7 2 10 2 3" xfId="11354"/>
    <cellStyle name="Normal 7 2 10 2 3 2" xfId="33941"/>
    <cellStyle name="Normal 7 2 10 2 4" xfId="27501"/>
    <cellStyle name="Normal 7 2 10 3" xfId="17794"/>
    <cellStyle name="Normal 7 2 10 3 2" xfId="40381"/>
    <cellStyle name="Normal 7 2 10 4" xfId="14574"/>
    <cellStyle name="Normal 7 2 10 4 2" xfId="37161"/>
    <cellStyle name="Normal 7 2 10 5" xfId="8134"/>
    <cellStyle name="Normal 7 2 10 5 2" xfId="30721"/>
    <cellStyle name="Normal 7 2 10 6" xfId="24281"/>
    <cellStyle name="Normal 7 2 11" xfId="1814"/>
    <cellStyle name="Normal 7 2 11 2" xfId="5036"/>
    <cellStyle name="Normal 7 2 11 2 2" xfId="21136"/>
    <cellStyle name="Normal 7 2 11 2 2 2" xfId="43723"/>
    <cellStyle name="Normal 7 2 11 2 3" xfId="11476"/>
    <cellStyle name="Normal 7 2 11 2 3 2" xfId="34063"/>
    <cellStyle name="Normal 7 2 11 2 4" xfId="27623"/>
    <cellStyle name="Normal 7 2 11 3" xfId="17916"/>
    <cellStyle name="Normal 7 2 11 3 2" xfId="40503"/>
    <cellStyle name="Normal 7 2 11 4" xfId="14696"/>
    <cellStyle name="Normal 7 2 11 4 2" xfId="37283"/>
    <cellStyle name="Normal 7 2 11 5" xfId="8256"/>
    <cellStyle name="Normal 7 2 11 5 2" xfId="30843"/>
    <cellStyle name="Normal 7 2 11 6" xfId="24403"/>
    <cellStyle name="Normal 7 2 12" xfId="2857"/>
    <cellStyle name="Normal 7 2 12 2" xfId="6078"/>
    <cellStyle name="Normal 7 2 12 2 2" xfId="22178"/>
    <cellStyle name="Normal 7 2 12 2 2 2" xfId="44765"/>
    <cellStyle name="Normal 7 2 12 2 3" xfId="12518"/>
    <cellStyle name="Normal 7 2 12 2 3 2" xfId="35105"/>
    <cellStyle name="Normal 7 2 12 2 4" xfId="28665"/>
    <cellStyle name="Normal 7 2 12 3" xfId="18958"/>
    <cellStyle name="Normal 7 2 12 3 2" xfId="41545"/>
    <cellStyle name="Normal 7 2 12 4" xfId="15738"/>
    <cellStyle name="Normal 7 2 12 4 2" xfId="38325"/>
    <cellStyle name="Normal 7 2 12 5" xfId="9298"/>
    <cellStyle name="Normal 7 2 12 5 2" xfId="31885"/>
    <cellStyle name="Normal 7 2 12 6" xfId="25445"/>
    <cellStyle name="Normal 7 2 13" xfId="3148"/>
    <cellStyle name="Normal 7 2 13 2" xfId="6368"/>
    <cellStyle name="Normal 7 2 13 2 2" xfId="22468"/>
    <cellStyle name="Normal 7 2 13 2 2 2" xfId="45055"/>
    <cellStyle name="Normal 7 2 13 2 3" xfId="12808"/>
    <cellStyle name="Normal 7 2 13 2 3 2" xfId="35395"/>
    <cellStyle name="Normal 7 2 13 2 4" xfId="28955"/>
    <cellStyle name="Normal 7 2 13 3" xfId="19248"/>
    <cellStyle name="Normal 7 2 13 3 2" xfId="41835"/>
    <cellStyle name="Normal 7 2 13 4" xfId="16028"/>
    <cellStyle name="Normal 7 2 13 4 2" xfId="38615"/>
    <cellStyle name="Normal 7 2 13 5" xfId="9588"/>
    <cellStyle name="Normal 7 2 13 5 2" xfId="32175"/>
    <cellStyle name="Normal 7 2 13 6" xfId="25735"/>
    <cellStyle name="Normal 7 2 14" xfId="441"/>
    <cellStyle name="Normal 7 2 14 2" xfId="3728"/>
    <cellStyle name="Normal 7 2 14 2 2" xfId="19828"/>
    <cellStyle name="Normal 7 2 14 2 2 2" xfId="42415"/>
    <cellStyle name="Normal 7 2 14 2 3" xfId="10168"/>
    <cellStyle name="Normal 7 2 14 2 3 2" xfId="32755"/>
    <cellStyle name="Normal 7 2 14 2 4" xfId="26315"/>
    <cellStyle name="Normal 7 2 14 3" xfId="16608"/>
    <cellStyle name="Normal 7 2 14 3 2" xfId="39195"/>
    <cellStyle name="Normal 7 2 14 4" xfId="13388"/>
    <cellStyle name="Normal 7 2 14 4 2" xfId="35975"/>
    <cellStyle name="Normal 7 2 14 5" xfId="6948"/>
    <cellStyle name="Normal 7 2 14 5 2" xfId="29535"/>
    <cellStyle name="Normal 7 2 14 6" xfId="23095"/>
    <cellStyle name="Normal 7 2 15" xfId="3438"/>
    <cellStyle name="Normal 7 2 15 2" xfId="19538"/>
    <cellStyle name="Normal 7 2 15 2 2" xfId="42125"/>
    <cellStyle name="Normal 7 2 15 3" xfId="9878"/>
    <cellStyle name="Normal 7 2 15 3 2" xfId="32465"/>
    <cellStyle name="Normal 7 2 15 4" xfId="26025"/>
    <cellStyle name="Normal 7 2 16" xfId="16318"/>
    <cellStyle name="Normal 7 2 16 2" xfId="38905"/>
    <cellStyle name="Normal 7 2 17" xfId="13098"/>
    <cellStyle name="Normal 7 2 17 2" xfId="35685"/>
    <cellStyle name="Normal 7 2 18" xfId="6658"/>
    <cellStyle name="Normal 7 2 18 2" xfId="29245"/>
    <cellStyle name="Normal 7 2 19" xfId="22805"/>
    <cellStyle name="Normal 7 2 2" xfId="117"/>
    <cellStyle name="Normal 7 2 2 10" xfId="2873"/>
    <cellStyle name="Normal 7 2 2 10 2" xfId="6094"/>
    <cellStyle name="Normal 7 2 2 10 2 2" xfId="22194"/>
    <cellStyle name="Normal 7 2 2 10 2 2 2" xfId="44781"/>
    <cellStyle name="Normal 7 2 2 10 2 3" xfId="12534"/>
    <cellStyle name="Normal 7 2 2 10 2 3 2" xfId="35121"/>
    <cellStyle name="Normal 7 2 2 10 2 4" xfId="28681"/>
    <cellStyle name="Normal 7 2 2 10 3" xfId="18974"/>
    <cellStyle name="Normal 7 2 2 10 3 2" xfId="41561"/>
    <cellStyle name="Normal 7 2 2 10 4" xfId="15754"/>
    <cellStyle name="Normal 7 2 2 10 4 2" xfId="38341"/>
    <cellStyle name="Normal 7 2 2 10 5" xfId="9314"/>
    <cellStyle name="Normal 7 2 2 10 5 2" xfId="31901"/>
    <cellStyle name="Normal 7 2 2 10 6" xfId="25461"/>
    <cellStyle name="Normal 7 2 2 11" xfId="3164"/>
    <cellStyle name="Normal 7 2 2 11 2" xfId="6384"/>
    <cellStyle name="Normal 7 2 2 11 2 2" xfId="22484"/>
    <cellStyle name="Normal 7 2 2 11 2 2 2" xfId="45071"/>
    <cellStyle name="Normal 7 2 2 11 2 3" xfId="12824"/>
    <cellStyle name="Normal 7 2 2 11 2 3 2" xfId="35411"/>
    <cellStyle name="Normal 7 2 2 11 2 4" xfId="28971"/>
    <cellStyle name="Normal 7 2 2 11 3" xfId="19264"/>
    <cellStyle name="Normal 7 2 2 11 3 2" xfId="41851"/>
    <cellStyle name="Normal 7 2 2 11 4" xfId="16044"/>
    <cellStyle name="Normal 7 2 2 11 4 2" xfId="38631"/>
    <cellStyle name="Normal 7 2 2 11 5" xfId="9604"/>
    <cellStyle name="Normal 7 2 2 11 5 2" xfId="32191"/>
    <cellStyle name="Normal 7 2 2 11 6" xfId="25751"/>
    <cellStyle name="Normal 7 2 2 12" xfId="457"/>
    <cellStyle name="Normal 7 2 2 12 2" xfId="3744"/>
    <cellStyle name="Normal 7 2 2 12 2 2" xfId="19844"/>
    <cellStyle name="Normal 7 2 2 12 2 2 2" xfId="42431"/>
    <cellStyle name="Normal 7 2 2 12 2 3" xfId="10184"/>
    <cellStyle name="Normal 7 2 2 12 2 3 2" xfId="32771"/>
    <cellStyle name="Normal 7 2 2 12 2 4" xfId="26331"/>
    <cellStyle name="Normal 7 2 2 12 3" xfId="16624"/>
    <cellStyle name="Normal 7 2 2 12 3 2" xfId="39211"/>
    <cellStyle name="Normal 7 2 2 12 4" xfId="13404"/>
    <cellStyle name="Normal 7 2 2 12 4 2" xfId="35991"/>
    <cellStyle name="Normal 7 2 2 12 5" xfId="6964"/>
    <cellStyle name="Normal 7 2 2 12 5 2" xfId="29551"/>
    <cellStyle name="Normal 7 2 2 12 6" xfId="23111"/>
    <cellStyle name="Normal 7 2 2 13" xfId="3454"/>
    <cellStyle name="Normal 7 2 2 13 2" xfId="19554"/>
    <cellStyle name="Normal 7 2 2 13 2 2" xfId="42141"/>
    <cellStyle name="Normal 7 2 2 13 3" xfId="9894"/>
    <cellStyle name="Normal 7 2 2 13 3 2" xfId="32481"/>
    <cellStyle name="Normal 7 2 2 13 4" xfId="26041"/>
    <cellStyle name="Normal 7 2 2 14" xfId="16334"/>
    <cellStyle name="Normal 7 2 2 14 2" xfId="38921"/>
    <cellStyle name="Normal 7 2 2 15" xfId="13114"/>
    <cellStyle name="Normal 7 2 2 15 2" xfId="35701"/>
    <cellStyle name="Normal 7 2 2 16" xfId="6674"/>
    <cellStyle name="Normal 7 2 2 16 2" xfId="29261"/>
    <cellStyle name="Normal 7 2 2 17" xfId="22821"/>
    <cellStyle name="Normal 7 2 2 2" xfId="202"/>
    <cellStyle name="Normal 7 2 2 2 10" xfId="494"/>
    <cellStyle name="Normal 7 2 2 2 10 2" xfId="3781"/>
    <cellStyle name="Normal 7 2 2 2 10 2 2" xfId="19881"/>
    <cellStyle name="Normal 7 2 2 2 10 2 2 2" xfId="42468"/>
    <cellStyle name="Normal 7 2 2 2 10 2 3" xfId="10221"/>
    <cellStyle name="Normal 7 2 2 2 10 2 3 2" xfId="32808"/>
    <cellStyle name="Normal 7 2 2 2 10 2 4" xfId="26368"/>
    <cellStyle name="Normal 7 2 2 2 10 3" xfId="16661"/>
    <cellStyle name="Normal 7 2 2 2 10 3 2" xfId="39248"/>
    <cellStyle name="Normal 7 2 2 2 10 4" xfId="13441"/>
    <cellStyle name="Normal 7 2 2 2 10 4 2" xfId="36028"/>
    <cellStyle name="Normal 7 2 2 2 10 5" xfId="7001"/>
    <cellStyle name="Normal 7 2 2 2 10 5 2" xfId="29588"/>
    <cellStyle name="Normal 7 2 2 2 10 6" xfId="23148"/>
    <cellStyle name="Normal 7 2 2 2 11" xfId="3491"/>
    <cellStyle name="Normal 7 2 2 2 11 2" xfId="19591"/>
    <cellStyle name="Normal 7 2 2 2 11 2 2" xfId="42178"/>
    <cellStyle name="Normal 7 2 2 2 11 3" xfId="9931"/>
    <cellStyle name="Normal 7 2 2 2 11 3 2" xfId="32518"/>
    <cellStyle name="Normal 7 2 2 2 11 4" xfId="26078"/>
    <cellStyle name="Normal 7 2 2 2 12" xfId="16371"/>
    <cellStyle name="Normal 7 2 2 2 12 2" xfId="38958"/>
    <cellStyle name="Normal 7 2 2 2 13" xfId="13151"/>
    <cellStyle name="Normal 7 2 2 2 13 2" xfId="35738"/>
    <cellStyle name="Normal 7 2 2 2 14" xfId="6711"/>
    <cellStyle name="Normal 7 2 2 2 14 2" xfId="29298"/>
    <cellStyle name="Normal 7 2 2 2 15" xfId="22858"/>
    <cellStyle name="Normal 7 2 2 2 2" xfId="301"/>
    <cellStyle name="Normal 7 2 2 2 2 10" xfId="16468"/>
    <cellStyle name="Normal 7 2 2 2 2 10 2" xfId="39055"/>
    <cellStyle name="Normal 7 2 2 2 2 11" xfId="13248"/>
    <cellStyle name="Normal 7 2 2 2 2 11 2" xfId="35835"/>
    <cellStyle name="Normal 7 2 2 2 2 12" xfId="6808"/>
    <cellStyle name="Normal 7 2 2 2 2 12 2" xfId="29395"/>
    <cellStyle name="Normal 7 2 2 2 2 13" xfId="22955"/>
    <cellStyle name="Normal 7 2 2 2 2 2" xfId="1020"/>
    <cellStyle name="Normal 7 2 2 2 2 2 2" xfId="2334"/>
    <cellStyle name="Normal 7 2 2 2 2 2 2 2" xfId="5555"/>
    <cellStyle name="Normal 7 2 2 2 2 2 2 2 2" xfId="21655"/>
    <cellStyle name="Normal 7 2 2 2 2 2 2 2 2 2" xfId="44242"/>
    <cellStyle name="Normal 7 2 2 2 2 2 2 2 3" xfId="11995"/>
    <cellStyle name="Normal 7 2 2 2 2 2 2 2 3 2" xfId="34582"/>
    <cellStyle name="Normal 7 2 2 2 2 2 2 2 4" xfId="28142"/>
    <cellStyle name="Normal 7 2 2 2 2 2 2 3" xfId="18435"/>
    <cellStyle name="Normal 7 2 2 2 2 2 2 3 2" xfId="41022"/>
    <cellStyle name="Normal 7 2 2 2 2 2 2 4" xfId="15215"/>
    <cellStyle name="Normal 7 2 2 2 2 2 2 4 2" xfId="37802"/>
    <cellStyle name="Normal 7 2 2 2 2 2 2 5" xfId="8775"/>
    <cellStyle name="Normal 7 2 2 2 2 2 2 5 2" xfId="31362"/>
    <cellStyle name="Normal 7 2 2 2 2 2 2 6" xfId="24922"/>
    <cellStyle name="Normal 7 2 2 2 2 2 3" xfId="4247"/>
    <cellStyle name="Normal 7 2 2 2 2 2 3 2" xfId="20347"/>
    <cellStyle name="Normal 7 2 2 2 2 2 3 2 2" xfId="42934"/>
    <cellStyle name="Normal 7 2 2 2 2 2 3 3" xfId="10687"/>
    <cellStyle name="Normal 7 2 2 2 2 2 3 3 2" xfId="33274"/>
    <cellStyle name="Normal 7 2 2 2 2 2 3 4" xfId="26834"/>
    <cellStyle name="Normal 7 2 2 2 2 2 4" xfId="17127"/>
    <cellStyle name="Normal 7 2 2 2 2 2 4 2" xfId="39714"/>
    <cellStyle name="Normal 7 2 2 2 2 2 5" xfId="13907"/>
    <cellStyle name="Normal 7 2 2 2 2 2 5 2" xfId="36494"/>
    <cellStyle name="Normal 7 2 2 2 2 2 6" xfId="7467"/>
    <cellStyle name="Normal 7 2 2 2 2 2 6 2" xfId="30054"/>
    <cellStyle name="Normal 7 2 2 2 2 2 7" xfId="23614"/>
    <cellStyle name="Normal 7 2 2 2 2 3" xfId="1367"/>
    <cellStyle name="Normal 7 2 2 2 2 3 2" xfId="2681"/>
    <cellStyle name="Normal 7 2 2 2 2 3 2 2" xfId="5902"/>
    <cellStyle name="Normal 7 2 2 2 2 3 2 2 2" xfId="22002"/>
    <cellStyle name="Normal 7 2 2 2 2 3 2 2 2 2" xfId="44589"/>
    <cellStyle name="Normal 7 2 2 2 2 3 2 2 3" xfId="12342"/>
    <cellStyle name="Normal 7 2 2 2 2 3 2 2 3 2" xfId="34929"/>
    <cellStyle name="Normal 7 2 2 2 2 3 2 2 4" xfId="28489"/>
    <cellStyle name="Normal 7 2 2 2 2 3 2 3" xfId="18782"/>
    <cellStyle name="Normal 7 2 2 2 2 3 2 3 2" xfId="41369"/>
    <cellStyle name="Normal 7 2 2 2 2 3 2 4" xfId="15562"/>
    <cellStyle name="Normal 7 2 2 2 2 3 2 4 2" xfId="38149"/>
    <cellStyle name="Normal 7 2 2 2 2 3 2 5" xfId="9122"/>
    <cellStyle name="Normal 7 2 2 2 2 3 2 5 2" xfId="31709"/>
    <cellStyle name="Normal 7 2 2 2 2 3 2 6" xfId="25269"/>
    <cellStyle name="Normal 7 2 2 2 2 3 3" xfId="4594"/>
    <cellStyle name="Normal 7 2 2 2 2 3 3 2" xfId="20694"/>
    <cellStyle name="Normal 7 2 2 2 2 3 3 2 2" xfId="43281"/>
    <cellStyle name="Normal 7 2 2 2 2 3 3 3" xfId="11034"/>
    <cellStyle name="Normal 7 2 2 2 2 3 3 3 2" xfId="33621"/>
    <cellStyle name="Normal 7 2 2 2 2 3 3 4" xfId="27181"/>
    <cellStyle name="Normal 7 2 2 2 2 3 4" xfId="17474"/>
    <cellStyle name="Normal 7 2 2 2 2 3 4 2" xfId="40061"/>
    <cellStyle name="Normal 7 2 2 2 2 3 5" xfId="14254"/>
    <cellStyle name="Normal 7 2 2 2 2 3 5 2" xfId="36841"/>
    <cellStyle name="Normal 7 2 2 2 2 3 6" xfId="7814"/>
    <cellStyle name="Normal 7 2 2 2 2 3 6 2" xfId="30401"/>
    <cellStyle name="Normal 7 2 2 2 2 3 7" xfId="23961"/>
    <cellStyle name="Normal 7 2 2 2 2 4" xfId="1692"/>
    <cellStyle name="Normal 7 2 2 2 2 4 2" xfId="4915"/>
    <cellStyle name="Normal 7 2 2 2 2 4 2 2" xfId="21015"/>
    <cellStyle name="Normal 7 2 2 2 2 4 2 2 2" xfId="43602"/>
    <cellStyle name="Normal 7 2 2 2 2 4 2 3" xfId="11355"/>
    <cellStyle name="Normal 7 2 2 2 2 4 2 3 2" xfId="33942"/>
    <cellStyle name="Normal 7 2 2 2 2 4 2 4" xfId="27502"/>
    <cellStyle name="Normal 7 2 2 2 2 4 3" xfId="17795"/>
    <cellStyle name="Normal 7 2 2 2 2 4 3 2" xfId="40382"/>
    <cellStyle name="Normal 7 2 2 2 2 4 4" xfId="14575"/>
    <cellStyle name="Normal 7 2 2 2 2 4 4 2" xfId="37162"/>
    <cellStyle name="Normal 7 2 2 2 2 4 5" xfId="8135"/>
    <cellStyle name="Normal 7 2 2 2 2 4 5 2" xfId="30722"/>
    <cellStyle name="Normal 7 2 2 2 2 4 6" xfId="24282"/>
    <cellStyle name="Normal 7 2 2 2 2 5" xfId="1986"/>
    <cellStyle name="Normal 7 2 2 2 2 5 2" xfId="5208"/>
    <cellStyle name="Normal 7 2 2 2 2 5 2 2" xfId="21308"/>
    <cellStyle name="Normal 7 2 2 2 2 5 2 2 2" xfId="43895"/>
    <cellStyle name="Normal 7 2 2 2 2 5 2 3" xfId="11648"/>
    <cellStyle name="Normal 7 2 2 2 2 5 2 3 2" xfId="34235"/>
    <cellStyle name="Normal 7 2 2 2 2 5 2 4" xfId="27795"/>
    <cellStyle name="Normal 7 2 2 2 2 5 3" xfId="18088"/>
    <cellStyle name="Normal 7 2 2 2 2 5 3 2" xfId="40675"/>
    <cellStyle name="Normal 7 2 2 2 2 5 4" xfId="14868"/>
    <cellStyle name="Normal 7 2 2 2 2 5 4 2" xfId="37455"/>
    <cellStyle name="Normal 7 2 2 2 2 5 5" xfId="8428"/>
    <cellStyle name="Normal 7 2 2 2 2 5 5 2" xfId="31015"/>
    <cellStyle name="Normal 7 2 2 2 2 5 6" xfId="24575"/>
    <cellStyle name="Normal 7 2 2 2 2 6" xfId="3008"/>
    <cellStyle name="Normal 7 2 2 2 2 6 2" xfId="6228"/>
    <cellStyle name="Normal 7 2 2 2 2 6 2 2" xfId="22328"/>
    <cellStyle name="Normal 7 2 2 2 2 6 2 2 2" xfId="44915"/>
    <cellStyle name="Normal 7 2 2 2 2 6 2 3" xfId="12668"/>
    <cellStyle name="Normal 7 2 2 2 2 6 2 3 2" xfId="35255"/>
    <cellStyle name="Normal 7 2 2 2 2 6 2 4" xfId="28815"/>
    <cellStyle name="Normal 7 2 2 2 2 6 3" xfId="19108"/>
    <cellStyle name="Normal 7 2 2 2 2 6 3 2" xfId="41695"/>
    <cellStyle name="Normal 7 2 2 2 2 6 4" xfId="15888"/>
    <cellStyle name="Normal 7 2 2 2 2 6 4 2" xfId="38475"/>
    <cellStyle name="Normal 7 2 2 2 2 6 5" xfId="9448"/>
    <cellStyle name="Normal 7 2 2 2 2 6 5 2" xfId="32035"/>
    <cellStyle name="Normal 7 2 2 2 2 6 6" xfId="25595"/>
    <cellStyle name="Normal 7 2 2 2 2 7" xfId="3298"/>
    <cellStyle name="Normal 7 2 2 2 2 7 2" xfId="6518"/>
    <cellStyle name="Normal 7 2 2 2 2 7 2 2" xfId="22618"/>
    <cellStyle name="Normal 7 2 2 2 2 7 2 2 2" xfId="45205"/>
    <cellStyle name="Normal 7 2 2 2 2 7 2 3" xfId="12958"/>
    <cellStyle name="Normal 7 2 2 2 2 7 2 3 2" xfId="35545"/>
    <cellStyle name="Normal 7 2 2 2 2 7 2 4" xfId="29105"/>
    <cellStyle name="Normal 7 2 2 2 2 7 3" xfId="19398"/>
    <cellStyle name="Normal 7 2 2 2 2 7 3 2" xfId="41985"/>
    <cellStyle name="Normal 7 2 2 2 2 7 4" xfId="16178"/>
    <cellStyle name="Normal 7 2 2 2 2 7 4 2" xfId="38765"/>
    <cellStyle name="Normal 7 2 2 2 2 7 5" xfId="9738"/>
    <cellStyle name="Normal 7 2 2 2 2 7 5 2" xfId="32325"/>
    <cellStyle name="Normal 7 2 2 2 2 7 6" xfId="25885"/>
    <cellStyle name="Normal 7 2 2 2 2 8" xfId="656"/>
    <cellStyle name="Normal 7 2 2 2 2 8 2" xfId="3900"/>
    <cellStyle name="Normal 7 2 2 2 2 8 2 2" xfId="20000"/>
    <cellStyle name="Normal 7 2 2 2 2 8 2 2 2" xfId="42587"/>
    <cellStyle name="Normal 7 2 2 2 2 8 2 3" xfId="10340"/>
    <cellStyle name="Normal 7 2 2 2 2 8 2 3 2" xfId="32927"/>
    <cellStyle name="Normal 7 2 2 2 2 8 2 4" xfId="26487"/>
    <cellStyle name="Normal 7 2 2 2 2 8 3" xfId="16780"/>
    <cellStyle name="Normal 7 2 2 2 2 8 3 2" xfId="39367"/>
    <cellStyle name="Normal 7 2 2 2 2 8 4" xfId="13560"/>
    <cellStyle name="Normal 7 2 2 2 2 8 4 2" xfId="36147"/>
    <cellStyle name="Normal 7 2 2 2 2 8 5" xfId="7120"/>
    <cellStyle name="Normal 7 2 2 2 2 8 5 2" xfId="29707"/>
    <cellStyle name="Normal 7 2 2 2 2 8 6" xfId="23267"/>
    <cellStyle name="Normal 7 2 2 2 2 9" xfId="3588"/>
    <cellStyle name="Normal 7 2 2 2 2 9 2" xfId="19688"/>
    <cellStyle name="Normal 7 2 2 2 2 9 2 2" xfId="42275"/>
    <cellStyle name="Normal 7 2 2 2 2 9 3" xfId="10028"/>
    <cellStyle name="Normal 7 2 2 2 2 9 3 2" xfId="32615"/>
    <cellStyle name="Normal 7 2 2 2 2 9 4" xfId="26175"/>
    <cellStyle name="Normal 7 2 2 2 3" xfId="397"/>
    <cellStyle name="Normal 7 2 2 2 3 10" xfId="16564"/>
    <cellStyle name="Normal 7 2 2 2 3 10 2" xfId="39151"/>
    <cellStyle name="Normal 7 2 2 2 3 11" xfId="13344"/>
    <cellStyle name="Normal 7 2 2 2 3 11 2" xfId="35931"/>
    <cellStyle name="Normal 7 2 2 2 3 12" xfId="6904"/>
    <cellStyle name="Normal 7 2 2 2 3 12 2" xfId="29491"/>
    <cellStyle name="Normal 7 2 2 2 3 13" xfId="23051"/>
    <cellStyle name="Normal 7 2 2 2 3 2" xfId="1179"/>
    <cellStyle name="Normal 7 2 2 2 3 2 2" xfId="2493"/>
    <cellStyle name="Normal 7 2 2 2 3 2 2 2" xfId="5714"/>
    <cellStyle name="Normal 7 2 2 2 3 2 2 2 2" xfId="21814"/>
    <cellStyle name="Normal 7 2 2 2 3 2 2 2 2 2" xfId="44401"/>
    <cellStyle name="Normal 7 2 2 2 3 2 2 2 3" xfId="12154"/>
    <cellStyle name="Normal 7 2 2 2 3 2 2 2 3 2" xfId="34741"/>
    <cellStyle name="Normal 7 2 2 2 3 2 2 2 4" xfId="28301"/>
    <cellStyle name="Normal 7 2 2 2 3 2 2 3" xfId="18594"/>
    <cellStyle name="Normal 7 2 2 2 3 2 2 3 2" xfId="41181"/>
    <cellStyle name="Normal 7 2 2 2 3 2 2 4" xfId="15374"/>
    <cellStyle name="Normal 7 2 2 2 3 2 2 4 2" xfId="37961"/>
    <cellStyle name="Normal 7 2 2 2 3 2 2 5" xfId="8934"/>
    <cellStyle name="Normal 7 2 2 2 3 2 2 5 2" xfId="31521"/>
    <cellStyle name="Normal 7 2 2 2 3 2 2 6" xfId="25081"/>
    <cellStyle name="Normal 7 2 2 2 3 2 3" xfId="4406"/>
    <cellStyle name="Normal 7 2 2 2 3 2 3 2" xfId="20506"/>
    <cellStyle name="Normal 7 2 2 2 3 2 3 2 2" xfId="43093"/>
    <cellStyle name="Normal 7 2 2 2 3 2 3 3" xfId="10846"/>
    <cellStyle name="Normal 7 2 2 2 3 2 3 3 2" xfId="33433"/>
    <cellStyle name="Normal 7 2 2 2 3 2 3 4" xfId="26993"/>
    <cellStyle name="Normal 7 2 2 2 3 2 4" xfId="17286"/>
    <cellStyle name="Normal 7 2 2 2 3 2 4 2" xfId="39873"/>
    <cellStyle name="Normal 7 2 2 2 3 2 5" xfId="14066"/>
    <cellStyle name="Normal 7 2 2 2 3 2 5 2" xfId="36653"/>
    <cellStyle name="Normal 7 2 2 2 3 2 6" xfId="7626"/>
    <cellStyle name="Normal 7 2 2 2 3 2 6 2" xfId="30213"/>
    <cellStyle name="Normal 7 2 2 2 3 2 7" xfId="23773"/>
    <cellStyle name="Normal 7 2 2 2 3 3" xfId="1526"/>
    <cellStyle name="Normal 7 2 2 2 3 3 2" xfId="2840"/>
    <cellStyle name="Normal 7 2 2 2 3 3 2 2" xfId="6061"/>
    <cellStyle name="Normal 7 2 2 2 3 3 2 2 2" xfId="22161"/>
    <cellStyle name="Normal 7 2 2 2 3 3 2 2 2 2" xfId="44748"/>
    <cellStyle name="Normal 7 2 2 2 3 3 2 2 3" xfId="12501"/>
    <cellStyle name="Normal 7 2 2 2 3 3 2 2 3 2" xfId="35088"/>
    <cellStyle name="Normal 7 2 2 2 3 3 2 2 4" xfId="28648"/>
    <cellStyle name="Normal 7 2 2 2 3 3 2 3" xfId="18941"/>
    <cellStyle name="Normal 7 2 2 2 3 3 2 3 2" xfId="41528"/>
    <cellStyle name="Normal 7 2 2 2 3 3 2 4" xfId="15721"/>
    <cellStyle name="Normal 7 2 2 2 3 3 2 4 2" xfId="38308"/>
    <cellStyle name="Normal 7 2 2 2 3 3 2 5" xfId="9281"/>
    <cellStyle name="Normal 7 2 2 2 3 3 2 5 2" xfId="31868"/>
    <cellStyle name="Normal 7 2 2 2 3 3 2 6" xfId="25428"/>
    <cellStyle name="Normal 7 2 2 2 3 3 3" xfId="4753"/>
    <cellStyle name="Normal 7 2 2 2 3 3 3 2" xfId="20853"/>
    <cellStyle name="Normal 7 2 2 2 3 3 3 2 2" xfId="43440"/>
    <cellStyle name="Normal 7 2 2 2 3 3 3 3" xfId="11193"/>
    <cellStyle name="Normal 7 2 2 2 3 3 3 3 2" xfId="33780"/>
    <cellStyle name="Normal 7 2 2 2 3 3 3 4" xfId="27340"/>
    <cellStyle name="Normal 7 2 2 2 3 3 4" xfId="17633"/>
    <cellStyle name="Normal 7 2 2 2 3 3 4 2" xfId="40220"/>
    <cellStyle name="Normal 7 2 2 2 3 3 5" xfId="14413"/>
    <cellStyle name="Normal 7 2 2 2 3 3 5 2" xfId="37000"/>
    <cellStyle name="Normal 7 2 2 2 3 3 6" xfId="7973"/>
    <cellStyle name="Normal 7 2 2 2 3 3 6 2" xfId="30560"/>
    <cellStyle name="Normal 7 2 2 2 3 3 7" xfId="24120"/>
    <cellStyle name="Normal 7 2 2 2 3 4" xfId="1693"/>
    <cellStyle name="Normal 7 2 2 2 3 4 2" xfId="4916"/>
    <cellStyle name="Normal 7 2 2 2 3 4 2 2" xfId="21016"/>
    <cellStyle name="Normal 7 2 2 2 3 4 2 2 2" xfId="43603"/>
    <cellStyle name="Normal 7 2 2 2 3 4 2 3" xfId="11356"/>
    <cellStyle name="Normal 7 2 2 2 3 4 2 3 2" xfId="33943"/>
    <cellStyle name="Normal 7 2 2 2 3 4 2 4" xfId="27503"/>
    <cellStyle name="Normal 7 2 2 2 3 4 3" xfId="17796"/>
    <cellStyle name="Normal 7 2 2 2 3 4 3 2" xfId="40383"/>
    <cellStyle name="Normal 7 2 2 2 3 4 4" xfId="14576"/>
    <cellStyle name="Normal 7 2 2 2 3 4 4 2" xfId="37163"/>
    <cellStyle name="Normal 7 2 2 2 3 4 5" xfId="8136"/>
    <cellStyle name="Normal 7 2 2 2 3 4 5 2" xfId="30723"/>
    <cellStyle name="Normal 7 2 2 2 3 4 6" xfId="24283"/>
    <cellStyle name="Normal 7 2 2 2 3 5" xfId="2146"/>
    <cellStyle name="Normal 7 2 2 2 3 5 2" xfId="5367"/>
    <cellStyle name="Normal 7 2 2 2 3 5 2 2" xfId="21467"/>
    <cellStyle name="Normal 7 2 2 2 3 5 2 2 2" xfId="44054"/>
    <cellStyle name="Normal 7 2 2 2 3 5 2 3" xfId="11807"/>
    <cellStyle name="Normal 7 2 2 2 3 5 2 3 2" xfId="34394"/>
    <cellStyle name="Normal 7 2 2 2 3 5 2 4" xfId="27954"/>
    <cellStyle name="Normal 7 2 2 2 3 5 3" xfId="18247"/>
    <cellStyle name="Normal 7 2 2 2 3 5 3 2" xfId="40834"/>
    <cellStyle name="Normal 7 2 2 2 3 5 4" xfId="15027"/>
    <cellStyle name="Normal 7 2 2 2 3 5 4 2" xfId="37614"/>
    <cellStyle name="Normal 7 2 2 2 3 5 5" xfId="8587"/>
    <cellStyle name="Normal 7 2 2 2 3 5 5 2" xfId="31174"/>
    <cellStyle name="Normal 7 2 2 2 3 5 6" xfId="24734"/>
    <cellStyle name="Normal 7 2 2 2 3 6" xfId="3104"/>
    <cellStyle name="Normal 7 2 2 2 3 6 2" xfId="6324"/>
    <cellStyle name="Normal 7 2 2 2 3 6 2 2" xfId="22424"/>
    <cellStyle name="Normal 7 2 2 2 3 6 2 2 2" xfId="45011"/>
    <cellStyle name="Normal 7 2 2 2 3 6 2 3" xfId="12764"/>
    <cellStyle name="Normal 7 2 2 2 3 6 2 3 2" xfId="35351"/>
    <cellStyle name="Normal 7 2 2 2 3 6 2 4" xfId="28911"/>
    <cellStyle name="Normal 7 2 2 2 3 6 3" xfId="19204"/>
    <cellStyle name="Normal 7 2 2 2 3 6 3 2" xfId="41791"/>
    <cellStyle name="Normal 7 2 2 2 3 6 4" xfId="15984"/>
    <cellStyle name="Normal 7 2 2 2 3 6 4 2" xfId="38571"/>
    <cellStyle name="Normal 7 2 2 2 3 6 5" xfId="9544"/>
    <cellStyle name="Normal 7 2 2 2 3 6 5 2" xfId="32131"/>
    <cellStyle name="Normal 7 2 2 2 3 6 6" xfId="25691"/>
    <cellStyle name="Normal 7 2 2 2 3 7" xfId="3394"/>
    <cellStyle name="Normal 7 2 2 2 3 7 2" xfId="6614"/>
    <cellStyle name="Normal 7 2 2 2 3 7 2 2" xfId="22714"/>
    <cellStyle name="Normal 7 2 2 2 3 7 2 2 2" xfId="45301"/>
    <cellStyle name="Normal 7 2 2 2 3 7 2 3" xfId="13054"/>
    <cellStyle name="Normal 7 2 2 2 3 7 2 3 2" xfId="35641"/>
    <cellStyle name="Normal 7 2 2 2 3 7 2 4" xfId="29201"/>
    <cellStyle name="Normal 7 2 2 2 3 7 3" xfId="19494"/>
    <cellStyle name="Normal 7 2 2 2 3 7 3 2" xfId="42081"/>
    <cellStyle name="Normal 7 2 2 2 3 7 4" xfId="16274"/>
    <cellStyle name="Normal 7 2 2 2 3 7 4 2" xfId="38861"/>
    <cellStyle name="Normal 7 2 2 2 3 7 5" xfId="9834"/>
    <cellStyle name="Normal 7 2 2 2 3 7 5 2" xfId="32421"/>
    <cellStyle name="Normal 7 2 2 2 3 7 6" xfId="25981"/>
    <cellStyle name="Normal 7 2 2 2 3 8" xfId="827"/>
    <cellStyle name="Normal 7 2 2 2 3 8 2" xfId="4059"/>
    <cellStyle name="Normal 7 2 2 2 3 8 2 2" xfId="20159"/>
    <cellStyle name="Normal 7 2 2 2 3 8 2 2 2" xfId="42746"/>
    <cellStyle name="Normal 7 2 2 2 3 8 2 3" xfId="10499"/>
    <cellStyle name="Normal 7 2 2 2 3 8 2 3 2" xfId="33086"/>
    <cellStyle name="Normal 7 2 2 2 3 8 2 4" xfId="26646"/>
    <cellStyle name="Normal 7 2 2 2 3 8 3" xfId="16939"/>
    <cellStyle name="Normal 7 2 2 2 3 8 3 2" xfId="39526"/>
    <cellStyle name="Normal 7 2 2 2 3 8 4" xfId="13719"/>
    <cellStyle name="Normal 7 2 2 2 3 8 4 2" xfId="36306"/>
    <cellStyle name="Normal 7 2 2 2 3 8 5" xfId="7279"/>
    <cellStyle name="Normal 7 2 2 2 3 8 5 2" xfId="29866"/>
    <cellStyle name="Normal 7 2 2 2 3 8 6" xfId="23426"/>
    <cellStyle name="Normal 7 2 2 2 3 9" xfId="3684"/>
    <cellStyle name="Normal 7 2 2 2 3 9 2" xfId="19784"/>
    <cellStyle name="Normal 7 2 2 2 3 9 2 2" xfId="42371"/>
    <cellStyle name="Normal 7 2 2 2 3 9 3" xfId="10124"/>
    <cellStyle name="Normal 7 2 2 2 3 9 3 2" xfId="32711"/>
    <cellStyle name="Normal 7 2 2 2 3 9 4" xfId="26271"/>
    <cellStyle name="Normal 7 2 2 2 4" xfId="896"/>
    <cellStyle name="Normal 7 2 2 2 4 2" xfId="2215"/>
    <cellStyle name="Normal 7 2 2 2 4 2 2" xfId="5436"/>
    <cellStyle name="Normal 7 2 2 2 4 2 2 2" xfId="21536"/>
    <cellStyle name="Normal 7 2 2 2 4 2 2 2 2" xfId="44123"/>
    <cellStyle name="Normal 7 2 2 2 4 2 2 3" xfId="11876"/>
    <cellStyle name="Normal 7 2 2 2 4 2 2 3 2" xfId="34463"/>
    <cellStyle name="Normal 7 2 2 2 4 2 2 4" xfId="28023"/>
    <cellStyle name="Normal 7 2 2 2 4 2 3" xfId="18316"/>
    <cellStyle name="Normal 7 2 2 2 4 2 3 2" xfId="40903"/>
    <cellStyle name="Normal 7 2 2 2 4 2 4" xfId="15096"/>
    <cellStyle name="Normal 7 2 2 2 4 2 4 2" xfId="37683"/>
    <cellStyle name="Normal 7 2 2 2 4 2 5" xfId="8656"/>
    <cellStyle name="Normal 7 2 2 2 4 2 5 2" xfId="31243"/>
    <cellStyle name="Normal 7 2 2 2 4 2 6" xfId="24803"/>
    <cellStyle name="Normal 7 2 2 2 4 3" xfId="4128"/>
    <cellStyle name="Normal 7 2 2 2 4 3 2" xfId="20228"/>
    <cellStyle name="Normal 7 2 2 2 4 3 2 2" xfId="42815"/>
    <cellStyle name="Normal 7 2 2 2 4 3 3" xfId="10568"/>
    <cellStyle name="Normal 7 2 2 2 4 3 3 2" xfId="33155"/>
    <cellStyle name="Normal 7 2 2 2 4 3 4" xfId="26715"/>
    <cellStyle name="Normal 7 2 2 2 4 4" xfId="17008"/>
    <cellStyle name="Normal 7 2 2 2 4 4 2" xfId="39595"/>
    <cellStyle name="Normal 7 2 2 2 4 5" xfId="13788"/>
    <cellStyle name="Normal 7 2 2 2 4 5 2" xfId="36375"/>
    <cellStyle name="Normal 7 2 2 2 4 6" xfId="7348"/>
    <cellStyle name="Normal 7 2 2 2 4 6 2" xfId="29935"/>
    <cellStyle name="Normal 7 2 2 2 4 7" xfId="23495"/>
    <cellStyle name="Normal 7 2 2 2 5" xfId="1248"/>
    <cellStyle name="Normal 7 2 2 2 5 2" xfId="2562"/>
    <cellStyle name="Normal 7 2 2 2 5 2 2" xfId="5783"/>
    <cellStyle name="Normal 7 2 2 2 5 2 2 2" xfId="21883"/>
    <cellStyle name="Normal 7 2 2 2 5 2 2 2 2" xfId="44470"/>
    <cellStyle name="Normal 7 2 2 2 5 2 2 3" xfId="12223"/>
    <cellStyle name="Normal 7 2 2 2 5 2 2 3 2" xfId="34810"/>
    <cellStyle name="Normal 7 2 2 2 5 2 2 4" xfId="28370"/>
    <cellStyle name="Normal 7 2 2 2 5 2 3" xfId="18663"/>
    <cellStyle name="Normal 7 2 2 2 5 2 3 2" xfId="41250"/>
    <cellStyle name="Normal 7 2 2 2 5 2 4" xfId="15443"/>
    <cellStyle name="Normal 7 2 2 2 5 2 4 2" xfId="38030"/>
    <cellStyle name="Normal 7 2 2 2 5 2 5" xfId="9003"/>
    <cellStyle name="Normal 7 2 2 2 5 2 5 2" xfId="31590"/>
    <cellStyle name="Normal 7 2 2 2 5 2 6" xfId="25150"/>
    <cellStyle name="Normal 7 2 2 2 5 3" xfId="4475"/>
    <cellStyle name="Normal 7 2 2 2 5 3 2" xfId="20575"/>
    <cellStyle name="Normal 7 2 2 2 5 3 2 2" xfId="43162"/>
    <cellStyle name="Normal 7 2 2 2 5 3 3" xfId="10915"/>
    <cellStyle name="Normal 7 2 2 2 5 3 3 2" xfId="33502"/>
    <cellStyle name="Normal 7 2 2 2 5 3 4" xfId="27062"/>
    <cellStyle name="Normal 7 2 2 2 5 4" xfId="17355"/>
    <cellStyle name="Normal 7 2 2 2 5 4 2" xfId="39942"/>
    <cellStyle name="Normal 7 2 2 2 5 5" xfId="14135"/>
    <cellStyle name="Normal 7 2 2 2 5 5 2" xfId="36722"/>
    <cellStyle name="Normal 7 2 2 2 5 6" xfId="7695"/>
    <cellStyle name="Normal 7 2 2 2 5 6 2" xfId="30282"/>
    <cellStyle name="Normal 7 2 2 2 5 7" xfId="23842"/>
    <cellStyle name="Normal 7 2 2 2 6" xfId="1694"/>
    <cellStyle name="Normal 7 2 2 2 6 2" xfId="4917"/>
    <cellStyle name="Normal 7 2 2 2 6 2 2" xfId="21017"/>
    <cellStyle name="Normal 7 2 2 2 6 2 2 2" xfId="43604"/>
    <cellStyle name="Normal 7 2 2 2 6 2 3" xfId="11357"/>
    <cellStyle name="Normal 7 2 2 2 6 2 3 2" xfId="33944"/>
    <cellStyle name="Normal 7 2 2 2 6 2 4" xfId="27504"/>
    <cellStyle name="Normal 7 2 2 2 6 3" xfId="17797"/>
    <cellStyle name="Normal 7 2 2 2 6 3 2" xfId="40384"/>
    <cellStyle name="Normal 7 2 2 2 6 4" xfId="14577"/>
    <cellStyle name="Normal 7 2 2 2 6 4 2" xfId="37164"/>
    <cellStyle name="Normal 7 2 2 2 6 5" xfId="8137"/>
    <cellStyle name="Normal 7 2 2 2 6 5 2" xfId="30724"/>
    <cellStyle name="Normal 7 2 2 2 6 6" xfId="24284"/>
    <cellStyle name="Normal 7 2 2 2 7" xfId="1867"/>
    <cellStyle name="Normal 7 2 2 2 7 2" xfId="5089"/>
    <cellStyle name="Normal 7 2 2 2 7 2 2" xfId="21189"/>
    <cellStyle name="Normal 7 2 2 2 7 2 2 2" xfId="43776"/>
    <cellStyle name="Normal 7 2 2 2 7 2 3" xfId="11529"/>
    <cellStyle name="Normal 7 2 2 2 7 2 3 2" xfId="34116"/>
    <cellStyle name="Normal 7 2 2 2 7 2 4" xfId="27676"/>
    <cellStyle name="Normal 7 2 2 2 7 3" xfId="17969"/>
    <cellStyle name="Normal 7 2 2 2 7 3 2" xfId="40556"/>
    <cellStyle name="Normal 7 2 2 2 7 4" xfId="14749"/>
    <cellStyle name="Normal 7 2 2 2 7 4 2" xfId="37336"/>
    <cellStyle name="Normal 7 2 2 2 7 5" xfId="8309"/>
    <cellStyle name="Normal 7 2 2 2 7 5 2" xfId="30896"/>
    <cellStyle name="Normal 7 2 2 2 7 6" xfId="24456"/>
    <cellStyle name="Normal 7 2 2 2 8" xfId="2910"/>
    <cellStyle name="Normal 7 2 2 2 8 2" xfId="6131"/>
    <cellStyle name="Normal 7 2 2 2 8 2 2" xfId="22231"/>
    <cellStyle name="Normal 7 2 2 2 8 2 2 2" xfId="44818"/>
    <cellStyle name="Normal 7 2 2 2 8 2 3" xfId="12571"/>
    <cellStyle name="Normal 7 2 2 2 8 2 3 2" xfId="35158"/>
    <cellStyle name="Normal 7 2 2 2 8 2 4" xfId="28718"/>
    <cellStyle name="Normal 7 2 2 2 8 3" xfId="19011"/>
    <cellStyle name="Normal 7 2 2 2 8 3 2" xfId="41598"/>
    <cellStyle name="Normal 7 2 2 2 8 4" xfId="15791"/>
    <cellStyle name="Normal 7 2 2 2 8 4 2" xfId="38378"/>
    <cellStyle name="Normal 7 2 2 2 8 5" xfId="9351"/>
    <cellStyle name="Normal 7 2 2 2 8 5 2" xfId="31938"/>
    <cellStyle name="Normal 7 2 2 2 8 6" xfId="25498"/>
    <cellStyle name="Normal 7 2 2 2 9" xfId="3201"/>
    <cellStyle name="Normal 7 2 2 2 9 2" xfId="6421"/>
    <cellStyle name="Normal 7 2 2 2 9 2 2" xfId="22521"/>
    <cellStyle name="Normal 7 2 2 2 9 2 2 2" xfId="45108"/>
    <cellStyle name="Normal 7 2 2 2 9 2 3" xfId="12861"/>
    <cellStyle name="Normal 7 2 2 2 9 2 3 2" xfId="35448"/>
    <cellStyle name="Normal 7 2 2 2 9 2 4" xfId="29008"/>
    <cellStyle name="Normal 7 2 2 2 9 3" xfId="19301"/>
    <cellStyle name="Normal 7 2 2 2 9 3 2" xfId="41888"/>
    <cellStyle name="Normal 7 2 2 2 9 4" xfId="16081"/>
    <cellStyle name="Normal 7 2 2 2 9 4 2" xfId="38668"/>
    <cellStyle name="Normal 7 2 2 2 9 5" xfId="9641"/>
    <cellStyle name="Normal 7 2 2 2 9 5 2" xfId="32228"/>
    <cellStyle name="Normal 7 2 2 2 9 6" xfId="25788"/>
    <cellStyle name="Normal 7 2 2 3" xfId="260"/>
    <cellStyle name="Normal 7 2 2 3 10" xfId="3547"/>
    <cellStyle name="Normal 7 2 2 3 10 2" xfId="19647"/>
    <cellStyle name="Normal 7 2 2 3 10 2 2" xfId="42234"/>
    <cellStyle name="Normal 7 2 2 3 10 3" xfId="9987"/>
    <cellStyle name="Normal 7 2 2 3 10 3 2" xfId="32574"/>
    <cellStyle name="Normal 7 2 2 3 10 4" xfId="26134"/>
    <cellStyle name="Normal 7 2 2 3 11" xfId="16427"/>
    <cellStyle name="Normal 7 2 2 3 11 2" xfId="39014"/>
    <cellStyle name="Normal 7 2 2 3 12" xfId="13207"/>
    <cellStyle name="Normal 7 2 2 3 12 2" xfId="35794"/>
    <cellStyle name="Normal 7 2 2 3 13" xfId="6767"/>
    <cellStyle name="Normal 7 2 2 3 13 2" xfId="29354"/>
    <cellStyle name="Normal 7 2 2 3 14" xfId="22914"/>
    <cellStyle name="Normal 7 2 2 3 2" xfId="693"/>
    <cellStyle name="Normal 7 2 2 3 2 10" xfId="23304"/>
    <cellStyle name="Normal 7 2 2 3 2 2" xfId="1057"/>
    <cellStyle name="Normal 7 2 2 3 2 2 2" xfId="2371"/>
    <cellStyle name="Normal 7 2 2 3 2 2 2 2" xfId="5592"/>
    <cellStyle name="Normal 7 2 2 3 2 2 2 2 2" xfId="21692"/>
    <cellStyle name="Normal 7 2 2 3 2 2 2 2 2 2" xfId="44279"/>
    <cellStyle name="Normal 7 2 2 3 2 2 2 2 3" xfId="12032"/>
    <cellStyle name="Normal 7 2 2 3 2 2 2 2 3 2" xfId="34619"/>
    <cellStyle name="Normal 7 2 2 3 2 2 2 2 4" xfId="28179"/>
    <cellStyle name="Normal 7 2 2 3 2 2 2 3" xfId="18472"/>
    <cellStyle name="Normal 7 2 2 3 2 2 2 3 2" xfId="41059"/>
    <cellStyle name="Normal 7 2 2 3 2 2 2 4" xfId="15252"/>
    <cellStyle name="Normal 7 2 2 3 2 2 2 4 2" xfId="37839"/>
    <cellStyle name="Normal 7 2 2 3 2 2 2 5" xfId="8812"/>
    <cellStyle name="Normal 7 2 2 3 2 2 2 5 2" xfId="31399"/>
    <cellStyle name="Normal 7 2 2 3 2 2 2 6" xfId="24959"/>
    <cellStyle name="Normal 7 2 2 3 2 2 3" xfId="4284"/>
    <cellStyle name="Normal 7 2 2 3 2 2 3 2" xfId="20384"/>
    <cellStyle name="Normal 7 2 2 3 2 2 3 2 2" xfId="42971"/>
    <cellStyle name="Normal 7 2 2 3 2 2 3 3" xfId="10724"/>
    <cellStyle name="Normal 7 2 2 3 2 2 3 3 2" xfId="33311"/>
    <cellStyle name="Normal 7 2 2 3 2 2 3 4" xfId="26871"/>
    <cellStyle name="Normal 7 2 2 3 2 2 4" xfId="17164"/>
    <cellStyle name="Normal 7 2 2 3 2 2 4 2" xfId="39751"/>
    <cellStyle name="Normal 7 2 2 3 2 2 5" xfId="13944"/>
    <cellStyle name="Normal 7 2 2 3 2 2 5 2" xfId="36531"/>
    <cellStyle name="Normal 7 2 2 3 2 2 6" xfId="7504"/>
    <cellStyle name="Normal 7 2 2 3 2 2 6 2" xfId="30091"/>
    <cellStyle name="Normal 7 2 2 3 2 2 7" xfId="23651"/>
    <cellStyle name="Normal 7 2 2 3 2 3" xfId="1404"/>
    <cellStyle name="Normal 7 2 2 3 2 3 2" xfId="2718"/>
    <cellStyle name="Normal 7 2 2 3 2 3 2 2" xfId="5939"/>
    <cellStyle name="Normal 7 2 2 3 2 3 2 2 2" xfId="22039"/>
    <cellStyle name="Normal 7 2 2 3 2 3 2 2 2 2" xfId="44626"/>
    <cellStyle name="Normal 7 2 2 3 2 3 2 2 3" xfId="12379"/>
    <cellStyle name="Normal 7 2 2 3 2 3 2 2 3 2" xfId="34966"/>
    <cellStyle name="Normal 7 2 2 3 2 3 2 2 4" xfId="28526"/>
    <cellStyle name="Normal 7 2 2 3 2 3 2 3" xfId="18819"/>
    <cellStyle name="Normal 7 2 2 3 2 3 2 3 2" xfId="41406"/>
    <cellStyle name="Normal 7 2 2 3 2 3 2 4" xfId="15599"/>
    <cellStyle name="Normal 7 2 2 3 2 3 2 4 2" xfId="38186"/>
    <cellStyle name="Normal 7 2 2 3 2 3 2 5" xfId="9159"/>
    <cellStyle name="Normal 7 2 2 3 2 3 2 5 2" xfId="31746"/>
    <cellStyle name="Normal 7 2 2 3 2 3 2 6" xfId="25306"/>
    <cellStyle name="Normal 7 2 2 3 2 3 3" xfId="4631"/>
    <cellStyle name="Normal 7 2 2 3 2 3 3 2" xfId="20731"/>
    <cellStyle name="Normal 7 2 2 3 2 3 3 2 2" xfId="43318"/>
    <cellStyle name="Normal 7 2 2 3 2 3 3 3" xfId="11071"/>
    <cellStyle name="Normal 7 2 2 3 2 3 3 3 2" xfId="33658"/>
    <cellStyle name="Normal 7 2 2 3 2 3 3 4" xfId="27218"/>
    <cellStyle name="Normal 7 2 2 3 2 3 4" xfId="17511"/>
    <cellStyle name="Normal 7 2 2 3 2 3 4 2" xfId="40098"/>
    <cellStyle name="Normal 7 2 2 3 2 3 5" xfId="14291"/>
    <cellStyle name="Normal 7 2 2 3 2 3 5 2" xfId="36878"/>
    <cellStyle name="Normal 7 2 2 3 2 3 6" xfId="7851"/>
    <cellStyle name="Normal 7 2 2 3 2 3 6 2" xfId="30438"/>
    <cellStyle name="Normal 7 2 2 3 2 3 7" xfId="23998"/>
    <cellStyle name="Normal 7 2 2 3 2 4" xfId="1695"/>
    <cellStyle name="Normal 7 2 2 3 2 4 2" xfId="4918"/>
    <cellStyle name="Normal 7 2 2 3 2 4 2 2" xfId="21018"/>
    <cellStyle name="Normal 7 2 2 3 2 4 2 2 2" xfId="43605"/>
    <cellStyle name="Normal 7 2 2 3 2 4 2 3" xfId="11358"/>
    <cellStyle name="Normal 7 2 2 3 2 4 2 3 2" xfId="33945"/>
    <cellStyle name="Normal 7 2 2 3 2 4 2 4" xfId="27505"/>
    <cellStyle name="Normal 7 2 2 3 2 4 3" xfId="17798"/>
    <cellStyle name="Normal 7 2 2 3 2 4 3 2" xfId="40385"/>
    <cellStyle name="Normal 7 2 2 3 2 4 4" xfId="14578"/>
    <cellStyle name="Normal 7 2 2 3 2 4 4 2" xfId="37165"/>
    <cellStyle name="Normal 7 2 2 3 2 4 5" xfId="8138"/>
    <cellStyle name="Normal 7 2 2 3 2 4 5 2" xfId="30725"/>
    <cellStyle name="Normal 7 2 2 3 2 4 6" xfId="24285"/>
    <cellStyle name="Normal 7 2 2 3 2 5" xfId="2023"/>
    <cellStyle name="Normal 7 2 2 3 2 5 2" xfId="5245"/>
    <cellStyle name="Normal 7 2 2 3 2 5 2 2" xfId="21345"/>
    <cellStyle name="Normal 7 2 2 3 2 5 2 2 2" xfId="43932"/>
    <cellStyle name="Normal 7 2 2 3 2 5 2 3" xfId="11685"/>
    <cellStyle name="Normal 7 2 2 3 2 5 2 3 2" xfId="34272"/>
    <cellStyle name="Normal 7 2 2 3 2 5 2 4" xfId="27832"/>
    <cellStyle name="Normal 7 2 2 3 2 5 3" xfId="18125"/>
    <cellStyle name="Normal 7 2 2 3 2 5 3 2" xfId="40712"/>
    <cellStyle name="Normal 7 2 2 3 2 5 4" xfId="14905"/>
    <cellStyle name="Normal 7 2 2 3 2 5 4 2" xfId="37492"/>
    <cellStyle name="Normal 7 2 2 3 2 5 5" xfId="8465"/>
    <cellStyle name="Normal 7 2 2 3 2 5 5 2" xfId="31052"/>
    <cellStyle name="Normal 7 2 2 3 2 5 6" xfId="24612"/>
    <cellStyle name="Normal 7 2 2 3 2 6" xfId="3937"/>
    <cellStyle name="Normal 7 2 2 3 2 6 2" xfId="20037"/>
    <cellStyle name="Normal 7 2 2 3 2 6 2 2" xfId="42624"/>
    <cellStyle name="Normal 7 2 2 3 2 6 3" xfId="10377"/>
    <cellStyle name="Normal 7 2 2 3 2 6 3 2" xfId="32964"/>
    <cellStyle name="Normal 7 2 2 3 2 6 4" xfId="26524"/>
    <cellStyle name="Normal 7 2 2 3 2 7" xfId="16817"/>
    <cellStyle name="Normal 7 2 2 3 2 7 2" xfId="39404"/>
    <cellStyle name="Normal 7 2 2 3 2 8" xfId="13597"/>
    <cellStyle name="Normal 7 2 2 3 2 8 2" xfId="36184"/>
    <cellStyle name="Normal 7 2 2 3 2 9" xfId="7157"/>
    <cellStyle name="Normal 7 2 2 3 2 9 2" xfId="29744"/>
    <cellStyle name="Normal 7 2 2 3 3" xfId="936"/>
    <cellStyle name="Normal 7 2 2 3 3 2" xfId="2255"/>
    <cellStyle name="Normal 7 2 2 3 3 2 2" xfId="5476"/>
    <cellStyle name="Normal 7 2 2 3 3 2 2 2" xfId="21576"/>
    <cellStyle name="Normal 7 2 2 3 3 2 2 2 2" xfId="44163"/>
    <cellStyle name="Normal 7 2 2 3 3 2 2 3" xfId="11916"/>
    <cellStyle name="Normal 7 2 2 3 3 2 2 3 2" xfId="34503"/>
    <cellStyle name="Normal 7 2 2 3 3 2 2 4" xfId="28063"/>
    <cellStyle name="Normal 7 2 2 3 3 2 3" xfId="18356"/>
    <cellStyle name="Normal 7 2 2 3 3 2 3 2" xfId="40943"/>
    <cellStyle name="Normal 7 2 2 3 3 2 4" xfId="15136"/>
    <cellStyle name="Normal 7 2 2 3 3 2 4 2" xfId="37723"/>
    <cellStyle name="Normal 7 2 2 3 3 2 5" xfId="8696"/>
    <cellStyle name="Normal 7 2 2 3 3 2 5 2" xfId="31283"/>
    <cellStyle name="Normal 7 2 2 3 3 2 6" xfId="24843"/>
    <cellStyle name="Normal 7 2 2 3 3 3" xfId="4168"/>
    <cellStyle name="Normal 7 2 2 3 3 3 2" xfId="20268"/>
    <cellStyle name="Normal 7 2 2 3 3 3 2 2" xfId="42855"/>
    <cellStyle name="Normal 7 2 2 3 3 3 3" xfId="10608"/>
    <cellStyle name="Normal 7 2 2 3 3 3 3 2" xfId="33195"/>
    <cellStyle name="Normal 7 2 2 3 3 3 4" xfId="26755"/>
    <cellStyle name="Normal 7 2 2 3 3 4" xfId="17048"/>
    <cellStyle name="Normal 7 2 2 3 3 4 2" xfId="39635"/>
    <cellStyle name="Normal 7 2 2 3 3 5" xfId="13828"/>
    <cellStyle name="Normal 7 2 2 3 3 5 2" xfId="36415"/>
    <cellStyle name="Normal 7 2 2 3 3 6" xfId="7388"/>
    <cellStyle name="Normal 7 2 2 3 3 6 2" xfId="29975"/>
    <cellStyle name="Normal 7 2 2 3 3 7" xfId="23535"/>
    <cellStyle name="Normal 7 2 2 3 4" xfId="1288"/>
    <cellStyle name="Normal 7 2 2 3 4 2" xfId="2602"/>
    <cellStyle name="Normal 7 2 2 3 4 2 2" xfId="5823"/>
    <cellStyle name="Normal 7 2 2 3 4 2 2 2" xfId="21923"/>
    <cellStyle name="Normal 7 2 2 3 4 2 2 2 2" xfId="44510"/>
    <cellStyle name="Normal 7 2 2 3 4 2 2 3" xfId="12263"/>
    <cellStyle name="Normal 7 2 2 3 4 2 2 3 2" xfId="34850"/>
    <cellStyle name="Normal 7 2 2 3 4 2 2 4" xfId="28410"/>
    <cellStyle name="Normal 7 2 2 3 4 2 3" xfId="18703"/>
    <cellStyle name="Normal 7 2 2 3 4 2 3 2" xfId="41290"/>
    <cellStyle name="Normal 7 2 2 3 4 2 4" xfId="15483"/>
    <cellStyle name="Normal 7 2 2 3 4 2 4 2" xfId="38070"/>
    <cellStyle name="Normal 7 2 2 3 4 2 5" xfId="9043"/>
    <cellStyle name="Normal 7 2 2 3 4 2 5 2" xfId="31630"/>
    <cellStyle name="Normal 7 2 2 3 4 2 6" xfId="25190"/>
    <cellStyle name="Normal 7 2 2 3 4 3" xfId="4515"/>
    <cellStyle name="Normal 7 2 2 3 4 3 2" xfId="20615"/>
    <cellStyle name="Normal 7 2 2 3 4 3 2 2" xfId="43202"/>
    <cellStyle name="Normal 7 2 2 3 4 3 3" xfId="10955"/>
    <cellStyle name="Normal 7 2 2 3 4 3 3 2" xfId="33542"/>
    <cellStyle name="Normal 7 2 2 3 4 3 4" xfId="27102"/>
    <cellStyle name="Normal 7 2 2 3 4 4" xfId="17395"/>
    <cellStyle name="Normal 7 2 2 3 4 4 2" xfId="39982"/>
    <cellStyle name="Normal 7 2 2 3 4 5" xfId="14175"/>
    <cellStyle name="Normal 7 2 2 3 4 5 2" xfId="36762"/>
    <cellStyle name="Normal 7 2 2 3 4 6" xfId="7735"/>
    <cellStyle name="Normal 7 2 2 3 4 6 2" xfId="30322"/>
    <cellStyle name="Normal 7 2 2 3 4 7" xfId="23882"/>
    <cellStyle name="Normal 7 2 2 3 5" xfId="1696"/>
    <cellStyle name="Normal 7 2 2 3 5 2" xfId="4919"/>
    <cellStyle name="Normal 7 2 2 3 5 2 2" xfId="21019"/>
    <cellStyle name="Normal 7 2 2 3 5 2 2 2" xfId="43606"/>
    <cellStyle name="Normal 7 2 2 3 5 2 3" xfId="11359"/>
    <cellStyle name="Normal 7 2 2 3 5 2 3 2" xfId="33946"/>
    <cellStyle name="Normal 7 2 2 3 5 2 4" xfId="27506"/>
    <cellStyle name="Normal 7 2 2 3 5 3" xfId="17799"/>
    <cellStyle name="Normal 7 2 2 3 5 3 2" xfId="40386"/>
    <cellStyle name="Normal 7 2 2 3 5 4" xfId="14579"/>
    <cellStyle name="Normal 7 2 2 3 5 4 2" xfId="37166"/>
    <cellStyle name="Normal 7 2 2 3 5 5" xfId="8139"/>
    <cellStyle name="Normal 7 2 2 3 5 5 2" xfId="30726"/>
    <cellStyle name="Normal 7 2 2 3 5 6" xfId="24286"/>
    <cellStyle name="Normal 7 2 2 3 6" xfId="1907"/>
    <cellStyle name="Normal 7 2 2 3 6 2" xfId="5129"/>
    <cellStyle name="Normal 7 2 2 3 6 2 2" xfId="21229"/>
    <cellStyle name="Normal 7 2 2 3 6 2 2 2" xfId="43816"/>
    <cellStyle name="Normal 7 2 2 3 6 2 3" xfId="11569"/>
    <cellStyle name="Normal 7 2 2 3 6 2 3 2" xfId="34156"/>
    <cellStyle name="Normal 7 2 2 3 6 2 4" xfId="27716"/>
    <cellStyle name="Normal 7 2 2 3 6 3" xfId="18009"/>
    <cellStyle name="Normal 7 2 2 3 6 3 2" xfId="40596"/>
    <cellStyle name="Normal 7 2 2 3 6 4" xfId="14789"/>
    <cellStyle name="Normal 7 2 2 3 6 4 2" xfId="37376"/>
    <cellStyle name="Normal 7 2 2 3 6 5" xfId="8349"/>
    <cellStyle name="Normal 7 2 2 3 6 5 2" xfId="30936"/>
    <cellStyle name="Normal 7 2 2 3 6 6" xfId="24496"/>
    <cellStyle name="Normal 7 2 2 3 7" xfId="2967"/>
    <cellStyle name="Normal 7 2 2 3 7 2" xfId="6187"/>
    <cellStyle name="Normal 7 2 2 3 7 2 2" xfId="22287"/>
    <cellStyle name="Normal 7 2 2 3 7 2 2 2" xfId="44874"/>
    <cellStyle name="Normal 7 2 2 3 7 2 3" xfId="12627"/>
    <cellStyle name="Normal 7 2 2 3 7 2 3 2" xfId="35214"/>
    <cellStyle name="Normal 7 2 2 3 7 2 4" xfId="28774"/>
    <cellStyle name="Normal 7 2 2 3 7 3" xfId="19067"/>
    <cellStyle name="Normal 7 2 2 3 7 3 2" xfId="41654"/>
    <cellStyle name="Normal 7 2 2 3 7 4" xfId="15847"/>
    <cellStyle name="Normal 7 2 2 3 7 4 2" xfId="38434"/>
    <cellStyle name="Normal 7 2 2 3 7 5" xfId="9407"/>
    <cellStyle name="Normal 7 2 2 3 7 5 2" xfId="31994"/>
    <cellStyle name="Normal 7 2 2 3 7 6" xfId="25554"/>
    <cellStyle name="Normal 7 2 2 3 8" xfId="3257"/>
    <cellStyle name="Normal 7 2 2 3 8 2" xfId="6477"/>
    <cellStyle name="Normal 7 2 2 3 8 2 2" xfId="22577"/>
    <cellStyle name="Normal 7 2 2 3 8 2 2 2" xfId="45164"/>
    <cellStyle name="Normal 7 2 2 3 8 2 3" xfId="12917"/>
    <cellStyle name="Normal 7 2 2 3 8 2 3 2" xfId="35504"/>
    <cellStyle name="Normal 7 2 2 3 8 2 4" xfId="29064"/>
    <cellStyle name="Normal 7 2 2 3 8 3" xfId="19357"/>
    <cellStyle name="Normal 7 2 2 3 8 3 2" xfId="41944"/>
    <cellStyle name="Normal 7 2 2 3 8 4" xfId="16137"/>
    <cellStyle name="Normal 7 2 2 3 8 4 2" xfId="38724"/>
    <cellStyle name="Normal 7 2 2 3 8 5" xfId="9697"/>
    <cellStyle name="Normal 7 2 2 3 8 5 2" xfId="32284"/>
    <cellStyle name="Normal 7 2 2 3 8 6" xfId="25844"/>
    <cellStyle name="Normal 7 2 2 3 9" xfId="534"/>
    <cellStyle name="Normal 7 2 2 3 9 2" xfId="3821"/>
    <cellStyle name="Normal 7 2 2 3 9 2 2" xfId="19921"/>
    <cellStyle name="Normal 7 2 2 3 9 2 2 2" xfId="42508"/>
    <cellStyle name="Normal 7 2 2 3 9 2 3" xfId="10261"/>
    <cellStyle name="Normal 7 2 2 3 9 2 3 2" xfId="32848"/>
    <cellStyle name="Normal 7 2 2 3 9 2 4" xfId="26408"/>
    <cellStyle name="Normal 7 2 2 3 9 3" xfId="16701"/>
    <cellStyle name="Normal 7 2 2 3 9 3 2" xfId="39288"/>
    <cellStyle name="Normal 7 2 2 3 9 4" xfId="13481"/>
    <cellStyle name="Normal 7 2 2 3 9 4 2" xfId="36068"/>
    <cellStyle name="Normal 7 2 2 3 9 5" xfId="7041"/>
    <cellStyle name="Normal 7 2 2 3 9 5 2" xfId="29628"/>
    <cellStyle name="Normal 7 2 2 3 9 6" xfId="23188"/>
    <cellStyle name="Normal 7 2 2 4" xfId="360"/>
    <cellStyle name="Normal 7 2 2 4 10" xfId="16527"/>
    <cellStyle name="Normal 7 2 2 4 10 2" xfId="39114"/>
    <cellStyle name="Normal 7 2 2 4 11" xfId="13307"/>
    <cellStyle name="Normal 7 2 2 4 11 2" xfId="35894"/>
    <cellStyle name="Normal 7 2 2 4 12" xfId="6867"/>
    <cellStyle name="Normal 7 2 2 4 12 2" xfId="29454"/>
    <cellStyle name="Normal 7 2 2 4 13" xfId="23014"/>
    <cellStyle name="Normal 7 2 2 4 2" xfId="955"/>
    <cellStyle name="Normal 7 2 2 4 2 2" xfId="2274"/>
    <cellStyle name="Normal 7 2 2 4 2 2 2" xfId="5495"/>
    <cellStyle name="Normal 7 2 2 4 2 2 2 2" xfId="21595"/>
    <cellStyle name="Normal 7 2 2 4 2 2 2 2 2" xfId="44182"/>
    <cellStyle name="Normal 7 2 2 4 2 2 2 3" xfId="11935"/>
    <cellStyle name="Normal 7 2 2 4 2 2 2 3 2" xfId="34522"/>
    <cellStyle name="Normal 7 2 2 4 2 2 2 4" xfId="28082"/>
    <cellStyle name="Normal 7 2 2 4 2 2 3" xfId="18375"/>
    <cellStyle name="Normal 7 2 2 4 2 2 3 2" xfId="40962"/>
    <cellStyle name="Normal 7 2 2 4 2 2 4" xfId="15155"/>
    <cellStyle name="Normal 7 2 2 4 2 2 4 2" xfId="37742"/>
    <cellStyle name="Normal 7 2 2 4 2 2 5" xfId="8715"/>
    <cellStyle name="Normal 7 2 2 4 2 2 5 2" xfId="31302"/>
    <cellStyle name="Normal 7 2 2 4 2 2 6" xfId="24862"/>
    <cellStyle name="Normal 7 2 2 4 2 3" xfId="4187"/>
    <cellStyle name="Normal 7 2 2 4 2 3 2" xfId="20287"/>
    <cellStyle name="Normal 7 2 2 4 2 3 2 2" xfId="42874"/>
    <cellStyle name="Normal 7 2 2 4 2 3 3" xfId="10627"/>
    <cellStyle name="Normal 7 2 2 4 2 3 3 2" xfId="33214"/>
    <cellStyle name="Normal 7 2 2 4 2 3 4" xfId="26774"/>
    <cellStyle name="Normal 7 2 2 4 2 4" xfId="17067"/>
    <cellStyle name="Normal 7 2 2 4 2 4 2" xfId="39654"/>
    <cellStyle name="Normal 7 2 2 4 2 5" xfId="13847"/>
    <cellStyle name="Normal 7 2 2 4 2 5 2" xfId="36434"/>
    <cellStyle name="Normal 7 2 2 4 2 6" xfId="7407"/>
    <cellStyle name="Normal 7 2 2 4 2 6 2" xfId="29994"/>
    <cellStyle name="Normal 7 2 2 4 2 7" xfId="23554"/>
    <cellStyle name="Normal 7 2 2 4 3" xfId="1307"/>
    <cellStyle name="Normal 7 2 2 4 3 2" xfId="2621"/>
    <cellStyle name="Normal 7 2 2 4 3 2 2" xfId="5842"/>
    <cellStyle name="Normal 7 2 2 4 3 2 2 2" xfId="21942"/>
    <cellStyle name="Normal 7 2 2 4 3 2 2 2 2" xfId="44529"/>
    <cellStyle name="Normal 7 2 2 4 3 2 2 3" xfId="12282"/>
    <cellStyle name="Normal 7 2 2 4 3 2 2 3 2" xfId="34869"/>
    <cellStyle name="Normal 7 2 2 4 3 2 2 4" xfId="28429"/>
    <cellStyle name="Normal 7 2 2 4 3 2 3" xfId="18722"/>
    <cellStyle name="Normal 7 2 2 4 3 2 3 2" xfId="41309"/>
    <cellStyle name="Normal 7 2 2 4 3 2 4" xfId="15502"/>
    <cellStyle name="Normal 7 2 2 4 3 2 4 2" xfId="38089"/>
    <cellStyle name="Normal 7 2 2 4 3 2 5" xfId="9062"/>
    <cellStyle name="Normal 7 2 2 4 3 2 5 2" xfId="31649"/>
    <cellStyle name="Normal 7 2 2 4 3 2 6" xfId="25209"/>
    <cellStyle name="Normal 7 2 2 4 3 3" xfId="4534"/>
    <cellStyle name="Normal 7 2 2 4 3 3 2" xfId="20634"/>
    <cellStyle name="Normal 7 2 2 4 3 3 2 2" xfId="43221"/>
    <cellStyle name="Normal 7 2 2 4 3 3 3" xfId="10974"/>
    <cellStyle name="Normal 7 2 2 4 3 3 3 2" xfId="33561"/>
    <cellStyle name="Normal 7 2 2 4 3 3 4" xfId="27121"/>
    <cellStyle name="Normal 7 2 2 4 3 4" xfId="17414"/>
    <cellStyle name="Normal 7 2 2 4 3 4 2" xfId="40001"/>
    <cellStyle name="Normal 7 2 2 4 3 5" xfId="14194"/>
    <cellStyle name="Normal 7 2 2 4 3 5 2" xfId="36781"/>
    <cellStyle name="Normal 7 2 2 4 3 6" xfId="7754"/>
    <cellStyle name="Normal 7 2 2 4 3 6 2" xfId="30341"/>
    <cellStyle name="Normal 7 2 2 4 3 7" xfId="23901"/>
    <cellStyle name="Normal 7 2 2 4 4" xfId="1697"/>
    <cellStyle name="Normal 7 2 2 4 4 2" xfId="4920"/>
    <cellStyle name="Normal 7 2 2 4 4 2 2" xfId="21020"/>
    <cellStyle name="Normal 7 2 2 4 4 2 2 2" xfId="43607"/>
    <cellStyle name="Normal 7 2 2 4 4 2 3" xfId="11360"/>
    <cellStyle name="Normal 7 2 2 4 4 2 3 2" xfId="33947"/>
    <cellStyle name="Normal 7 2 2 4 4 2 4" xfId="27507"/>
    <cellStyle name="Normal 7 2 2 4 4 3" xfId="17800"/>
    <cellStyle name="Normal 7 2 2 4 4 3 2" xfId="40387"/>
    <cellStyle name="Normal 7 2 2 4 4 4" xfId="14580"/>
    <cellStyle name="Normal 7 2 2 4 4 4 2" xfId="37167"/>
    <cellStyle name="Normal 7 2 2 4 4 5" xfId="8140"/>
    <cellStyle name="Normal 7 2 2 4 4 5 2" xfId="30727"/>
    <cellStyle name="Normal 7 2 2 4 4 6" xfId="24287"/>
    <cellStyle name="Normal 7 2 2 4 5" xfId="1926"/>
    <cellStyle name="Normal 7 2 2 4 5 2" xfId="5148"/>
    <cellStyle name="Normal 7 2 2 4 5 2 2" xfId="21248"/>
    <cellStyle name="Normal 7 2 2 4 5 2 2 2" xfId="43835"/>
    <cellStyle name="Normal 7 2 2 4 5 2 3" xfId="11588"/>
    <cellStyle name="Normal 7 2 2 4 5 2 3 2" xfId="34175"/>
    <cellStyle name="Normal 7 2 2 4 5 2 4" xfId="27735"/>
    <cellStyle name="Normal 7 2 2 4 5 3" xfId="18028"/>
    <cellStyle name="Normal 7 2 2 4 5 3 2" xfId="40615"/>
    <cellStyle name="Normal 7 2 2 4 5 4" xfId="14808"/>
    <cellStyle name="Normal 7 2 2 4 5 4 2" xfId="37395"/>
    <cellStyle name="Normal 7 2 2 4 5 5" xfId="8368"/>
    <cellStyle name="Normal 7 2 2 4 5 5 2" xfId="30955"/>
    <cellStyle name="Normal 7 2 2 4 5 6" xfId="24515"/>
    <cellStyle name="Normal 7 2 2 4 6" xfId="3067"/>
    <cellStyle name="Normal 7 2 2 4 6 2" xfId="6287"/>
    <cellStyle name="Normal 7 2 2 4 6 2 2" xfId="22387"/>
    <cellStyle name="Normal 7 2 2 4 6 2 2 2" xfId="44974"/>
    <cellStyle name="Normal 7 2 2 4 6 2 3" xfId="12727"/>
    <cellStyle name="Normal 7 2 2 4 6 2 3 2" xfId="35314"/>
    <cellStyle name="Normal 7 2 2 4 6 2 4" xfId="28874"/>
    <cellStyle name="Normal 7 2 2 4 6 3" xfId="19167"/>
    <cellStyle name="Normal 7 2 2 4 6 3 2" xfId="41754"/>
    <cellStyle name="Normal 7 2 2 4 6 4" xfId="15947"/>
    <cellStyle name="Normal 7 2 2 4 6 4 2" xfId="38534"/>
    <cellStyle name="Normal 7 2 2 4 6 5" xfId="9507"/>
    <cellStyle name="Normal 7 2 2 4 6 5 2" xfId="32094"/>
    <cellStyle name="Normal 7 2 2 4 6 6" xfId="25654"/>
    <cellStyle name="Normal 7 2 2 4 7" xfId="3357"/>
    <cellStyle name="Normal 7 2 2 4 7 2" xfId="6577"/>
    <cellStyle name="Normal 7 2 2 4 7 2 2" xfId="22677"/>
    <cellStyle name="Normal 7 2 2 4 7 2 2 2" xfId="45264"/>
    <cellStyle name="Normal 7 2 2 4 7 2 3" xfId="13017"/>
    <cellStyle name="Normal 7 2 2 4 7 2 3 2" xfId="35604"/>
    <cellStyle name="Normal 7 2 2 4 7 2 4" xfId="29164"/>
    <cellStyle name="Normal 7 2 2 4 7 3" xfId="19457"/>
    <cellStyle name="Normal 7 2 2 4 7 3 2" xfId="42044"/>
    <cellStyle name="Normal 7 2 2 4 7 4" xfId="16237"/>
    <cellStyle name="Normal 7 2 2 4 7 4 2" xfId="38824"/>
    <cellStyle name="Normal 7 2 2 4 7 5" xfId="9797"/>
    <cellStyle name="Normal 7 2 2 4 7 5 2" xfId="32384"/>
    <cellStyle name="Normal 7 2 2 4 7 6" xfId="25944"/>
    <cellStyle name="Normal 7 2 2 4 8" xfId="556"/>
    <cellStyle name="Normal 7 2 2 4 8 2" xfId="3840"/>
    <cellStyle name="Normal 7 2 2 4 8 2 2" xfId="19940"/>
    <cellStyle name="Normal 7 2 2 4 8 2 2 2" xfId="42527"/>
    <cellStyle name="Normal 7 2 2 4 8 2 3" xfId="10280"/>
    <cellStyle name="Normal 7 2 2 4 8 2 3 2" xfId="32867"/>
    <cellStyle name="Normal 7 2 2 4 8 2 4" xfId="26427"/>
    <cellStyle name="Normal 7 2 2 4 8 3" xfId="16720"/>
    <cellStyle name="Normal 7 2 2 4 8 3 2" xfId="39307"/>
    <cellStyle name="Normal 7 2 2 4 8 4" xfId="13500"/>
    <cellStyle name="Normal 7 2 2 4 8 4 2" xfId="36087"/>
    <cellStyle name="Normal 7 2 2 4 8 5" xfId="7060"/>
    <cellStyle name="Normal 7 2 2 4 8 5 2" xfId="29647"/>
    <cellStyle name="Normal 7 2 2 4 8 6" xfId="23207"/>
    <cellStyle name="Normal 7 2 2 4 9" xfId="3647"/>
    <cellStyle name="Normal 7 2 2 4 9 2" xfId="19747"/>
    <cellStyle name="Normal 7 2 2 4 9 2 2" xfId="42334"/>
    <cellStyle name="Normal 7 2 2 4 9 3" xfId="10087"/>
    <cellStyle name="Normal 7 2 2 4 9 3 2" xfId="32674"/>
    <cellStyle name="Normal 7 2 2 4 9 4" xfId="26234"/>
    <cellStyle name="Normal 7 2 2 5" xfId="789"/>
    <cellStyle name="Normal 7 2 2 5 2" xfId="1141"/>
    <cellStyle name="Normal 7 2 2 5 2 2" xfId="2455"/>
    <cellStyle name="Normal 7 2 2 5 2 2 2" xfId="5676"/>
    <cellStyle name="Normal 7 2 2 5 2 2 2 2" xfId="21776"/>
    <cellStyle name="Normal 7 2 2 5 2 2 2 2 2" xfId="44363"/>
    <cellStyle name="Normal 7 2 2 5 2 2 2 3" xfId="12116"/>
    <cellStyle name="Normal 7 2 2 5 2 2 2 3 2" xfId="34703"/>
    <cellStyle name="Normal 7 2 2 5 2 2 2 4" xfId="28263"/>
    <cellStyle name="Normal 7 2 2 5 2 2 3" xfId="18556"/>
    <cellStyle name="Normal 7 2 2 5 2 2 3 2" xfId="41143"/>
    <cellStyle name="Normal 7 2 2 5 2 2 4" xfId="15336"/>
    <cellStyle name="Normal 7 2 2 5 2 2 4 2" xfId="37923"/>
    <cellStyle name="Normal 7 2 2 5 2 2 5" xfId="8896"/>
    <cellStyle name="Normal 7 2 2 5 2 2 5 2" xfId="31483"/>
    <cellStyle name="Normal 7 2 2 5 2 2 6" xfId="25043"/>
    <cellStyle name="Normal 7 2 2 5 2 3" xfId="4368"/>
    <cellStyle name="Normal 7 2 2 5 2 3 2" xfId="20468"/>
    <cellStyle name="Normal 7 2 2 5 2 3 2 2" xfId="43055"/>
    <cellStyle name="Normal 7 2 2 5 2 3 3" xfId="10808"/>
    <cellStyle name="Normal 7 2 2 5 2 3 3 2" xfId="33395"/>
    <cellStyle name="Normal 7 2 2 5 2 3 4" xfId="26955"/>
    <cellStyle name="Normal 7 2 2 5 2 4" xfId="17248"/>
    <cellStyle name="Normal 7 2 2 5 2 4 2" xfId="39835"/>
    <cellStyle name="Normal 7 2 2 5 2 5" xfId="14028"/>
    <cellStyle name="Normal 7 2 2 5 2 5 2" xfId="36615"/>
    <cellStyle name="Normal 7 2 2 5 2 6" xfId="7588"/>
    <cellStyle name="Normal 7 2 2 5 2 6 2" xfId="30175"/>
    <cellStyle name="Normal 7 2 2 5 2 7" xfId="23735"/>
    <cellStyle name="Normal 7 2 2 5 3" xfId="1488"/>
    <cellStyle name="Normal 7 2 2 5 3 2" xfId="2802"/>
    <cellStyle name="Normal 7 2 2 5 3 2 2" xfId="6023"/>
    <cellStyle name="Normal 7 2 2 5 3 2 2 2" xfId="22123"/>
    <cellStyle name="Normal 7 2 2 5 3 2 2 2 2" xfId="44710"/>
    <cellStyle name="Normal 7 2 2 5 3 2 2 3" xfId="12463"/>
    <cellStyle name="Normal 7 2 2 5 3 2 2 3 2" xfId="35050"/>
    <cellStyle name="Normal 7 2 2 5 3 2 2 4" xfId="28610"/>
    <cellStyle name="Normal 7 2 2 5 3 2 3" xfId="18903"/>
    <cellStyle name="Normal 7 2 2 5 3 2 3 2" xfId="41490"/>
    <cellStyle name="Normal 7 2 2 5 3 2 4" xfId="15683"/>
    <cellStyle name="Normal 7 2 2 5 3 2 4 2" xfId="38270"/>
    <cellStyle name="Normal 7 2 2 5 3 2 5" xfId="9243"/>
    <cellStyle name="Normal 7 2 2 5 3 2 5 2" xfId="31830"/>
    <cellStyle name="Normal 7 2 2 5 3 2 6" xfId="25390"/>
    <cellStyle name="Normal 7 2 2 5 3 3" xfId="4715"/>
    <cellStyle name="Normal 7 2 2 5 3 3 2" xfId="20815"/>
    <cellStyle name="Normal 7 2 2 5 3 3 2 2" xfId="43402"/>
    <cellStyle name="Normal 7 2 2 5 3 3 3" xfId="11155"/>
    <cellStyle name="Normal 7 2 2 5 3 3 3 2" xfId="33742"/>
    <cellStyle name="Normal 7 2 2 5 3 3 4" xfId="27302"/>
    <cellStyle name="Normal 7 2 2 5 3 4" xfId="17595"/>
    <cellStyle name="Normal 7 2 2 5 3 4 2" xfId="40182"/>
    <cellStyle name="Normal 7 2 2 5 3 5" xfId="14375"/>
    <cellStyle name="Normal 7 2 2 5 3 5 2" xfId="36962"/>
    <cellStyle name="Normal 7 2 2 5 3 6" xfId="7935"/>
    <cellStyle name="Normal 7 2 2 5 3 6 2" xfId="30522"/>
    <cellStyle name="Normal 7 2 2 5 3 7" xfId="24082"/>
    <cellStyle name="Normal 7 2 2 5 4" xfId="2108"/>
    <cellStyle name="Normal 7 2 2 5 4 2" xfId="5329"/>
    <cellStyle name="Normal 7 2 2 5 4 2 2" xfId="21429"/>
    <cellStyle name="Normal 7 2 2 5 4 2 2 2" xfId="44016"/>
    <cellStyle name="Normal 7 2 2 5 4 2 3" xfId="11769"/>
    <cellStyle name="Normal 7 2 2 5 4 2 3 2" xfId="34356"/>
    <cellStyle name="Normal 7 2 2 5 4 2 4" xfId="27916"/>
    <cellStyle name="Normal 7 2 2 5 4 3" xfId="18209"/>
    <cellStyle name="Normal 7 2 2 5 4 3 2" xfId="40796"/>
    <cellStyle name="Normal 7 2 2 5 4 4" xfId="14989"/>
    <cellStyle name="Normal 7 2 2 5 4 4 2" xfId="37576"/>
    <cellStyle name="Normal 7 2 2 5 4 5" xfId="8549"/>
    <cellStyle name="Normal 7 2 2 5 4 5 2" xfId="31136"/>
    <cellStyle name="Normal 7 2 2 5 4 6" xfId="24696"/>
    <cellStyle name="Normal 7 2 2 5 5" xfId="4021"/>
    <cellStyle name="Normal 7 2 2 5 5 2" xfId="20121"/>
    <cellStyle name="Normal 7 2 2 5 5 2 2" xfId="42708"/>
    <cellStyle name="Normal 7 2 2 5 5 3" xfId="10461"/>
    <cellStyle name="Normal 7 2 2 5 5 3 2" xfId="33048"/>
    <cellStyle name="Normal 7 2 2 5 5 4" xfId="26608"/>
    <cellStyle name="Normal 7 2 2 5 6" xfId="16901"/>
    <cellStyle name="Normal 7 2 2 5 6 2" xfId="39488"/>
    <cellStyle name="Normal 7 2 2 5 7" xfId="13681"/>
    <cellStyle name="Normal 7 2 2 5 7 2" xfId="36268"/>
    <cellStyle name="Normal 7 2 2 5 8" xfId="7241"/>
    <cellStyle name="Normal 7 2 2 5 8 2" xfId="29828"/>
    <cellStyle name="Normal 7 2 2 5 9" xfId="23388"/>
    <cellStyle name="Normal 7 2 2 6" xfId="859"/>
    <cellStyle name="Normal 7 2 2 6 2" xfId="2178"/>
    <cellStyle name="Normal 7 2 2 6 2 2" xfId="5399"/>
    <cellStyle name="Normal 7 2 2 6 2 2 2" xfId="21499"/>
    <cellStyle name="Normal 7 2 2 6 2 2 2 2" xfId="44086"/>
    <cellStyle name="Normal 7 2 2 6 2 2 3" xfId="11839"/>
    <cellStyle name="Normal 7 2 2 6 2 2 3 2" xfId="34426"/>
    <cellStyle name="Normal 7 2 2 6 2 2 4" xfId="27986"/>
    <cellStyle name="Normal 7 2 2 6 2 3" xfId="18279"/>
    <cellStyle name="Normal 7 2 2 6 2 3 2" xfId="40866"/>
    <cellStyle name="Normal 7 2 2 6 2 4" xfId="15059"/>
    <cellStyle name="Normal 7 2 2 6 2 4 2" xfId="37646"/>
    <cellStyle name="Normal 7 2 2 6 2 5" xfId="8619"/>
    <cellStyle name="Normal 7 2 2 6 2 5 2" xfId="31206"/>
    <cellStyle name="Normal 7 2 2 6 2 6" xfId="24766"/>
    <cellStyle name="Normal 7 2 2 6 3" xfId="4091"/>
    <cellStyle name="Normal 7 2 2 6 3 2" xfId="20191"/>
    <cellStyle name="Normal 7 2 2 6 3 2 2" xfId="42778"/>
    <cellStyle name="Normal 7 2 2 6 3 3" xfId="10531"/>
    <cellStyle name="Normal 7 2 2 6 3 3 2" xfId="33118"/>
    <cellStyle name="Normal 7 2 2 6 3 4" xfId="26678"/>
    <cellStyle name="Normal 7 2 2 6 4" xfId="16971"/>
    <cellStyle name="Normal 7 2 2 6 4 2" xfId="39558"/>
    <cellStyle name="Normal 7 2 2 6 5" xfId="13751"/>
    <cellStyle name="Normal 7 2 2 6 5 2" xfId="36338"/>
    <cellStyle name="Normal 7 2 2 6 6" xfId="7311"/>
    <cellStyle name="Normal 7 2 2 6 6 2" xfId="29898"/>
    <cellStyle name="Normal 7 2 2 6 7" xfId="23458"/>
    <cellStyle name="Normal 7 2 2 7" xfId="1211"/>
    <cellStyle name="Normal 7 2 2 7 2" xfId="2525"/>
    <cellStyle name="Normal 7 2 2 7 2 2" xfId="5746"/>
    <cellStyle name="Normal 7 2 2 7 2 2 2" xfId="21846"/>
    <cellStyle name="Normal 7 2 2 7 2 2 2 2" xfId="44433"/>
    <cellStyle name="Normal 7 2 2 7 2 2 3" xfId="12186"/>
    <cellStyle name="Normal 7 2 2 7 2 2 3 2" xfId="34773"/>
    <cellStyle name="Normal 7 2 2 7 2 2 4" xfId="28333"/>
    <cellStyle name="Normal 7 2 2 7 2 3" xfId="18626"/>
    <cellStyle name="Normal 7 2 2 7 2 3 2" xfId="41213"/>
    <cellStyle name="Normal 7 2 2 7 2 4" xfId="15406"/>
    <cellStyle name="Normal 7 2 2 7 2 4 2" xfId="37993"/>
    <cellStyle name="Normal 7 2 2 7 2 5" xfId="8966"/>
    <cellStyle name="Normal 7 2 2 7 2 5 2" xfId="31553"/>
    <cellStyle name="Normal 7 2 2 7 2 6" xfId="25113"/>
    <cellStyle name="Normal 7 2 2 7 3" xfId="4438"/>
    <cellStyle name="Normal 7 2 2 7 3 2" xfId="20538"/>
    <cellStyle name="Normal 7 2 2 7 3 2 2" xfId="43125"/>
    <cellStyle name="Normal 7 2 2 7 3 3" xfId="10878"/>
    <cellStyle name="Normal 7 2 2 7 3 3 2" xfId="33465"/>
    <cellStyle name="Normal 7 2 2 7 3 4" xfId="27025"/>
    <cellStyle name="Normal 7 2 2 7 4" xfId="17318"/>
    <cellStyle name="Normal 7 2 2 7 4 2" xfId="39905"/>
    <cellStyle name="Normal 7 2 2 7 5" xfId="14098"/>
    <cellStyle name="Normal 7 2 2 7 5 2" xfId="36685"/>
    <cellStyle name="Normal 7 2 2 7 6" xfId="7658"/>
    <cellStyle name="Normal 7 2 2 7 6 2" xfId="30245"/>
    <cellStyle name="Normal 7 2 2 7 7" xfId="23805"/>
    <cellStyle name="Normal 7 2 2 8" xfId="1698"/>
    <cellStyle name="Normal 7 2 2 8 2" xfId="4921"/>
    <cellStyle name="Normal 7 2 2 8 2 2" xfId="21021"/>
    <cellStyle name="Normal 7 2 2 8 2 2 2" xfId="43608"/>
    <cellStyle name="Normal 7 2 2 8 2 3" xfId="11361"/>
    <cellStyle name="Normal 7 2 2 8 2 3 2" xfId="33948"/>
    <cellStyle name="Normal 7 2 2 8 2 4" xfId="27508"/>
    <cellStyle name="Normal 7 2 2 8 3" xfId="17801"/>
    <cellStyle name="Normal 7 2 2 8 3 2" xfId="40388"/>
    <cellStyle name="Normal 7 2 2 8 4" xfId="14581"/>
    <cellStyle name="Normal 7 2 2 8 4 2" xfId="37168"/>
    <cellStyle name="Normal 7 2 2 8 5" xfId="8141"/>
    <cellStyle name="Normal 7 2 2 8 5 2" xfId="30728"/>
    <cellStyle name="Normal 7 2 2 8 6" xfId="24288"/>
    <cellStyle name="Normal 7 2 2 9" xfId="1830"/>
    <cellStyle name="Normal 7 2 2 9 2" xfId="5052"/>
    <cellStyle name="Normal 7 2 2 9 2 2" xfId="21152"/>
    <cellStyle name="Normal 7 2 2 9 2 2 2" xfId="43739"/>
    <cellStyle name="Normal 7 2 2 9 2 3" xfId="11492"/>
    <cellStyle name="Normal 7 2 2 9 2 3 2" xfId="34079"/>
    <cellStyle name="Normal 7 2 2 9 2 4" xfId="27639"/>
    <cellStyle name="Normal 7 2 2 9 3" xfId="17932"/>
    <cellStyle name="Normal 7 2 2 9 3 2" xfId="40519"/>
    <cellStyle name="Normal 7 2 2 9 4" xfId="14712"/>
    <cellStyle name="Normal 7 2 2 9 4 2" xfId="37299"/>
    <cellStyle name="Normal 7 2 2 9 5" xfId="8272"/>
    <cellStyle name="Normal 7 2 2 9 5 2" xfId="30859"/>
    <cellStyle name="Normal 7 2 2 9 6" xfId="24419"/>
    <cellStyle name="Normal 7 2 3" xfId="136"/>
    <cellStyle name="Normal 7 2 3 10" xfId="474"/>
    <cellStyle name="Normal 7 2 3 10 2" xfId="3761"/>
    <cellStyle name="Normal 7 2 3 10 2 2" xfId="19861"/>
    <cellStyle name="Normal 7 2 3 10 2 2 2" xfId="42448"/>
    <cellStyle name="Normal 7 2 3 10 2 3" xfId="10201"/>
    <cellStyle name="Normal 7 2 3 10 2 3 2" xfId="32788"/>
    <cellStyle name="Normal 7 2 3 10 2 4" xfId="26348"/>
    <cellStyle name="Normal 7 2 3 10 3" xfId="16641"/>
    <cellStyle name="Normal 7 2 3 10 3 2" xfId="39228"/>
    <cellStyle name="Normal 7 2 3 10 4" xfId="13421"/>
    <cellStyle name="Normal 7 2 3 10 4 2" xfId="36008"/>
    <cellStyle name="Normal 7 2 3 10 5" xfId="6981"/>
    <cellStyle name="Normal 7 2 3 10 5 2" xfId="29568"/>
    <cellStyle name="Normal 7 2 3 10 6" xfId="23128"/>
    <cellStyle name="Normal 7 2 3 11" xfId="3471"/>
    <cellStyle name="Normal 7 2 3 11 2" xfId="19571"/>
    <cellStyle name="Normal 7 2 3 11 2 2" xfId="42158"/>
    <cellStyle name="Normal 7 2 3 11 3" xfId="9911"/>
    <cellStyle name="Normal 7 2 3 11 3 2" xfId="32498"/>
    <cellStyle name="Normal 7 2 3 11 4" xfId="26058"/>
    <cellStyle name="Normal 7 2 3 12" xfId="16351"/>
    <cellStyle name="Normal 7 2 3 12 2" xfId="38938"/>
    <cellStyle name="Normal 7 2 3 13" xfId="13131"/>
    <cellStyle name="Normal 7 2 3 13 2" xfId="35718"/>
    <cellStyle name="Normal 7 2 3 14" xfId="6691"/>
    <cellStyle name="Normal 7 2 3 14 2" xfId="29278"/>
    <cellStyle name="Normal 7 2 3 15" xfId="22838"/>
    <cellStyle name="Normal 7 2 3 2" xfId="282"/>
    <cellStyle name="Normal 7 2 3 2 10" xfId="16449"/>
    <cellStyle name="Normal 7 2 3 2 10 2" xfId="39036"/>
    <cellStyle name="Normal 7 2 3 2 11" xfId="13229"/>
    <cellStyle name="Normal 7 2 3 2 11 2" xfId="35816"/>
    <cellStyle name="Normal 7 2 3 2 12" xfId="6789"/>
    <cellStyle name="Normal 7 2 3 2 12 2" xfId="29376"/>
    <cellStyle name="Normal 7 2 3 2 13" xfId="22936"/>
    <cellStyle name="Normal 7 2 3 2 2" xfId="1000"/>
    <cellStyle name="Normal 7 2 3 2 2 2" xfId="2314"/>
    <cellStyle name="Normal 7 2 3 2 2 2 2" xfId="5535"/>
    <cellStyle name="Normal 7 2 3 2 2 2 2 2" xfId="21635"/>
    <cellStyle name="Normal 7 2 3 2 2 2 2 2 2" xfId="44222"/>
    <cellStyle name="Normal 7 2 3 2 2 2 2 3" xfId="11975"/>
    <cellStyle name="Normal 7 2 3 2 2 2 2 3 2" xfId="34562"/>
    <cellStyle name="Normal 7 2 3 2 2 2 2 4" xfId="28122"/>
    <cellStyle name="Normal 7 2 3 2 2 2 3" xfId="18415"/>
    <cellStyle name="Normal 7 2 3 2 2 2 3 2" xfId="41002"/>
    <cellStyle name="Normal 7 2 3 2 2 2 4" xfId="15195"/>
    <cellStyle name="Normal 7 2 3 2 2 2 4 2" xfId="37782"/>
    <cellStyle name="Normal 7 2 3 2 2 2 5" xfId="8755"/>
    <cellStyle name="Normal 7 2 3 2 2 2 5 2" xfId="31342"/>
    <cellStyle name="Normal 7 2 3 2 2 2 6" xfId="24902"/>
    <cellStyle name="Normal 7 2 3 2 2 3" xfId="4227"/>
    <cellStyle name="Normal 7 2 3 2 2 3 2" xfId="20327"/>
    <cellStyle name="Normal 7 2 3 2 2 3 2 2" xfId="42914"/>
    <cellStyle name="Normal 7 2 3 2 2 3 3" xfId="10667"/>
    <cellStyle name="Normal 7 2 3 2 2 3 3 2" xfId="33254"/>
    <cellStyle name="Normal 7 2 3 2 2 3 4" xfId="26814"/>
    <cellStyle name="Normal 7 2 3 2 2 4" xfId="17107"/>
    <cellStyle name="Normal 7 2 3 2 2 4 2" xfId="39694"/>
    <cellStyle name="Normal 7 2 3 2 2 5" xfId="13887"/>
    <cellStyle name="Normal 7 2 3 2 2 5 2" xfId="36474"/>
    <cellStyle name="Normal 7 2 3 2 2 6" xfId="7447"/>
    <cellStyle name="Normal 7 2 3 2 2 6 2" xfId="30034"/>
    <cellStyle name="Normal 7 2 3 2 2 7" xfId="23594"/>
    <cellStyle name="Normal 7 2 3 2 3" xfId="1347"/>
    <cellStyle name="Normal 7 2 3 2 3 2" xfId="2661"/>
    <cellStyle name="Normal 7 2 3 2 3 2 2" xfId="5882"/>
    <cellStyle name="Normal 7 2 3 2 3 2 2 2" xfId="21982"/>
    <cellStyle name="Normal 7 2 3 2 3 2 2 2 2" xfId="44569"/>
    <cellStyle name="Normal 7 2 3 2 3 2 2 3" xfId="12322"/>
    <cellStyle name="Normal 7 2 3 2 3 2 2 3 2" xfId="34909"/>
    <cellStyle name="Normal 7 2 3 2 3 2 2 4" xfId="28469"/>
    <cellStyle name="Normal 7 2 3 2 3 2 3" xfId="18762"/>
    <cellStyle name="Normal 7 2 3 2 3 2 3 2" xfId="41349"/>
    <cellStyle name="Normal 7 2 3 2 3 2 4" xfId="15542"/>
    <cellStyle name="Normal 7 2 3 2 3 2 4 2" xfId="38129"/>
    <cellStyle name="Normal 7 2 3 2 3 2 5" xfId="9102"/>
    <cellStyle name="Normal 7 2 3 2 3 2 5 2" xfId="31689"/>
    <cellStyle name="Normal 7 2 3 2 3 2 6" xfId="25249"/>
    <cellStyle name="Normal 7 2 3 2 3 3" xfId="4574"/>
    <cellStyle name="Normal 7 2 3 2 3 3 2" xfId="20674"/>
    <cellStyle name="Normal 7 2 3 2 3 3 2 2" xfId="43261"/>
    <cellStyle name="Normal 7 2 3 2 3 3 3" xfId="11014"/>
    <cellStyle name="Normal 7 2 3 2 3 3 3 2" xfId="33601"/>
    <cellStyle name="Normal 7 2 3 2 3 3 4" xfId="27161"/>
    <cellStyle name="Normal 7 2 3 2 3 4" xfId="17454"/>
    <cellStyle name="Normal 7 2 3 2 3 4 2" xfId="40041"/>
    <cellStyle name="Normal 7 2 3 2 3 5" xfId="14234"/>
    <cellStyle name="Normal 7 2 3 2 3 5 2" xfId="36821"/>
    <cellStyle name="Normal 7 2 3 2 3 6" xfId="7794"/>
    <cellStyle name="Normal 7 2 3 2 3 6 2" xfId="30381"/>
    <cellStyle name="Normal 7 2 3 2 3 7" xfId="23941"/>
    <cellStyle name="Normal 7 2 3 2 4" xfId="1699"/>
    <cellStyle name="Normal 7 2 3 2 4 2" xfId="4922"/>
    <cellStyle name="Normal 7 2 3 2 4 2 2" xfId="21022"/>
    <cellStyle name="Normal 7 2 3 2 4 2 2 2" xfId="43609"/>
    <cellStyle name="Normal 7 2 3 2 4 2 3" xfId="11362"/>
    <cellStyle name="Normal 7 2 3 2 4 2 3 2" xfId="33949"/>
    <cellStyle name="Normal 7 2 3 2 4 2 4" xfId="27509"/>
    <cellStyle name="Normal 7 2 3 2 4 3" xfId="17802"/>
    <cellStyle name="Normal 7 2 3 2 4 3 2" xfId="40389"/>
    <cellStyle name="Normal 7 2 3 2 4 4" xfId="14582"/>
    <cellStyle name="Normal 7 2 3 2 4 4 2" xfId="37169"/>
    <cellStyle name="Normal 7 2 3 2 4 5" xfId="8142"/>
    <cellStyle name="Normal 7 2 3 2 4 5 2" xfId="30729"/>
    <cellStyle name="Normal 7 2 3 2 4 6" xfId="24289"/>
    <cellStyle name="Normal 7 2 3 2 5" xfId="1966"/>
    <cellStyle name="Normal 7 2 3 2 5 2" xfId="5188"/>
    <cellStyle name="Normal 7 2 3 2 5 2 2" xfId="21288"/>
    <cellStyle name="Normal 7 2 3 2 5 2 2 2" xfId="43875"/>
    <cellStyle name="Normal 7 2 3 2 5 2 3" xfId="11628"/>
    <cellStyle name="Normal 7 2 3 2 5 2 3 2" xfId="34215"/>
    <cellStyle name="Normal 7 2 3 2 5 2 4" xfId="27775"/>
    <cellStyle name="Normal 7 2 3 2 5 3" xfId="18068"/>
    <cellStyle name="Normal 7 2 3 2 5 3 2" xfId="40655"/>
    <cellStyle name="Normal 7 2 3 2 5 4" xfId="14848"/>
    <cellStyle name="Normal 7 2 3 2 5 4 2" xfId="37435"/>
    <cellStyle name="Normal 7 2 3 2 5 5" xfId="8408"/>
    <cellStyle name="Normal 7 2 3 2 5 5 2" xfId="30995"/>
    <cellStyle name="Normal 7 2 3 2 5 6" xfId="24555"/>
    <cellStyle name="Normal 7 2 3 2 6" xfId="2989"/>
    <cellStyle name="Normal 7 2 3 2 6 2" xfId="6209"/>
    <cellStyle name="Normal 7 2 3 2 6 2 2" xfId="22309"/>
    <cellStyle name="Normal 7 2 3 2 6 2 2 2" xfId="44896"/>
    <cellStyle name="Normal 7 2 3 2 6 2 3" xfId="12649"/>
    <cellStyle name="Normal 7 2 3 2 6 2 3 2" xfId="35236"/>
    <cellStyle name="Normal 7 2 3 2 6 2 4" xfId="28796"/>
    <cellStyle name="Normal 7 2 3 2 6 3" xfId="19089"/>
    <cellStyle name="Normal 7 2 3 2 6 3 2" xfId="41676"/>
    <cellStyle name="Normal 7 2 3 2 6 4" xfId="15869"/>
    <cellStyle name="Normal 7 2 3 2 6 4 2" xfId="38456"/>
    <cellStyle name="Normal 7 2 3 2 6 5" xfId="9429"/>
    <cellStyle name="Normal 7 2 3 2 6 5 2" xfId="32016"/>
    <cellStyle name="Normal 7 2 3 2 6 6" xfId="25576"/>
    <cellStyle name="Normal 7 2 3 2 7" xfId="3279"/>
    <cellStyle name="Normal 7 2 3 2 7 2" xfId="6499"/>
    <cellStyle name="Normal 7 2 3 2 7 2 2" xfId="22599"/>
    <cellStyle name="Normal 7 2 3 2 7 2 2 2" xfId="45186"/>
    <cellStyle name="Normal 7 2 3 2 7 2 3" xfId="12939"/>
    <cellStyle name="Normal 7 2 3 2 7 2 3 2" xfId="35526"/>
    <cellStyle name="Normal 7 2 3 2 7 2 4" xfId="29086"/>
    <cellStyle name="Normal 7 2 3 2 7 3" xfId="19379"/>
    <cellStyle name="Normal 7 2 3 2 7 3 2" xfId="41966"/>
    <cellStyle name="Normal 7 2 3 2 7 4" xfId="16159"/>
    <cellStyle name="Normal 7 2 3 2 7 4 2" xfId="38746"/>
    <cellStyle name="Normal 7 2 3 2 7 5" xfId="9719"/>
    <cellStyle name="Normal 7 2 3 2 7 5 2" xfId="32306"/>
    <cellStyle name="Normal 7 2 3 2 7 6" xfId="25866"/>
    <cellStyle name="Normal 7 2 3 2 8" xfId="636"/>
    <cellStyle name="Normal 7 2 3 2 8 2" xfId="3880"/>
    <cellStyle name="Normal 7 2 3 2 8 2 2" xfId="19980"/>
    <cellStyle name="Normal 7 2 3 2 8 2 2 2" xfId="42567"/>
    <cellStyle name="Normal 7 2 3 2 8 2 3" xfId="10320"/>
    <cellStyle name="Normal 7 2 3 2 8 2 3 2" xfId="32907"/>
    <cellStyle name="Normal 7 2 3 2 8 2 4" xfId="26467"/>
    <cellStyle name="Normal 7 2 3 2 8 3" xfId="16760"/>
    <cellStyle name="Normal 7 2 3 2 8 3 2" xfId="39347"/>
    <cellStyle name="Normal 7 2 3 2 8 4" xfId="13540"/>
    <cellStyle name="Normal 7 2 3 2 8 4 2" xfId="36127"/>
    <cellStyle name="Normal 7 2 3 2 8 5" xfId="7100"/>
    <cellStyle name="Normal 7 2 3 2 8 5 2" xfId="29687"/>
    <cellStyle name="Normal 7 2 3 2 8 6" xfId="23247"/>
    <cellStyle name="Normal 7 2 3 2 9" xfId="3569"/>
    <cellStyle name="Normal 7 2 3 2 9 2" xfId="19669"/>
    <cellStyle name="Normal 7 2 3 2 9 2 2" xfId="42256"/>
    <cellStyle name="Normal 7 2 3 2 9 3" xfId="10009"/>
    <cellStyle name="Normal 7 2 3 2 9 3 2" xfId="32596"/>
    <cellStyle name="Normal 7 2 3 2 9 4" xfId="26156"/>
    <cellStyle name="Normal 7 2 3 3" xfId="377"/>
    <cellStyle name="Normal 7 2 3 3 10" xfId="16544"/>
    <cellStyle name="Normal 7 2 3 3 10 2" xfId="39131"/>
    <cellStyle name="Normal 7 2 3 3 11" xfId="13324"/>
    <cellStyle name="Normal 7 2 3 3 11 2" xfId="35911"/>
    <cellStyle name="Normal 7 2 3 3 12" xfId="6884"/>
    <cellStyle name="Normal 7 2 3 3 12 2" xfId="29471"/>
    <cellStyle name="Normal 7 2 3 3 13" xfId="23031"/>
    <cellStyle name="Normal 7 2 3 3 2" xfId="1161"/>
    <cellStyle name="Normal 7 2 3 3 2 2" xfId="2475"/>
    <cellStyle name="Normal 7 2 3 3 2 2 2" xfId="5696"/>
    <cellStyle name="Normal 7 2 3 3 2 2 2 2" xfId="21796"/>
    <cellStyle name="Normal 7 2 3 3 2 2 2 2 2" xfId="44383"/>
    <cellStyle name="Normal 7 2 3 3 2 2 2 3" xfId="12136"/>
    <cellStyle name="Normal 7 2 3 3 2 2 2 3 2" xfId="34723"/>
    <cellStyle name="Normal 7 2 3 3 2 2 2 4" xfId="28283"/>
    <cellStyle name="Normal 7 2 3 3 2 2 3" xfId="18576"/>
    <cellStyle name="Normal 7 2 3 3 2 2 3 2" xfId="41163"/>
    <cellStyle name="Normal 7 2 3 3 2 2 4" xfId="15356"/>
    <cellStyle name="Normal 7 2 3 3 2 2 4 2" xfId="37943"/>
    <cellStyle name="Normal 7 2 3 3 2 2 5" xfId="8916"/>
    <cellStyle name="Normal 7 2 3 3 2 2 5 2" xfId="31503"/>
    <cellStyle name="Normal 7 2 3 3 2 2 6" xfId="25063"/>
    <cellStyle name="Normal 7 2 3 3 2 3" xfId="4388"/>
    <cellStyle name="Normal 7 2 3 3 2 3 2" xfId="20488"/>
    <cellStyle name="Normal 7 2 3 3 2 3 2 2" xfId="43075"/>
    <cellStyle name="Normal 7 2 3 3 2 3 3" xfId="10828"/>
    <cellStyle name="Normal 7 2 3 3 2 3 3 2" xfId="33415"/>
    <cellStyle name="Normal 7 2 3 3 2 3 4" xfId="26975"/>
    <cellStyle name="Normal 7 2 3 3 2 4" xfId="17268"/>
    <cellStyle name="Normal 7 2 3 3 2 4 2" xfId="39855"/>
    <cellStyle name="Normal 7 2 3 3 2 5" xfId="14048"/>
    <cellStyle name="Normal 7 2 3 3 2 5 2" xfId="36635"/>
    <cellStyle name="Normal 7 2 3 3 2 6" xfId="7608"/>
    <cellStyle name="Normal 7 2 3 3 2 6 2" xfId="30195"/>
    <cellStyle name="Normal 7 2 3 3 2 7" xfId="23755"/>
    <cellStyle name="Normal 7 2 3 3 3" xfId="1508"/>
    <cellStyle name="Normal 7 2 3 3 3 2" xfId="2822"/>
    <cellStyle name="Normal 7 2 3 3 3 2 2" xfId="6043"/>
    <cellStyle name="Normal 7 2 3 3 3 2 2 2" xfId="22143"/>
    <cellStyle name="Normal 7 2 3 3 3 2 2 2 2" xfId="44730"/>
    <cellStyle name="Normal 7 2 3 3 3 2 2 3" xfId="12483"/>
    <cellStyle name="Normal 7 2 3 3 3 2 2 3 2" xfId="35070"/>
    <cellStyle name="Normal 7 2 3 3 3 2 2 4" xfId="28630"/>
    <cellStyle name="Normal 7 2 3 3 3 2 3" xfId="18923"/>
    <cellStyle name="Normal 7 2 3 3 3 2 3 2" xfId="41510"/>
    <cellStyle name="Normal 7 2 3 3 3 2 4" xfId="15703"/>
    <cellStyle name="Normal 7 2 3 3 3 2 4 2" xfId="38290"/>
    <cellStyle name="Normal 7 2 3 3 3 2 5" xfId="9263"/>
    <cellStyle name="Normal 7 2 3 3 3 2 5 2" xfId="31850"/>
    <cellStyle name="Normal 7 2 3 3 3 2 6" xfId="25410"/>
    <cellStyle name="Normal 7 2 3 3 3 3" xfId="4735"/>
    <cellStyle name="Normal 7 2 3 3 3 3 2" xfId="20835"/>
    <cellStyle name="Normal 7 2 3 3 3 3 2 2" xfId="43422"/>
    <cellStyle name="Normal 7 2 3 3 3 3 3" xfId="11175"/>
    <cellStyle name="Normal 7 2 3 3 3 3 3 2" xfId="33762"/>
    <cellStyle name="Normal 7 2 3 3 3 3 4" xfId="27322"/>
    <cellStyle name="Normal 7 2 3 3 3 4" xfId="17615"/>
    <cellStyle name="Normal 7 2 3 3 3 4 2" xfId="40202"/>
    <cellStyle name="Normal 7 2 3 3 3 5" xfId="14395"/>
    <cellStyle name="Normal 7 2 3 3 3 5 2" xfId="36982"/>
    <cellStyle name="Normal 7 2 3 3 3 6" xfId="7955"/>
    <cellStyle name="Normal 7 2 3 3 3 6 2" xfId="30542"/>
    <cellStyle name="Normal 7 2 3 3 3 7" xfId="24102"/>
    <cellStyle name="Normal 7 2 3 3 4" xfId="1700"/>
    <cellStyle name="Normal 7 2 3 3 4 2" xfId="4923"/>
    <cellStyle name="Normal 7 2 3 3 4 2 2" xfId="21023"/>
    <cellStyle name="Normal 7 2 3 3 4 2 2 2" xfId="43610"/>
    <cellStyle name="Normal 7 2 3 3 4 2 3" xfId="11363"/>
    <cellStyle name="Normal 7 2 3 3 4 2 3 2" xfId="33950"/>
    <cellStyle name="Normal 7 2 3 3 4 2 4" xfId="27510"/>
    <cellStyle name="Normal 7 2 3 3 4 3" xfId="17803"/>
    <cellStyle name="Normal 7 2 3 3 4 3 2" xfId="40390"/>
    <cellStyle name="Normal 7 2 3 3 4 4" xfId="14583"/>
    <cellStyle name="Normal 7 2 3 3 4 4 2" xfId="37170"/>
    <cellStyle name="Normal 7 2 3 3 4 5" xfId="8143"/>
    <cellStyle name="Normal 7 2 3 3 4 5 2" xfId="30730"/>
    <cellStyle name="Normal 7 2 3 3 4 6" xfId="24290"/>
    <cellStyle name="Normal 7 2 3 3 5" xfId="2128"/>
    <cellStyle name="Normal 7 2 3 3 5 2" xfId="5349"/>
    <cellStyle name="Normal 7 2 3 3 5 2 2" xfId="21449"/>
    <cellStyle name="Normal 7 2 3 3 5 2 2 2" xfId="44036"/>
    <cellStyle name="Normal 7 2 3 3 5 2 3" xfId="11789"/>
    <cellStyle name="Normal 7 2 3 3 5 2 3 2" xfId="34376"/>
    <cellStyle name="Normal 7 2 3 3 5 2 4" xfId="27936"/>
    <cellStyle name="Normal 7 2 3 3 5 3" xfId="18229"/>
    <cellStyle name="Normal 7 2 3 3 5 3 2" xfId="40816"/>
    <cellStyle name="Normal 7 2 3 3 5 4" xfId="15009"/>
    <cellStyle name="Normal 7 2 3 3 5 4 2" xfId="37596"/>
    <cellStyle name="Normal 7 2 3 3 5 5" xfId="8569"/>
    <cellStyle name="Normal 7 2 3 3 5 5 2" xfId="31156"/>
    <cellStyle name="Normal 7 2 3 3 5 6" xfId="24716"/>
    <cellStyle name="Normal 7 2 3 3 6" xfId="3084"/>
    <cellStyle name="Normal 7 2 3 3 6 2" xfId="6304"/>
    <cellStyle name="Normal 7 2 3 3 6 2 2" xfId="22404"/>
    <cellStyle name="Normal 7 2 3 3 6 2 2 2" xfId="44991"/>
    <cellStyle name="Normal 7 2 3 3 6 2 3" xfId="12744"/>
    <cellStyle name="Normal 7 2 3 3 6 2 3 2" xfId="35331"/>
    <cellStyle name="Normal 7 2 3 3 6 2 4" xfId="28891"/>
    <cellStyle name="Normal 7 2 3 3 6 3" xfId="19184"/>
    <cellStyle name="Normal 7 2 3 3 6 3 2" xfId="41771"/>
    <cellStyle name="Normal 7 2 3 3 6 4" xfId="15964"/>
    <cellStyle name="Normal 7 2 3 3 6 4 2" xfId="38551"/>
    <cellStyle name="Normal 7 2 3 3 6 5" xfId="9524"/>
    <cellStyle name="Normal 7 2 3 3 6 5 2" xfId="32111"/>
    <cellStyle name="Normal 7 2 3 3 6 6" xfId="25671"/>
    <cellStyle name="Normal 7 2 3 3 7" xfId="3374"/>
    <cellStyle name="Normal 7 2 3 3 7 2" xfId="6594"/>
    <cellStyle name="Normal 7 2 3 3 7 2 2" xfId="22694"/>
    <cellStyle name="Normal 7 2 3 3 7 2 2 2" xfId="45281"/>
    <cellStyle name="Normal 7 2 3 3 7 2 3" xfId="13034"/>
    <cellStyle name="Normal 7 2 3 3 7 2 3 2" xfId="35621"/>
    <cellStyle name="Normal 7 2 3 3 7 2 4" xfId="29181"/>
    <cellStyle name="Normal 7 2 3 3 7 3" xfId="19474"/>
    <cellStyle name="Normal 7 2 3 3 7 3 2" xfId="42061"/>
    <cellStyle name="Normal 7 2 3 3 7 4" xfId="16254"/>
    <cellStyle name="Normal 7 2 3 3 7 4 2" xfId="38841"/>
    <cellStyle name="Normal 7 2 3 3 7 5" xfId="9814"/>
    <cellStyle name="Normal 7 2 3 3 7 5 2" xfId="32401"/>
    <cellStyle name="Normal 7 2 3 3 7 6" xfId="25961"/>
    <cellStyle name="Normal 7 2 3 3 8" xfId="809"/>
    <cellStyle name="Normal 7 2 3 3 8 2" xfId="4041"/>
    <cellStyle name="Normal 7 2 3 3 8 2 2" xfId="20141"/>
    <cellStyle name="Normal 7 2 3 3 8 2 2 2" xfId="42728"/>
    <cellStyle name="Normal 7 2 3 3 8 2 3" xfId="10481"/>
    <cellStyle name="Normal 7 2 3 3 8 2 3 2" xfId="33068"/>
    <cellStyle name="Normal 7 2 3 3 8 2 4" xfId="26628"/>
    <cellStyle name="Normal 7 2 3 3 8 3" xfId="16921"/>
    <cellStyle name="Normal 7 2 3 3 8 3 2" xfId="39508"/>
    <cellStyle name="Normal 7 2 3 3 8 4" xfId="13701"/>
    <cellStyle name="Normal 7 2 3 3 8 4 2" xfId="36288"/>
    <cellStyle name="Normal 7 2 3 3 8 5" xfId="7261"/>
    <cellStyle name="Normal 7 2 3 3 8 5 2" xfId="29848"/>
    <cellStyle name="Normal 7 2 3 3 8 6" xfId="23408"/>
    <cellStyle name="Normal 7 2 3 3 9" xfId="3664"/>
    <cellStyle name="Normal 7 2 3 3 9 2" xfId="19764"/>
    <cellStyle name="Normal 7 2 3 3 9 2 2" xfId="42351"/>
    <cellStyle name="Normal 7 2 3 3 9 3" xfId="10104"/>
    <cellStyle name="Normal 7 2 3 3 9 3 2" xfId="32691"/>
    <cellStyle name="Normal 7 2 3 3 9 4" xfId="26251"/>
    <cellStyle name="Normal 7 2 3 4" xfId="876"/>
    <cellStyle name="Normal 7 2 3 4 2" xfId="2195"/>
    <cellStyle name="Normal 7 2 3 4 2 2" xfId="5416"/>
    <cellStyle name="Normal 7 2 3 4 2 2 2" xfId="21516"/>
    <cellStyle name="Normal 7 2 3 4 2 2 2 2" xfId="44103"/>
    <cellStyle name="Normal 7 2 3 4 2 2 3" xfId="11856"/>
    <cellStyle name="Normal 7 2 3 4 2 2 3 2" xfId="34443"/>
    <cellStyle name="Normal 7 2 3 4 2 2 4" xfId="28003"/>
    <cellStyle name="Normal 7 2 3 4 2 3" xfId="18296"/>
    <cellStyle name="Normal 7 2 3 4 2 3 2" xfId="40883"/>
    <cellStyle name="Normal 7 2 3 4 2 4" xfId="15076"/>
    <cellStyle name="Normal 7 2 3 4 2 4 2" xfId="37663"/>
    <cellStyle name="Normal 7 2 3 4 2 5" xfId="8636"/>
    <cellStyle name="Normal 7 2 3 4 2 5 2" xfId="31223"/>
    <cellStyle name="Normal 7 2 3 4 2 6" xfId="24783"/>
    <cellStyle name="Normal 7 2 3 4 3" xfId="4108"/>
    <cellStyle name="Normal 7 2 3 4 3 2" xfId="20208"/>
    <cellStyle name="Normal 7 2 3 4 3 2 2" xfId="42795"/>
    <cellStyle name="Normal 7 2 3 4 3 3" xfId="10548"/>
    <cellStyle name="Normal 7 2 3 4 3 3 2" xfId="33135"/>
    <cellStyle name="Normal 7 2 3 4 3 4" xfId="26695"/>
    <cellStyle name="Normal 7 2 3 4 4" xfId="16988"/>
    <cellStyle name="Normal 7 2 3 4 4 2" xfId="39575"/>
    <cellStyle name="Normal 7 2 3 4 5" xfId="13768"/>
    <cellStyle name="Normal 7 2 3 4 5 2" xfId="36355"/>
    <cellStyle name="Normal 7 2 3 4 6" xfId="7328"/>
    <cellStyle name="Normal 7 2 3 4 6 2" xfId="29915"/>
    <cellStyle name="Normal 7 2 3 4 7" xfId="23475"/>
    <cellStyle name="Normal 7 2 3 5" xfId="1228"/>
    <cellStyle name="Normal 7 2 3 5 2" xfId="2542"/>
    <cellStyle name="Normal 7 2 3 5 2 2" xfId="5763"/>
    <cellStyle name="Normal 7 2 3 5 2 2 2" xfId="21863"/>
    <cellStyle name="Normal 7 2 3 5 2 2 2 2" xfId="44450"/>
    <cellStyle name="Normal 7 2 3 5 2 2 3" xfId="12203"/>
    <cellStyle name="Normal 7 2 3 5 2 2 3 2" xfId="34790"/>
    <cellStyle name="Normal 7 2 3 5 2 2 4" xfId="28350"/>
    <cellStyle name="Normal 7 2 3 5 2 3" xfId="18643"/>
    <cellStyle name="Normal 7 2 3 5 2 3 2" xfId="41230"/>
    <cellStyle name="Normal 7 2 3 5 2 4" xfId="15423"/>
    <cellStyle name="Normal 7 2 3 5 2 4 2" xfId="38010"/>
    <cellStyle name="Normal 7 2 3 5 2 5" xfId="8983"/>
    <cellStyle name="Normal 7 2 3 5 2 5 2" xfId="31570"/>
    <cellStyle name="Normal 7 2 3 5 2 6" xfId="25130"/>
    <cellStyle name="Normal 7 2 3 5 3" xfId="4455"/>
    <cellStyle name="Normal 7 2 3 5 3 2" xfId="20555"/>
    <cellStyle name="Normal 7 2 3 5 3 2 2" xfId="43142"/>
    <cellStyle name="Normal 7 2 3 5 3 3" xfId="10895"/>
    <cellStyle name="Normal 7 2 3 5 3 3 2" xfId="33482"/>
    <cellStyle name="Normal 7 2 3 5 3 4" xfId="27042"/>
    <cellStyle name="Normal 7 2 3 5 4" xfId="17335"/>
    <cellStyle name="Normal 7 2 3 5 4 2" xfId="39922"/>
    <cellStyle name="Normal 7 2 3 5 5" xfId="14115"/>
    <cellStyle name="Normal 7 2 3 5 5 2" xfId="36702"/>
    <cellStyle name="Normal 7 2 3 5 6" xfId="7675"/>
    <cellStyle name="Normal 7 2 3 5 6 2" xfId="30262"/>
    <cellStyle name="Normal 7 2 3 5 7" xfId="23822"/>
    <cellStyle name="Normal 7 2 3 6" xfId="1701"/>
    <cellStyle name="Normal 7 2 3 6 2" xfId="4924"/>
    <cellStyle name="Normal 7 2 3 6 2 2" xfId="21024"/>
    <cellStyle name="Normal 7 2 3 6 2 2 2" xfId="43611"/>
    <cellStyle name="Normal 7 2 3 6 2 3" xfId="11364"/>
    <cellStyle name="Normal 7 2 3 6 2 3 2" xfId="33951"/>
    <cellStyle name="Normal 7 2 3 6 2 4" xfId="27511"/>
    <cellStyle name="Normal 7 2 3 6 3" xfId="17804"/>
    <cellStyle name="Normal 7 2 3 6 3 2" xfId="40391"/>
    <cellStyle name="Normal 7 2 3 6 4" xfId="14584"/>
    <cellStyle name="Normal 7 2 3 6 4 2" xfId="37171"/>
    <cellStyle name="Normal 7 2 3 6 5" xfId="8144"/>
    <cellStyle name="Normal 7 2 3 6 5 2" xfId="30731"/>
    <cellStyle name="Normal 7 2 3 6 6" xfId="24291"/>
    <cellStyle name="Normal 7 2 3 7" xfId="1847"/>
    <cellStyle name="Normal 7 2 3 7 2" xfId="5069"/>
    <cellStyle name="Normal 7 2 3 7 2 2" xfId="21169"/>
    <cellStyle name="Normal 7 2 3 7 2 2 2" xfId="43756"/>
    <cellStyle name="Normal 7 2 3 7 2 3" xfId="11509"/>
    <cellStyle name="Normal 7 2 3 7 2 3 2" xfId="34096"/>
    <cellStyle name="Normal 7 2 3 7 2 4" xfId="27656"/>
    <cellStyle name="Normal 7 2 3 7 3" xfId="17949"/>
    <cellStyle name="Normal 7 2 3 7 3 2" xfId="40536"/>
    <cellStyle name="Normal 7 2 3 7 4" xfId="14729"/>
    <cellStyle name="Normal 7 2 3 7 4 2" xfId="37316"/>
    <cellStyle name="Normal 7 2 3 7 5" xfId="8289"/>
    <cellStyle name="Normal 7 2 3 7 5 2" xfId="30876"/>
    <cellStyle name="Normal 7 2 3 7 6" xfId="24436"/>
    <cellStyle name="Normal 7 2 3 8" xfId="2890"/>
    <cellStyle name="Normal 7 2 3 8 2" xfId="6111"/>
    <cellStyle name="Normal 7 2 3 8 2 2" xfId="22211"/>
    <cellStyle name="Normal 7 2 3 8 2 2 2" xfId="44798"/>
    <cellStyle name="Normal 7 2 3 8 2 3" xfId="12551"/>
    <cellStyle name="Normal 7 2 3 8 2 3 2" xfId="35138"/>
    <cellStyle name="Normal 7 2 3 8 2 4" xfId="28698"/>
    <cellStyle name="Normal 7 2 3 8 3" xfId="18991"/>
    <cellStyle name="Normal 7 2 3 8 3 2" xfId="41578"/>
    <cellStyle name="Normal 7 2 3 8 4" xfId="15771"/>
    <cellStyle name="Normal 7 2 3 8 4 2" xfId="38358"/>
    <cellStyle name="Normal 7 2 3 8 5" xfId="9331"/>
    <cellStyle name="Normal 7 2 3 8 5 2" xfId="31918"/>
    <cellStyle name="Normal 7 2 3 8 6" xfId="25478"/>
    <cellStyle name="Normal 7 2 3 9" xfId="3181"/>
    <cellStyle name="Normal 7 2 3 9 2" xfId="6401"/>
    <cellStyle name="Normal 7 2 3 9 2 2" xfId="22501"/>
    <cellStyle name="Normal 7 2 3 9 2 2 2" xfId="45088"/>
    <cellStyle name="Normal 7 2 3 9 2 3" xfId="12841"/>
    <cellStyle name="Normal 7 2 3 9 2 3 2" xfId="35428"/>
    <cellStyle name="Normal 7 2 3 9 2 4" xfId="28988"/>
    <cellStyle name="Normal 7 2 3 9 3" xfId="19281"/>
    <cellStyle name="Normal 7 2 3 9 3 2" xfId="41868"/>
    <cellStyle name="Normal 7 2 3 9 4" xfId="16061"/>
    <cellStyle name="Normal 7 2 3 9 4 2" xfId="38648"/>
    <cellStyle name="Normal 7 2 3 9 5" xfId="9621"/>
    <cellStyle name="Normal 7 2 3 9 5 2" xfId="32208"/>
    <cellStyle name="Normal 7 2 3 9 6" xfId="25768"/>
    <cellStyle name="Normal 7 2 4" xfId="227"/>
    <cellStyle name="Normal 7 2 4 10" xfId="514"/>
    <cellStyle name="Normal 7 2 4 10 2" xfId="3801"/>
    <cellStyle name="Normal 7 2 4 10 2 2" xfId="19901"/>
    <cellStyle name="Normal 7 2 4 10 2 2 2" xfId="42488"/>
    <cellStyle name="Normal 7 2 4 10 2 3" xfId="10241"/>
    <cellStyle name="Normal 7 2 4 10 2 3 2" xfId="32828"/>
    <cellStyle name="Normal 7 2 4 10 2 4" xfId="26388"/>
    <cellStyle name="Normal 7 2 4 10 3" xfId="16681"/>
    <cellStyle name="Normal 7 2 4 10 3 2" xfId="39268"/>
    <cellStyle name="Normal 7 2 4 10 4" xfId="13461"/>
    <cellStyle name="Normal 7 2 4 10 4 2" xfId="36048"/>
    <cellStyle name="Normal 7 2 4 10 5" xfId="7021"/>
    <cellStyle name="Normal 7 2 4 10 5 2" xfId="29608"/>
    <cellStyle name="Normal 7 2 4 10 6" xfId="23168"/>
    <cellStyle name="Normal 7 2 4 11" xfId="3515"/>
    <cellStyle name="Normal 7 2 4 11 2" xfId="19615"/>
    <cellStyle name="Normal 7 2 4 11 2 2" xfId="42202"/>
    <cellStyle name="Normal 7 2 4 11 3" xfId="9955"/>
    <cellStyle name="Normal 7 2 4 11 3 2" xfId="32542"/>
    <cellStyle name="Normal 7 2 4 11 4" xfId="26102"/>
    <cellStyle name="Normal 7 2 4 12" xfId="16395"/>
    <cellStyle name="Normal 7 2 4 12 2" xfId="38982"/>
    <cellStyle name="Normal 7 2 4 13" xfId="13175"/>
    <cellStyle name="Normal 7 2 4 13 2" xfId="35762"/>
    <cellStyle name="Normal 7 2 4 14" xfId="6735"/>
    <cellStyle name="Normal 7 2 4 14 2" xfId="29322"/>
    <cellStyle name="Normal 7 2 4 15" xfId="22882"/>
    <cellStyle name="Normal 7 2 4 2" xfId="325"/>
    <cellStyle name="Normal 7 2 4 2 10" xfId="16492"/>
    <cellStyle name="Normal 7 2 4 2 10 2" xfId="39079"/>
    <cellStyle name="Normal 7 2 4 2 11" xfId="13272"/>
    <cellStyle name="Normal 7 2 4 2 11 2" xfId="35859"/>
    <cellStyle name="Normal 7 2 4 2 12" xfId="6832"/>
    <cellStyle name="Normal 7 2 4 2 12 2" xfId="29419"/>
    <cellStyle name="Normal 7 2 4 2 13" xfId="22979"/>
    <cellStyle name="Normal 7 2 4 2 2" xfId="1037"/>
    <cellStyle name="Normal 7 2 4 2 2 2" xfId="2351"/>
    <cellStyle name="Normal 7 2 4 2 2 2 2" xfId="5572"/>
    <cellStyle name="Normal 7 2 4 2 2 2 2 2" xfId="21672"/>
    <cellStyle name="Normal 7 2 4 2 2 2 2 2 2" xfId="44259"/>
    <cellStyle name="Normal 7 2 4 2 2 2 2 3" xfId="12012"/>
    <cellStyle name="Normal 7 2 4 2 2 2 2 3 2" xfId="34599"/>
    <cellStyle name="Normal 7 2 4 2 2 2 2 4" xfId="28159"/>
    <cellStyle name="Normal 7 2 4 2 2 2 3" xfId="18452"/>
    <cellStyle name="Normal 7 2 4 2 2 2 3 2" xfId="41039"/>
    <cellStyle name="Normal 7 2 4 2 2 2 4" xfId="15232"/>
    <cellStyle name="Normal 7 2 4 2 2 2 4 2" xfId="37819"/>
    <cellStyle name="Normal 7 2 4 2 2 2 5" xfId="8792"/>
    <cellStyle name="Normal 7 2 4 2 2 2 5 2" xfId="31379"/>
    <cellStyle name="Normal 7 2 4 2 2 2 6" xfId="24939"/>
    <cellStyle name="Normal 7 2 4 2 2 3" xfId="4264"/>
    <cellStyle name="Normal 7 2 4 2 2 3 2" xfId="20364"/>
    <cellStyle name="Normal 7 2 4 2 2 3 2 2" xfId="42951"/>
    <cellStyle name="Normal 7 2 4 2 2 3 3" xfId="10704"/>
    <cellStyle name="Normal 7 2 4 2 2 3 3 2" xfId="33291"/>
    <cellStyle name="Normal 7 2 4 2 2 3 4" xfId="26851"/>
    <cellStyle name="Normal 7 2 4 2 2 4" xfId="17144"/>
    <cellStyle name="Normal 7 2 4 2 2 4 2" xfId="39731"/>
    <cellStyle name="Normal 7 2 4 2 2 5" xfId="13924"/>
    <cellStyle name="Normal 7 2 4 2 2 5 2" xfId="36511"/>
    <cellStyle name="Normal 7 2 4 2 2 6" xfId="7484"/>
    <cellStyle name="Normal 7 2 4 2 2 6 2" xfId="30071"/>
    <cellStyle name="Normal 7 2 4 2 2 7" xfId="23631"/>
    <cellStyle name="Normal 7 2 4 2 3" xfId="1384"/>
    <cellStyle name="Normal 7 2 4 2 3 2" xfId="2698"/>
    <cellStyle name="Normal 7 2 4 2 3 2 2" xfId="5919"/>
    <cellStyle name="Normal 7 2 4 2 3 2 2 2" xfId="22019"/>
    <cellStyle name="Normal 7 2 4 2 3 2 2 2 2" xfId="44606"/>
    <cellStyle name="Normal 7 2 4 2 3 2 2 3" xfId="12359"/>
    <cellStyle name="Normal 7 2 4 2 3 2 2 3 2" xfId="34946"/>
    <cellStyle name="Normal 7 2 4 2 3 2 2 4" xfId="28506"/>
    <cellStyle name="Normal 7 2 4 2 3 2 3" xfId="18799"/>
    <cellStyle name="Normal 7 2 4 2 3 2 3 2" xfId="41386"/>
    <cellStyle name="Normal 7 2 4 2 3 2 4" xfId="15579"/>
    <cellStyle name="Normal 7 2 4 2 3 2 4 2" xfId="38166"/>
    <cellStyle name="Normal 7 2 4 2 3 2 5" xfId="9139"/>
    <cellStyle name="Normal 7 2 4 2 3 2 5 2" xfId="31726"/>
    <cellStyle name="Normal 7 2 4 2 3 2 6" xfId="25286"/>
    <cellStyle name="Normal 7 2 4 2 3 3" xfId="4611"/>
    <cellStyle name="Normal 7 2 4 2 3 3 2" xfId="20711"/>
    <cellStyle name="Normal 7 2 4 2 3 3 2 2" xfId="43298"/>
    <cellStyle name="Normal 7 2 4 2 3 3 3" xfId="11051"/>
    <cellStyle name="Normal 7 2 4 2 3 3 3 2" xfId="33638"/>
    <cellStyle name="Normal 7 2 4 2 3 3 4" xfId="27198"/>
    <cellStyle name="Normal 7 2 4 2 3 4" xfId="17491"/>
    <cellStyle name="Normal 7 2 4 2 3 4 2" xfId="40078"/>
    <cellStyle name="Normal 7 2 4 2 3 5" xfId="14271"/>
    <cellStyle name="Normal 7 2 4 2 3 5 2" xfId="36858"/>
    <cellStyle name="Normal 7 2 4 2 3 6" xfId="7831"/>
    <cellStyle name="Normal 7 2 4 2 3 6 2" xfId="30418"/>
    <cellStyle name="Normal 7 2 4 2 3 7" xfId="23978"/>
    <cellStyle name="Normal 7 2 4 2 4" xfId="1702"/>
    <cellStyle name="Normal 7 2 4 2 4 2" xfId="4925"/>
    <cellStyle name="Normal 7 2 4 2 4 2 2" xfId="21025"/>
    <cellStyle name="Normal 7 2 4 2 4 2 2 2" xfId="43612"/>
    <cellStyle name="Normal 7 2 4 2 4 2 3" xfId="11365"/>
    <cellStyle name="Normal 7 2 4 2 4 2 3 2" xfId="33952"/>
    <cellStyle name="Normal 7 2 4 2 4 2 4" xfId="27512"/>
    <cellStyle name="Normal 7 2 4 2 4 3" xfId="17805"/>
    <cellStyle name="Normal 7 2 4 2 4 3 2" xfId="40392"/>
    <cellStyle name="Normal 7 2 4 2 4 4" xfId="14585"/>
    <cellStyle name="Normal 7 2 4 2 4 4 2" xfId="37172"/>
    <cellStyle name="Normal 7 2 4 2 4 5" xfId="8145"/>
    <cellStyle name="Normal 7 2 4 2 4 5 2" xfId="30732"/>
    <cellStyle name="Normal 7 2 4 2 4 6" xfId="24292"/>
    <cellStyle name="Normal 7 2 4 2 5" xfId="2003"/>
    <cellStyle name="Normal 7 2 4 2 5 2" xfId="5225"/>
    <cellStyle name="Normal 7 2 4 2 5 2 2" xfId="21325"/>
    <cellStyle name="Normal 7 2 4 2 5 2 2 2" xfId="43912"/>
    <cellStyle name="Normal 7 2 4 2 5 2 3" xfId="11665"/>
    <cellStyle name="Normal 7 2 4 2 5 2 3 2" xfId="34252"/>
    <cellStyle name="Normal 7 2 4 2 5 2 4" xfId="27812"/>
    <cellStyle name="Normal 7 2 4 2 5 3" xfId="18105"/>
    <cellStyle name="Normal 7 2 4 2 5 3 2" xfId="40692"/>
    <cellStyle name="Normal 7 2 4 2 5 4" xfId="14885"/>
    <cellStyle name="Normal 7 2 4 2 5 4 2" xfId="37472"/>
    <cellStyle name="Normal 7 2 4 2 5 5" xfId="8445"/>
    <cellStyle name="Normal 7 2 4 2 5 5 2" xfId="31032"/>
    <cellStyle name="Normal 7 2 4 2 5 6" xfId="24592"/>
    <cellStyle name="Normal 7 2 4 2 6" xfId="3032"/>
    <cellStyle name="Normal 7 2 4 2 6 2" xfId="6252"/>
    <cellStyle name="Normal 7 2 4 2 6 2 2" xfId="22352"/>
    <cellStyle name="Normal 7 2 4 2 6 2 2 2" xfId="44939"/>
    <cellStyle name="Normal 7 2 4 2 6 2 3" xfId="12692"/>
    <cellStyle name="Normal 7 2 4 2 6 2 3 2" xfId="35279"/>
    <cellStyle name="Normal 7 2 4 2 6 2 4" xfId="28839"/>
    <cellStyle name="Normal 7 2 4 2 6 3" xfId="19132"/>
    <cellStyle name="Normal 7 2 4 2 6 3 2" xfId="41719"/>
    <cellStyle name="Normal 7 2 4 2 6 4" xfId="15912"/>
    <cellStyle name="Normal 7 2 4 2 6 4 2" xfId="38499"/>
    <cellStyle name="Normal 7 2 4 2 6 5" xfId="9472"/>
    <cellStyle name="Normal 7 2 4 2 6 5 2" xfId="32059"/>
    <cellStyle name="Normal 7 2 4 2 6 6" xfId="25619"/>
    <cellStyle name="Normal 7 2 4 2 7" xfId="3322"/>
    <cellStyle name="Normal 7 2 4 2 7 2" xfId="6542"/>
    <cellStyle name="Normal 7 2 4 2 7 2 2" xfId="22642"/>
    <cellStyle name="Normal 7 2 4 2 7 2 2 2" xfId="45229"/>
    <cellStyle name="Normal 7 2 4 2 7 2 3" xfId="12982"/>
    <cellStyle name="Normal 7 2 4 2 7 2 3 2" xfId="35569"/>
    <cellStyle name="Normal 7 2 4 2 7 2 4" xfId="29129"/>
    <cellStyle name="Normal 7 2 4 2 7 3" xfId="19422"/>
    <cellStyle name="Normal 7 2 4 2 7 3 2" xfId="42009"/>
    <cellStyle name="Normal 7 2 4 2 7 4" xfId="16202"/>
    <cellStyle name="Normal 7 2 4 2 7 4 2" xfId="38789"/>
    <cellStyle name="Normal 7 2 4 2 7 5" xfId="9762"/>
    <cellStyle name="Normal 7 2 4 2 7 5 2" xfId="32349"/>
    <cellStyle name="Normal 7 2 4 2 7 6" xfId="25909"/>
    <cellStyle name="Normal 7 2 4 2 8" xfId="673"/>
    <cellStyle name="Normal 7 2 4 2 8 2" xfId="3917"/>
    <cellStyle name="Normal 7 2 4 2 8 2 2" xfId="20017"/>
    <cellStyle name="Normal 7 2 4 2 8 2 2 2" xfId="42604"/>
    <cellStyle name="Normal 7 2 4 2 8 2 3" xfId="10357"/>
    <cellStyle name="Normal 7 2 4 2 8 2 3 2" xfId="32944"/>
    <cellStyle name="Normal 7 2 4 2 8 2 4" xfId="26504"/>
    <cellStyle name="Normal 7 2 4 2 8 3" xfId="16797"/>
    <cellStyle name="Normal 7 2 4 2 8 3 2" xfId="39384"/>
    <cellStyle name="Normal 7 2 4 2 8 4" xfId="13577"/>
    <cellStyle name="Normal 7 2 4 2 8 4 2" xfId="36164"/>
    <cellStyle name="Normal 7 2 4 2 8 5" xfId="7137"/>
    <cellStyle name="Normal 7 2 4 2 8 5 2" xfId="29724"/>
    <cellStyle name="Normal 7 2 4 2 8 6" xfId="23284"/>
    <cellStyle name="Normal 7 2 4 2 9" xfId="3612"/>
    <cellStyle name="Normal 7 2 4 2 9 2" xfId="19712"/>
    <cellStyle name="Normal 7 2 4 2 9 2 2" xfId="42299"/>
    <cellStyle name="Normal 7 2 4 2 9 3" xfId="10052"/>
    <cellStyle name="Normal 7 2 4 2 9 3 2" xfId="32639"/>
    <cellStyle name="Normal 7 2 4 2 9 4" xfId="26199"/>
    <cellStyle name="Normal 7 2 4 3" xfId="421"/>
    <cellStyle name="Normal 7 2 4 3 10" xfId="16588"/>
    <cellStyle name="Normal 7 2 4 3 10 2" xfId="39175"/>
    <cellStyle name="Normal 7 2 4 3 11" xfId="13368"/>
    <cellStyle name="Normal 7 2 4 3 11 2" xfId="35955"/>
    <cellStyle name="Normal 7 2 4 3 12" xfId="6928"/>
    <cellStyle name="Normal 7 2 4 3 12 2" xfId="29515"/>
    <cellStyle name="Normal 7 2 4 3 13" xfId="23075"/>
    <cellStyle name="Normal 7 2 4 3 2" xfId="1121"/>
    <cellStyle name="Normal 7 2 4 3 2 2" xfId="2435"/>
    <cellStyle name="Normal 7 2 4 3 2 2 2" xfId="5656"/>
    <cellStyle name="Normal 7 2 4 3 2 2 2 2" xfId="21756"/>
    <cellStyle name="Normal 7 2 4 3 2 2 2 2 2" xfId="44343"/>
    <cellStyle name="Normal 7 2 4 3 2 2 2 3" xfId="12096"/>
    <cellStyle name="Normal 7 2 4 3 2 2 2 3 2" xfId="34683"/>
    <cellStyle name="Normal 7 2 4 3 2 2 2 4" xfId="28243"/>
    <cellStyle name="Normal 7 2 4 3 2 2 3" xfId="18536"/>
    <cellStyle name="Normal 7 2 4 3 2 2 3 2" xfId="41123"/>
    <cellStyle name="Normal 7 2 4 3 2 2 4" xfId="15316"/>
    <cellStyle name="Normal 7 2 4 3 2 2 4 2" xfId="37903"/>
    <cellStyle name="Normal 7 2 4 3 2 2 5" xfId="8876"/>
    <cellStyle name="Normal 7 2 4 3 2 2 5 2" xfId="31463"/>
    <cellStyle name="Normal 7 2 4 3 2 2 6" xfId="25023"/>
    <cellStyle name="Normal 7 2 4 3 2 3" xfId="4348"/>
    <cellStyle name="Normal 7 2 4 3 2 3 2" xfId="20448"/>
    <cellStyle name="Normal 7 2 4 3 2 3 2 2" xfId="43035"/>
    <cellStyle name="Normal 7 2 4 3 2 3 3" xfId="10788"/>
    <cellStyle name="Normal 7 2 4 3 2 3 3 2" xfId="33375"/>
    <cellStyle name="Normal 7 2 4 3 2 3 4" xfId="26935"/>
    <cellStyle name="Normal 7 2 4 3 2 4" xfId="17228"/>
    <cellStyle name="Normal 7 2 4 3 2 4 2" xfId="39815"/>
    <cellStyle name="Normal 7 2 4 3 2 5" xfId="14008"/>
    <cellStyle name="Normal 7 2 4 3 2 5 2" xfId="36595"/>
    <cellStyle name="Normal 7 2 4 3 2 6" xfId="7568"/>
    <cellStyle name="Normal 7 2 4 3 2 6 2" xfId="30155"/>
    <cellStyle name="Normal 7 2 4 3 2 7" xfId="23715"/>
    <cellStyle name="Normal 7 2 4 3 3" xfId="1468"/>
    <cellStyle name="Normal 7 2 4 3 3 2" xfId="2782"/>
    <cellStyle name="Normal 7 2 4 3 3 2 2" xfId="6003"/>
    <cellStyle name="Normal 7 2 4 3 3 2 2 2" xfId="22103"/>
    <cellStyle name="Normal 7 2 4 3 3 2 2 2 2" xfId="44690"/>
    <cellStyle name="Normal 7 2 4 3 3 2 2 3" xfId="12443"/>
    <cellStyle name="Normal 7 2 4 3 3 2 2 3 2" xfId="35030"/>
    <cellStyle name="Normal 7 2 4 3 3 2 2 4" xfId="28590"/>
    <cellStyle name="Normal 7 2 4 3 3 2 3" xfId="18883"/>
    <cellStyle name="Normal 7 2 4 3 3 2 3 2" xfId="41470"/>
    <cellStyle name="Normal 7 2 4 3 3 2 4" xfId="15663"/>
    <cellStyle name="Normal 7 2 4 3 3 2 4 2" xfId="38250"/>
    <cellStyle name="Normal 7 2 4 3 3 2 5" xfId="9223"/>
    <cellStyle name="Normal 7 2 4 3 3 2 5 2" xfId="31810"/>
    <cellStyle name="Normal 7 2 4 3 3 2 6" xfId="25370"/>
    <cellStyle name="Normal 7 2 4 3 3 3" xfId="4695"/>
    <cellStyle name="Normal 7 2 4 3 3 3 2" xfId="20795"/>
    <cellStyle name="Normal 7 2 4 3 3 3 2 2" xfId="43382"/>
    <cellStyle name="Normal 7 2 4 3 3 3 3" xfId="11135"/>
    <cellStyle name="Normal 7 2 4 3 3 3 3 2" xfId="33722"/>
    <cellStyle name="Normal 7 2 4 3 3 3 4" xfId="27282"/>
    <cellStyle name="Normal 7 2 4 3 3 4" xfId="17575"/>
    <cellStyle name="Normal 7 2 4 3 3 4 2" xfId="40162"/>
    <cellStyle name="Normal 7 2 4 3 3 5" xfId="14355"/>
    <cellStyle name="Normal 7 2 4 3 3 5 2" xfId="36942"/>
    <cellStyle name="Normal 7 2 4 3 3 6" xfId="7915"/>
    <cellStyle name="Normal 7 2 4 3 3 6 2" xfId="30502"/>
    <cellStyle name="Normal 7 2 4 3 3 7" xfId="24062"/>
    <cellStyle name="Normal 7 2 4 3 4" xfId="1703"/>
    <cellStyle name="Normal 7 2 4 3 4 2" xfId="4926"/>
    <cellStyle name="Normal 7 2 4 3 4 2 2" xfId="21026"/>
    <cellStyle name="Normal 7 2 4 3 4 2 2 2" xfId="43613"/>
    <cellStyle name="Normal 7 2 4 3 4 2 3" xfId="11366"/>
    <cellStyle name="Normal 7 2 4 3 4 2 3 2" xfId="33953"/>
    <cellStyle name="Normal 7 2 4 3 4 2 4" xfId="27513"/>
    <cellStyle name="Normal 7 2 4 3 4 3" xfId="17806"/>
    <cellStyle name="Normal 7 2 4 3 4 3 2" xfId="40393"/>
    <cellStyle name="Normal 7 2 4 3 4 4" xfId="14586"/>
    <cellStyle name="Normal 7 2 4 3 4 4 2" xfId="37173"/>
    <cellStyle name="Normal 7 2 4 3 4 5" xfId="8146"/>
    <cellStyle name="Normal 7 2 4 3 4 5 2" xfId="30733"/>
    <cellStyle name="Normal 7 2 4 3 4 6" xfId="24293"/>
    <cellStyle name="Normal 7 2 4 3 5" xfId="2088"/>
    <cellStyle name="Normal 7 2 4 3 5 2" xfId="5309"/>
    <cellStyle name="Normal 7 2 4 3 5 2 2" xfId="21409"/>
    <cellStyle name="Normal 7 2 4 3 5 2 2 2" xfId="43996"/>
    <cellStyle name="Normal 7 2 4 3 5 2 3" xfId="11749"/>
    <cellStyle name="Normal 7 2 4 3 5 2 3 2" xfId="34336"/>
    <cellStyle name="Normal 7 2 4 3 5 2 4" xfId="27896"/>
    <cellStyle name="Normal 7 2 4 3 5 3" xfId="18189"/>
    <cellStyle name="Normal 7 2 4 3 5 3 2" xfId="40776"/>
    <cellStyle name="Normal 7 2 4 3 5 4" xfId="14969"/>
    <cellStyle name="Normal 7 2 4 3 5 4 2" xfId="37556"/>
    <cellStyle name="Normal 7 2 4 3 5 5" xfId="8529"/>
    <cellStyle name="Normal 7 2 4 3 5 5 2" xfId="31116"/>
    <cellStyle name="Normal 7 2 4 3 5 6" xfId="24676"/>
    <cellStyle name="Normal 7 2 4 3 6" xfId="3128"/>
    <cellStyle name="Normal 7 2 4 3 6 2" xfId="6348"/>
    <cellStyle name="Normal 7 2 4 3 6 2 2" xfId="22448"/>
    <cellStyle name="Normal 7 2 4 3 6 2 2 2" xfId="45035"/>
    <cellStyle name="Normal 7 2 4 3 6 2 3" xfId="12788"/>
    <cellStyle name="Normal 7 2 4 3 6 2 3 2" xfId="35375"/>
    <cellStyle name="Normal 7 2 4 3 6 2 4" xfId="28935"/>
    <cellStyle name="Normal 7 2 4 3 6 3" xfId="19228"/>
    <cellStyle name="Normal 7 2 4 3 6 3 2" xfId="41815"/>
    <cellStyle name="Normal 7 2 4 3 6 4" xfId="16008"/>
    <cellStyle name="Normal 7 2 4 3 6 4 2" xfId="38595"/>
    <cellStyle name="Normal 7 2 4 3 6 5" xfId="9568"/>
    <cellStyle name="Normal 7 2 4 3 6 5 2" xfId="32155"/>
    <cellStyle name="Normal 7 2 4 3 6 6" xfId="25715"/>
    <cellStyle name="Normal 7 2 4 3 7" xfId="3418"/>
    <cellStyle name="Normal 7 2 4 3 7 2" xfId="6638"/>
    <cellStyle name="Normal 7 2 4 3 7 2 2" xfId="22738"/>
    <cellStyle name="Normal 7 2 4 3 7 2 2 2" xfId="45325"/>
    <cellStyle name="Normal 7 2 4 3 7 2 3" xfId="13078"/>
    <cellStyle name="Normal 7 2 4 3 7 2 3 2" xfId="35665"/>
    <cellStyle name="Normal 7 2 4 3 7 2 4" xfId="29225"/>
    <cellStyle name="Normal 7 2 4 3 7 3" xfId="19518"/>
    <cellStyle name="Normal 7 2 4 3 7 3 2" xfId="42105"/>
    <cellStyle name="Normal 7 2 4 3 7 4" xfId="16298"/>
    <cellStyle name="Normal 7 2 4 3 7 4 2" xfId="38885"/>
    <cellStyle name="Normal 7 2 4 3 7 5" xfId="9858"/>
    <cellStyle name="Normal 7 2 4 3 7 5 2" xfId="32445"/>
    <cellStyle name="Normal 7 2 4 3 7 6" xfId="26005"/>
    <cellStyle name="Normal 7 2 4 3 8" xfId="769"/>
    <cellStyle name="Normal 7 2 4 3 8 2" xfId="4001"/>
    <cellStyle name="Normal 7 2 4 3 8 2 2" xfId="20101"/>
    <cellStyle name="Normal 7 2 4 3 8 2 2 2" xfId="42688"/>
    <cellStyle name="Normal 7 2 4 3 8 2 3" xfId="10441"/>
    <cellStyle name="Normal 7 2 4 3 8 2 3 2" xfId="33028"/>
    <cellStyle name="Normal 7 2 4 3 8 2 4" xfId="26588"/>
    <cellStyle name="Normal 7 2 4 3 8 3" xfId="16881"/>
    <cellStyle name="Normal 7 2 4 3 8 3 2" xfId="39468"/>
    <cellStyle name="Normal 7 2 4 3 8 4" xfId="13661"/>
    <cellStyle name="Normal 7 2 4 3 8 4 2" xfId="36248"/>
    <cellStyle name="Normal 7 2 4 3 8 5" xfId="7221"/>
    <cellStyle name="Normal 7 2 4 3 8 5 2" xfId="29808"/>
    <cellStyle name="Normal 7 2 4 3 8 6" xfId="23368"/>
    <cellStyle name="Normal 7 2 4 3 9" xfId="3708"/>
    <cellStyle name="Normal 7 2 4 3 9 2" xfId="19808"/>
    <cellStyle name="Normal 7 2 4 3 9 2 2" xfId="42395"/>
    <cellStyle name="Normal 7 2 4 3 9 3" xfId="10148"/>
    <cellStyle name="Normal 7 2 4 3 9 3 2" xfId="32735"/>
    <cellStyle name="Normal 7 2 4 3 9 4" xfId="26295"/>
    <cellStyle name="Normal 7 2 4 4" xfId="916"/>
    <cellStyle name="Normal 7 2 4 4 2" xfId="2235"/>
    <cellStyle name="Normal 7 2 4 4 2 2" xfId="5456"/>
    <cellStyle name="Normal 7 2 4 4 2 2 2" xfId="21556"/>
    <cellStyle name="Normal 7 2 4 4 2 2 2 2" xfId="44143"/>
    <cellStyle name="Normal 7 2 4 4 2 2 3" xfId="11896"/>
    <cellStyle name="Normal 7 2 4 4 2 2 3 2" xfId="34483"/>
    <cellStyle name="Normal 7 2 4 4 2 2 4" xfId="28043"/>
    <cellStyle name="Normal 7 2 4 4 2 3" xfId="18336"/>
    <cellStyle name="Normal 7 2 4 4 2 3 2" xfId="40923"/>
    <cellStyle name="Normal 7 2 4 4 2 4" xfId="15116"/>
    <cellStyle name="Normal 7 2 4 4 2 4 2" xfId="37703"/>
    <cellStyle name="Normal 7 2 4 4 2 5" xfId="8676"/>
    <cellStyle name="Normal 7 2 4 4 2 5 2" xfId="31263"/>
    <cellStyle name="Normal 7 2 4 4 2 6" xfId="24823"/>
    <cellStyle name="Normal 7 2 4 4 3" xfId="4148"/>
    <cellStyle name="Normal 7 2 4 4 3 2" xfId="20248"/>
    <cellStyle name="Normal 7 2 4 4 3 2 2" xfId="42835"/>
    <cellStyle name="Normal 7 2 4 4 3 3" xfId="10588"/>
    <cellStyle name="Normal 7 2 4 4 3 3 2" xfId="33175"/>
    <cellStyle name="Normal 7 2 4 4 3 4" xfId="26735"/>
    <cellStyle name="Normal 7 2 4 4 4" xfId="17028"/>
    <cellStyle name="Normal 7 2 4 4 4 2" xfId="39615"/>
    <cellStyle name="Normal 7 2 4 4 5" xfId="13808"/>
    <cellStyle name="Normal 7 2 4 4 5 2" xfId="36395"/>
    <cellStyle name="Normal 7 2 4 4 6" xfId="7368"/>
    <cellStyle name="Normal 7 2 4 4 6 2" xfId="29955"/>
    <cellStyle name="Normal 7 2 4 4 7" xfId="23515"/>
    <cellStyle name="Normal 7 2 4 5" xfId="1268"/>
    <cellStyle name="Normal 7 2 4 5 2" xfId="2582"/>
    <cellStyle name="Normal 7 2 4 5 2 2" xfId="5803"/>
    <cellStyle name="Normal 7 2 4 5 2 2 2" xfId="21903"/>
    <cellStyle name="Normal 7 2 4 5 2 2 2 2" xfId="44490"/>
    <cellStyle name="Normal 7 2 4 5 2 2 3" xfId="12243"/>
    <cellStyle name="Normal 7 2 4 5 2 2 3 2" xfId="34830"/>
    <cellStyle name="Normal 7 2 4 5 2 2 4" xfId="28390"/>
    <cellStyle name="Normal 7 2 4 5 2 3" xfId="18683"/>
    <cellStyle name="Normal 7 2 4 5 2 3 2" xfId="41270"/>
    <cellStyle name="Normal 7 2 4 5 2 4" xfId="15463"/>
    <cellStyle name="Normal 7 2 4 5 2 4 2" xfId="38050"/>
    <cellStyle name="Normal 7 2 4 5 2 5" xfId="9023"/>
    <cellStyle name="Normal 7 2 4 5 2 5 2" xfId="31610"/>
    <cellStyle name="Normal 7 2 4 5 2 6" xfId="25170"/>
    <cellStyle name="Normal 7 2 4 5 3" xfId="4495"/>
    <cellStyle name="Normal 7 2 4 5 3 2" xfId="20595"/>
    <cellStyle name="Normal 7 2 4 5 3 2 2" xfId="43182"/>
    <cellStyle name="Normal 7 2 4 5 3 3" xfId="10935"/>
    <cellStyle name="Normal 7 2 4 5 3 3 2" xfId="33522"/>
    <cellStyle name="Normal 7 2 4 5 3 4" xfId="27082"/>
    <cellStyle name="Normal 7 2 4 5 4" xfId="17375"/>
    <cellStyle name="Normal 7 2 4 5 4 2" xfId="39962"/>
    <cellStyle name="Normal 7 2 4 5 5" xfId="14155"/>
    <cellStyle name="Normal 7 2 4 5 5 2" xfId="36742"/>
    <cellStyle name="Normal 7 2 4 5 6" xfId="7715"/>
    <cellStyle name="Normal 7 2 4 5 6 2" xfId="30302"/>
    <cellStyle name="Normal 7 2 4 5 7" xfId="23862"/>
    <cellStyle name="Normal 7 2 4 6" xfId="1704"/>
    <cellStyle name="Normal 7 2 4 6 2" xfId="4927"/>
    <cellStyle name="Normal 7 2 4 6 2 2" xfId="21027"/>
    <cellStyle name="Normal 7 2 4 6 2 2 2" xfId="43614"/>
    <cellStyle name="Normal 7 2 4 6 2 3" xfId="11367"/>
    <cellStyle name="Normal 7 2 4 6 2 3 2" xfId="33954"/>
    <cellStyle name="Normal 7 2 4 6 2 4" xfId="27514"/>
    <cellStyle name="Normal 7 2 4 6 3" xfId="17807"/>
    <cellStyle name="Normal 7 2 4 6 3 2" xfId="40394"/>
    <cellStyle name="Normal 7 2 4 6 4" xfId="14587"/>
    <cellStyle name="Normal 7 2 4 6 4 2" xfId="37174"/>
    <cellStyle name="Normal 7 2 4 6 5" xfId="8147"/>
    <cellStyle name="Normal 7 2 4 6 5 2" xfId="30734"/>
    <cellStyle name="Normal 7 2 4 6 6" xfId="24294"/>
    <cellStyle name="Normal 7 2 4 7" xfId="1887"/>
    <cellStyle name="Normal 7 2 4 7 2" xfId="5109"/>
    <cellStyle name="Normal 7 2 4 7 2 2" xfId="21209"/>
    <cellStyle name="Normal 7 2 4 7 2 2 2" xfId="43796"/>
    <cellStyle name="Normal 7 2 4 7 2 3" xfId="11549"/>
    <cellStyle name="Normal 7 2 4 7 2 3 2" xfId="34136"/>
    <cellStyle name="Normal 7 2 4 7 2 4" xfId="27696"/>
    <cellStyle name="Normal 7 2 4 7 3" xfId="17989"/>
    <cellStyle name="Normal 7 2 4 7 3 2" xfId="40576"/>
    <cellStyle name="Normal 7 2 4 7 4" xfId="14769"/>
    <cellStyle name="Normal 7 2 4 7 4 2" xfId="37356"/>
    <cellStyle name="Normal 7 2 4 7 5" xfId="8329"/>
    <cellStyle name="Normal 7 2 4 7 5 2" xfId="30916"/>
    <cellStyle name="Normal 7 2 4 7 6" xfId="24476"/>
    <cellStyle name="Normal 7 2 4 8" xfId="2934"/>
    <cellStyle name="Normal 7 2 4 8 2" xfId="6155"/>
    <cellStyle name="Normal 7 2 4 8 2 2" xfId="22255"/>
    <cellStyle name="Normal 7 2 4 8 2 2 2" xfId="44842"/>
    <cellStyle name="Normal 7 2 4 8 2 3" xfId="12595"/>
    <cellStyle name="Normal 7 2 4 8 2 3 2" xfId="35182"/>
    <cellStyle name="Normal 7 2 4 8 2 4" xfId="28742"/>
    <cellStyle name="Normal 7 2 4 8 3" xfId="19035"/>
    <cellStyle name="Normal 7 2 4 8 3 2" xfId="41622"/>
    <cellStyle name="Normal 7 2 4 8 4" xfId="15815"/>
    <cellStyle name="Normal 7 2 4 8 4 2" xfId="38402"/>
    <cellStyle name="Normal 7 2 4 8 5" xfId="9375"/>
    <cellStyle name="Normal 7 2 4 8 5 2" xfId="31962"/>
    <cellStyle name="Normal 7 2 4 8 6" xfId="25522"/>
    <cellStyle name="Normal 7 2 4 9" xfId="3225"/>
    <cellStyle name="Normal 7 2 4 9 2" xfId="6445"/>
    <cellStyle name="Normal 7 2 4 9 2 2" xfId="22545"/>
    <cellStyle name="Normal 7 2 4 9 2 2 2" xfId="45132"/>
    <cellStyle name="Normal 7 2 4 9 2 3" xfId="12885"/>
    <cellStyle name="Normal 7 2 4 9 2 3 2" xfId="35472"/>
    <cellStyle name="Normal 7 2 4 9 2 4" xfId="29032"/>
    <cellStyle name="Normal 7 2 4 9 3" xfId="19325"/>
    <cellStyle name="Normal 7 2 4 9 3 2" xfId="41912"/>
    <cellStyle name="Normal 7 2 4 9 4" xfId="16105"/>
    <cellStyle name="Normal 7 2 4 9 4 2" xfId="38692"/>
    <cellStyle name="Normal 7 2 4 9 5" xfId="9665"/>
    <cellStyle name="Normal 7 2 4 9 5 2" xfId="32252"/>
    <cellStyle name="Normal 7 2 4 9 6" xfId="25812"/>
    <cellStyle name="Normal 7 2 5" xfId="250"/>
    <cellStyle name="Normal 7 2 5 10" xfId="16418"/>
    <cellStyle name="Normal 7 2 5 10 2" xfId="39005"/>
    <cellStyle name="Normal 7 2 5 11" xfId="13198"/>
    <cellStyle name="Normal 7 2 5 11 2" xfId="35785"/>
    <cellStyle name="Normal 7 2 5 12" xfId="6758"/>
    <cellStyle name="Normal 7 2 5 12 2" xfId="29345"/>
    <cellStyle name="Normal 7 2 5 13" xfId="22905"/>
    <cellStyle name="Normal 7 2 5 2" xfId="966"/>
    <cellStyle name="Normal 7 2 5 2 2" xfId="1705"/>
    <cellStyle name="Normal 7 2 5 2 2 2" xfId="4928"/>
    <cellStyle name="Normal 7 2 5 2 2 2 2" xfId="21028"/>
    <cellStyle name="Normal 7 2 5 2 2 2 2 2" xfId="43615"/>
    <cellStyle name="Normal 7 2 5 2 2 2 3" xfId="11368"/>
    <cellStyle name="Normal 7 2 5 2 2 2 3 2" xfId="33955"/>
    <cellStyle name="Normal 7 2 5 2 2 2 4" xfId="27515"/>
    <cellStyle name="Normal 7 2 5 2 2 3" xfId="17808"/>
    <cellStyle name="Normal 7 2 5 2 2 3 2" xfId="40395"/>
    <cellStyle name="Normal 7 2 5 2 2 4" xfId="14588"/>
    <cellStyle name="Normal 7 2 5 2 2 4 2" xfId="37175"/>
    <cellStyle name="Normal 7 2 5 2 2 5" xfId="8148"/>
    <cellStyle name="Normal 7 2 5 2 2 5 2" xfId="30735"/>
    <cellStyle name="Normal 7 2 5 2 2 6" xfId="24295"/>
    <cellStyle name="Normal 7 2 5 2 3" xfId="2284"/>
    <cellStyle name="Normal 7 2 5 2 3 2" xfId="5505"/>
    <cellStyle name="Normal 7 2 5 2 3 2 2" xfId="21605"/>
    <cellStyle name="Normal 7 2 5 2 3 2 2 2" xfId="44192"/>
    <cellStyle name="Normal 7 2 5 2 3 2 3" xfId="11945"/>
    <cellStyle name="Normal 7 2 5 2 3 2 3 2" xfId="34532"/>
    <cellStyle name="Normal 7 2 5 2 3 2 4" xfId="28092"/>
    <cellStyle name="Normal 7 2 5 2 3 3" xfId="18385"/>
    <cellStyle name="Normal 7 2 5 2 3 3 2" xfId="40972"/>
    <cellStyle name="Normal 7 2 5 2 3 4" xfId="15165"/>
    <cellStyle name="Normal 7 2 5 2 3 4 2" xfId="37752"/>
    <cellStyle name="Normal 7 2 5 2 3 5" xfId="8725"/>
    <cellStyle name="Normal 7 2 5 2 3 5 2" xfId="31312"/>
    <cellStyle name="Normal 7 2 5 2 3 6" xfId="24872"/>
    <cellStyle name="Normal 7 2 5 2 4" xfId="4197"/>
    <cellStyle name="Normal 7 2 5 2 4 2" xfId="20297"/>
    <cellStyle name="Normal 7 2 5 2 4 2 2" xfId="42884"/>
    <cellStyle name="Normal 7 2 5 2 4 3" xfId="10637"/>
    <cellStyle name="Normal 7 2 5 2 4 3 2" xfId="33224"/>
    <cellStyle name="Normal 7 2 5 2 4 4" xfId="26784"/>
    <cellStyle name="Normal 7 2 5 2 5" xfId="17077"/>
    <cellStyle name="Normal 7 2 5 2 5 2" xfId="39664"/>
    <cellStyle name="Normal 7 2 5 2 6" xfId="13857"/>
    <cellStyle name="Normal 7 2 5 2 6 2" xfId="36444"/>
    <cellStyle name="Normal 7 2 5 2 7" xfId="7417"/>
    <cellStyle name="Normal 7 2 5 2 7 2" xfId="30004"/>
    <cellStyle name="Normal 7 2 5 2 8" xfId="23564"/>
    <cellStyle name="Normal 7 2 5 3" xfId="1317"/>
    <cellStyle name="Normal 7 2 5 3 2" xfId="2631"/>
    <cellStyle name="Normal 7 2 5 3 2 2" xfId="5852"/>
    <cellStyle name="Normal 7 2 5 3 2 2 2" xfId="21952"/>
    <cellStyle name="Normal 7 2 5 3 2 2 2 2" xfId="44539"/>
    <cellStyle name="Normal 7 2 5 3 2 2 3" xfId="12292"/>
    <cellStyle name="Normal 7 2 5 3 2 2 3 2" xfId="34879"/>
    <cellStyle name="Normal 7 2 5 3 2 2 4" xfId="28439"/>
    <cellStyle name="Normal 7 2 5 3 2 3" xfId="18732"/>
    <cellStyle name="Normal 7 2 5 3 2 3 2" xfId="41319"/>
    <cellStyle name="Normal 7 2 5 3 2 4" xfId="15512"/>
    <cellStyle name="Normal 7 2 5 3 2 4 2" xfId="38099"/>
    <cellStyle name="Normal 7 2 5 3 2 5" xfId="9072"/>
    <cellStyle name="Normal 7 2 5 3 2 5 2" xfId="31659"/>
    <cellStyle name="Normal 7 2 5 3 2 6" xfId="25219"/>
    <cellStyle name="Normal 7 2 5 3 3" xfId="4544"/>
    <cellStyle name="Normal 7 2 5 3 3 2" xfId="20644"/>
    <cellStyle name="Normal 7 2 5 3 3 2 2" xfId="43231"/>
    <cellStyle name="Normal 7 2 5 3 3 3" xfId="10984"/>
    <cellStyle name="Normal 7 2 5 3 3 3 2" xfId="33571"/>
    <cellStyle name="Normal 7 2 5 3 3 4" xfId="27131"/>
    <cellStyle name="Normal 7 2 5 3 4" xfId="17424"/>
    <cellStyle name="Normal 7 2 5 3 4 2" xfId="40011"/>
    <cellStyle name="Normal 7 2 5 3 5" xfId="14204"/>
    <cellStyle name="Normal 7 2 5 3 5 2" xfId="36791"/>
    <cellStyle name="Normal 7 2 5 3 6" xfId="7764"/>
    <cellStyle name="Normal 7 2 5 3 6 2" xfId="30351"/>
    <cellStyle name="Normal 7 2 5 3 7" xfId="23911"/>
    <cellStyle name="Normal 7 2 5 4" xfId="1706"/>
    <cellStyle name="Normal 7 2 5 4 2" xfId="4929"/>
    <cellStyle name="Normal 7 2 5 4 2 2" xfId="21029"/>
    <cellStyle name="Normal 7 2 5 4 2 2 2" xfId="43616"/>
    <cellStyle name="Normal 7 2 5 4 2 3" xfId="11369"/>
    <cellStyle name="Normal 7 2 5 4 2 3 2" xfId="33956"/>
    <cellStyle name="Normal 7 2 5 4 2 4" xfId="27516"/>
    <cellStyle name="Normal 7 2 5 4 3" xfId="17809"/>
    <cellStyle name="Normal 7 2 5 4 3 2" xfId="40396"/>
    <cellStyle name="Normal 7 2 5 4 4" xfId="14589"/>
    <cellStyle name="Normal 7 2 5 4 4 2" xfId="37176"/>
    <cellStyle name="Normal 7 2 5 4 5" xfId="8149"/>
    <cellStyle name="Normal 7 2 5 4 5 2" xfId="30736"/>
    <cellStyle name="Normal 7 2 5 4 6" xfId="24296"/>
    <cellStyle name="Normal 7 2 5 5" xfId="1936"/>
    <cellStyle name="Normal 7 2 5 5 2" xfId="5158"/>
    <cellStyle name="Normal 7 2 5 5 2 2" xfId="21258"/>
    <cellStyle name="Normal 7 2 5 5 2 2 2" xfId="43845"/>
    <cellStyle name="Normal 7 2 5 5 2 3" xfId="11598"/>
    <cellStyle name="Normal 7 2 5 5 2 3 2" xfId="34185"/>
    <cellStyle name="Normal 7 2 5 5 2 4" xfId="27745"/>
    <cellStyle name="Normal 7 2 5 5 3" xfId="18038"/>
    <cellStyle name="Normal 7 2 5 5 3 2" xfId="40625"/>
    <cellStyle name="Normal 7 2 5 5 4" xfId="14818"/>
    <cellStyle name="Normal 7 2 5 5 4 2" xfId="37405"/>
    <cellStyle name="Normal 7 2 5 5 5" xfId="8378"/>
    <cellStyle name="Normal 7 2 5 5 5 2" xfId="30965"/>
    <cellStyle name="Normal 7 2 5 5 6" xfId="24525"/>
    <cellStyle name="Normal 7 2 5 6" xfId="2957"/>
    <cellStyle name="Normal 7 2 5 6 2" xfId="6178"/>
    <cellStyle name="Normal 7 2 5 6 2 2" xfId="22278"/>
    <cellStyle name="Normal 7 2 5 6 2 2 2" xfId="44865"/>
    <cellStyle name="Normal 7 2 5 6 2 3" xfId="12618"/>
    <cellStyle name="Normal 7 2 5 6 2 3 2" xfId="35205"/>
    <cellStyle name="Normal 7 2 5 6 2 4" xfId="28765"/>
    <cellStyle name="Normal 7 2 5 6 3" xfId="19058"/>
    <cellStyle name="Normal 7 2 5 6 3 2" xfId="41645"/>
    <cellStyle name="Normal 7 2 5 6 4" xfId="15838"/>
    <cellStyle name="Normal 7 2 5 6 4 2" xfId="38425"/>
    <cellStyle name="Normal 7 2 5 6 5" xfId="9398"/>
    <cellStyle name="Normal 7 2 5 6 5 2" xfId="31985"/>
    <cellStyle name="Normal 7 2 5 6 6" xfId="25545"/>
    <cellStyle name="Normal 7 2 5 7" xfId="3248"/>
    <cellStyle name="Normal 7 2 5 7 2" xfId="6468"/>
    <cellStyle name="Normal 7 2 5 7 2 2" xfId="22568"/>
    <cellStyle name="Normal 7 2 5 7 2 2 2" xfId="45155"/>
    <cellStyle name="Normal 7 2 5 7 2 3" xfId="12908"/>
    <cellStyle name="Normal 7 2 5 7 2 3 2" xfId="35495"/>
    <cellStyle name="Normal 7 2 5 7 2 4" xfId="29055"/>
    <cellStyle name="Normal 7 2 5 7 3" xfId="19348"/>
    <cellStyle name="Normal 7 2 5 7 3 2" xfId="41935"/>
    <cellStyle name="Normal 7 2 5 7 4" xfId="16128"/>
    <cellStyle name="Normal 7 2 5 7 4 2" xfId="38715"/>
    <cellStyle name="Normal 7 2 5 7 5" xfId="9688"/>
    <cellStyle name="Normal 7 2 5 7 5 2" xfId="32275"/>
    <cellStyle name="Normal 7 2 5 7 6" xfId="25835"/>
    <cellStyle name="Normal 7 2 5 8" xfId="580"/>
    <cellStyle name="Normal 7 2 5 8 2" xfId="3850"/>
    <cellStyle name="Normal 7 2 5 8 2 2" xfId="19950"/>
    <cellStyle name="Normal 7 2 5 8 2 2 2" xfId="42537"/>
    <cellStyle name="Normal 7 2 5 8 2 3" xfId="10290"/>
    <cellStyle name="Normal 7 2 5 8 2 3 2" xfId="32877"/>
    <cellStyle name="Normal 7 2 5 8 2 4" xfId="26437"/>
    <cellStyle name="Normal 7 2 5 8 3" xfId="16730"/>
    <cellStyle name="Normal 7 2 5 8 3 2" xfId="39317"/>
    <cellStyle name="Normal 7 2 5 8 4" xfId="13510"/>
    <cellStyle name="Normal 7 2 5 8 4 2" xfId="36097"/>
    <cellStyle name="Normal 7 2 5 8 5" xfId="7070"/>
    <cellStyle name="Normal 7 2 5 8 5 2" xfId="29657"/>
    <cellStyle name="Normal 7 2 5 8 6" xfId="23217"/>
    <cellStyle name="Normal 7 2 5 9" xfId="3538"/>
    <cellStyle name="Normal 7 2 5 9 2" xfId="19638"/>
    <cellStyle name="Normal 7 2 5 9 2 2" xfId="42225"/>
    <cellStyle name="Normal 7 2 5 9 3" xfId="9978"/>
    <cellStyle name="Normal 7 2 5 9 3 2" xfId="32565"/>
    <cellStyle name="Normal 7 2 5 9 4" xfId="26125"/>
    <cellStyle name="Normal 7 2 6" xfId="344"/>
    <cellStyle name="Normal 7 2 6 10" xfId="16511"/>
    <cellStyle name="Normal 7 2 6 10 2" xfId="39098"/>
    <cellStyle name="Normal 7 2 6 11" xfId="13291"/>
    <cellStyle name="Normal 7 2 6 11 2" xfId="35878"/>
    <cellStyle name="Normal 7 2 6 12" xfId="6851"/>
    <cellStyle name="Normal 7 2 6 12 2" xfId="29438"/>
    <cellStyle name="Normal 7 2 6 13" xfId="22998"/>
    <cellStyle name="Normal 7 2 6 2" xfId="1082"/>
    <cellStyle name="Normal 7 2 6 2 2" xfId="2396"/>
    <cellStyle name="Normal 7 2 6 2 2 2" xfId="5617"/>
    <cellStyle name="Normal 7 2 6 2 2 2 2" xfId="21717"/>
    <cellStyle name="Normal 7 2 6 2 2 2 2 2" xfId="44304"/>
    <cellStyle name="Normal 7 2 6 2 2 2 3" xfId="12057"/>
    <cellStyle name="Normal 7 2 6 2 2 2 3 2" xfId="34644"/>
    <cellStyle name="Normal 7 2 6 2 2 2 4" xfId="28204"/>
    <cellStyle name="Normal 7 2 6 2 2 3" xfId="18497"/>
    <cellStyle name="Normal 7 2 6 2 2 3 2" xfId="41084"/>
    <cellStyle name="Normal 7 2 6 2 2 4" xfId="15277"/>
    <cellStyle name="Normal 7 2 6 2 2 4 2" xfId="37864"/>
    <cellStyle name="Normal 7 2 6 2 2 5" xfId="8837"/>
    <cellStyle name="Normal 7 2 6 2 2 5 2" xfId="31424"/>
    <cellStyle name="Normal 7 2 6 2 2 6" xfId="24984"/>
    <cellStyle name="Normal 7 2 6 2 3" xfId="4309"/>
    <cellStyle name="Normal 7 2 6 2 3 2" xfId="20409"/>
    <cellStyle name="Normal 7 2 6 2 3 2 2" xfId="42996"/>
    <cellStyle name="Normal 7 2 6 2 3 3" xfId="10749"/>
    <cellStyle name="Normal 7 2 6 2 3 3 2" xfId="33336"/>
    <cellStyle name="Normal 7 2 6 2 3 4" xfId="26896"/>
    <cellStyle name="Normal 7 2 6 2 4" xfId="17189"/>
    <cellStyle name="Normal 7 2 6 2 4 2" xfId="39776"/>
    <cellStyle name="Normal 7 2 6 2 5" xfId="13969"/>
    <cellStyle name="Normal 7 2 6 2 5 2" xfId="36556"/>
    <cellStyle name="Normal 7 2 6 2 6" xfId="7529"/>
    <cellStyle name="Normal 7 2 6 2 6 2" xfId="30116"/>
    <cellStyle name="Normal 7 2 6 2 7" xfId="23676"/>
    <cellStyle name="Normal 7 2 6 3" xfId="1429"/>
    <cellStyle name="Normal 7 2 6 3 2" xfId="2743"/>
    <cellStyle name="Normal 7 2 6 3 2 2" xfId="5964"/>
    <cellStyle name="Normal 7 2 6 3 2 2 2" xfId="22064"/>
    <cellStyle name="Normal 7 2 6 3 2 2 2 2" xfId="44651"/>
    <cellStyle name="Normal 7 2 6 3 2 2 3" xfId="12404"/>
    <cellStyle name="Normal 7 2 6 3 2 2 3 2" xfId="34991"/>
    <cellStyle name="Normal 7 2 6 3 2 2 4" xfId="28551"/>
    <cellStyle name="Normal 7 2 6 3 2 3" xfId="18844"/>
    <cellStyle name="Normal 7 2 6 3 2 3 2" xfId="41431"/>
    <cellStyle name="Normal 7 2 6 3 2 4" xfId="15624"/>
    <cellStyle name="Normal 7 2 6 3 2 4 2" xfId="38211"/>
    <cellStyle name="Normal 7 2 6 3 2 5" xfId="9184"/>
    <cellStyle name="Normal 7 2 6 3 2 5 2" xfId="31771"/>
    <cellStyle name="Normal 7 2 6 3 2 6" xfId="25331"/>
    <cellStyle name="Normal 7 2 6 3 3" xfId="4656"/>
    <cellStyle name="Normal 7 2 6 3 3 2" xfId="20756"/>
    <cellStyle name="Normal 7 2 6 3 3 2 2" xfId="43343"/>
    <cellStyle name="Normal 7 2 6 3 3 3" xfId="11096"/>
    <cellStyle name="Normal 7 2 6 3 3 3 2" xfId="33683"/>
    <cellStyle name="Normal 7 2 6 3 3 4" xfId="27243"/>
    <cellStyle name="Normal 7 2 6 3 4" xfId="17536"/>
    <cellStyle name="Normal 7 2 6 3 4 2" xfId="40123"/>
    <cellStyle name="Normal 7 2 6 3 5" xfId="14316"/>
    <cellStyle name="Normal 7 2 6 3 5 2" xfId="36903"/>
    <cellStyle name="Normal 7 2 6 3 6" xfId="7876"/>
    <cellStyle name="Normal 7 2 6 3 6 2" xfId="30463"/>
    <cellStyle name="Normal 7 2 6 3 7" xfId="24023"/>
    <cellStyle name="Normal 7 2 6 4" xfId="1707"/>
    <cellStyle name="Normal 7 2 6 4 2" xfId="4930"/>
    <cellStyle name="Normal 7 2 6 4 2 2" xfId="21030"/>
    <cellStyle name="Normal 7 2 6 4 2 2 2" xfId="43617"/>
    <cellStyle name="Normal 7 2 6 4 2 3" xfId="11370"/>
    <cellStyle name="Normal 7 2 6 4 2 3 2" xfId="33957"/>
    <cellStyle name="Normal 7 2 6 4 2 4" xfId="27517"/>
    <cellStyle name="Normal 7 2 6 4 3" xfId="17810"/>
    <cellStyle name="Normal 7 2 6 4 3 2" xfId="40397"/>
    <cellStyle name="Normal 7 2 6 4 4" xfId="14590"/>
    <cellStyle name="Normal 7 2 6 4 4 2" xfId="37177"/>
    <cellStyle name="Normal 7 2 6 4 5" xfId="8150"/>
    <cellStyle name="Normal 7 2 6 4 5 2" xfId="30737"/>
    <cellStyle name="Normal 7 2 6 4 6" xfId="24297"/>
    <cellStyle name="Normal 7 2 6 5" xfId="2049"/>
    <cellStyle name="Normal 7 2 6 5 2" xfId="5270"/>
    <cellStyle name="Normal 7 2 6 5 2 2" xfId="21370"/>
    <cellStyle name="Normal 7 2 6 5 2 2 2" xfId="43957"/>
    <cellStyle name="Normal 7 2 6 5 2 3" xfId="11710"/>
    <cellStyle name="Normal 7 2 6 5 2 3 2" xfId="34297"/>
    <cellStyle name="Normal 7 2 6 5 2 4" xfId="27857"/>
    <cellStyle name="Normal 7 2 6 5 3" xfId="18150"/>
    <cellStyle name="Normal 7 2 6 5 3 2" xfId="40737"/>
    <cellStyle name="Normal 7 2 6 5 4" xfId="14930"/>
    <cellStyle name="Normal 7 2 6 5 4 2" xfId="37517"/>
    <cellStyle name="Normal 7 2 6 5 5" xfId="8490"/>
    <cellStyle name="Normal 7 2 6 5 5 2" xfId="31077"/>
    <cellStyle name="Normal 7 2 6 5 6" xfId="24637"/>
    <cellStyle name="Normal 7 2 6 6" xfId="3051"/>
    <cellStyle name="Normal 7 2 6 6 2" xfId="6271"/>
    <cellStyle name="Normal 7 2 6 6 2 2" xfId="22371"/>
    <cellStyle name="Normal 7 2 6 6 2 2 2" xfId="44958"/>
    <cellStyle name="Normal 7 2 6 6 2 3" xfId="12711"/>
    <cellStyle name="Normal 7 2 6 6 2 3 2" xfId="35298"/>
    <cellStyle name="Normal 7 2 6 6 2 4" xfId="28858"/>
    <cellStyle name="Normal 7 2 6 6 3" xfId="19151"/>
    <cellStyle name="Normal 7 2 6 6 3 2" xfId="41738"/>
    <cellStyle name="Normal 7 2 6 6 4" xfId="15931"/>
    <cellStyle name="Normal 7 2 6 6 4 2" xfId="38518"/>
    <cellStyle name="Normal 7 2 6 6 5" xfId="9491"/>
    <cellStyle name="Normal 7 2 6 6 5 2" xfId="32078"/>
    <cellStyle name="Normal 7 2 6 6 6" xfId="25638"/>
    <cellStyle name="Normal 7 2 6 7" xfId="3341"/>
    <cellStyle name="Normal 7 2 6 7 2" xfId="6561"/>
    <cellStyle name="Normal 7 2 6 7 2 2" xfId="22661"/>
    <cellStyle name="Normal 7 2 6 7 2 2 2" xfId="45248"/>
    <cellStyle name="Normal 7 2 6 7 2 3" xfId="13001"/>
    <cellStyle name="Normal 7 2 6 7 2 3 2" xfId="35588"/>
    <cellStyle name="Normal 7 2 6 7 2 4" xfId="29148"/>
    <cellStyle name="Normal 7 2 6 7 3" xfId="19441"/>
    <cellStyle name="Normal 7 2 6 7 3 2" xfId="42028"/>
    <cellStyle name="Normal 7 2 6 7 4" xfId="16221"/>
    <cellStyle name="Normal 7 2 6 7 4 2" xfId="38808"/>
    <cellStyle name="Normal 7 2 6 7 5" xfId="9781"/>
    <cellStyle name="Normal 7 2 6 7 5 2" xfId="32368"/>
    <cellStyle name="Normal 7 2 6 7 6" xfId="25928"/>
    <cellStyle name="Normal 7 2 6 8" xfId="730"/>
    <cellStyle name="Normal 7 2 6 8 2" xfId="3962"/>
    <cellStyle name="Normal 7 2 6 8 2 2" xfId="20062"/>
    <cellStyle name="Normal 7 2 6 8 2 2 2" xfId="42649"/>
    <cellStyle name="Normal 7 2 6 8 2 3" xfId="10402"/>
    <cellStyle name="Normal 7 2 6 8 2 3 2" xfId="32989"/>
    <cellStyle name="Normal 7 2 6 8 2 4" xfId="26549"/>
    <cellStyle name="Normal 7 2 6 8 3" xfId="16842"/>
    <cellStyle name="Normal 7 2 6 8 3 2" xfId="39429"/>
    <cellStyle name="Normal 7 2 6 8 4" xfId="13622"/>
    <cellStyle name="Normal 7 2 6 8 4 2" xfId="36209"/>
    <cellStyle name="Normal 7 2 6 8 5" xfId="7182"/>
    <cellStyle name="Normal 7 2 6 8 5 2" xfId="29769"/>
    <cellStyle name="Normal 7 2 6 8 6" xfId="23329"/>
    <cellStyle name="Normal 7 2 6 9" xfId="3631"/>
    <cellStyle name="Normal 7 2 6 9 2" xfId="19731"/>
    <cellStyle name="Normal 7 2 6 9 2 2" xfId="42318"/>
    <cellStyle name="Normal 7 2 6 9 3" xfId="10071"/>
    <cellStyle name="Normal 7 2 6 9 3 2" xfId="32658"/>
    <cellStyle name="Normal 7 2 6 9 4" xfId="26218"/>
    <cellStyle name="Normal 7 2 7" xfId="749"/>
    <cellStyle name="Normal 7 2 7 10" xfId="23348"/>
    <cellStyle name="Normal 7 2 7 2" xfId="1101"/>
    <cellStyle name="Normal 7 2 7 2 2" xfId="2415"/>
    <cellStyle name="Normal 7 2 7 2 2 2" xfId="5636"/>
    <cellStyle name="Normal 7 2 7 2 2 2 2" xfId="21736"/>
    <cellStyle name="Normal 7 2 7 2 2 2 2 2" xfId="44323"/>
    <cellStyle name="Normal 7 2 7 2 2 2 3" xfId="12076"/>
    <cellStyle name="Normal 7 2 7 2 2 2 3 2" xfId="34663"/>
    <cellStyle name="Normal 7 2 7 2 2 2 4" xfId="28223"/>
    <cellStyle name="Normal 7 2 7 2 2 3" xfId="18516"/>
    <cellStyle name="Normal 7 2 7 2 2 3 2" xfId="41103"/>
    <cellStyle name="Normal 7 2 7 2 2 4" xfId="15296"/>
    <cellStyle name="Normal 7 2 7 2 2 4 2" xfId="37883"/>
    <cellStyle name="Normal 7 2 7 2 2 5" xfId="8856"/>
    <cellStyle name="Normal 7 2 7 2 2 5 2" xfId="31443"/>
    <cellStyle name="Normal 7 2 7 2 2 6" xfId="25003"/>
    <cellStyle name="Normal 7 2 7 2 3" xfId="4328"/>
    <cellStyle name="Normal 7 2 7 2 3 2" xfId="20428"/>
    <cellStyle name="Normal 7 2 7 2 3 2 2" xfId="43015"/>
    <cellStyle name="Normal 7 2 7 2 3 3" xfId="10768"/>
    <cellStyle name="Normal 7 2 7 2 3 3 2" xfId="33355"/>
    <cellStyle name="Normal 7 2 7 2 3 4" xfId="26915"/>
    <cellStyle name="Normal 7 2 7 2 4" xfId="17208"/>
    <cellStyle name="Normal 7 2 7 2 4 2" xfId="39795"/>
    <cellStyle name="Normal 7 2 7 2 5" xfId="13988"/>
    <cellStyle name="Normal 7 2 7 2 5 2" xfId="36575"/>
    <cellStyle name="Normal 7 2 7 2 6" xfId="7548"/>
    <cellStyle name="Normal 7 2 7 2 6 2" xfId="30135"/>
    <cellStyle name="Normal 7 2 7 2 7" xfId="23695"/>
    <cellStyle name="Normal 7 2 7 3" xfId="1448"/>
    <cellStyle name="Normal 7 2 7 3 2" xfId="2762"/>
    <cellStyle name="Normal 7 2 7 3 2 2" xfId="5983"/>
    <cellStyle name="Normal 7 2 7 3 2 2 2" xfId="22083"/>
    <cellStyle name="Normal 7 2 7 3 2 2 2 2" xfId="44670"/>
    <cellStyle name="Normal 7 2 7 3 2 2 3" xfId="12423"/>
    <cellStyle name="Normal 7 2 7 3 2 2 3 2" xfId="35010"/>
    <cellStyle name="Normal 7 2 7 3 2 2 4" xfId="28570"/>
    <cellStyle name="Normal 7 2 7 3 2 3" xfId="18863"/>
    <cellStyle name="Normal 7 2 7 3 2 3 2" xfId="41450"/>
    <cellStyle name="Normal 7 2 7 3 2 4" xfId="15643"/>
    <cellStyle name="Normal 7 2 7 3 2 4 2" xfId="38230"/>
    <cellStyle name="Normal 7 2 7 3 2 5" xfId="9203"/>
    <cellStyle name="Normal 7 2 7 3 2 5 2" xfId="31790"/>
    <cellStyle name="Normal 7 2 7 3 2 6" xfId="25350"/>
    <cellStyle name="Normal 7 2 7 3 3" xfId="4675"/>
    <cellStyle name="Normal 7 2 7 3 3 2" xfId="20775"/>
    <cellStyle name="Normal 7 2 7 3 3 2 2" xfId="43362"/>
    <cellStyle name="Normal 7 2 7 3 3 3" xfId="11115"/>
    <cellStyle name="Normal 7 2 7 3 3 3 2" xfId="33702"/>
    <cellStyle name="Normal 7 2 7 3 3 4" xfId="27262"/>
    <cellStyle name="Normal 7 2 7 3 4" xfId="17555"/>
    <cellStyle name="Normal 7 2 7 3 4 2" xfId="40142"/>
    <cellStyle name="Normal 7 2 7 3 5" xfId="14335"/>
    <cellStyle name="Normal 7 2 7 3 5 2" xfId="36922"/>
    <cellStyle name="Normal 7 2 7 3 6" xfId="7895"/>
    <cellStyle name="Normal 7 2 7 3 6 2" xfId="30482"/>
    <cellStyle name="Normal 7 2 7 3 7" xfId="24042"/>
    <cellStyle name="Normal 7 2 7 4" xfId="1708"/>
    <cellStyle name="Normal 7 2 7 4 2" xfId="4931"/>
    <cellStyle name="Normal 7 2 7 4 2 2" xfId="21031"/>
    <cellStyle name="Normal 7 2 7 4 2 2 2" xfId="43618"/>
    <cellStyle name="Normal 7 2 7 4 2 3" xfId="11371"/>
    <cellStyle name="Normal 7 2 7 4 2 3 2" xfId="33958"/>
    <cellStyle name="Normal 7 2 7 4 2 4" xfId="27518"/>
    <cellStyle name="Normal 7 2 7 4 3" xfId="17811"/>
    <cellStyle name="Normal 7 2 7 4 3 2" xfId="40398"/>
    <cellStyle name="Normal 7 2 7 4 4" xfId="14591"/>
    <cellStyle name="Normal 7 2 7 4 4 2" xfId="37178"/>
    <cellStyle name="Normal 7 2 7 4 5" xfId="8151"/>
    <cellStyle name="Normal 7 2 7 4 5 2" xfId="30738"/>
    <cellStyle name="Normal 7 2 7 4 6" xfId="24298"/>
    <cellStyle name="Normal 7 2 7 5" xfId="2068"/>
    <cellStyle name="Normal 7 2 7 5 2" xfId="5289"/>
    <cellStyle name="Normal 7 2 7 5 2 2" xfId="21389"/>
    <cellStyle name="Normal 7 2 7 5 2 2 2" xfId="43976"/>
    <cellStyle name="Normal 7 2 7 5 2 3" xfId="11729"/>
    <cellStyle name="Normal 7 2 7 5 2 3 2" xfId="34316"/>
    <cellStyle name="Normal 7 2 7 5 2 4" xfId="27876"/>
    <cellStyle name="Normal 7 2 7 5 3" xfId="18169"/>
    <cellStyle name="Normal 7 2 7 5 3 2" xfId="40756"/>
    <cellStyle name="Normal 7 2 7 5 4" xfId="14949"/>
    <cellStyle name="Normal 7 2 7 5 4 2" xfId="37536"/>
    <cellStyle name="Normal 7 2 7 5 5" xfId="8509"/>
    <cellStyle name="Normal 7 2 7 5 5 2" xfId="31096"/>
    <cellStyle name="Normal 7 2 7 5 6" xfId="24656"/>
    <cellStyle name="Normal 7 2 7 6" xfId="3981"/>
    <cellStyle name="Normal 7 2 7 6 2" xfId="20081"/>
    <cellStyle name="Normal 7 2 7 6 2 2" xfId="42668"/>
    <cellStyle name="Normal 7 2 7 6 3" xfId="10421"/>
    <cellStyle name="Normal 7 2 7 6 3 2" xfId="33008"/>
    <cellStyle name="Normal 7 2 7 6 4" xfId="26568"/>
    <cellStyle name="Normal 7 2 7 7" xfId="16861"/>
    <cellStyle name="Normal 7 2 7 7 2" xfId="39448"/>
    <cellStyle name="Normal 7 2 7 8" xfId="13641"/>
    <cellStyle name="Normal 7 2 7 8 2" xfId="36228"/>
    <cellStyle name="Normal 7 2 7 9" xfId="7201"/>
    <cellStyle name="Normal 7 2 7 9 2" xfId="29788"/>
    <cellStyle name="Normal 7 2 8" xfId="843"/>
    <cellStyle name="Normal 7 2 8 2" xfId="2162"/>
    <cellStyle name="Normal 7 2 8 2 2" xfId="5383"/>
    <cellStyle name="Normal 7 2 8 2 2 2" xfId="21483"/>
    <cellStyle name="Normal 7 2 8 2 2 2 2" xfId="44070"/>
    <cellStyle name="Normal 7 2 8 2 2 3" xfId="11823"/>
    <cellStyle name="Normal 7 2 8 2 2 3 2" xfId="34410"/>
    <cellStyle name="Normal 7 2 8 2 2 4" xfId="27970"/>
    <cellStyle name="Normal 7 2 8 2 3" xfId="18263"/>
    <cellStyle name="Normal 7 2 8 2 3 2" xfId="40850"/>
    <cellStyle name="Normal 7 2 8 2 4" xfId="15043"/>
    <cellStyle name="Normal 7 2 8 2 4 2" xfId="37630"/>
    <cellStyle name="Normal 7 2 8 2 5" xfId="8603"/>
    <cellStyle name="Normal 7 2 8 2 5 2" xfId="31190"/>
    <cellStyle name="Normal 7 2 8 2 6" xfId="24750"/>
    <cellStyle name="Normal 7 2 8 3" xfId="4075"/>
    <cellStyle name="Normal 7 2 8 3 2" xfId="20175"/>
    <cellStyle name="Normal 7 2 8 3 2 2" xfId="42762"/>
    <cellStyle name="Normal 7 2 8 3 3" xfId="10515"/>
    <cellStyle name="Normal 7 2 8 3 3 2" xfId="33102"/>
    <cellStyle name="Normal 7 2 8 3 4" xfId="26662"/>
    <cellStyle name="Normal 7 2 8 4" xfId="16955"/>
    <cellStyle name="Normal 7 2 8 4 2" xfId="39542"/>
    <cellStyle name="Normal 7 2 8 5" xfId="13735"/>
    <cellStyle name="Normal 7 2 8 5 2" xfId="36322"/>
    <cellStyle name="Normal 7 2 8 6" xfId="7295"/>
    <cellStyle name="Normal 7 2 8 6 2" xfId="29882"/>
    <cellStyle name="Normal 7 2 8 7" xfId="23442"/>
    <cellStyle name="Normal 7 2 9" xfId="1195"/>
    <cellStyle name="Normal 7 2 9 2" xfId="2509"/>
    <cellStyle name="Normal 7 2 9 2 2" xfId="5730"/>
    <cellStyle name="Normal 7 2 9 2 2 2" xfId="21830"/>
    <cellStyle name="Normal 7 2 9 2 2 2 2" xfId="44417"/>
    <cellStyle name="Normal 7 2 9 2 2 3" xfId="12170"/>
    <cellStyle name="Normal 7 2 9 2 2 3 2" xfId="34757"/>
    <cellStyle name="Normal 7 2 9 2 2 4" xfId="28317"/>
    <cellStyle name="Normal 7 2 9 2 3" xfId="18610"/>
    <cellStyle name="Normal 7 2 9 2 3 2" xfId="41197"/>
    <cellStyle name="Normal 7 2 9 2 4" xfId="15390"/>
    <cellStyle name="Normal 7 2 9 2 4 2" xfId="37977"/>
    <cellStyle name="Normal 7 2 9 2 5" xfId="8950"/>
    <cellStyle name="Normal 7 2 9 2 5 2" xfId="31537"/>
    <cellStyle name="Normal 7 2 9 2 6" xfId="25097"/>
    <cellStyle name="Normal 7 2 9 3" xfId="4422"/>
    <cellStyle name="Normal 7 2 9 3 2" xfId="20522"/>
    <cellStyle name="Normal 7 2 9 3 2 2" xfId="43109"/>
    <cellStyle name="Normal 7 2 9 3 3" xfId="10862"/>
    <cellStyle name="Normal 7 2 9 3 3 2" xfId="33449"/>
    <cellStyle name="Normal 7 2 9 3 4" xfId="27009"/>
    <cellStyle name="Normal 7 2 9 4" xfId="17302"/>
    <cellStyle name="Normal 7 2 9 4 2" xfId="39889"/>
    <cellStyle name="Normal 7 2 9 5" xfId="14082"/>
    <cellStyle name="Normal 7 2 9 5 2" xfId="36669"/>
    <cellStyle name="Normal 7 2 9 6" xfId="7642"/>
    <cellStyle name="Normal 7 2 9 6 2" xfId="30229"/>
    <cellStyle name="Normal 7 2 9 7" xfId="23789"/>
    <cellStyle name="Normal 7 20" xfId="22800"/>
    <cellStyle name="Normal 7 3" xfId="112"/>
    <cellStyle name="Normal 7 3 10" xfId="2868"/>
    <cellStyle name="Normal 7 3 10 2" xfId="6089"/>
    <cellStyle name="Normal 7 3 10 2 2" xfId="22189"/>
    <cellStyle name="Normal 7 3 10 2 2 2" xfId="44776"/>
    <cellStyle name="Normal 7 3 10 2 3" xfId="12529"/>
    <cellStyle name="Normal 7 3 10 2 3 2" xfId="35116"/>
    <cellStyle name="Normal 7 3 10 2 4" xfId="28676"/>
    <cellStyle name="Normal 7 3 10 3" xfId="18969"/>
    <cellStyle name="Normal 7 3 10 3 2" xfId="41556"/>
    <cellStyle name="Normal 7 3 10 4" xfId="15749"/>
    <cellStyle name="Normal 7 3 10 4 2" xfId="38336"/>
    <cellStyle name="Normal 7 3 10 5" xfId="9309"/>
    <cellStyle name="Normal 7 3 10 5 2" xfId="31896"/>
    <cellStyle name="Normal 7 3 10 6" xfId="25456"/>
    <cellStyle name="Normal 7 3 11" xfId="3159"/>
    <cellStyle name="Normal 7 3 11 2" xfId="6379"/>
    <cellStyle name="Normal 7 3 11 2 2" xfId="22479"/>
    <cellStyle name="Normal 7 3 11 2 2 2" xfId="45066"/>
    <cellStyle name="Normal 7 3 11 2 3" xfId="12819"/>
    <cellStyle name="Normal 7 3 11 2 3 2" xfId="35406"/>
    <cellStyle name="Normal 7 3 11 2 4" xfId="28966"/>
    <cellStyle name="Normal 7 3 11 3" xfId="19259"/>
    <cellStyle name="Normal 7 3 11 3 2" xfId="41846"/>
    <cellStyle name="Normal 7 3 11 4" xfId="16039"/>
    <cellStyle name="Normal 7 3 11 4 2" xfId="38626"/>
    <cellStyle name="Normal 7 3 11 5" xfId="9599"/>
    <cellStyle name="Normal 7 3 11 5 2" xfId="32186"/>
    <cellStyle name="Normal 7 3 11 6" xfId="25746"/>
    <cellStyle name="Normal 7 3 12" xfId="452"/>
    <cellStyle name="Normal 7 3 12 2" xfId="3739"/>
    <cellStyle name="Normal 7 3 12 2 2" xfId="19839"/>
    <cellStyle name="Normal 7 3 12 2 2 2" xfId="42426"/>
    <cellStyle name="Normal 7 3 12 2 3" xfId="10179"/>
    <cellStyle name="Normal 7 3 12 2 3 2" xfId="32766"/>
    <cellStyle name="Normal 7 3 12 2 4" xfId="26326"/>
    <cellStyle name="Normal 7 3 12 3" xfId="16619"/>
    <cellStyle name="Normal 7 3 12 3 2" xfId="39206"/>
    <cellStyle name="Normal 7 3 12 4" xfId="13399"/>
    <cellStyle name="Normal 7 3 12 4 2" xfId="35986"/>
    <cellStyle name="Normal 7 3 12 5" xfId="6959"/>
    <cellStyle name="Normal 7 3 12 5 2" xfId="29546"/>
    <cellStyle name="Normal 7 3 12 6" xfId="23106"/>
    <cellStyle name="Normal 7 3 13" xfId="3449"/>
    <cellStyle name="Normal 7 3 13 2" xfId="19549"/>
    <cellStyle name="Normal 7 3 13 2 2" xfId="42136"/>
    <cellStyle name="Normal 7 3 13 3" xfId="9889"/>
    <cellStyle name="Normal 7 3 13 3 2" xfId="32476"/>
    <cellStyle name="Normal 7 3 13 4" xfId="26036"/>
    <cellStyle name="Normal 7 3 14" xfId="16329"/>
    <cellStyle name="Normal 7 3 14 2" xfId="38916"/>
    <cellStyle name="Normal 7 3 15" xfId="13109"/>
    <cellStyle name="Normal 7 3 15 2" xfId="35696"/>
    <cellStyle name="Normal 7 3 16" xfId="6669"/>
    <cellStyle name="Normal 7 3 16 2" xfId="29256"/>
    <cellStyle name="Normal 7 3 17" xfId="22816"/>
    <cellStyle name="Normal 7 3 2" xfId="196"/>
    <cellStyle name="Normal 7 3 2 10" xfId="489"/>
    <cellStyle name="Normal 7 3 2 10 2" xfId="3776"/>
    <cellStyle name="Normal 7 3 2 10 2 2" xfId="19876"/>
    <cellStyle name="Normal 7 3 2 10 2 2 2" xfId="42463"/>
    <cellStyle name="Normal 7 3 2 10 2 3" xfId="10216"/>
    <cellStyle name="Normal 7 3 2 10 2 3 2" xfId="32803"/>
    <cellStyle name="Normal 7 3 2 10 2 4" xfId="26363"/>
    <cellStyle name="Normal 7 3 2 10 3" xfId="16656"/>
    <cellStyle name="Normal 7 3 2 10 3 2" xfId="39243"/>
    <cellStyle name="Normal 7 3 2 10 4" xfId="13436"/>
    <cellStyle name="Normal 7 3 2 10 4 2" xfId="36023"/>
    <cellStyle name="Normal 7 3 2 10 5" xfId="6996"/>
    <cellStyle name="Normal 7 3 2 10 5 2" xfId="29583"/>
    <cellStyle name="Normal 7 3 2 10 6" xfId="23143"/>
    <cellStyle name="Normal 7 3 2 11" xfId="3486"/>
    <cellStyle name="Normal 7 3 2 11 2" xfId="19586"/>
    <cellStyle name="Normal 7 3 2 11 2 2" xfId="42173"/>
    <cellStyle name="Normal 7 3 2 11 3" xfId="9926"/>
    <cellStyle name="Normal 7 3 2 11 3 2" xfId="32513"/>
    <cellStyle name="Normal 7 3 2 11 4" xfId="26073"/>
    <cellStyle name="Normal 7 3 2 12" xfId="16366"/>
    <cellStyle name="Normal 7 3 2 12 2" xfId="38953"/>
    <cellStyle name="Normal 7 3 2 13" xfId="13146"/>
    <cellStyle name="Normal 7 3 2 13 2" xfId="35733"/>
    <cellStyle name="Normal 7 3 2 14" xfId="6706"/>
    <cellStyle name="Normal 7 3 2 14 2" xfId="29293"/>
    <cellStyle name="Normal 7 3 2 15" xfId="22853"/>
    <cellStyle name="Normal 7 3 2 2" xfId="296"/>
    <cellStyle name="Normal 7 3 2 2 10" xfId="16463"/>
    <cellStyle name="Normal 7 3 2 2 10 2" xfId="39050"/>
    <cellStyle name="Normal 7 3 2 2 11" xfId="13243"/>
    <cellStyle name="Normal 7 3 2 2 11 2" xfId="35830"/>
    <cellStyle name="Normal 7 3 2 2 12" xfId="6803"/>
    <cellStyle name="Normal 7 3 2 2 12 2" xfId="29390"/>
    <cellStyle name="Normal 7 3 2 2 13" xfId="22950"/>
    <cellStyle name="Normal 7 3 2 2 2" xfId="1015"/>
    <cellStyle name="Normal 7 3 2 2 2 2" xfId="2329"/>
    <cellStyle name="Normal 7 3 2 2 2 2 2" xfId="5550"/>
    <cellStyle name="Normal 7 3 2 2 2 2 2 2" xfId="21650"/>
    <cellStyle name="Normal 7 3 2 2 2 2 2 2 2" xfId="44237"/>
    <cellStyle name="Normal 7 3 2 2 2 2 2 3" xfId="11990"/>
    <cellStyle name="Normal 7 3 2 2 2 2 2 3 2" xfId="34577"/>
    <cellStyle name="Normal 7 3 2 2 2 2 2 4" xfId="28137"/>
    <cellStyle name="Normal 7 3 2 2 2 2 3" xfId="18430"/>
    <cellStyle name="Normal 7 3 2 2 2 2 3 2" xfId="41017"/>
    <cellStyle name="Normal 7 3 2 2 2 2 4" xfId="15210"/>
    <cellStyle name="Normal 7 3 2 2 2 2 4 2" xfId="37797"/>
    <cellStyle name="Normal 7 3 2 2 2 2 5" xfId="8770"/>
    <cellStyle name="Normal 7 3 2 2 2 2 5 2" xfId="31357"/>
    <cellStyle name="Normal 7 3 2 2 2 2 6" xfId="24917"/>
    <cellStyle name="Normal 7 3 2 2 2 3" xfId="4242"/>
    <cellStyle name="Normal 7 3 2 2 2 3 2" xfId="20342"/>
    <cellStyle name="Normal 7 3 2 2 2 3 2 2" xfId="42929"/>
    <cellStyle name="Normal 7 3 2 2 2 3 3" xfId="10682"/>
    <cellStyle name="Normal 7 3 2 2 2 3 3 2" xfId="33269"/>
    <cellStyle name="Normal 7 3 2 2 2 3 4" xfId="26829"/>
    <cellStyle name="Normal 7 3 2 2 2 4" xfId="17122"/>
    <cellStyle name="Normal 7 3 2 2 2 4 2" xfId="39709"/>
    <cellStyle name="Normal 7 3 2 2 2 5" xfId="13902"/>
    <cellStyle name="Normal 7 3 2 2 2 5 2" xfId="36489"/>
    <cellStyle name="Normal 7 3 2 2 2 6" xfId="7462"/>
    <cellStyle name="Normal 7 3 2 2 2 6 2" xfId="30049"/>
    <cellStyle name="Normal 7 3 2 2 2 7" xfId="23609"/>
    <cellStyle name="Normal 7 3 2 2 3" xfId="1362"/>
    <cellStyle name="Normal 7 3 2 2 3 2" xfId="2676"/>
    <cellStyle name="Normal 7 3 2 2 3 2 2" xfId="5897"/>
    <cellStyle name="Normal 7 3 2 2 3 2 2 2" xfId="21997"/>
    <cellStyle name="Normal 7 3 2 2 3 2 2 2 2" xfId="44584"/>
    <cellStyle name="Normal 7 3 2 2 3 2 2 3" xfId="12337"/>
    <cellStyle name="Normal 7 3 2 2 3 2 2 3 2" xfId="34924"/>
    <cellStyle name="Normal 7 3 2 2 3 2 2 4" xfId="28484"/>
    <cellStyle name="Normal 7 3 2 2 3 2 3" xfId="18777"/>
    <cellStyle name="Normal 7 3 2 2 3 2 3 2" xfId="41364"/>
    <cellStyle name="Normal 7 3 2 2 3 2 4" xfId="15557"/>
    <cellStyle name="Normal 7 3 2 2 3 2 4 2" xfId="38144"/>
    <cellStyle name="Normal 7 3 2 2 3 2 5" xfId="9117"/>
    <cellStyle name="Normal 7 3 2 2 3 2 5 2" xfId="31704"/>
    <cellStyle name="Normal 7 3 2 2 3 2 6" xfId="25264"/>
    <cellStyle name="Normal 7 3 2 2 3 3" xfId="4589"/>
    <cellStyle name="Normal 7 3 2 2 3 3 2" xfId="20689"/>
    <cellStyle name="Normal 7 3 2 2 3 3 2 2" xfId="43276"/>
    <cellStyle name="Normal 7 3 2 2 3 3 3" xfId="11029"/>
    <cellStyle name="Normal 7 3 2 2 3 3 3 2" xfId="33616"/>
    <cellStyle name="Normal 7 3 2 2 3 3 4" xfId="27176"/>
    <cellStyle name="Normal 7 3 2 2 3 4" xfId="17469"/>
    <cellStyle name="Normal 7 3 2 2 3 4 2" xfId="40056"/>
    <cellStyle name="Normal 7 3 2 2 3 5" xfId="14249"/>
    <cellStyle name="Normal 7 3 2 2 3 5 2" xfId="36836"/>
    <cellStyle name="Normal 7 3 2 2 3 6" xfId="7809"/>
    <cellStyle name="Normal 7 3 2 2 3 6 2" xfId="30396"/>
    <cellStyle name="Normal 7 3 2 2 3 7" xfId="23956"/>
    <cellStyle name="Normal 7 3 2 2 4" xfId="1709"/>
    <cellStyle name="Normal 7 3 2 2 4 2" xfId="4932"/>
    <cellStyle name="Normal 7 3 2 2 4 2 2" xfId="21032"/>
    <cellStyle name="Normal 7 3 2 2 4 2 2 2" xfId="43619"/>
    <cellStyle name="Normal 7 3 2 2 4 2 3" xfId="11372"/>
    <cellStyle name="Normal 7 3 2 2 4 2 3 2" xfId="33959"/>
    <cellStyle name="Normal 7 3 2 2 4 2 4" xfId="27519"/>
    <cellStyle name="Normal 7 3 2 2 4 3" xfId="17812"/>
    <cellStyle name="Normal 7 3 2 2 4 3 2" xfId="40399"/>
    <cellStyle name="Normal 7 3 2 2 4 4" xfId="14592"/>
    <cellStyle name="Normal 7 3 2 2 4 4 2" xfId="37179"/>
    <cellStyle name="Normal 7 3 2 2 4 5" xfId="8152"/>
    <cellStyle name="Normal 7 3 2 2 4 5 2" xfId="30739"/>
    <cellStyle name="Normal 7 3 2 2 4 6" xfId="24299"/>
    <cellStyle name="Normal 7 3 2 2 5" xfId="1981"/>
    <cellStyle name="Normal 7 3 2 2 5 2" xfId="5203"/>
    <cellStyle name="Normal 7 3 2 2 5 2 2" xfId="21303"/>
    <cellStyle name="Normal 7 3 2 2 5 2 2 2" xfId="43890"/>
    <cellStyle name="Normal 7 3 2 2 5 2 3" xfId="11643"/>
    <cellStyle name="Normal 7 3 2 2 5 2 3 2" xfId="34230"/>
    <cellStyle name="Normal 7 3 2 2 5 2 4" xfId="27790"/>
    <cellStyle name="Normal 7 3 2 2 5 3" xfId="18083"/>
    <cellStyle name="Normal 7 3 2 2 5 3 2" xfId="40670"/>
    <cellStyle name="Normal 7 3 2 2 5 4" xfId="14863"/>
    <cellStyle name="Normal 7 3 2 2 5 4 2" xfId="37450"/>
    <cellStyle name="Normal 7 3 2 2 5 5" xfId="8423"/>
    <cellStyle name="Normal 7 3 2 2 5 5 2" xfId="31010"/>
    <cellStyle name="Normal 7 3 2 2 5 6" xfId="24570"/>
    <cellStyle name="Normal 7 3 2 2 6" xfId="3003"/>
    <cellStyle name="Normal 7 3 2 2 6 2" xfId="6223"/>
    <cellStyle name="Normal 7 3 2 2 6 2 2" xfId="22323"/>
    <cellStyle name="Normal 7 3 2 2 6 2 2 2" xfId="44910"/>
    <cellStyle name="Normal 7 3 2 2 6 2 3" xfId="12663"/>
    <cellStyle name="Normal 7 3 2 2 6 2 3 2" xfId="35250"/>
    <cellStyle name="Normal 7 3 2 2 6 2 4" xfId="28810"/>
    <cellStyle name="Normal 7 3 2 2 6 3" xfId="19103"/>
    <cellStyle name="Normal 7 3 2 2 6 3 2" xfId="41690"/>
    <cellStyle name="Normal 7 3 2 2 6 4" xfId="15883"/>
    <cellStyle name="Normal 7 3 2 2 6 4 2" xfId="38470"/>
    <cellStyle name="Normal 7 3 2 2 6 5" xfId="9443"/>
    <cellStyle name="Normal 7 3 2 2 6 5 2" xfId="32030"/>
    <cellStyle name="Normal 7 3 2 2 6 6" xfId="25590"/>
    <cellStyle name="Normal 7 3 2 2 7" xfId="3293"/>
    <cellStyle name="Normal 7 3 2 2 7 2" xfId="6513"/>
    <cellStyle name="Normal 7 3 2 2 7 2 2" xfId="22613"/>
    <cellStyle name="Normal 7 3 2 2 7 2 2 2" xfId="45200"/>
    <cellStyle name="Normal 7 3 2 2 7 2 3" xfId="12953"/>
    <cellStyle name="Normal 7 3 2 2 7 2 3 2" xfId="35540"/>
    <cellStyle name="Normal 7 3 2 2 7 2 4" xfId="29100"/>
    <cellStyle name="Normal 7 3 2 2 7 3" xfId="19393"/>
    <cellStyle name="Normal 7 3 2 2 7 3 2" xfId="41980"/>
    <cellStyle name="Normal 7 3 2 2 7 4" xfId="16173"/>
    <cellStyle name="Normal 7 3 2 2 7 4 2" xfId="38760"/>
    <cellStyle name="Normal 7 3 2 2 7 5" xfId="9733"/>
    <cellStyle name="Normal 7 3 2 2 7 5 2" xfId="32320"/>
    <cellStyle name="Normal 7 3 2 2 7 6" xfId="25880"/>
    <cellStyle name="Normal 7 3 2 2 8" xfId="651"/>
    <cellStyle name="Normal 7 3 2 2 8 2" xfId="3895"/>
    <cellStyle name="Normal 7 3 2 2 8 2 2" xfId="19995"/>
    <cellStyle name="Normal 7 3 2 2 8 2 2 2" xfId="42582"/>
    <cellStyle name="Normal 7 3 2 2 8 2 3" xfId="10335"/>
    <cellStyle name="Normal 7 3 2 2 8 2 3 2" xfId="32922"/>
    <cellStyle name="Normal 7 3 2 2 8 2 4" xfId="26482"/>
    <cellStyle name="Normal 7 3 2 2 8 3" xfId="16775"/>
    <cellStyle name="Normal 7 3 2 2 8 3 2" xfId="39362"/>
    <cellStyle name="Normal 7 3 2 2 8 4" xfId="13555"/>
    <cellStyle name="Normal 7 3 2 2 8 4 2" xfId="36142"/>
    <cellStyle name="Normal 7 3 2 2 8 5" xfId="7115"/>
    <cellStyle name="Normal 7 3 2 2 8 5 2" xfId="29702"/>
    <cellStyle name="Normal 7 3 2 2 8 6" xfId="23262"/>
    <cellStyle name="Normal 7 3 2 2 9" xfId="3583"/>
    <cellStyle name="Normal 7 3 2 2 9 2" xfId="19683"/>
    <cellStyle name="Normal 7 3 2 2 9 2 2" xfId="42270"/>
    <cellStyle name="Normal 7 3 2 2 9 3" xfId="10023"/>
    <cellStyle name="Normal 7 3 2 2 9 3 2" xfId="32610"/>
    <cellStyle name="Normal 7 3 2 2 9 4" xfId="26170"/>
    <cellStyle name="Normal 7 3 2 3" xfId="392"/>
    <cellStyle name="Normal 7 3 2 3 10" xfId="16559"/>
    <cellStyle name="Normal 7 3 2 3 10 2" xfId="39146"/>
    <cellStyle name="Normal 7 3 2 3 11" xfId="13339"/>
    <cellStyle name="Normal 7 3 2 3 11 2" xfId="35926"/>
    <cellStyle name="Normal 7 3 2 3 12" xfId="6899"/>
    <cellStyle name="Normal 7 3 2 3 12 2" xfId="29486"/>
    <cellStyle name="Normal 7 3 2 3 13" xfId="23046"/>
    <cellStyle name="Normal 7 3 2 3 2" xfId="1174"/>
    <cellStyle name="Normal 7 3 2 3 2 2" xfId="2488"/>
    <cellStyle name="Normal 7 3 2 3 2 2 2" xfId="5709"/>
    <cellStyle name="Normal 7 3 2 3 2 2 2 2" xfId="21809"/>
    <cellStyle name="Normal 7 3 2 3 2 2 2 2 2" xfId="44396"/>
    <cellStyle name="Normal 7 3 2 3 2 2 2 3" xfId="12149"/>
    <cellStyle name="Normal 7 3 2 3 2 2 2 3 2" xfId="34736"/>
    <cellStyle name="Normal 7 3 2 3 2 2 2 4" xfId="28296"/>
    <cellStyle name="Normal 7 3 2 3 2 2 3" xfId="18589"/>
    <cellStyle name="Normal 7 3 2 3 2 2 3 2" xfId="41176"/>
    <cellStyle name="Normal 7 3 2 3 2 2 4" xfId="15369"/>
    <cellStyle name="Normal 7 3 2 3 2 2 4 2" xfId="37956"/>
    <cellStyle name="Normal 7 3 2 3 2 2 5" xfId="8929"/>
    <cellStyle name="Normal 7 3 2 3 2 2 5 2" xfId="31516"/>
    <cellStyle name="Normal 7 3 2 3 2 2 6" xfId="25076"/>
    <cellStyle name="Normal 7 3 2 3 2 3" xfId="4401"/>
    <cellStyle name="Normal 7 3 2 3 2 3 2" xfId="20501"/>
    <cellStyle name="Normal 7 3 2 3 2 3 2 2" xfId="43088"/>
    <cellStyle name="Normal 7 3 2 3 2 3 3" xfId="10841"/>
    <cellStyle name="Normal 7 3 2 3 2 3 3 2" xfId="33428"/>
    <cellStyle name="Normal 7 3 2 3 2 3 4" xfId="26988"/>
    <cellStyle name="Normal 7 3 2 3 2 4" xfId="17281"/>
    <cellStyle name="Normal 7 3 2 3 2 4 2" xfId="39868"/>
    <cellStyle name="Normal 7 3 2 3 2 5" xfId="14061"/>
    <cellStyle name="Normal 7 3 2 3 2 5 2" xfId="36648"/>
    <cellStyle name="Normal 7 3 2 3 2 6" xfId="7621"/>
    <cellStyle name="Normal 7 3 2 3 2 6 2" xfId="30208"/>
    <cellStyle name="Normal 7 3 2 3 2 7" xfId="23768"/>
    <cellStyle name="Normal 7 3 2 3 3" xfId="1521"/>
    <cellStyle name="Normal 7 3 2 3 3 2" xfId="2835"/>
    <cellStyle name="Normal 7 3 2 3 3 2 2" xfId="6056"/>
    <cellStyle name="Normal 7 3 2 3 3 2 2 2" xfId="22156"/>
    <cellStyle name="Normal 7 3 2 3 3 2 2 2 2" xfId="44743"/>
    <cellStyle name="Normal 7 3 2 3 3 2 2 3" xfId="12496"/>
    <cellStyle name="Normal 7 3 2 3 3 2 2 3 2" xfId="35083"/>
    <cellStyle name="Normal 7 3 2 3 3 2 2 4" xfId="28643"/>
    <cellStyle name="Normal 7 3 2 3 3 2 3" xfId="18936"/>
    <cellStyle name="Normal 7 3 2 3 3 2 3 2" xfId="41523"/>
    <cellStyle name="Normal 7 3 2 3 3 2 4" xfId="15716"/>
    <cellStyle name="Normal 7 3 2 3 3 2 4 2" xfId="38303"/>
    <cellStyle name="Normal 7 3 2 3 3 2 5" xfId="9276"/>
    <cellStyle name="Normal 7 3 2 3 3 2 5 2" xfId="31863"/>
    <cellStyle name="Normal 7 3 2 3 3 2 6" xfId="25423"/>
    <cellStyle name="Normal 7 3 2 3 3 3" xfId="4748"/>
    <cellStyle name="Normal 7 3 2 3 3 3 2" xfId="20848"/>
    <cellStyle name="Normal 7 3 2 3 3 3 2 2" xfId="43435"/>
    <cellStyle name="Normal 7 3 2 3 3 3 3" xfId="11188"/>
    <cellStyle name="Normal 7 3 2 3 3 3 3 2" xfId="33775"/>
    <cellStyle name="Normal 7 3 2 3 3 3 4" xfId="27335"/>
    <cellStyle name="Normal 7 3 2 3 3 4" xfId="17628"/>
    <cellStyle name="Normal 7 3 2 3 3 4 2" xfId="40215"/>
    <cellStyle name="Normal 7 3 2 3 3 5" xfId="14408"/>
    <cellStyle name="Normal 7 3 2 3 3 5 2" xfId="36995"/>
    <cellStyle name="Normal 7 3 2 3 3 6" xfId="7968"/>
    <cellStyle name="Normal 7 3 2 3 3 6 2" xfId="30555"/>
    <cellStyle name="Normal 7 3 2 3 3 7" xfId="24115"/>
    <cellStyle name="Normal 7 3 2 3 4" xfId="1710"/>
    <cellStyle name="Normal 7 3 2 3 4 2" xfId="4933"/>
    <cellStyle name="Normal 7 3 2 3 4 2 2" xfId="21033"/>
    <cellStyle name="Normal 7 3 2 3 4 2 2 2" xfId="43620"/>
    <cellStyle name="Normal 7 3 2 3 4 2 3" xfId="11373"/>
    <cellStyle name="Normal 7 3 2 3 4 2 3 2" xfId="33960"/>
    <cellStyle name="Normal 7 3 2 3 4 2 4" xfId="27520"/>
    <cellStyle name="Normal 7 3 2 3 4 3" xfId="17813"/>
    <cellStyle name="Normal 7 3 2 3 4 3 2" xfId="40400"/>
    <cellStyle name="Normal 7 3 2 3 4 4" xfId="14593"/>
    <cellStyle name="Normal 7 3 2 3 4 4 2" xfId="37180"/>
    <cellStyle name="Normal 7 3 2 3 4 5" xfId="8153"/>
    <cellStyle name="Normal 7 3 2 3 4 5 2" xfId="30740"/>
    <cellStyle name="Normal 7 3 2 3 4 6" xfId="24300"/>
    <cellStyle name="Normal 7 3 2 3 5" xfId="2141"/>
    <cellStyle name="Normal 7 3 2 3 5 2" xfId="5362"/>
    <cellStyle name="Normal 7 3 2 3 5 2 2" xfId="21462"/>
    <cellStyle name="Normal 7 3 2 3 5 2 2 2" xfId="44049"/>
    <cellStyle name="Normal 7 3 2 3 5 2 3" xfId="11802"/>
    <cellStyle name="Normal 7 3 2 3 5 2 3 2" xfId="34389"/>
    <cellStyle name="Normal 7 3 2 3 5 2 4" xfId="27949"/>
    <cellStyle name="Normal 7 3 2 3 5 3" xfId="18242"/>
    <cellStyle name="Normal 7 3 2 3 5 3 2" xfId="40829"/>
    <cellStyle name="Normal 7 3 2 3 5 4" xfId="15022"/>
    <cellStyle name="Normal 7 3 2 3 5 4 2" xfId="37609"/>
    <cellStyle name="Normal 7 3 2 3 5 5" xfId="8582"/>
    <cellStyle name="Normal 7 3 2 3 5 5 2" xfId="31169"/>
    <cellStyle name="Normal 7 3 2 3 5 6" xfId="24729"/>
    <cellStyle name="Normal 7 3 2 3 6" xfId="3099"/>
    <cellStyle name="Normal 7 3 2 3 6 2" xfId="6319"/>
    <cellStyle name="Normal 7 3 2 3 6 2 2" xfId="22419"/>
    <cellStyle name="Normal 7 3 2 3 6 2 2 2" xfId="45006"/>
    <cellStyle name="Normal 7 3 2 3 6 2 3" xfId="12759"/>
    <cellStyle name="Normal 7 3 2 3 6 2 3 2" xfId="35346"/>
    <cellStyle name="Normal 7 3 2 3 6 2 4" xfId="28906"/>
    <cellStyle name="Normal 7 3 2 3 6 3" xfId="19199"/>
    <cellStyle name="Normal 7 3 2 3 6 3 2" xfId="41786"/>
    <cellStyle name="Normal 7 3 2 3 6 4" xfId="15979"/>
    <cellStyle name="Normal 7 3 2 3 6 4 2" xfId="38566"/>
    <cellStyle name="Normal 7 3 2 3 6 5" xfId="9539"/>
    <cellStyle name="Normal 7 3 2 3 6 5 2" xfId="32126"/>
    <cellStyle name="Normal 7 3 2 3 6 6" xfId="25686"/>
    <cellStyle name="Normal 7 3 2 3 7" xfId="3389"/>
    <cellStyle name="Normal 7 3 2 3 7 2" xfId="6609"/>
    <cellStyle name="Normal 7 3 2 3 7 2 2" xfId="22709"/>
    <cellStyle name="Normal 7 3 2 3 7 2 2 2" xfId="45296"/>
    <cellStyle name="Normal 7 3 2 3 7 2 3" xfId="13049"/>
    <cellStyle name="Normal 7 3 2 3 7 2 3 2" xfId="35636"/>
    <cellStyle name="Normal 7 3 2 3 7 2 4" xfId="29196"/>
    <cellStyle name="Normal 7 3 2 3 7 3" xfId="19489"/>
    <cellStyle name="Normal 7 3 2 3 7 3 2" xfId="42076"/>
    <cellStyle name="Normal 7 3 2 3 7 4" xfId="16269"/>
    <cellStyle name="Normal 7 3 2 3 7 4 2" xfId="38856"/>
    <cellStyle name="Normal 7 3 2 3 7 5" xfId="9829"/>
    <cellStyle name="Normal 7 3 2 3 7 5 2" xfId="32416"/>
    <cellStyle name="Normal 7 3 2 3 7 6" xfId="25976"/>
    <cellStyle name="Normal 7 3 2 3 8" xfId="822"/>
    <cellStyle name="Normal 7 3 2 3 8 2" xfId="4054"/>
    <cellStyle name="Normal 7 3 2 3 8 2 2" xfId="20154"/>
    <cellStyle name="Normal 7 3 2 3 8 2 2 2" xfId="42741"/>
    <cellStyle name="Normal 7 3 2 3 8 2 3" xfId="10494"/>
    <cellStyle name="Normal 7 3 2 3 8 2 3 2" xfId="33081"/>
    <cellStyle name="Normal 7 3 2 3 8 2 4" xfId="26641"/>
    <cellStyle name="Normal 7 3 2 3 8 3" xfId="16934"/>
    <cellStyle name="Normal 7 3 2 3 8 3 2" xfId="39521"/>
    <cellStyle name="Normal 7 3 2 3 8 4" xfId="13714"/>
    <cellStyle name="Normal 7 3 2 3 8 4 2" xfId="36301"/>
    <cellStyle name="Normal 7 3 2 3 8 5" xfId="7274"/>
    <cellStyle name="Normal 7 3 2 3 8 5 2" xfId="29861"/>
    <cellStyle name="Normal 7 3 2 3 8 6" xfId="23421"/>
    <cellStyle name="Normal 7 3 2 3 9" xfId="3679"/>
    <cellStyle name="Normal 7 3 2 3 9 2" xfId="19779"/>
    <cellStyle name="Normal 7 3 2 3 9 2 2" xfId="42366"/>
    <cellStyle name="Normal 7 3 2 3 9 3" xfId="10119"/>
    <cellStyle name="Normal 7 3 2 3 9 3 2" xfId="32706"/>
    <cellStyle name="Normal 7 3 2 3 9 4" xfId="26266"/>
    <cellStyle name="Normal 7 3 2 4" xfId="891"/>
    <cellStyle name="Normal 7 3 2 4 2" xfId="2210"/>
    <cellStyle name="Normal 7 3 2 4 2 2" xfId="5431"/>
    <cellStyle name="Normal 7 3 2 4 2 2 2" xfId="21531"/>
    <cellStyle name="Normal 7 3 2 4 2 2 2 2" xfId="44118"/>
    <cellStyle name="Normal 7 3 2 4 2 2 3" xfId="11871"/>
    <cellStyle name="Normal 7 3 2 4 2 2 3 2" xfId="34458"/>
    <cellStyle name="Normal 7 3 2 4 2 2 4" xfId="28018"/>
    <cellStyle name="Normal 7 3 2 4 2 3" xfId="18311"/>
    <cellStyle name="Normal 7 3 2 4 2 3 2" xfId="40898"/>
    <cellStyle name="Normal 7 3 2 4 2 4" xfId="15091"/>
    <cellStyle name="Normal 7 3 2 4 2 4 2" xfId="37678"/>
    <cellStyle name="Normal 7 3 2 4 2 5" xfId="8651"/>
    <cellStyle name="Normal 7 3 2 4 2 5 2" xfId="31238"/>
    <cellStyle name="Normal 7 3 2 4 2 6" xfId="24798"/>
    <cellStyle name="Normal 7 3 2 4 3" xfId="4123"/>
    <cellStyle name="Normal 7 3 2 4 3 2" xfId="20223"/>
    <cellStyle name="Normal 7 3 2 4 3 2 2" xfId="42810"/>
    <cellStyle name="Normal 7 3 2 4 3 3" xfId="10563"/>
    <cellStyle name="Normal 7 3 2 4 3 3 2" xfId="33150"/>
    <cellStyle name="Normal 7 3 2 4 3 4" xfId="26710"/>
    <cellStyle name="Normal 7 3 2 4 4" xfId="17003"/>
    <cellStyle name="Normal 7 3 2 4 4 2" xfId="39590"/>
    <cellStyle name="Normal 7 3 2 4 5" xfId="13783"/>
    <cellStyle name="Normal 7 3 2 4 5 2" xfId="36370"/>
    <cellStyle name="Normal 7 3 2 4 6" xfId="7343"/>
    <cellStyle name="Normal 7 3 2 4 6 2" xfId="29930"/>
    <cellStyle name="Normal 7 3 2 4 7" xfId="23490"/>
    <cellStyle name="Normal 7 3 2 5" xfId="1243"/>
    <cellStyle name="Normal 7 3 2 5 2" xfId="2557"/>
    <cellStyle name="Normal 7 3 2 5 2 2" xfId="5778"/>
    <cellStyle name="Normal 7 3 2 5 2 2 2" xfId="21878"/>
    <cellStyle name="Normal 7 3 2 5 2 2 2 2" xfId="44465"/>
    <cellStyle name="Normal 7 3 2 5 2 2 3" xfId="12218"/>
    <cellStyle name="Normal 7 3 2 5 2 2 3 2" xfId="34805"/>
    <cellStyle name="Normal 7 3 2 5 2 2 4" xfId="28365"/>
    <cellStyle name="Normal 7 3 2 5 2 3" xfId="18658"/>
    <cellStyle name="Normal 7 3 2 5 2 3 2" xfId="41245"/>
    <cellStyle name="Normal 7 3 2 5 2 4" xfId="15438"/>
    <cellStyle name="Normal 7 3 2 5 2 4 2" xfId="38025"/>
    <cellStyle name="Normal 7 3 2 5 2 5" xfId="8998"/>
    <cellStyle name="Normal 7 3 2 5 2 5 2" xfId="31585"/>
    <cellStyle name="Normal 7 3 2 5 2 6" xfId="25145"/>
    <cellStyle name="Normal 7 3 2 5 3" xfId="4470"/>
    <cellStyle name="Normal 7 3 2 5 3 2" xfId="20570"/>
    <cellStyle name="Normal 7 3 2 5 3 2 2" xfId="43157"/>
    <cellStyle name="Normal 7 3 2 5 3 3" xfId="10910"/>
    <cellStyle name="Normal 7 3 2 5 3 3 2" xfId="33497"/>
    <cellStyle name="Normal 7 3 2 5 3 4" xfId="27057"/>
    <cellStyle name="Normal 7 3 2 5 4" xfId="17350"/>
    <cellStyle name="Normal 7 3 2 5 4 2" xfId="39937"/>
    <cellStyle name="Normal 7 3 2 5 5" xfId="14130"/>
    <cellStyle name="Normal 7 3 2 5 5 2" xfId="36717"/>
    <cellStyle name="Normal 7 3 2 5 6" xfId="7690"/>
    <cellStyle name="Normal 7 3 2 5 6 2" xfId="30277"/>
    <cellStyle name="Normal 7 3 2 5 7" xfId="23837"/>
    <cellStyle name="Normal 7 3 2 6" xfId="1711"/>
    <cellStyle name="Normal 7 3 2 6 2" xfId="4934"/>
    <cellStyle name="Normal 7 3 2 6 2 2" xfId="21034"/>
    <cellStyle name="Normal 7 3 2 6 2 2 2" xfId="43621"/>
    <cellStyle name="Normal 7 3 2 6 2 3" xfId="11374"/>
    <cellStyle name="Normal 7 3 2 6 2 3 2" xfId="33961"/>
    <cellStyle name="Normal 7 3 2 6 2 4" xfId="27521"/>
    <cellStyle name="Normal 7 3 2 6 3" xfId="17814"/>
    <cellStyle name="Normal 7 3 2 6 3 2" xfId="40401"/>
    <cellStyle name="Normal 7 3 2 6 4" xfId="14594"/>
    <cellStyle name="Normal 7 3 2 6 4 2" xfId="37181"/>
    <cellStyle name="Normal 7 3 2 6 5" xfId="8154"/>
    <cellStyle name="Normal 7 3 2 6 5 2" xfId="30741"/>
    <cellStyle name="Normal 7 3 2 6 6" xfId="24301"/>
    <cellStyle name="Normal 7 3 2 7" xfId="1862"/>
    <cellStyle name="Normal 7 3 2 7 2" xfId="5084"/>
    <cellStyle name="Normal 7 3 2 7 2 2" xfId="21184"/>
    <cellStyle name="Normal 7 3 2 7 2 2 2" xfId="43771"/>
    <cellStyle name="Normal 7 3 2 7 2 3" xfId="11524"/>
    <cellStyle name="Normal 7 3 2 7 2 3 2" xfId="34111"/>
    <cellStyle name="Normal 7 3 2 7 2 4" xfId="27671"/>
    <cellStyle name="Normal 7 3 2 7 3" xfId="17964"/>
    <cellStyle name="Normal 7 3 2 7 3 2" xfId="40551"/>
    <cellStyle name="Normal 7 3 2 7 4" xfId="14744"/>
    <cellStyle name="Normal 7 3 2 7 4 2" xfId="37331"/>
    <cellStyle name="Normal 7 3 2 7 5" xfId="8304"/>
    <cellStyle name="Normal 7 3 2 7 5 2" xfId="30891"/>
    <cellStyle name="Normal 7 3 2 7 6" xfId="24451"/>
    <cellStyle name="Normal 7 3 2 8" xfId="2905"/>
    <cellStyle name="Normal 7 3 2 8 2" xfId="6126"/>
    <cellStyle name="Normal 7 3 2 8 2 2" xfId="22226"/>
    <cellStyle name="Normal 7 3 2 8 2 2 2" xfId="44813"/>
    <cellStyle name="Normal 7 3 2 8 2 3" xfId="12566"/>
    <cellStyle name="Normal 7 3 2 8 2 3 2" xfId="35153"/>
    <cellStyle name="Normal 7 3 2 8 2 4" xfId="28713"/>
    <cellStyle name="Normal 7 3 2 8 3" xfId="19006"/>
    <cellStyle name="Normal 7 3 2 8 3 2" xfId="41593"/>
    <cellStyle name="Normal 7 3 2 8 4" xfId="15786"/>
    <cellStyle name="Normal 7 3 2 8 4 2" xfId="38373"/>
    <cellStyle name="Normal 7 3 2 8 5" xfId="9346"/>
    <cellStyle name="Normal 7 3 2 8 5 2" xfId="31933"/>
    <cellStyle name="Normal 7 3 2 8 6" xfId="25493"/>
    <cellStyle name="Normal 7 3 2 9" xfId="3196"/>
    <cellStyle name="Normal 7 3 2 9 2" xfId="6416"/>
    <cellStyle name="Normal 7 3 2 9 2 2" xfId="22516"/>
    <cellStyle name="Normal 7 3 2 9 2 2 2" xfId="45103"/>
    <cellStyle name="Normal 7 3 2 9 2 3" xfId="12856"/>
    <cellStyle name="Normal 7 3 2 9 2 3 2" xfId="35443"/>
    <cellStyle name="Normal 7 3 2 9 2 4" xfId="29003"/>
    <cellStyle name="Normal 7 3 2 9 3" xfId="19296"/>
    <cellStyle name="Normal 7 3 2 9 3 2" xfId="41883"/>
    <cellStyle name="Normal 7 3 2 9 4" xfId="16076"/>
    <cellStyle name="Normal 7 3 2 9 4 2" xfId="38663"/>
    <cellStyle name="Normal 7 3 2 9 5" xfId="9636"/>
    <cellStyle name="Normal 7 3 2 9 5 2" xfId="32223"/>
    <cellStyle name="Normal 7 3 2 9 6" xfId="25783"/>
    <cellStyle name="Normal 7 3 3" xfId="246"/>
    <cellStyle name="Normal 7 3 3 10" xfId="3534"/>
    <cellStyle name="Normal 7 3 3 10 2" xfId="19634"/>
    <cellStyle name="Normal 7 3 3 10 2 2" xfId="42221"/>
    <cellStyle name="Normal 7 3 3 10 3" xfId="9974"/>
    <cellStyle name="Normal 7 3 3 10 3 2" xfId="32561"/>
    <cellStyle name="Normal 7 3 3 10 4" xfId="26121"/>
    <cellStyle name="Normal 7 3 3 11" xfId="16414"/>
    <cellStyle name="Normal 7 3 3 11 2" xfId="39001"/>
    <cellStyle name="Normal 7 3 3 12" xfId="13194"/>
    <cellStyle name="Normal 7 3 3 12 2" xfId="35781"/>
    <cellStyle name="Normal 7 3 3 13" xfId="6754"/>
    <cellStyle name="Normal 7 3 3 13 2" xfId="29341"/>
    <cellStyle name="Normal 7 3 3 14" xfId="22901"/>
    <cellStyle name="Normal 7 3 3 2" xfId="688"/>
    <cellStyle name="Normal 7 3 3 2 10" xfId="23299"/>
    <cellStyle name="Normal 7 3 3 2 2" xfId="1052"/>
    <cellStyle name="Normal 7 3 3 2 2 2" xfId="2366"/>
    <cellStyle name="Normal 7 3 3 2 2 2 2" xfId="5587"/>
    <cellStyle name="Normal 7 3 3 2 2 2 2 2" xfId="21687"/>
    <cellStyle name="Normal 7 3 3 2 2 2 2 2 2" xfId="44274"/>
    <cellStyle name="Normal 7 3 3 2 2 2 2 3" xfId="12027"/>
    <cellStyle name="Normal 7 3 3 2 2 2 2 3 2" xfId="34614"/>
    <cellStyle name="Normal 7 3 3 2 2 2 2 4" xfId="28174"/>
    <cellStyle name="Normal 7 3 3 2 2 2 3" xfId="18467"/>
    <cellStyle name="Normal 7 3 3 2 2 2 3 2" xfId="41054"/>
    <cellStyle name="Normal 7 3 3 2 2 2 4" xfId="15247"/>
    <cellStyle name="Normal 7 3 3 2 2 2 4 2" xfId="37834"/>
    <cellStyle name="Normal 7 3 3 2 2 2 5" xfId="8807"/>
    <cellStyle name="Normal 7 3 3 2 2 2 5 2" xfId="31394"/>
    <cellStyle name="Normal 7 3 3 2 2 2 6" xfId="24954"/>
    <cellStyle name="Normal 7 3 3 2 2 3" xfId="4279"/>
    <cellStyle name="Normal 7 3 3 2 2 3 2" xfId="20379"/>
    <cellStyle name="Normal 7 3 3 2 2 3 2 2" xfId="42966"/>
    <cellStyle name="Normal 7 3 3 2 2 3 3" xfId="10719"/>
    <cellStyle name="Normal 7 3 3 2 2 3 3 2" xfId="33306"/>
    <cellStyle name="Normal 7 3 3 2 2 3 4" xfId="26866"/>
    <cellStyle name="Normal 7 3 3 2 2 4" xfId="17159"/>
    <cellStyle name="Normal 7 3 3 2 2 4 2" xfId="39746"/>
    <cellStyle name="Normal 7 3 3 2 2 5" xfId="13939"/>
    <cellStyle name="Normal 7 3 3 2 2 5 2" xfId="36526"/>
    <cellStyle name="Normal 7 3 3 2 2 6" xfId="7499"/>
    <cellStyle name="Normal 7 3 3 2 2 6 2" xfId="30086"/>
    <cellStyle name="Normal 7 3 3 2 2 7" xfId="23646"/>
    <cellStyle name="Normal 7 3 3 2 3" xfId="1399"/>
    <cellStyle name="Normal 7 3 3 2 3 2" xfId="2713"/>
    <cellStyle name="Normal 7 3 3 2 3 2 2" xfId="5934"/>
    <cellStyle name="Normal 7 3 3 2 3 2 2 2" xfId="22034"/>
    <cellStyle name="Normal 7 3 3 2 3 2 2 2 2" xfId="44621"/>
    <cellStyle name="Normal 7 3 3 2 3 2 2 3" xfId="12374"/>
    <cellStyle name="Normal 7 3 3 2 3 2 2 3 2" xfId="34961"/>
    <cellStyle name="Normal 7 3 3 2 3 2 2 4" xfId="28521"/>
    <cellStyle name="Normal 7 3 3 2 3 2 3" xfId="18814"/>
    <cellStyle name="Normal 7 3 3 2 3 2 3 2" xfId="41401"/>
    <cellStyle name="Normal 7 3 3 2 3 2 4" xfId="15594"/>
    <cellStyle name="Normal 7 3 3 2 3 2 4 2" xfId="38181"/>
    <cellStyle name="Normal 7 3 3 2 3 2 5" xfId="9154"/>
    <cellStyle name="Normal 7 3 3 2 3 2 5 2" xfId="31741"/>
    <cellStyle name="Normal 7 3 3 2 3 2 6" xfId="25301"/>
    <cellStyle name="Normal 7 3 3 2 3 3" xfId="4626"/>
    <cellStyle name="Normal 7 3 3 2 3 3 2" xfId="20726"/>
    <cellStyle name="Normal 7 3 3 2 3 3 2 2" xfId="43313"/>
    <cellStyle name="Normal 7 3 3 2 3 3 3" xfId="11066"/>
    <cellStyle name="Normal 7 3 3 2 3 3 3 2" xfId="33653"/>
    <cellStyle name="Normal 7 3 3 2 3 3 4" xfId="27213"/>
    <cellStyle name="Normal 7 3 3 2 3 4" xfId="17506"/>
    <cellStyle name="Normal 7 3 3 2 3 4 2" xfId="40093"/>
    <cellStyle name="Normal 7 3 3 2 3 5" xfId="14286"/>
    <cellStyle name="Normal 7 3 3 2 3 5 2" xfId="36873"/>
    <cellStyle name="Normal 7 3 3 2 3 6" xfId="7846"/>
    <cellStyle name="Normal 7 3 3 2 3 6 2" xfId="30433"/>
    <cellStyle name="Normal 7 3 3 2 3 7" xfId="23993"/>
    <cellStyle name="Normal 7 3 3 2 4" xfId="1712"/>
    <cellStyle name="Normal 7 3 3 2 4 2" xfId="4935"/>
    <cellStyle name="Normal 7 3 3 2 4 2 2" xfId="21035"/>
    <cellStyle name="Normal 7 3 3 2 4 2 2 2" xfId="43622"/>
    <cellStyle name="Normal 7 3 3 2 4 2 3" xfId="11375"/>
    <cellStyle name="Normal 7 3 3 2 4 2 3 2" xfId="33962"/>
    <cellStyle name="Normal 7 3 3 2 4 2 4" xfId="27522"/>
    <cellStyle name="Normal 7 3 3 2 4 3" xfId="17815"/>
    <cellStyle name="Normal 7 3 3 2 4 3 2" xfId="40402"/>
    <cellStyle name="Normal 7 3 3 2 4 4" xfId="14595"/>
    <cellStyle name="Normal 7 3 3 2 4 4 2" xfId="37182"/>
    <cellStyle name="Normal 7 3 3 2 4 5" xfId="8155"/>
    <cellStyle name="Normal 7 3 3 2 4 5 2" xfId="30742"/>
    <cellStyle name="Normal 7 3 3 2 4 6" xfId="24302"/>
    <cellStyle name="Normal 7 3 3 2 5" xfId="2018"/>
    <cellStyle name="Normal 7 3 3 2 5 2" xfId="5240"/>
    <cellStyle name="Normal 7 3 3 2 5 2 2" xfId="21340"/>
    <cellStyle name="Normal 7 3 3 2 5 2 2 2" xfId="43927"/>
    <cellStyle name="Normal 7 3 3 2 5 2 3" xfId="11680"/>
    <cellStyle name="Normal 7 3 3 2 5 2 3 2" xfId="34267"/>
    <cellStyle name="Normal 7 3 3 2 5 2 4" xfId="27827"/>
    <cellStyle name="Normal 7 3 3 2 5 3" xfId="18120"/>
    <cellStyle name="Normal 7 3 3 2 5 3 2" xfId="40707"/>
    <cellStyle name="Normal 7 3 3 2 5 4" xfId="14900"/>
    <cellStyle name="Normal 7 3 3 2 5 4 2" xfId="37487"/>
    <cellStyle name="Normal 7 3 3 2 5 5" xfId="8460"/>
    <cellStyle name="Normal 7 3 3 2 5 5 2" xfId="31047"/>
    <cellStyle name="Normal 7 3 3 2 5 6" xfId="24607"/>
    <cellStyle name="Normal 7 3 3 2 6" xfId="3932"/>
    <cellStyle name="Normal 7 3 3 2 6 2" xfId="20032"/>
    <cellStyle name="Normal 7 3 3 2 6 2 2" xfId="42619"/>
    <cellStyle name="Normal 7 3 3 2 6 3" xfId="10372"/>
    <cellStyle name="Normal 7 3 3 2 6 3 2" xfId="32959"/>
    <cellStyle name="Normal 7 3 3 2 6 4" xfId="26519"/>
    <cellStyle name="Normal 7 3 3 2 7" xfId="16812"/>
    <cellStyle name="Normal 7 3 3 2 7 2" xfId="39399"/>
    <cellStyle name="Normal 7 3 3 2 8" xfId="13592"/>
    <cellStyle name="Normal 7 3 3 2 8 2" xfId="36179"/>
    <cellStyle name="Normal 7 3 3 2 9" xfId="7152"/>
    <cellStyle name="Normal 7 3 3 2 9 2" xfId="29739"/>
    <cellStyle name="Normal 7 3 3 3" xfId="931"/>
    <cellStyle name="Normal 7 3 3 3 2" xfId="2250"/>
    <cellStyle name="Normal 7 3 3 3 2 2" xfId="5471"/>
    <cellStyle name="Normal 7 3 3 3 2 2 2" xfId="21571"/>
    <cellStyle name="Normal 7 3 3 3 2 2 2 2" xfId="44158"/>
    <cellStyle name="Normal 7 3 3 3 2 2 3" xfId="11911"/>
    <cellStyle name="Normal 7 3 3 3 2 2 3 2" xfId="34498"/>
    <cellStyle name="Normal 7 3 3 3 2 2 4" xfId="28058"/>
    <cellStyle name="Normal 7 3 3 3 2 3" xfId="18351"/>
    <cellStyle name="Normal 7 3 3 3 2 3 2" xfId="40938"/>
    <cellStyle name="Normal 7 3 3 3 2 4" xfId="15131"/>
    <cellStyle name="Normal 7 3 3 3 2 4 2" xfId="37718"/>
    <cellStyle name="Normal 7 3 3 3 2 5" xfId="8691"/>
    <cellStyle name="Normal 7 3 3 3 2 5 2" xfId="31278"/>
    <cellStyle name="Normal 7 3 3 3 2 6" xfId="24838"/>
    <cellStyle name="Normal 7 3 3 3 3" xfId="4163"/>
    <cellStyle name="Normal 7 3 3 3 3 2" xfId="20263"/>
    <cellStyle name="Normal 7 3 3 3 3 2 2" xfId="42850"/>
    <cellStyle name="Normal 7 3 3 3 3 3" xfId="10603"/>
    <cellStyle name="Normal 7 3 3 3 3 3 2" xfId="33190"/>
    <cellStyle name="Normal 7 3 3 3 3 4" xfId="26750"/>
    <cellStyle name="Normal 7 3 3 3 4" xfId="17043"/>
    <cellStyle name="Normal 7 3 3 3 4 2" xfId="39630"/>
    <cellStyle name="Normal 7 3 3 3 5" xfId="13823"/>
    <cellStyle name="Normal 7 3 3 3 5 2" xfId="36410"/>
    <cellStyle name="Normal 7 3 3 3 6" xfId="7383"/>
    <cellStyle name="Normal 7 3 3 3 6 2" xfId="29970"/>
    <cellStyle name="Normal 7 3 3 3 7" xfId="23530"/>
    <cellStyle name="Normal 7 3 3 4" xfId="1283"/>
    <cellStyle name="Normal 7 3 3 4 2" xfId="2597"/>
    <cellStyle name="Normal 7 3 3 4 2 2" xfId="5818"/>
    <cellStyle name="Normal 7 3 3 4 2 2 2" xfId="21918"/>
    <cellStyle name="Normal 7 3 3 4 2 2 2 2" xfId="44505"/>
    <cellStyle name="Normal 7 3 3 4 2 2 3" xfId="12258"/>
    <cellStyle name="Normal 7 3 3 4 2 2 3 2" xfId="34845"/>
    <cellStyle name="Normal 7 3 3 4 2 2 4" xfId="28405"/>
    <cellStyle name="Normal 7 3 3 4 2 3" xfId="18698"/>
    <cellStyle name="Normal 7 3 3 4 2 3 2" xfId="41285"/>
    <cellStyle name="Normal 7 3 3 4 2 4" xfId="15478"/>
    <cellStyle name="Normal 7 3 3 4 2 4 2" xfId="38065"/>
    <cellStyle name="Normal 7 3 3 4 2 5" xfId="9038"/>
    <cellStyle name="Normal 7 3 3 4 2 5 2" xfId="31625"/>
    <cellStyle name="Normal 7 3 3 4 2 6" xfId="25185"/>
    <cellStyle name="Normal 7 3 3 4 3" xfId="4510"/>
    <cellStyle name="Normal 7 3 3 4 3 2" xfId="20610"/>
    <cellStyle name="Normal 7 3 3 4 3 2 2" xfId="43197"/>
    <cellStyle name="Normal 7 3 3 4 3 3" xfId="10950"/>
    <cellStyle name="Normal 7 3 3 4 3 3 2" xfId="33537"/>
    <cellStyle name="Normal 7 3 3 4 3 4" xfId="27097"/>
    <cellStyle name="Normal 7 3 3 4 4" xfId="17390"/>
    <cellStyle name="Normal 7 3 3 4 4 2" xfId="39977"/>
    <cellStyle name="Normal 7 3 3 4 5" xfId="14170"/>
    <cellStyle name="Normal 7 3 3 4 5 2" xfId="36757"/>
    <cellStyle name="Normal 7 3 3 4 6" xfId="7730"/>
    <cellStyle name="Normal 7 3 3 4 6 2" xfId="30317"/>
    <cellStyle name="Normal 7 3 3 4 7" xfId="23877"/>
    <cellStyle name="Normal 7 3 3 5" xfId="1713"/>
    <cellStyle name="Normal 7 3 3 5 2" xfId="4936"/>
    <cellStyle name="Normal 7 3 3 5 2 2" xfId="21036"/>
    <cellStyle name="Normal 7 3 3 5 2 2 2" xfId="43623"/>
    <cellStyle name="Normal 7 3 3 5 2 3" xfId="11376"/>
    <cellStyle name="Normal 7 3 3 5 2 3 2" xfId="33963"/>
    <cellStyle name="Normal 7 3 3 5 2 4" xfId="27523"/>
    <cellStyle name="Normal 7 3 3 5 3" xfId="17816"/>
    <cellStyle name="Normal 7 3 3 5 3 2" xfId="40403"/>
    <cellStyle name="Normal 7 3 3 5 4" xfId="14596"/>
    <cellStyle name="Normal 7 3 3 5 4 2" xfId="37183"/>
    <cellStyle name="Normal 7 3 3 5 5" xfId="8156"/>
    <cellStyle name="Normal 7 3 3 5 5 2" xfId="30743"/>
    <cellStyle name="Normal 7 3 3 5 6" xfId="24303"/>
    <cellStyle name="Normal 7 3 3 6" xfId="1902"/>
    <cellStyle name="Normal 7 3 3 6 2" xfId="5124"/>
    <cellStyle name="Normal 7 3 3 6 2 2" xfId="21224"/>
    <cellStyle name="Normal 7 3 3 6 2 2 2" xfId="43811"/>
    <cellStyle name="Normal 7 3 3 6 2 3" xfId="11564"/>
    <cellStyle name="Normal 7 3 3 6 2 3 2" xfId="34151"/>
    <cellStyle name="Normal 7 3 3 6 2 4" xfId="27711"/>
    <cellStyle name="Normal 7 3 3 6 3" xfId="18004"/>
    <cellStyle name="Normal 7 3 3 6 3 2" xfId="40591"/>
    <cellStyle name="Normal 7 3 3 6 4" xfId="14784"/>
    <cellStyle name="Normal 7 3 3 6 4 2" xfId="37371"/>
    <cellStyle name="Normal 7 3 3 6 5" xfId="8344"/>
    <cellStyle name="Normal 7 3 3 6 5 2" xfId="30931"/>
    <cellStyle name="Normal 7 3 3 6 6" xfId="24491"/>
    <cellStyle name="Normal 7 3 3 7" xfId="2953"/>
    <cellStyle name="Normal 7 3 3 7 2" xfId="6174"/>
    <cellStyle name="Normal 7 3 3 7 2 2" xfId="22274"/>
    <cellStyle name="Normal 7 3 3 7 2 2 2" xfId="44861"/>
    <cellStyle name="Normal 7 3 3 7 2 3" xfId="12614"/>
    <cellStyle name="Normal 7 3 3 7 2 3 2" xfId="35201"/>
    <cellStyle name="Normal 7 3 3 7 2 4" xfId="28761"/>
    <cellStyle name="Normal 7 3 3 7 3" xfId="19054"/>
    <cellStyle name="Normal 7 3 3 7 3 2" xfId="41641"/>
    <cellStyle name="Normal 7 3 3 7 4" xfId="15834"/>
    <cellStyle name="Normal 7 3 3 7 4 2" xfId="38421"/>
    <cellStyle name="Normal 7 3 3 7 5" xfId="9394"/>
    <cellStyle name="Normal 7 3 3 7 5 2" xfId="31981"/>
    <cellStyle name="Normal 7 3 3 7 6" xfId="25541"/>
    <cellStyle name="Normal 7 3 3 8" xfId="3244"/>
    <cellStyle name="Normal 7 3 3 8 2" xfId="6464"/>
    <cellStyle name="Normal 7 3 3 8 2 2" xfId="22564"/>
    <cellStyle name="Normal 7 3 3 8 2 2 2" xfId="45151"/>
    <cellStyle name="Normal 7 3 3 8 2 3" xfId="12904"/>
    <cellStyle name="Normal 7 3 3 8 2 3 2" xfId="35491"/>
    <cellStyle name="Normal 7 3 3 8 2 4" xfId="29051"/>
    <cellStyle name="Normal 7 3 3 8 3" xfId="19344"/>
    <cellStyle name="Normal 7 3 3 8 3 2" xfId="41931"/>
    <cellStyle name="Normal 7 3 3 8 4" xfId="16124"/>
    <cellStyle name="Normal 7 3 3 8 4 2" xfId="38711"/>
    <cellStyle name="Normal 7 3 3 8 5" xfId="9684"/>
    <cellStyle name="Normal 7 3 3 8 5 2" xfId="32271"/>
    <cellStyle name="Normal 7 3 3 8 6" xfId="25831"/>
    <cellStyle name="Normal 7 3 3 9" xfId="529"/>
    <cellStyle name="Normal 7 3 3 9 2" xfId="3816"/>
    <cellStyle name="Normal 7 3 3 9 2 2" xfId="19916"/>
    <cellStyle name="Normal 7 3 3 9 2 2 2" xfId="42503"/>
    <cellStyle name="Normal 7 3 3 9 2 3" xfId="10256"/>
    <cellStyle name="Normal 7 3 3 9 2 3 2" xfId="32843"/>
    <cellStyle name="Normal 7 3 3 9 2 4" xfId="26403"/>
    <cellStyle name="Normal 7 3 3 9 3" xfId="16696"/>
    <cellStyle name="Normal 7 3 3 9 3 2" xfId="39283"/>
    <cellStyle name="Normal 7 3 3 9 4" xfId="13476"/>
    <cellStyle name="Normal 7 3 3 9 4 2" xfId="36063"/>
    <cellStyle name="Normal 7 3 3 9 5" xfId="7036"/>
    <cellStyle name="Normal 7 3 3 9 5 2" xfId="29623"/>
    <cellStyle name="Normal 7 3 3 9 6" xfId="23183"/>
    <cellStyle name="Normal 7 3 4" xfId="355"/>
    <cellStyle name="Normal 7 3 4 10" xfId="16522"/>
    <cellStyle name="Normal 7 3 4 10 2" xfId="39109"/>
    <cellStyle name="Normal 7 3 4 11" xfId="13302"/>
    <cellStyle name="Normal 7 3 4 11 2" xfId="35889"/>
    <cellStyle name="Normal 7 3 4 12" xfId="6862"/>
    <cellStyle name="Normal 7 3 4 12 2" xfId="29449"/>
    <cellStyle name="Normal 7 3 4 13" xfId="23009"/>
    <cellStyle name="Normal 7 3 4 2" xfId="958"/>
    <cellStyle name="Normal 7 3 4 2 2" xfId="2277"/>
    <cellStyle name="Normal 7 3 4 2 2 2" xfId="5498"/>
    <cellStyle name="Normal 7 3 4 2 2 2 2" xfId="21598"/>
    <cellStyle name="Normal 7 3 4 2 2 2 2 2" xfId="44185"/>
    <cellStyle name="Normal 7 3 4 2 2 2 3" xfId="11938"/>
    <cellStyle name="Normal 7 3 4 2 2 2 3 2" xfId="34525"/>
    <cellStyle name="Normal 7 3 4 2 2 2 4" xfId="28085"/>
    <cellStyle name="Normal 7 3 4 2 2 3" xfId="18378"/>
    <cellStyle name="Normal 7 3 4 2 2 3 2" xfId="40965"/>
    <cellStyle name="Normal 7 3 4 2 2 4" xfId="15158"/>
    <cellStyle name="Normal 7 3 4 2 2 4 2" xfId="37745"/>
    <cellStyle name="Normal 7 3 4 2 2 5" xfId="8718"/>
    <cellStyle name="Normal 7 3 4 2 2 5 2" xfId="31305"/>
    <cellStyle name="Normal 7 3 4 2 2 6" xfId="24865"/>
    <cellStyle name="Normal 7 3 4 2 3" xfId="4190"/>
    <cellStyle name="Normal 7 3 4 2 3 2" xfId="20290"/>
    <cellStyle name="Normal 7 3 4 2 3 2 2" xfId="42877"/>
    <cellStyle name="Normal 7 3 4 2 3 3" xfId="10630"/>
    <cellStyle name="Normal 7 3 4 2 3 3 2" xfId="33217"/>
    <cellStyle name="Normal 7 3 4 2 3 4" xfId="26777"/>
    <cellStyle name="Normal 7 3 4 2 4" xfId="17070"/>
    <cellStyle name="Normal 7 3 4 2 4 2" xfId="39657"/>
    <cellStyle name="Normal 7 3 4 2 5" xfId="13850"/>
    <cellStyle name="Normal 7 3 4 2 5 2" xfId="36437"/>
    <cellStyle name="Normal 7 3 4 2 6" xfId="7410"/>
    <cellStyle name="Normal 7 3 4 2 6 2" xfId="29997"/>
    <cellStyle name="Normal 7 3 4 2 7" xfId="23557"/>
    <cellStyle name="Normal 7 3 4 3" xfId="1310"/>
    <cellStyle name="Normal 7 3 4 3 2" xfId="2624"/>
    <cellStyle name="Normal 7 3 4 3 2 2" xfId="5845"/>
    <cellStyle name="Normal 7 3 4 3 2 2 2" xfId="21945"/>
    <cellStyle name="Normal 7 3 4 3 2 2 2 2" xfId="44532"/>
    <cellStyle name="Normal 7 3 4 3 2 2 3" xfId="12285"/>
    <cellStyle name="Normal 7 3 4 3 2 2 3 2" xfId="34872"/>
    <cellStyle name="Normal 7 3 4 3 2 2 4" xfId="28432"/>
    <cellStyle name="Normal 7 3 4 3 2 3" xfId="18725"/>
    <cellStyle name="Normal 7 3 4 3 2 3 2" xfId="41312"/>
    <cellStyle name="Normal 7 3 4 3 2 4" xfId="15505"/>
    <cellStyle name="Normal 7 3 4 3 2 4 2" xfId="38092"/>
    <cellStyle name="Normal 7 3 4 3 2 5" xfId="9065"/>
    <cellStyle name="Normal 7 3 4 3 2 5 2" xfId="31652"/>
    <cellStyle name="Normal 7 3 4 3 2 6" xfId="25212"/>
    <cellStyle name="Normal 7 3 4 3 3" xfId="4537"/>
    <cellStyle name="Normal 7 3 4 3 3 2" xfId="20637"/>
    <cellStyle name="Normal 7 3 4 3 3 2 2" xfId="43224"/>
    <cellStyle name="Normal 7 3 4 3 3 3" xfId="10977"/>
    <cellStyle name="Normal 7 3 4 3 3 3 2" xfId="33564"/>
    <cellStyle name="Normal 7 3 4 3 3 4" xfId="27124"/>
    <cellStyle name="Normal 7 3 4 3 4" xfId="17417"/>
    <cellStyle name="Normal 7 3 4 3 4 2" xfId="40004"/>
    <cellStyle name="Normal 7 3 4 3 5" xfId="14197"/>
    <cellStyle name="Normal 7 3 4 3 5 2" xfId="36784"/>
    <cellStyle name="Normal 7 3 4 3 6" xfId="7757"/>
    <cellStyle name="Normal 7 3 4 3 6 2" xfId="30344"/>
    <cellStyle name="Normal 7 3 4 3 7" xfId="23904"/>
    <cellStyle name="Normal 7 3 4 4" xfId="1714"/>
    <cellStyle name="Normal 7 3 4 4 2" xfId="4937"/>
    <cellStyle name="Normal 7 3 4 4 2 2" xfId="21037"/>
    <cellStyle name="Normal 7 3 4 4 2 2 2" xfId="43624"/>
    <cellStyle name="Normal 7 3 4 4 2 3" xfId="11377"/>
    <cellStyle name="Normal 7 3 4 4 2 3 2" xfId="33964"/>
    <cellStyle name="Normal 7 3 4 4 2 4" xfId="27524"/>
    <cellStyle name="Normal 7 3 4 4 3" xfId="17817"/>
    <cellStyle name="Normal 7 3 4 4 3 2" xfId="40404"/>
    <cellStyle name="Normal 7 3 4 4 4" xfId="14597"/>
    <cellStyle name="Normal 7 3 4 4 4 2" xfId="37184"/>
    <cellStyle name="Normal 7 3 4 4 5" xfId="8157"/>
    <cellStyle name="Normal 7 3 4 4 5 2" xfId="30744"/>
    <cellStyle name="Normal 7 3 4 4 6" xfId="24304"/>
    <cellStyle name="Normal 7 3 4 5" xfId="1929"/>
    <cellStyle name="Normal 7 3 4 5 2" xfId="5151"/>
    <cellStyle name="Normal 7 3 4 5 2 2" xfId="21251"/>
    <cellStyle name="Normal 7 3 4 5 2 2 2" xfId="43838"/>
    <cellStyle name="Normal 7 3 4 5 2 3" xfId="11591"/>
    <cellStyle name="Normal 7 3 4 5 2 3 2" xfId="34178"/>
    <cellStyle name="Normal 7 3 4 5 2 4" xfId="27738"/>
    <cellStyle name="Normal 7 3 4 5 3" xfId="18031"/>
    <cellStyle name="Normal 7 3 4 5 3 2" xfId="40618"/>
    <cellStyle name="Normal 7 3 4 5 4" xfId="14811"/>
    <cellStyle name="Normal 7 3 4 5 4 2" xfId="37398"/>
    <cellStyle name="Normal 7 3 4 5 5" xfId="8371"/>
    <cellStyle name="Normal 7 3 4 5 5 2" xfId="30958"/>
    <cellStyle name="Normal 7 3 4 5 6" xfId="24518"/>
    <cellStyle name="Normal 7 3 4 6" xfId="3062"/>
    <cellStyle name="Normal 7 3 4 6 2" xfId="6282"/>
    <cellStyle name="Normal 7 3 4 6 2 2" xfId="22382"/>
    <cellStyle name="Normal 7 3 4 6 2 2 2" xfId="44969"/>
    <cellStyle name="Normal 7 3 4 6 2 3" xfId="12722"/>
    <cellStyle name="Normal 7 3 4 6 2 3 2" xfId="35309"/>
    <cellStyle name="Normal 7 3 4 6 2 4" xfId="28869"/>
    <cellStyle name="Normal 7 3 4 6 3" xfId="19162"/>
    <cellStyle name="Normal 7 3 4 6 3 2" xfId="41749"/>
    <cellStyle name="Normal 7 3 4 6 4" xfId="15942"/>
    <cellStyle name="Normal 7 3 4 6 4 2" xfId="38529"/>
    <cellStyle name="Normal 7 3 4 6 5" xfId="9502"/>
    <cellStyle name="Normal 7 3 4 6 5 2" xfId="32089"/>
    <cellStyle name="Normal 7 3 4 6 6" xfId="25649"/>
    <cellStyle name="Normal 7 3 4 7" xfId="3352"/>
    <cellStyle name="Normal 7 3 4 7 2" xfId="6572"/>
    <cellStyle name="Normal 7 3 4 7 2 2" xfId="22672"/>
    <cellStyle name="Normal 7 3 4 7 2 2 2" xfId="45259"/>
    <cellStyle name="Normal 7 3 4 7 2 3" xfId="13012"/>
    <cellStyle name="Normal 7 3 4 7 2 3 2" xfId="35599"/>
    <cellStyle name="Normal 7 3 4 7 2 4" xfId="29159"/>
    <cellStyle name="Normal 7 3 4 7 3" xfId="19452"/>
    <cellStyle name="Normal 7 3 4 7 3 2" xfId="42039"/>
    <cellStyle name="Normal 7 3 4 7 4" xfId="16232"/>
    <cellStyle name="Normal 7 3 4 7 4 2" xfId="38819"/>
    <cellStyle name="Normal 7 3 4 7 5" xfId="9792"/>
    <cellStyle name="Normal 7 3 4 7 5 2" xfId="32379"/>
    <cellStyle name="Normal 7 3 4 7 6" xfId="25939"/>
    <cellStyle name="Normal 7 3 4 8" xfId="571"/>
    <cellStyle name="Normal 7 3 4 8 2" xfId="3843"/>
    <cellStyle name="Normal 7 3 4 8 2 2" xfId="19943"/>
    <cellStyle name="Normal 7 3 4 8 2 2 2" xfId="42530"/>
    <cellStyle name="Normal 7 3 4 8 2 3" xfId="10283"/>
    <cellStyle name="Normal 7 3 4 8 2 3 2" xfId="32870"/>
    <cellStyle name="Normal 7 3 4 8 2 4" xfId="26430"/>
    <cellStyle name="Normal 7 3 4 8 3" xfId="16723"/>
    <cellStyle name="Normal 7 3 4 8 3 2" xfId="39310"/>
    <cellStyle name="Normal 7 3 4 8 4" xfId="13503"/>
    <cellStyle name="Normal 7 3 4 8 4 2" xfId="36090"/>
    <cellStyle name="Normal 7 3 4 8 5" xfId="7063"/>
    <cellStyle name="Normal 7 3 4 8 5 2" xfId="29650"/>
    <cellStyle name="Normal 7 3 4 8 6" xfId="23210"/>
    <cellStyle name="Normal 7 3 4 9" xfId="3642"/>
    <cellStyle name="Normal 7 3 4 9 2" xfId="19742"/>
    <cellStyle name="Normal 7 3 4 9 2 2" xfId="42329"/>
    <cellStyle name="Normal 7 3 4 9 3" xfId="10082"/>
    <cellStyle name="Normal 7 3 4 9 3 2" xfId="32669"/>
    <cellStyle name="Normal 7 3 4 9 4" xfId="26229"/>
    <cellStyle name="Normal 7 3 5" xfId="784"/>
    <cellStyle name="Normal 7 3 5 2" xfId="1136"/>
    <cellStyle name="Normal 7 3 5 2 2" xfId="2450"/>
    <cellStyle name="Normal 7 3 5 2 2 2" xfId="5671"/>
    <cellStyle name="Normal 7 3 5 2 2 2 2" xfId="21771"/>
    <cellStyle name="Normal 7 3 5 2 2 2 2 2" xfId="44358"/>
    <cellStyle name="Normal 7 3 5 2 2 2 3" xfId="12111"/>
    <cellStyle name="Normal 7 3 5 2 2 2 3 2" xfId="34698"/>
    <cellStyle name="Normal 7 3 5 2 2 2 4" xfId="28258"/>
    <cellStyle name="Normal 7 3 5 2 2 3" xfId="18551"/>
    <cellStyle name="Normal 7 3 5 2 2 3 2" xfId="41138"/>
    <cellStyle name="Normal 7 3 5 2 2 4" xfId="15331"/>
    <cellStyle name="Normal 7 3 5 2 2 4 2" xfId="37918"/>
    <cellStyle name="Normal 7 3 5 2 2 5" xfId="8891"/>
    <cellStyle name="Normal 7 3 5 2 2 5 2" xfId="31478"/>
    <cellStyle name="Normal 7 3 5 2 2 6" xfId="25038"/>
    <cellStyle name="Normal 7 3 5 2 3" xfId="4363"/>
    <cellStyle name="Normal 7 3 5 2 3 2" xfId="20463"/>
    <cellStyle name="Normal 7 3 5 2 3 2 2" xfId="43050"/>
    <cellStyle name="Normal 7 3 5 2 3 3" xfId="10803"/>
    <cellStyle name="Normal 7 3 5 2 3 3 2" xfId="33390"/>
    <cellStyle name="Normal 7 3 5 2 3 4" xfId="26950"/>
    <cellStyle name="Normal 7 3 5 2 4" xfId="17243"/>
    <cellStyle name="Normal 7 3 5 2 4 2" xfId="39830"/>
    <cellStyle name="Normal 7 3 5 2 5" xfId="14023"/>
    <cellStyle name="Normal 7 3 5 2 5 2" xfId="36610"/>
    <cellStyle name="Normal 7 3 5 2 6" xfId="7583"/>
    <cellStyle name="Normal 7 3 5 2 6 2" xfId="30170"/>
    <cellStyle name="Normal 7 3 5 2 7" xfId="23730"/>
    <cellStyle name="Normal 7 3 5 3" xfId="1483"/>
    <cellStyle name="Normal 7 3 5 3 2" xfId="2797"/>
    <cellStyle name="Normal 7 3 5 3 2 2" xfId="6018"/>
    <cellStyle name="Normal 7 3 5 3 2 2 2" xfId="22118"/>
    <cellStyle name="Normal 7 3 5 3 2 2 2 2" xfId="44705"/>
    <cellStyle name="Normal 7 3 5 3 2 2 3" xfId="12458"/>
    <cellStyle name="Normal 7 3 5 3 2 2 3 2" xfId="35045"/>
    <cellStyle name="Normal 7 3 5 3 2 2 4" xfId="28605"/>
    <cellStyle name="Normal 7 3 5 3 2 3" xfId="18898"/>
    <cellStyle name="Normal 7 3 5 3 2 3 2" xfId="41485"/>
    <cellStyle name="Normal 7 3 5 3 2 4" xfId="15678"/>
    <cellStyle name="Normal 7 3 5 3 2 4 2" xfId="38265"/>
    <cellStyle name="Normal 7 3 5 3 2 5" xfId="9238"/>
    <cellStyle name="Normal 7 3 5 3 2 5 2" xfId="31825"/>
    <cellStyle name="Normal 7 3 5 3 2 6" xfId="25385"/>
    <cellStyle name="Normal 7 3 5 3 3" xfId="4710"/>
    <cellStyle name="Normal 7 3 5 3 3 2" xfId="20810"/>
    <cellStyle name="Normal 7 3 5 3 3 2 2" xfId="43397"/>
    <cellStyle name="Normal 7 3 5 3 3 3" xfId="11150"/>
    <cellStyle name="Normal 7 3 5 3 3 3 2" xfId="33737"/>
    <cellStyle name="Normal 7 3 5 3 3 4" xfId="27297"/>
    <cellStyle name="Normal 7 3 5 3 4" xfId="17590"/>
    <cellStyle name="Normal 7 3 5 3 4 2" xfId="40177"/>
    <cellStyle name="Normal 7 3 5 3 5" xfId="14370"/>
    <cellStyle name="Normal 7 3 5 3 5 2" xfId="36957"/>
    <cellStyle name="Normal 7 3 5 3 6" xfId="7930"/>
    <cellStyle name="Normal 7 3 5 3 6 2" xfId="30517"/>
    <cellStyle name="Normal 7 3 5 3 7" xfId="24077"/>
    <cellStyle name="Normal 7 3 5 4" xfId="2103"/>
    <cellStyle name="Normal 7 3 5 4 2" xfId="5324"/>
    <cellStyle name="Normal 7 3 5 4 2 2" xfId="21424"/>
    <cellStyle name="Normal 7 3 5 4 2 2 2" xfId="44011"/>
    <cellStyle name="Normal 7 3 5 4 2 3" xfId="11764"/>
    <cellStyle name="Normal 7 3 5 4 2 3 2" xfId="34351"/>
    <cellStyle name="Normal 7 3 5 4 2 4" xfId="27911"/>
    <cellStyle name="Normal 7 3 5 4 3" xfId="18204"/>
    <cellStyle name="Normal 7 3 5 4 3 2" xfId="40791"/>
    <cellStyle name="Normal 7 3 5 4 4" xfId="14984"/>
    <cellStyle name="Normal 7 3 5 4 4 2" xfId="37571"/>
    <cellStyle name="Normal 7 3 5 4 5" xfId="8544"/>
    <cellStyle name="Normal 7 3 5 4 5 2" xfId="31131"/>
    <cellStyle name="Normal 7 3 5 4 6" xfId="24691"/>
    <cellStyle name="Normal 7 3 5 5" xfId="4016"/>
    <cellStyle name="Normal 7 3 5 5 2" xfId="20116"/>
    <cellStyle name="Normal 7 3 5 5 2 2" xfId="42703"/>
    <cellStyle name="Normal 7 3 5 5 3" xfId="10456"/>
    <cellStyle name="Normal 7 3 5 5 3 2" xfId="33043"/>
    <cellStyle name="Normal 7 3 5 5 4" xfId="26603"/>
    <cellStyle name="Normal 7 3 5 6" xfId="16896"/>
    <cellStyle name="Normal 7 3 5 6 2" xfId="39483"/>
    <cellStyle name="Normal 7 3 5 7" xfId="13676"/>
    <cellStyle name="Normal 7 3 5 7 2" xfId="36263"/>
    <cellStyle name="Normal 7 3 5 8" xfId="7236"/>
    <cellStyle name="Normal 7 3 5 8 2" xfId="29823"/>
    <cellStyle name="Normal 7 3 5 9" xfId="23383"/>
    <cellStyle name="Normal 7 3 6" xfId="854"/>
    <cellStyle name="Normal 7 3 6 2" xfId="2173"/>
    <cellStyle name="Normal 7 3 6 2 2" xfId="5394"/>
    <cellStyle name="Normal 7 3 6 2 2 2" xfId="21494"/>
    <cellStyle name="Normal 7 3 6 2 2 2 2" xfId="44081"/>
    <cellStyle name="Normal 7 3 6 2 2 3" xfId="11834"/>
    <cellStyle name="Normal 7 3 6 2 2 3 2" xfId="34421"/>
    <cellStyle name="Normal 7 3 6 2 2 4" xfId="27981"/>
    <cellStyle name="Normal 7 3 6 2 3" xfId="18274"/>
    <cellStyle name="Normal 7 3 6 2 3 2" xfId="40861"/>
    <cellStyle name="Normal 7 3 6 2 4" xfId="15054"/>
    <cellStyle name="Normal 7 3 6 2 4 2" xfId="37641"/>
    <cellStyle name="Normal 7 3 6 2 5" xfId="8614"/>
    <cellStyle name="Normal 7 3 6 2 5 2" xfId="31201"/>
    <cellStyle name="Normal 7 3 6 2 6" xfId="24761"/>
    <cellStyle name="Normal 7 3 6 3" xfId="4086"/>
    <cellStyle name="Normal 7 3 6 3 2" xfId="20186"/>
    <cellStyle name="Normal 7 3 6 3 2 2" xfId="42773"/>
    <cellStyle name="Normal 7 3 6 3 3" xfId="10526"/>
    <cellStyle name="Normal 7 3 6 3 3 2" xfId="33113"/>
    <cellStyle name="Normal 7 3 6 3 4" xfId="26673"/>
    <cellStyle name="Normal 7 3 6 4" xfId="16966"/>
    <cellStyle name="Normal 7 3 6 4 2" xfId="39553"/>
    <cellStyle name="Normal 7 3 6 5" xfId="13746"/>
    <cellStyle name="Normal 7 3 6 5 2" xfId="36333"/>
    <cellStyle name="Normal 7 3 6 6" xfId="7306"/>
    <cellStyle name="Normal 7 3 6 6 2" xfId="29893"/>
    <cellStyle name="Normal 7 3 6 7" xfId="23453"/>
    <cellStyle name="Normal 7 3 7" xfId="1206"/>
    <cellStyle name="Normal 7 3 7 2" xfId="2520"/>
    <cellStyle name="Normal 7 3 7 2 2" xfId="5741"/>
    <cellStyle name="Normal 7 3 7 2 2 2" xfId="21841"/>
    <cellStyle name="Normal 7 3 7 2 2 2 2" xfId="44428"/>
    <cellStyle name="Normal 7 3 7 2 2 3" xfId="12181"/>
    <cellStyle name="Normal 7 3 7 2 2 3 2" xfId="34768"/>
    <cellStyle name="Normal 7 3 7 2 2 4" xfId="28328"/>
    <cellStyle name="Normal 7 3 7 2 3" xfId="18621"/>
    <cellStyle name="Normal 7 3 7 2 3 2" xfId="41208"/>
    <cellStyle name="Normal 7 3 7 2 4" xfId="15401"/>
    <cellStyle name="Normal 7 3 7 2 4 2" xfId="37988"/>
    <cellStyle name="Normal 7 3 7 2 5" xfId="8961"/>
    <cellStyle name="Normal 7 3 7 2 5 2" xfId="31548"/>
    <cellStyle name="Normal 7 3 7 2 6" xfId="25108"/>
    <cellStyle name="Normal 7 3 7 3" xfId="4433"/>
    <cellStyle name="Normal 7 3 7 3 2" xfId="20533"/>
    <cellStyle name="Normal 7 3 7 3 2 2" xfId="43120"/>
    <cellStyle name="Normal 7 3 7 3 3" xfId="10873"/>
    <cellStyle name="Normal 7 3 7 3 3 2" xfId="33460"/>
    <cellStyle name="Normal 7 3 7 3 4" xfId="27020"/>
    <cellStyle name="Normal 7 3 7 4" xfId="17313"/>
    <cellStyle name="Normal 7 3 7 4 2" xfId="39900"/>
    <cellStyle name="Normal 7 3 7 5" xfId="14093"/>
    <cellStyle name="Normal 7 3 7 5 2" xfId="36680"/>
    <cellStyle name="Normal 7 3 7 6" xfId="7653"/>
    <cellStyle name="Normal 7 3 7 6 2" xfId="30240"/>
    <cellStyle name="Normal 7 3 7 7" xfId="23800"/>
    <cellStyle name="Normal 7 3 8" xfId="1715"/>
    <cellStyle name="Normal 7 3 8 2" xfId="4938"/>
    <cellStyle name="Normal 7 3 8 2 2" xfId="21038"/>
    <cellStyle name="Normal 7 3 8 2 2 2" xfId="43625"/>
    <cellStyle name="Normal 7 3 8 2 3" xfId="11378"/>
    <cellStyle name="Normal 7 3 8 2 3 2" xfId="33965"/>
    <cellStyle name="Normal 7 3 8 2 4" xfId="27525"/>
    <cellStyle name="Normal 7 3 8 3" xfId="17818"/>
    <cellStyle name="Normal 7 3 8 3 2" xfId="40405"/>
    <cellStyle name="Normal 7 3 8 4" xfId="14598"/>
    <cellStyle name="Normal 7 3 8 4 2" xfId="37185"/>
    <cellStyle name="Normal 7 3 8 5" xfId="8158"/>
    <cellStyle name="Normal 7 3 8 5 2" xfId="30745"/>
    <cellStyle name="Normal 7 3 8 6" xfId="24305"/>
    <cellStyle name="Normal 7 3 9" xfId="1825"/>
    <cellStyle name="Normal 7 3 9 2" xfId="5047"/>
    <cellStyle name="Normal 7 3 9 2 2" xfId="21147"/>
    <cellStyle name="Normal 7 3 9 2 2 2" xfId="43734"/>
    <cellStyle name="Normal 7 3 9 2 3" xfId="11487"/>
    <cellStyle name="Normal 7 3 9 2 3 2" xfId="34074"/>
    <cellStyle name="Normal 7 3 9 2 4" xfId="27634"/>
    <cellStyle name="Normal 7 3 9 3" xfId="17927"/>
    <cellStyle name="Normal 7 3 9 3 2" xfId="40514"/>
    <cellStyle name="Normal 7 3 9 4" xfId="14707"/>
    <cellStyle name="Normal 7 3 9 4 2" xfId="37294"/>
    <cellStyle name="Normal 7 3 9 5" xfId="8267"/>
    <cellStyle name="Normal 7 3 9 5 2" xfId="30854"/>
    <cellStyle name="Normal 7 3 9 6" xfId="24414"/>
    <cellStyle name="Normal 7 4" xfId="131"/>
    <cellStyle name="Normal 7 4 10" xfId="469"/>
    <cellStyle name="Normal 7 4 10 2" xfId="3756"/>
    <cellStyle name="Normal 7 4 10 2 2" xfId="19856"/>
    <cellStyle name="Normal 7 4 10 2 2 2" xfId="42443"/>
    <cellStyle name="Normal 7 4 10 2 3" xfId="10196"/>
    <cellStyle name="Normal 7 4 10 2 3 2" xfId="32783"/>
    <cellStyle name="Normal 7 4 10 2 4" xfId="26343"/>
    <cellStyle name="Normal 7 4 10 3" xfId="16636"/>
    <cellStyle name="Normal 7 4 10 3 2" xfId="39223"/>
    <cellStyle name="Normal 7 4 10 4" xfId="13416"/>
    <cellStyle name="Normal 7 4 10 4 2" xfId="36003"/>
    <cellStyle name="Normal 7 4 10 5" xfId="6976"/>
    <cellStyle name="Normal 7 4 10 5 2" xfId="29563"/>
    <cellStyle name="Normal 7 4 10 6" xfId="23123"/>
    <cellStyle name="Normal 7 4 11" xfId="3466"/>
    <cellStyle name="Normal 7 4 11 2" xfId="19566"/>
    <cellStyle name="Normal 7 4 11 2 2" xfId="42153"/>
    <cellStyle name="Normal 7 4 11 3" xfId="9906"/>
    <cellStyle name="Normal 7 4 11 3 2" xfId="32493"/>
    <cellStyle name="Normal 7 4 11 4" xfId="26053"/>
    <cellStyle name="Normal 7 4 12" xfId="16346"/>
    <cellStyle name="Normal 7 4 12 2" xfId="38933"/>
    <cellStyle name="Normal 7 4 13" xfId="13126"/>
    <cellStyle name="Normal 7 4 13 2" xfId="35713"/>
    <cellStyle name="Normal 7 4 14" xfId="6686"/>
    <cellStyle name="Normal 7 4 14 2" xfId="29273"/>
    <cellStyle name="Normal 7 4 15" xfId="22833"/>
    <cellStyle name="Normal 7 4 2" xfId="255"/>
    <cellStyle name="Normal 7 4 2 10" xfId="16422"/>
    <cellStyle name="Normal 7 4 2 10 2" xfId="39009"/>
    <cellStyle name="Normal 7 4 2 11" xfId="13202"/>
    <cellStyle name="Normal 7 4 2 11 2" xfId="35789"/>
    <cellStyle name="Normal 7 4 2 12" xfId="6762"/>
    <cellStyle name="Normal 7 4 2 12 2" xfId="29349"/>
    <cellStyle name="Normal 7 4 2 13" xfId="22909"/>
    <cellStyle name="Normal 7 4 2 2" xfId="995"/>
    <cellStyle name="Normal 7 4 2 2 2" xfId="2309"/>
    <cellStyle name="Normal 7 4 2 2 2 2" xfId="5530"/>
    <cellStyle name="Normal 7 4 2 2 2 2 2" xfId="21630"/>
    <cellStyle name="Normal 7 4 2 2 2 2 2 2" xfId="44217"/>
    <cellStyle name="Normal 7 4 2 2 2 2 3" xfId="11970"/>
    <cellStyle name="Normal 7 4 2 2 2 2 3 2" xfId="34557"/>
    <cellStyle name="Normal 7 4 2 2 2 2 4" xfId="28117"/>
    <cellStyle name="Normal 7 4 2 2 2 3" xfId="18410"/>
    <cellStyle name="Normal 7 4 2 2 2 3 2" xfId="40997"/>
    <cellStyle name="Normal 7 4 2 2 2 4" xfId="15190"/>
    <cellStyle name="Normal 7 4 2 2 2 4 2" xfId="37777"/>
    <cellStyle name="Normal 7 4 2 2 2 5" xfId="8750"/>
    <cellStyle name="Normal 7 4 2 2 2 5 2" xfId="31337"/>
    <cellStyle name="Normal 7 4 2 2 2 6" xfId="24897"/>
    <cellStyle name="Normal 7 4 2 2 3" xfId="4222"/>
    <cellStyle name="Normal 7 4 2 2 3 2" xfId="20322"/>
    <cellStyle name="Normal 7 4 2 2 3 2 2" xfId="42909"/>
    <cellStyle name="Normal 7 4 2 2 3 3" xfId="10662"/>
    <cellStyle name="Normal 7 4 2 2 3 3 2" xfId="33249"/>
    <cellStyle name="Normal 7 4 2 2 3 4" xfId="26809"/>
    <cellStyle name="Normal 7 4 2 2 4" xfId="17102"/>
    <cellStyle name="Normal 7 4 2 2 4 2" xfId="39689"/>
    <cellStyle name="Normal 7 4 2 2 5" xfId="13882"/>
    <cellStyle name="Normal 7 4 2 2 5 2" xfId="36469"/>
    <cellStyle name="Normal 7 4 2 2 6" xfId="7442"/>
    <cellStyle name="Normal 7 4 2 2 6 2" xfId="30029"/>
    <cellStyle name="Normal 7 4 2 2 7" xfId="23589"/>
    <cellStyle name="Normal 7 4 2 3" xfId="1342"/>
    <cellStyle name="Normal 7 4 2 3 2" xfId="2656"/>
    <cellStyle name="Normal 7 4 2 3 2 2" xfId="5877"/>
    <cellStyle name="Normal 7 4 2 3 2 2 2" xfId="21977"/>
    <cellStyle name="Normal 7 4 2 3 2 2 2 2" xfId="44564"/>
    <cellStyle name="Normal 7 4 2 3 2 2 3" xfId="12317"/>
    <cellStyle name="Normal 7 4 2 3 2 2 3 2" xfId="34904"/>
    <cellStyle name="Normal 7 4 2 3 2 2 4" xfId="28464"/>
    <cellStyle name="Normal 7 4 2 3 2 3" xfId="18757"/>
    <cellStyle name="Normal 7 4 2 3 2 3 2" xfId="41344"/>
    <cellStyle name="Normal 7 4 2 3 2 4" xfId="15537"/>
    <cellStyle name="Normal 7 4 2 3 2 4 2" xfId="38124"/>
    <cellStyle name="Normal 7 4 2 3 2 5" xfId="9097"/>
    <cellStyle name="Normal 7 4 2 3 2 5 2" xfId="31684"/>
    <cellStyle name="Normal 7 4 2 3 2 6" xfId="25244"/>
    <cellStyle name="Normal 7 4 2 3 3" xfId="4569"/>
    <cellStyle name="Normal 7 4 2 3 3 2" xfId="20669"/>
    <cellStyle name="Normal 7 4 2 3 3 2 2" xfId="43256"/>
    <cellStyle name="Normal 7 4 2 3 3 3" xfId="11009"/>
    <cellStyle name="Normal 7 4 2 3 3 3 2" xfId="33596"/>
    <cellStyle name="Normal 7 4 2 3 3 4" xfId="27156"/>
    <cellStyle name="Normal 7 4 2 3 4" xfId="17449"/>
    <cellStyle name="Normal 7 4 2 3 4 2" xfId="40036"/>
    <cellStyle name="Normal 7 4 2 3 5" xfId="14229"/>
    <cellStyle name="Normal 7 4 2 3 5 2" xfId="36816"/>
    <cellStyle name="Normal 7 4 2 3 6" xfId="7789"/>
    <cellStyle name="Normal 7 4 2 3 6 2" xfId="30376"/>
    <cellStyle name="Normal 7 4 2 3 7" xfId="23936"/>
    <cellStyle name="Normal 7 4 2 4" xfId="1716"/>
    <cellStyle name="Normal 7 4 2 4 2" xfId="4939"/>
    <cellStyle name="Normal 7 4 2 4 2 2" xfId="21039"/>
    <cellStyle name="Normal 7 4 2 4 2 2 2" xfId="43626"/>
    <cellStyle name="Normal 7 4 2 4 2 3" xfId="11379"/>
    <cellStyle name="Normal 7 4 2 4 2 3 2" xfId="33966"/>
    <cellStyle name="Normal 7 4 2 4 2 4" xfId="27526"/>
    <cellStyle name="Normal 7 4 2 4 3" xfId="17819"/>
    <cellStyle name="Normal 7 4 2 4 3 2" xfId="40406"/>
    <cellStyle name="Normal 7 4 2 4 4" xfId="14599"/>
    <cellStyle name="Normal 7 4 2 4 4 2" xfId="37186"/>
    <cellStyle name="Normal 7 4 2 4 5" xfId="8159"/>
    <cellStyle name="Normal 7 4 2 4 5 2" xfId="30746"/>
    <cellStyle name="Normal 7 4 2 4 6" xfId="24306"/>
    <cellStyle name="Normal 7 4 2 5" xfId="1961"/>
    <cellStyle name="Normal 7 4 2 5 2" xfId="5183"/>
    <cellStyle name="Normal 7 4 2 5 2 2" xfId="21283"/>
    <cellStyle name="Normal 7 4 2 5 2 2 2" xfId="43870"/>
    <cellStyle name="Normal 7 4 2 5 2 3" xfId="11623"/>
    <cellStyle name="Normal 7 4 2 5 2 3 2" xfId="34210"/>
    <cellStyle name="Normal 7 4 2 5 2 4" xfId="27770"/>
    <cellStyle name="Normal 7 4 2 5 3" xfId="18063"/>
    <cellStyle name="Normal 7 4 2 5 3 2" xfId="40650"/>
    <cellStyle name="Normal 7 4 2 5 4" xfId="14843"/>
    <cellStyle name="Normal 7 4 2 5 4 2" xfId="37430"/>
    <cellStyle name="Normal 7 4 2 5 5" xfId="8403"/>
    <cellStyle name="Normal 7 4 2 5 5 2" xfId="30990"/>
    <cellStyle name="Normal 7 4 2 5 6" xfId="24550"/>
    <cellStyle name="Normal 7 4 2 6" xfId="2962"/>
    <cellStyle name="Normal 7 4 2 6 2" xfId="6182"/>
    <cellStyle name="Normal 7 4 2 6 2 2" xfId="22282"/>
    <cellStyle name="Normal 7 4 2 6 2 2 2" xfId="44869"/>
    <cellStyle name="Normal 7 4 2 6 2 3" xfId="12622"/>
    <cellStyle name="Normal 7 4 2 6 2 3 2" xfId="35209"/>
    <cellStyle name="Normal 7 4 2 6 2 4" xfId="28769"/>
    <cellStyle name="Normal 7 4 2 6 3" xfId="19062"/>
    <cellStyle name="Normal 7 4 2 6 3 2" xfId="41649"/>
    <cellStyle name="Normal 7 4 2 6 4" xfId="15842"/>
    <cellStyle name="Normal 7 4 2 6 4 2" xfId="38429"/>
    <cellStyle name="Normal 7 4 2 6 5" xfId="9402"/>
    <cellStyle name="Normal 7 4 2 6 5 2" xfId="31989"/>
    <cellStyle name="Normal 7 4 2 6 6" xfId="25549"/>
    <cellStyle name="Normal 7 4 2 7" xfId="3252"/>
    <cellStyle name="Normal 7 4 2 7 2" xfId="6472"/>
    <cellStyle name="Normal 7 4 2 7 2 2" xfId="22572"/>
    <cellStyle name="Normal 7 4 2 7 2 2 2" xfId="45159"/>
    <cellStyle name="Normal 7 4 2 7 2 3" xfId="12912"/>
    <cellStyle name="Normal 7 4 2 7 2 3 2" xfId="35499"/>
    <cellStyle name="Normal 7 4 2 7 2 4" xfId="29059"/>
    <cellStyle name="Normal 7 4 2 7 3" xfId="19352"/>
    <cellStyle name="Normal 7 4 2 7 3 2" xfId="41939"/>
    <cellStyle name="Normal 7 4 2 7 4" xfId="16132"/>
    <cellStyle name="Normal 7 4 2 7 4 2" xfId="38719"/>
    <cellStyle name="Normal 7 4 2 7 5" xfId="9692"/>
    <cellStyle name="Normal 7 4 2 7 5 2" xfId="32279"/>
    <cellStyle name="Normal 7 4 2 7 6" xfId="25839"/>
    <cellStyle name="Normal 7 4 2 8" xfId="631"/>
    <cellStyle name="Normal 7 4 2 8 2" xfId="3875"/>
    <cellStyle name="Normal 7 4 2 8 2 2" xfId="19975"/>
    <cellStyle name="Normal 7 4 2 8 2 2 2" xfId="42562"/>
    <cellStyle name="Normal 7 4 2 8 2 3" xfId="10315"/>
    <cellStyle name="Normal 7 4 2 8 2 3 2" xfId="32902"/>
    <cellStyle name="Normal 7 4 2 8 2 4" xfId="26462"/>
    <cellStyle name="Normal 7 4 2 8 3" xfId="16755"/>
    <cellStyle name="Normal 7 4 2 8 3 2" xfId="39342"/>
    <cellStyle name="Normal 7 4 2 8 4" xfId="13535"/>
    <cellStyle name="Normal 7 4 2 8 4 2" xfId="36122"/>
    <cellStyle name="Normal 7 4 2 8 5" xfId="7095"/>
    <cellStyle name="Normal 7 4 2 8 5 2" xfId="29682"/>
    <cellStyle name="Normal 7 4 2 8 6" xfId="23242"/>
    <cellStyle name="Normal 7 4 2 9" xfId="3542"/>
    <cellStyle name="Normal 7 4 2 9 2" xfId="19642"/>
    <cellStyle name="Normal 7 4 2 9 2 2" xfId="42229"/>
    <cellStyle name="Normal 7 4 2 9 3" xfId="9982"/>
    <cellStyle name="Normal 7 4 2 9 3 2" xfId="32569"/>
    <cellStyle name="Normal 7 4 2 9 4" xfId="26129"/>
    <cellStyle name="Normal 7 4 3" xfId="372"/>
    <cellStyle name="Normal 7 4 3 10" xfId="16539"/>
    <cellStyle name="Normal 7 4 3 10 2" xfId="39126"/>
    <cellStyle name="Normal 7 4 3 11" xfId="13319"/>
    <cellStyle name="Normal 7 4 3 11 2" xfId="35906"/>
    <cellStyle name="Normal 7 4 3 12" xfId="6879"/>
    <cellStyle name="Normal 7 4 3 12 2" xfId="29466"/>
    <cellStyle name="Normal 7 4 3 13" xfId="23026"/>
    <cellStyle name="Normal 7 4 3 2" xfId="1156"/>
    <cellStyle name="Normal 7 4 3 2 2" xfId="2470"/>
    <cellStyle name="Normal 7 4 3 2 2 2" xfId="5691"/>
    <cellStyle name="Normal 7 4 3 2 2 2 2" xfId="21791"/>
    <cellStyle name="Normal 7 4 3 2 2 2 2 2" xfId="44378"/>
    <cellStyle name="Normal 7 4 3 2 2 2 3" xfId="12131"/>
    <cellStyle name="Normal 7 4 3 2 2 2 3 2" xfId="34718"/>
    <cellStyle name="Normal 7 4 3 2 2 2 4" xfId="28278"/>
    <cellStyle name="Normal 7 4 3 2 2 3" xfId="18571"/>
    <cellStyle name="Normal 7 4 3 2 2 3 2" xfId="41158"/>
    <cellStyle name="Normal 7 4 3 2 2 4" xfId="15351"/>
    <cellStyle name="Normal 7 4 3 2 2 4 2" xfId="37938"/>
    <cellStyle name="Normal 7 4 3 2 2 5" xfId="8911"/>
    <cellStyle name="Normal 7 4 3 2 2 5 2" xfId="31498"/>
    <cellStyle name="Normal 7 4 3 2 2 6" xfId="25058"/>
    <cellStyle name="Normal 7 4 3 2 3" xfId="4383"/>
    <cellStyle name="Normal 7 4 3 2 3 2" xfId="20483"/>
    <cellStyle name="Normal 7 4 3 2 3 2 2" xfId="43070"/>
    <cellStyle name="Normal 7 4 3 2 3 3" xfId="10823"/>
    <cellStyle name="Normal 7 4 3 2 3 3 2" xfId="33410"/>
    <cellStyle name="Normal 7 4 3 2 3 4" xfId="26970"/>
    <cellStyle name="Normal 7 4 3 2 4" xfId="17263"/>
    <cellStyle name="Normal 7 4 3 2 4 2" xfId="39850"/>
    <cellStyle name="Normal 7 4 3 2 5" xfId="14043"/>
    <cellStyle name="Normal 7 4 3 2 5 2" xfId="36630"/>
    <cellStyle name="Normal 7 4 3 2 6" xfId="7603"/>
    <cellStyle name="Normal 7 4 3 2 6 2" xfId="30190"/>
    <cellStyle name="Normal 7 4 3 2 7" xfId="23750"/>
    <cellStyle name="Normal 7 4 3 3" xfId="1503"/>
    <cellStyle name="Normal 7 4 3 3 2" xfId="2817"/>
    <cellStyle name="Normal 7 4 3 3 2 2" xfId="6038"/>
    <cellStyle name="Normal 7 4 3 3 2 2 2" xfId="22138"/>
    <cellStyle name="Normal 7 4 3 3 2 2 2 2" xfId="44725"/>
    <cellStyle name="Normal 7 4 3 3 2 2 3" xfId="12478"/>
    <cellStyle name="Normal 7 4 3 3 2 2 3 2" xfId="35065"/>
    <cellStyle name="Normal 7 4 3 3 2 2 4" xfId="28625"/>
    <cellStyle name="Normal 7 4 3 3 2 3" xfId="18918"/>
    <cellStyle name="Normal 7 4 3 3 2 3 2" xfId="41505"/>
    <cellStyle name="Normal 7 4 3 3 2 4" xfId="15698"/>
    <cellStyle name="Normal 7 4 3 3 2 4 2" xfId="38285"/>
    <cellStyle name="Normal 7 4 3 3 2 5" xfId="9258"/>
    <cellStyle name="Normal 7 4 3 3 2 5 2" xfId="31845"/>
    <cellStyle name="Normal 7 4 3 3 2 6" xfId="25405"/>
    <cellStyle name="Normal 7 4 3 3 3" xfId="4730"/>
    <cellStyle name="Normal 7 4 3 3 3 2" xfId="20830"/>
    <cellStyle name="Normal 7 4 3 3 3 2 2" xfId="43417"/>
    <cellStyle name="Normal 7 4 3 3 3 3" xfId="11170"/>
    <cellStyle name="Normal 7 4 3 3 3 3 2" xfId="33757"/>
    <cellStyle name="Normal 7 4 3 3 3 4" xfId="27317"/>
    <cellStyle name="Normal 7 4 3 3 4" xfId="17610"/>
    <cellStyle name="Normal 7 4 3 3 4 2" xfId="40197"/>
    <cellStyle name="Normal 7 4 3 3 5" xfId="14390"/>
    <cellStyle name="Normal 7 4 3 3 5 2" xfId="36977"/>
    <cellStyle name="Normal 7 4 3 3 6" xfId="7950"/>
    <cellStyle name="Normal 7 4 3 3 6 2" xfId="30537"/>
    <cellStyle name="Normal 7 4 3 3 7" xfId="24097"/>
    <cellStyle name="Normal 7 4 3 4" xfId="1717"/>
    <cellStyle name="Normal 7 4 3 4 2" xfId="4940"/>
    <cellStyle name="Normal 7 4 3 4 2 2" xfId="21040"/>
    <cellStyle name="Normal 7 4 3 4 2 2 2" xfId="43627"/>
    <cellStyle name="Normal 7 4 3 4 2 3" xfId="11380"/>
    <cellStyle name="Normal 7 4 3 4 2 3 2" xfId="33967"/>
    <cellStyle name="Normal 7 4 3 4 2 4" xfId="27527"/>
    <cellStyle name="Normal 7 4 3 4 3" xfId="17820"/>
    <cellStyle name="Normal 7 4 3 4 3 2" xfId="40407"/>
    <cellStyle name="Normal 7 4 3 4 4" xfId="14600"/>
    <cellStyle name="Normal 7 4 3 4 4 2" xfId="37187"/>
    <cellStyle name="Normal 7 4 3 4 5" xfId="8160"/>
    <cellStyle name="Normal 7 4 3 4 5 2" xfId="30747"/>
    <cellStyle name="Normal 7 4 3 4 6" xfId="24307"/>
    <cellStyle name="Normal 7 4 3 5" xfId="2123"/>
    <cellStyle name="Normal 7 4 3 5 2" xfId="5344"/>
    <cellStyle name="Normal 7 4 3 5 2 2" xfId="21444"/>
    <cellStyle name="Normal 7 4 3 5 2 2 2" xfId="44031"/>
    <cellStyle name="Normal 7 4 3 5 2 3" xfId="11784"/>
    <cellStyle name="Normal 7 4 3 5 2 3 2" xfId="34371"/>
    <cellStyle name="Normal 7 4 3 5 2 4" xfId="27931"/>
    <cellStyle name="Normal 7 4 3 5 3" xfId="18224"/>
    <cellStyle name="Normal 7 4 3 5 3 2" xfId="40811"/>
    <cellStyle name="Normal 7 4 3 5 4" xfId="15004"/>
    <cellStyle name="Normal 7 4 3 5 4 2" xfId="37591"/>
    <cellStyle name="Normal 7 4 3 5 5" xfId="8564"/>
    <cellStyle name="Normal 7 4 3 5 5 2" xfId="31151"/>
    <cellStyle name="Normal 7 4 3 5 6" xfId="24711"/>
    <cellStyle name="Normal 7 4 3 6" xfId="3079"/>
    <cellStyle name="Normal 7 4 3 6 2" xfId="6299"/>
    <cellStyle name="Normal 7 4 3 6 2 2" xfId="22399"/>
    <cellStyle name="Normal 7 4 3 6 2 2 2" xfId="44986"/>
    <cellStyle name="Normal 7 4 3 6 2 3" xfId="12739"/>
    <cellStyle name="Normal 7 4 3 6 2 3 2" xfId="35326"/>
    <cellStyle name="Normal 7 4 3 6 2 4" xfId="28886"/>
    <cellStyle name="Normal 7 4 3 6 3" xfId="19179"/>
    <cellStyle name="Normal 7 4 3 6 3 2" xfId="41766"/>
    <cellStyle name="Normal 7 4 3 6 4" xfId="15959"/>
    <cellStyle name="Normal 7 4 3 6 4 2" xfId="38546"/>
    <cellStyle name="Normal 7 4 3 6 5" xfId="9519"/>
    <cellStyle name="Normal 7 4 3 6 5 2" xfId="32106"/>
    <cellStyle name="Normal 7 4 3 6 6" xfId="25666"/>
    <cellStyle name="Normal 7 4 3 7" xfId="3369"/>
    <cellStyle name="Normal 7 4 3 7 2" xfId="6589"/>
    <cellStyle name="Normal 7 4 3 7 2 2" xfId="22689"/>
    <cellStyle name="Normal 7 4 3 7 2 2 2" xfId="45276"/>
    <cellStyle name="Normal 7 4 3 7 2 3" xfId="13029"/>
    <cellStyle name="Normal 7 4 3 7 2 3 2" xfId="35616"/>
    <cellStyle name="Normal 7 4 3 7 2 4" xfId="29176"/>
    <cellStyle name="Normal 7 4 3 7 3" xfId="19469"/>
    <cellStyle name="Normal 7 4 3 7 3 2" xfId="42056"/>
    <cellStyle name="Normal 7 4 3 7 4" xfId="16249"/>
    <cellStyle name="Normal 7 4 3 7 4 2" xfId="38836"/>
    <cellStyle name="Normal 7 4 3 7 5" xfId="9809"/>
    <cellStyle name="Normal 7 4 3 7 5 2" xfId="32396"/>
    <cellStyle name="Normal 7 4 3 7 6" xfId="25956"/>
    <cellStyle name="Normal 7 4 3 8" xfId="804"/>
    <cellStyle name="Normal 7 4 3 8 2" xfId="4036"/>
    <cellStyle name="Normal 7 4 3 8 2 2" xfId="20136"/>
    <cellStyle name="Normal 7 4 3 8 2 2 2" xfId="42723"/>
    <cellStyle name="Normal 7 4 3 8 2 3" xfId="10476"/>
    <cellStyle name="Normal 7 4 3 8 2 3 2" xfId="33063"/>
    <cellStyle name="Normal 7 4 3 8 2 4" xfId="26623"/>
    <cellStyle name="Normal 7 4 3 8 3" xfId="16916"/>
    <cellStyle name="Normal 7 4 3 8 3 2" xfId="39503"/>
    <cellStyle name="Normal 7 4 3 8 4" xfId="13696"/>
    <cellStyle name="Normal 7 4 3 8 4 2" xfId="36283"/>
    <cellStyle name="Normal 7 4 3 8 5" xfId="7256"/>
    <cellStyle name="Normal 7 4 3 8 5 2" xfId="29843"/>
    <cellStyle name="Normal 7 4 3 8 6" xfId="23403"/>
    <cellStyle name="Normal 7 4 3 9" xfId="3659"/>
    <cellStyle name="Normal 7 4 3 9 2" xfId="19759"/>
    <cellStyle name="Normal 7 4 3 9 2 2" xfId="42346"/>
    <cellStyle name="Normal 7 4 3 9 3" xfId="10099"/>
    <cellStyle name="Normal 7 4 3 9 3 2" xfId="32686"/>
    <cellStyle name="Normal 7 4 3 9 4" xfId="26246"/>
    <cellStyle name="Normal 7 4 4" xfId="871"/>
    <cellStyle name="Normal 7 4 4 2" xfId="2190"/>
    <cellStyle name="Normal 7 4 4 2 2" xfId="5411"/>
    <cellStyle name="Normal 7 4 4 2 2 2" xfId="21511"/>
    <cellStyle name="Normal 7 4 4 2 2 2 2" xfId="44098"/>
    <cellStyle name="Normal 7 4 4 2 2 3" xfId="11851"/>
    <cellStyle name="Normal 7 4 4 2 2 3 2" xfId="34438"/>
    <cellStyle name="Normal 7 4 4 2 2 4" xfId="27998"/>
    <cellStyle name="Normal 7 4 4 2 3" xfId="18291"/>
    <cellStyle name="Normal 7 4 4 2 3 2" xfId="40878"/>
    <cellStyle name="Normal 7 4 4 2 4" xfId="15071"/>
    <cellStyle name="Normal 7 4 4 2 4 2" xfId="37658"/>
    <cellStyle name="Normal 7 4 4 2 5" xfId="8631"/>
    <cellStyle name="Normal 7 4 4 2 5 2" xfId="31218"/>
    <cellStyle name="Normal 7 4 4 2 6" xfId="24778"/>
    <cellStyle name="Normal 7 4 4 3" xfId="4103"/>
    <cellStyle name="Normal 7 4 4 3 2" xfId="20203"/>
    <cellStyle name="Normal 7 4 4 3 2 2" xfId="42790"/>
    <cellStyle name="Normal 7 4 4 3 3" xfId="10543"/>
    <cellStyle name="Normal 7 4 4 3 3 2" xfId="33130"/>
    <cellStyle name="Normal 7 4 4 3 4" xfId="26690"/>
    <cellStyle name="Normal 7 4 4 4" xfId="16983"/>
    <cellStyle name="Normal 7 4 4 4 2" xfId="39570"/>
    <cellStyle name="Normal 7 4 4 5" xfId="13763"/>
    <cellStyle name="Normal 7 4 4 5 2" xfId="36350"/>
    <cellStyle name="Normal 7 4 4 6" xfId="7323"/>
    <cellStyle name="Normal 7 4 4 6 2" xfId="29910"/>
    <cellStyle name="Normal 7 4 4 7" xfId="23470"/>
    <cellStyle name="Normal 7 4 5" xfId="1223"/>
    <cellStyle name="Normal 7 4 5 2" xfId="2537"/>
    <cellStyle name="Normal 7 4 5 2 2" xfId="5758"/>
    <cellStyle name="Normal 7 4 5 2 2 2" xfId="21858"/>
    <cellStyle name="Normal 7 4 5 2 2 2 2" xfId="44445"/>
    <cellStyle name="Normal 7 4 5 2 2 3" xfId="12198"/>
    <cellStyle name="Normal 7 4 5 2 2 3 2" xfId="34785"/>
    <cellStyle name="Normal 7 4 5 2 2 4" xfId="28345"/>
    <cellStyle name="Normal 7 4 5 2 3" xfId="18638"/>
    <cellStyle name="Normal 7 4 5 2 3 2" xfId="41225"/>
    <cellStyle name="Normal 7 4 5 2 4" xfId="15418"/>
    <cellStyle name="Normal 7 4 5 2 4 2" xfId="38005"/>
    <cellStyle name="Normal 7 4 5 2 5" xfId="8978"/>
    <cellStyle name="Normal 7 4 5 2 5 2" xfId="31565"/>
    <cellStyle name="Normal 7 4 5 2 6" xfId="25125"/>
    <cellStyle name="Normal 7 4 5 3" xfId="4450"/>
    <cellStyle name="Normal 7 4 5 3 2" xfId="20550"/>
    <cellStyle name="Normal 7 4 5 3 2 2" xfId="43137"/>
    <cellStyle name="Normal 7 4 5 3 3" xfId="10890"/>
    <cellStyle name="Normal 7 4 5 3 3 2" xfId="33477"/>
    <cellStyle name="Normal 7 4 5 3 4" xfId="27037"/>
    <cellStyle name="Normal 7 4 5 4" xfId="17330"/>
    <cellStyle name="Normal 7 4 5 4 2" xfId="39917"/>
    <cellStyle name="Normal 7 4 5 5" xfId="14110"/>
    <cellStyle name="Normal 7 4 5 5 2" xfId="36697"/>
    <cellStyle name="Normal 7 4 5 6" xfId="7670"/>
    <cellStyle name="Normal 7 4 5 6 2" xfId="30257"/>
    <cellStyle name="Normal 7 4 5 7" xfId="23817"/>
    <cellStyle name="Normal 7 4 6" xfId="1718"/>
    <cellStyle name="Normal 7 4 6 2" xfId="4941"/>
    <cellStyle name="Normal 7 4 6 2 2" xfId="21041"/>
    <cellStyle name="Normal 7 4 6 2 2 2" xfId="43628"/>
    <cellStyle name="Normal 7 4 6 2 3" xfId="11381"/>
    <cellStyle name="Normal 7 4 6 2 3 2" xfId="33968"/>
    <cellStyle name="Normal 7 4 6 2 4" xfId="27528"/>
    <cellStyle name="Normal 7 4 6 3" xfId="17821"/>
    <cellStyle name="Normal 7 4 6 3 2" xfId="40408"/>
    <cellStyle name="Normal 7 4 6 4" xfId="14601"/>
    <cellStyle name="Normal 7 4 6 4 2" xfId="37188"/>
    <cellStyle name="Normal 7 4 6 5" xfId="8161"/>
    <cellStyle name="Normal 7 4 6 5 2" xfId="30748"/>
    <cellStyle name="Normal 7 4 6 6" xfId="24308"/>
    <cellStyle name="Normal 7 4 7" xfId="1842"/>
    <cellStyle name="Normal 7 4 7 2" xfId="5064"/>
    <cellStyle name="Normal 7 4 7 2 2" xfId="21164"/>
    <cellStyle name="Normal 7 4 7 2 2 2" xfId="43751"/>
    <cellStyle name="Normal 7 4 7 2 3" xfId="11504"/>
    <cellStyle name="Normal 7 4 7 2 3 2" xfId="34091"/>
    <cellStyle name="Normal 7 4 7 2 4" xfId="27651"/>
    <cellStyle name="Normal 7 4 7 3" xfId="17944"/>
    <cellStyle name="Normal 7 4 7 3 2" xfId="40531"/>
    <cellStyle name="Normal 7 4 7 4" xfId="14724"/>
    <cellStyle name="Normal 7 4 7 4 2" xfId="37311"/>
    <cellStyle name="Normal 7 4 7 5" xfId="8284"/>
    <cellStyle name="Normal 7 4 7 5 2" xfId="30871"/>
    <cellStyle name="Normal 7 4 7 6" xfId="24431"/>
    <cellStyle name="Normal 7 4 8" xfId="2885"/>
    <cellStyle name="Normal 7 4 8 2" xfId="6106"/>
    <cellStyle name="Normal 7 4 8 2 2" xfId="22206"/>
    <cellStyle name="Normal 7 4 8 2 2 2" xfId="44793"/>
    <cellStyle name="Normal 7 4 8 2 3" xfId="12546"/>
    <cellStyle name="Normal 7 4 8 2 3 2" xfId="35133"/>
    <cellStyle name="Normal 7 4 8 2 4" xfId="28693"/>
    <cellStyle name="Normal 7 4 8 3" xfId="18986"/>
    <cellStyle name="Normal 7 4 8 3 2" xfId="41573"/>
    <cellStyle name="Normal 7 4 8 4" xfId="15766"/>
    <cellStyle name="Normal 7 4 8 4 2" xfId="38353"/>
    <cellStyle name="Normal 7 4 8 5" xfId="9326"/>
    <cellStyle name="Normal 7 4 8 5 2" xfId="31913"/>
    <cellStyle name="Normal 7 4 8 6" xfId="25473"/>
    <cellStyle name="Normal 7 4 9" xfId="3176"/>
    <cellStyle name="Normal 7 4 9 2" xfId="6396"/>
    <cellStyle name="Normal 7 4 9 2 2" xfId="22496"/>
    <cellStyle name="Normal 7 4 9 2 2 2" xfId="45083"/>
    <cellStyle name="Normal 7 4 9 2 3" xfId="12836"/>
    <cellStyle name="Normal 7 4 9 2 3 2" xfId="35423"/>
    <cellStyle name="Normal 7 4 9 2 4" xfId="28983"/>
    <cellStyle name="Normal 7 4 9 3" xfId="19276"/>
    <cellStyle name="Normal 7 4 9 3 2" xfId="41863"/>
    <cellStyle name="Normal 7 4 9 4" xfId="16056"/>
    <cellStyle name="Normal 7 4 9 4 2" xfId="38643"/>
    <cellStyle name="Normal 7 4 9 5" xfId="9616"/>
    <cellStyle name="Normal 7 4 9 5 2" xfId="32203"/>
    <cellStyle name="Normal 7 4 9 6" xfId="25763"/>
    <cellStyle name="Normal 7 5" xfId="222"/>
    <cellStyle name="Normal 7 5 10" xfId="509"/>
    <cellStyle name="Normal 7 5 10 2" xfId="3796"/>
    <cellStyle name="Normal 7 5 10 2 2" xfId="19896"/>
    <cellStyle name="Normal 7 5 10 2 2 2" xfId="42483"/>
    <cellStyle name="Normal 7 5 10 2 3" xfId="10236"/>
    <cellStyle name="Normal 7 5 10 2 3 2" xfId="32823"/>
    <cellStyle name="Normal 7 5 10 2 4" xfId="26383"/>
    <cellStyle name="Normal 7 5 10 3" xfId="16676"/>
    <cellStyle name="Normal 7 5 10 3 2" xfId="39263"/>
    <cellStyle name="Normal 7 5 10 4" xfId="13456"/>
    <cellStyle name="Normal 7 5 10 4 2" xfId="36043"/>
    <cellStyle name="Normal 7 5 10 5" xfId="7016"/>
    <cellStyle name="Normal 7 5 10 5 2" xfId="29603"/>
    <cellStyle name="Normal 7 5 10 6" xfId="23163"/>
    <cellStyle name="Normal 7 5 11" xfId="3510"/>
    <cellStyle name="Normal 7 5 11 2" xfId="19610"/>
    <cellStyle name="Normal 7 5 11 2 2" xfId="42197"/>
    <cellStyle name="Normal 7 5 11 3" xfId="9950"/>
    <cellStyle name="Normal 7 5 11 3 2" xfId="32537"/>
    <cellStyle name="Normal 7 5 11 4" xfId="26097"/>
    <cellStyle name="Normal 7 5 12" xfId="16390"/>
    <cellStyle name="Normal 7 5 12 2" xfId="38977"/>
    <cellStyle name="Normal 7 5 13" xfId="13170"/>
    <cellStyle name="Normal 7 5 13 2" xfId="35757"/>
    <cellStyle name="Normal 7 5 14" xfId="6730"/>
    <cellStyle name="Normal 7 5 14 2" xfId="29317"/>
    <cellStyle name="Normal 7 5 15" xfId="22877"/>
    <cellStyle name="Normal 7 5 2" xfId="320"/>
    <cellStyle name="Normal 7 5 2 10" xfId="16487"/>
    <cellStyle name="Normal 7 5 2 10 2" xfId="39074"/>
    <cellStyle name="Normal 7 5 2 11" xfId="13267"/>
    <cellStyle name="Normal 7 5 2 11 2" xfId="35854"/>
    <cellStyle name="Normal 7 5 2 12" xfId="6827"/>
    <cellStyle name="Normal 7 5 2 12 2" xfId="29414"/>
    <cellStyle name="Normal 7 5 2 13" xfId="22974"/>
    <cellStyle name="Normal 7 5 2 2" xfId="1032"/>
    <cellStyle name="Normal 7 5 2 2 2" xfId="2346"/>
    <cellStyle name="Normal 7 5 2 2 2 2" xfId="5567"/>
    <cellStyle name="Normal 7 5 2 2 2 2 2" xfId="21667"/>
    <cellStyle name="Normal 7 5 2 2 2 2 2 2" xfId="44254"/>
    <cellStyle name="Normal 7 5 2 2 2 2 3" xfId="12007"/>
    <cellStyle name="Normal 7 5 2 2 2 2 3 2" xfId="34594"/>
    <cellStyle name="Normal 7 5 2 2 2 2 4" xfId="28154"/>
    <cellStyle name="Normal 7 5 2 2 2 3" xfId="18447"/>
    <cellStyle name="Normal 7 5 2 2 2 3 2" xfId="41034"/>
    <cellStyle name="Normal 7 5 2 2 2 4" xfId="15227"/>
    <cellStyle name="Normal 7 5 2 2 2 4 2" xfId="37814"/>
    <cellStyle name="Normal 7 5 2 2 2 5" xfId="8787"/>
    <cellStyle name="Normal 7 5 2 2 2 5 2" xfId="31374"/>
    <cellStyle name="Normal 7 5 2 2 2 6" xfId="24934"/>
    <cellStyle name="Normal 7 5 2 2 3" xfId="4259"/>
    <cellStyle name="Normal 7 5 2 2 3 2" xfId="20359"/>
    <cellStyle name="Normal 7 5 2 2 3 2 2" xfId="42946"/>
    <cellStyle name="Normal 7 5 2 2 3 3" xfId="10699"/>
    <cellStyle name="Normal 7 5 2 2 3 3 2" xfId="33286"/>
    <cellStyle name="Normal 7 5 2 2 3 4" xfId="26846"/>
    <cellStyle name="Normal 7 5 2 2 4" xfId="17139"/>
    <cellStyle name="Normal 7 5 2 2 4 2" xfId="39726"/>
    <cellStyle name="Normal 7 5 2 2 5" xfId="13919"/>
    <cellStyle name="Normal 7 5 2 2 5 2" xfId="36506"/>
    <cellStyle name="Normal 7 5 2 2 6" xfId="7479"/>
    <cellStyle name="Normal 7 5 2 2 6 2" xfId="30066"/>
    <cellStyle name="Normal 7 5 2 2 7" xfId="23626"/>
    <cellStyle name="Normal 7 5 2 3" xfId="1379"/>
    <cellStyle name="Normal 7 5 2 3 2" xfId="2693"/>
    <cellStyle name="Normal 7 5 2 3 2 2" xfId="5914"/>
    <cellStyle name="Normal 7 5 2 3 2 2 2" xfId="22014"/>
    <cellStyle name="Normal 7 5 2 3 2 2 2 2" xfId="44601"/>
    <cellStyle name="Normal 7 5 2 3 2 2 3" xfId="12354"/>
    <cellStyle name="Normal 7 5 2 3 2 2 3 2" xfId="34941"/>
    <cellStyle name="Normal 7 5 2 3 2 2 4" xfId="28501"/>
    <cellStyle name="Normal 7 5 2 3 2 3" xfId="18794"/>
    <cellStyle name="Normal 7 5 2 3 2 3 2" xfId="41381"/>
    <cellStyle name="Normal 7 5 2 3 2 4" xfId="15574"/>
    <cellStyle name="Normal 7 5 2 3 2 4 2" xfId="38161"/>
    <cellStyle name="Normal 7 5 2 3 2 5" xfId="9134"/>
    <cellStyle name="Normal 7 5 2 3 2 5 2" xfId="31721"/>
    <cellStyle name="Normal 7 5 2 3 2 6" xfId="25281"/>
    <cellStyle name="Normal 7 5 2 3 3" xfId="4606"/>
    <cellStyle name="Normal 7 5 2 3 3 2" xfId="20706"/>
    <cellStyle name="Normal 7 5 2 3 3 2 2" xfId="43293"/>
    <cellStyle name="Normal 7 5 2 3 3 3" xfId="11046"/>
    <cellStyle name="Normal 7 5 2 3 3 3 2" xfId="33633"/>
    <cellStyle name="Normal 7 5 2 3 3 4" xfId="27193"/>
    <cellStyle name="Normal 7 5 2 3 4" xfId="17486"/>
    <cellStyle name="Normal 7 5 2 3 4 2" xfId="40073"/>
    <cellStyle name="Normal 7 5 2 3 5" xfId="14266"/>
    <cellStyle name="Normal 7 5 2 3 5 2" xfId="36853"/>
    <cellStyle name="Normal 7 5 2 3 6" xfId="7826"/>
    <cellStyle name="Normal 7 5 2 3 6 2" xfId="30413"/>
    <cellStyle name="Normal 7 5 2 3 7" xfId="23973"/>
    <cellStyle name="Normal 7 5 2 4" xfId="1719"/>
    <cellStyle name="Normal 7 5 2 4 2" xfId="4942"/>
    <cellStyle name="Normal 7 5 2 4 2 2" xfId="21042"/>
    <cellStyle name="Normal 7 5 2 4 2 2 2" xfId="43629"/>
    <cellStyle name="Normal 7 5 2 4 2 3" xfId="11382"/>
    <cellStyle name="Normal 7 5 2 4 2 3 2" xfId="33969"/>
    <cellStyle name="Normal 7 5 2 4 2 4" xfId="27529"/>
    <cellStyle name="Normal 7 5 2 4 3" xfId="17822"/>
    <cellStyle name="Normal 7 5 2 4 3 2" xfId="40409"/>
    <cellStyle name="Normal 7 5 2 4 4" xfId="14602"/>
    <cellStyle name="Normal 7 5 2 4 4 2" xfId="37189"/>
    <cellStyle name="Normal 7 5 2 4 5" xfId="8162"/>
    <cellStyle name="Normal 7 5 2 4 5 2" xfId="30749"/>
    <cellStyle name="Normal 7 5 2 4 6" xfId="24309"/>
    <cellStyle name="Normal 7 5 2 5" xfId="1998"/>
    <cellStyle name="Normal 7 5 2 5 2" xfId="5220"/>
    <cellStyle name="Normal 7 5 2 5 2 2" xfId="21320"/>
    <cellStyle name="Normal 7 5 2 5 2 2 2" xfId="43907"/>
    <cellStyle name="Normal 7 5 2 5 2 3" xfId="11660"/>
    <cellStyle name="Normal 7 5 2 5 2 3 2" xfId="34247"/>
    <cellStyle name="Normal 7 5 2 5 2 4" xfId="27807"/>
    <cellStyle name="Normal 7 5 2 5 3" xfId="18100"/>
    <cellStyle name="Normal 7 5 2 5 3 2" xfId="40687"/>
    <cellStyle name="Normal 7 5 2 5 4" xfId="14880"/>
    <cellStyle name="Normal 7 5 2 5 4 2" xfId="37467"/>
    <cellStyle name="Normal 7 5 2 5 5" xfId="8440"/>
    <cellStyle name="Normal 7 5 2 5 5 2" xfId="31027"/>
    <cellStyle name="Normal 7 5 2 5 6" xfId="24587"/>
    <cellStyle name="Normal 7 5 2 6" xfId="3027"/>
    <cellStyle name="Normal 7 5 2 6 2" xfId="6247"/>
    <cellStyle name="Normal 7 5 2 6 2 2" xfId="22347"/>
    <cellStyle name="Normal 7 5 2 6 2 2 2" xfId="44934"/>
    <cellStyle name="Normal 7 5 2 6 2 3" xfId="12687"/>
    <cellStyle name="Normal 7 5 2 6 2 3 2" xfId="35274"/>
    <cellStyle name="Normal 7 5 2 6 2 4" xfId="28834"/>
    <cellStyle name="Normal 7 5 2 6 3" xfId="19127"/>
    <cellStyle name="Normal 7 5 2 6 3 2" xfId="41714"/>
    <cellStyle name="Normal 7 5 2 6 4" xfId="15907"/>
    <cellStyle name="Normal 7 5 2 6 4 2" xfId="38494"/>
    <cellStyle name="Normal 7 5 2 6 5" xfId="9467"/>
    <cellStyle name="Normal 7 5 2 6 5 2" xfId="32054"/>
    <cellStyle name="Normal 7 5 2 6 6" xfId="25614"/>
    <cellStyle name="Normal 7 5 2 7" xfId="3317"/>
    <cellStyle name="Normal 7 5 2 7 2" xfId="6537"/>
    <cellStyle name="Normal 7 5 2 7 2 2" xfId="22637"/>
    <cellStyle name="Normal 7 5 2 7 2 2 2" xfId="45224"/>
    <cellStyle name="Normal 7 5 2 7 2 3" xfId="12977"/>
    <cellStyle name="Normal 7 5 2 7 2 3 2" xfId="35564"/>
    <cellStyle name="Normal 7 5 2 7 2 4" xfId="29124"/>
    <cellStyle name="Normal 7 5 2 7 3" xfId="19417"/>
    <cellStyle name="Normal 7 5 2 7 3 2" xfId="42004"/>
    <cellStyle name="Normal 7 5 2 7 4" xfId="16197"/>
    <cellStyle name="Normal 7 5 2 7 4 2" xfId="38784"/>
    <cellStyle name="Normal 7 5 2 7 5" xfId="9757"/>
    <cellStyle name="Normal 7 5 2 7 5 2" xfId="32344"/>
    <cellStyle name="Normal 7 5 2 7 6" xfId="25904"/>
    <cellStyle name="Normal 7 5 2 8" xfId="668"/>
    <cellStyle name="Normal 7 5 2 8 2" xfId="3912"/>
    <cellStyle name="Normal 7 5 2 8 2 2" xfId="20012"/>
    <cellStyle name="Normal 7 5 2 8 2 2 2" xfId="42599"/>
    <cellStyle name="Normal 7 5 2 8 2 3" xfId="10352"/>
    <cellStyle name="Normal 7 5 2 8 2 3 2" xfId="32939"/>
    <cellStyle name="Normal 7 5 2 8 2 4" xfId="26499"/>
    <cellStyle name="Normal 7 5 2 8 3" xfId="16792"/>
    <cellStyle name="Normal 7 5 2 8 3 2" xfId="39379"/>
    <cellStyle name="Normal 7 5 2 8 4" xfId="13572"/>
    <cellStyle name="Normal 7 5 2 8 4 2" xfId="36159"/>
    <cellStyle name="Normal 7 5 2 8 5" xfId="7132"/>
    <cellStyle name="Normal 7 5 2 8 5 2" xfId="29719"/>
    <cellStyle name="Normal 7 5 2 8 6" xfId="23279"/>
    <cellStyle name="Normal 7 5 2 9" xfId="3607"/>
    <cellStyle name="Normal 7 5 2 9 2" xfId="19707"/>
    <cellStyle name="Normal 7 5 2 9 2 2" xfId="42294"/>
    <cellStyle name="Normal 7 5 2 9 3" xfId="10047"/>
    <cellStyle name="Normal 7 5 2 9 3 2" xfId="32634"/>
    <cellStyle name="Normal 7 5 2 9 4" xfId="26194"/>
    <cellStyle name="Normal 7 5 3" xfId="416"/>
    <cellStyle name="Normal 7 5 3 10" xfId="16583"/>
    <cellStyle name="Normal 7 5 3 10 2" xfId="39170"/>
    <cellStyle name="Normal 7 5 3 11" xfId="13363"/>
    <cellStyle name="Normal 7 5 3 11 2" xfId="35950"/>
    <cellStyle name="Normal 7 5 3 12" xfId="6923"/>
    <cellStyle name="Normal 7 5 3 12 2" xfId="29510"/>
    <cellStyle name="Normal 7 5 3 13" xfId="23070"/>
    <cellStyle name="Normal 7 5 3 2" xfId="1116"/>
    <cellStyle name="Normal 7 5 3 2 2" xfId="2430"/>
    <cellStyle name="Normal 7 5 3 2 2 2" xfId="5651"/>
    <cellStyle name="Normal 7 5 3 2 2 2 2" xfId="21751"/>
    <cellStyle name="Normal 7 5 3 2 2 2 2 2" xfId="44338"/>
    <cellStyle name="Normal 7 5 3 2 2 2 3" xfId="12091"/>
    <cellStyle name="Normal 7 5 3 2 2 2 3 2" xfId="34678"/>
    <cellStyle name="Normal 7 5 3 2 2 2 4" xfId="28238"/>
    <cellStyle name="Normal 7 5 3 2 2 3" xfId="18531"/>
    <cellStyle name="Normal 7 5 3 2 2 3 2" xfId="41118"/>
    <cellStyle name="Normal 7 5 3 2 2 4" xfId="15311"/>
    <cellStyle name="Normal 7 5 3 2 2 4 2" xfId="37898"/>
    <cellStyle name="Normal 7 5 3 2 2 5" xfId="8871"/>
    <cellStyle name="Normal 7 5 3 2 2 5 2" xfId="31458"/>
    <cellStyle name="Normal 7 5 3 2 2 6" xfId="25018"/>
    <cellStyle name="Normal 7 5 3 2 3" xfId="4343"/>
    <cellStyle name="Normal 7 5 3 2 3 2" xfId="20443"/>
    <cellStyle name="Normal 7 5 3 2 3 2 2" xfId="43030"/>
    <cellStyle name="Normal 7 5 3 2 3 3" xfId="10783"/>
    <cellStyle name="Normal 7 5 3 2 3 3 2" xfId="33370"/>
    <cellStyle name="Normal 7 5 3 2 3 4" xfId="26930"/>
    <cellStyle name="Normal 7 5 3 2 4" xfId="17223"/>
    <cellStyle name="Normal 7 5 3 2 4 2" xfId="39810"/>
    <cellStyle name="Normal 7 5 3 2 5" xfId="14003"/>
    <cellStyle name="Normal 7 5 3 2 5 2" xfId="36590"/>
    <cellStyle name="Normal 7 5 3 2 6" xfId="7563"/>
    <cellStyle name="Normal 7 5 3 2 6 2" xfId="30150"/>
    <cellStyle name="Normal 7 5 3 2 7" xfId="23710"/>
    <cellStyle name="Normal 7 5 3 3" xfId="1463"/>
    <cellStyle name="Normal 7 5 3 3 2" xfId="2777"/>
    <cellStyle name="Normal 7 5 3 3 2 2" xfId="5998"/>
    <cellStyle name="Normal 7 5 3 3 2 2 2" xfId="22098"/>
    <cellStyle name="Normal 7 5 3 3 2 2 2 2" xfId="44685"/>
    <cellStyle name="Normal 7 5 3 3 2 2 3" xfId="12438"/>
    <cellStyle name="Normal 7 5 3 3 2 2 3 2" xfId="35025"/>
    <cellStyle name="Normal 7 5 3 3 2 2 4" xfId="28585"/>
    <cellStyle name="Normal 7 5 3 3 2 3" xfId="18878"/>
    <cellStyle name="Normal 7 5 3 3 2 3 2" xfId="41465"/>
    <cellStyle name="Normal 7 5 3 3 2 4" xfId="15658"/>
    <cellStyle name="Normal 7 5 3 3 2 4 2" xfId="38245"/>
    <cellStyle name="Normal 7 5 3 3 2 5" xfId="9218"/>
    <cellStyle name="Normal 7 5 3 3 2 5 2" xfId="31805"/>
    <cellStyle name="Normal 7 5 3 3 2 6" xfId="25365"/>
    <cellStyle name="Normal 7 5 3 3 3" xfId="4690"/>
    <cellStyle name="Normal 7 5 3 3 3 2" xfId="20790"/>
    <cellStyle name="Normal 7 5 3 3 3 2 2" xfId="43377"/>
    <cellStyle name="Normal 7 5 3 3 3 3" xfId="11130"/>
    <cellStyle name="Normal 7 5 3 3 3 3 2" xfId="33717"/>
    <cellStyle name="Normal 7 5 3 3 3 4" xfId="27277"/>
    <cellStyle name="Normal 7 5 3 3 4" xfId="17570"/>
    <cellStyle name="Normal 7 5 3 3 4 2" xfId="40157"/>
    <cellStyle name="Normal 7 5 3 3 5" xfId="14350"/>
    <cellStyle name="Normal 7 5 3 3 5 2" xfId="36937"/>
    <cellStyle name="Normal 7 5 3 3 6" xfId="7910"/>
    <cellStyle name="Normal 7 5 3 3 6 2" xfId="30497"/>
    <cellStyle name="Normal 7 5 3 3 7" xfId="24057"/>
    <cellStyle name="Normal 7 5 3 4" xfId="1720"/>
    <cellStyle name="Normal 7 5 3 4 2" xfId="4943"/>
    <cellStyle name="Normal 7 5 3 4 2 2" xfId="21043"/>
    <cellStyle name="Normal 7 5 3 4 2 2 2" xfId="43630"/>
    <cellStyle name="Normal 7 5 3 4 2 3" xfId="11383"/>
    <cellStyle name="Normal 7 5 3 4 2 3 2" xfId="33970"/>
    <cellStyle name="Normal 7 5 3 4 2 4" xfId="27530"/>
    <cellStyle name="Normal 7 5 3 4 3" xfId="17823"/>
    <cellStyle name="Normal 7 5 3 4 3 2" xfId="40410"/>
    <cellStyle name="Normal 7 5 3 4 4" xfId="14603"/>
    <cellStyle name="Normal 7 5 3 4 4 2" xfId="37190"/>
    <cellStyle name="Normal 7 5 3 4 5" xfId="8163"/>
    <cellStyle name="Normal 7 5 3 4 5 2" xfId="30750"/>
    <cellStyle name="Normal 7 5 3 4 6" xfId="24310"/>
    <cellStyle name="Normal 7 5 3 5" xfId="2083"/>
    <cellStyle name="Normal 7 5 3 5 2" xfId="5304"/>
    <cellStyle name="Normal 7 5 3 5 2 2" xfId="21404"/>
    <cellStyle name="Normal 7 5 3 5 2 2 2" xfId="43991"/>
    <cellStyle name="Normal 7 5 3 5 2 3" xfId="11744"/>
    <cellStyle name="Normal 7 5 3 5 2 3 2" xfId="34331"/>
    <cellStyle name="Normal 7 5 3 5 2 4" xfId="27891"/>
    <cellStyle name="Normal 7 5 3 5 3" xfId="18184"/>
    <cellStyle name="Normal 7 5 3 5 3 2" xfId="40771"/>
    <cellStyle name="Normal 7 5 3 5 4" xfId="14964"/>
    <cellStyle name="Normal 7 5 3 5 4 2" xfId="37551"/>
    <cellStyle name="Normal 7 5 3 5 5" xfId="8524"/>
    <cellStyle name="Normal 7 5 3 5 5 2" xfId="31111"/>
    <cellStyle name="Normal 7 5 3 5 6" xfId="24671"/>
    <cellStyle name="Normal 7 5 3 6" xfId="3123"/>
    <cellStyle name="Normal 7 5 3 6 2" xfId="6343"/>
    <cellStyle name="Normal 7 5 3 6 2 2" xfId="22443"/>
    <cellStyle name="Normal 7 5 3 6 2 2 2" xfId="45030"/>
    <cellStyle name="Normal 7 5 3 6 2 3" xfId="12783"/>
    <cellStyle name="Normal 7 5 3 6 2 3 2" xfId="35370"/>
    <cellStyle name="Normal 7 5 3 6 2 4" xfId="28930"/>
    <cellStyle name="Normal 7 5 3 6 3" xfId="19223"/>
    <cellStyle name="Normal 7 5 3 6 3 2" xfId="41810"/>
    <cellStyle name="Normal 7 5 3 6 4" xfId="16003"/>
    <cellStyle name="Normal 7 5 3 6 4 2" xfId="38590"/>
    <cellStyle name="Normal 7 5 3 6 5" xfId="9563"/>
    <cellStyle name="Normal 7 5 3 6 5 2" xfId="32150"/>
    <cellStyle name="Normal 7 5 3 6 6" xfId="25710"/>
    <cellStyle name="Normal 7 5 3 7" xfId="3413"/>
    <cellStyle name="Normal 7 5 3 7 2" xfId="6633"/>
    <cellStyle name="Normal 7 5 3 7 2 2" xfId="22733"/>
    <cellStyle name="Normal 7 5 3 7 2 2 2" xfId="45320"/>
    <cellStyle name="Normal 7 5 3 7 2 3" xfId="13073"/>
    <cellStyle name="Normal 7 5 3 7 2 3 2" xfId="35660"/>
    <cellStyle name="Normal 7 5 3 7 2 4" xfId="29220"/>
    <cellStyle name="Normal 7 5 3 7 3" xfId="19513"/>
    <cellStyle name="Normal 7 5 3 7 3 2" xfId="42100"/>
    <cellStyle name="Normal 7 5 3 7 4" xfId="16293"/>
    <cellStyle name="Normal 7 5 3 7 4 2" xfId="38880"/>
    <cellStyle name="Normal 7 5 3 7 5" xfId="9853"/>
    <cellStyle name="Normal 7 5 3 7 5 2" xfId="32440"/>
    <cellStyle name="Normal 7 5 3 7 6" xfId="26000"/>
    <cellStyle name="Normal 7 5 3 8" xfId="764"/>
    <cellStyle name="Normal 7 5 3 8 2" xfId="3996"/>
    <cellStyle name="Normal 7 5 3 8 2 2" xfId="20096"/>
    <cellStyle name="Normal 7 5 3 8 2 2 2" xfId="42683"/>
    <cellStyle name="Normal 7 5 3 8 2 3" xfId="10436"/>
    <cellStyle name="Normal 7 5 3 8 2 3 2" xfId="33023"/>
    <cellStyle name="Normal 7 5 3 8 2 4" xfId="26583"/>
    <cellStyle name="Normal 7 5 3 8 3" xfId="16876"/>
    <cellStyle name="Normal 7 5 3 8 3 2" xfId="39463"/>
    <cellStyle name="Normal 7 5 3 8 4" xfId="13656"/>
    <cellStyle name="Normal 7 5 3 8 4 2" xfId="36243"/>
    <cellStyle name="Normal 7 5 3 8 5" xfId="7216"/>
    <cellStyle name="Normal 7 5 3 8 5 2" xfId="29803"/>
    <cellStyle name="Normal 7 5 3 8 6" xfId="23363"/>
    <cellStyle name="Normal 7 5 3 9" xfId="3703"/>
    <cellStyle name="Normal 7 5 3 9 2" xfId="19803"/>
    <cellStyle name="Normal 7 5 3 9 2 2" xfId="42390"/>
    <cellStyle name="Normal 7 5 3 9 3" xfId="10143"/>
    <cellStyle name="Normal 7 5 3 9 3 2" xfId="32730"/>
    <cellStyle name="Normal 7 5 3 9 4" xfId="26290"/>
    <cellStyle name="Normal 7 5 4" xfId="911"/>
    <cellStyle name="Normal 7 5 4 2" xfId="2230"/>
    <cellStyle name="Normal 7 5 4 2 2" xfId="5451"/>
    <cellStyle name="Normal 7 5 4 2 2 2" xfId="21551"/>
    <cellStyle name="Normal 7 5 4 2 2 2 2" xfId="44138"/>
    <cellStyle name="Normal 7 5 4 2 2 3" xfId="11891"/>
    <cellStyle name="Normal 7 5 4 2 2 3 2" xfId="34478"/>
    <cellStyle name="Normal 7 5 4 2 2 4" xfId="28038"/>
    <cellStyle name="Normal 7 5 4 2 3" xfId="18331"/>
    <cellStyle name="Normal 7 5 4 2 3 2" xfId="40918"/>
    <cellStyle name="Normal 7 5 4 2 4" xfId="15111"/>
    <cellStyle name="Normal 7 5 4 2 4 2" xfId="37698"/>
    <cellStyle name="Normal 7 5 4 2 5" xfId="8671"/>
    <cellStyle name="Normal 7 5 4 2 5 2" xfId="31258"/>
    <cellStyle name="Normal 7 5 4 2 6" xfId="24818"/>
    <cellStyle name="Normal 7 5 4 3" xfId="4143"/>
    <cellStyle name="Normal 7 5 4 3 2" xfId="20243"/>
    <cellStyle name="Normal 7 5 4 3 2 2" xfId="42830"/>
    <cellStyle name="Normal 7 5 4 3 3" xfId="10583"/>
    <cellStyle name="Normal 7 5 4 3 3 2" xfId="33170"/>
    <cellStyle name="Normal 7 5 4 3 4" xfId="26730"/>
    <cellStyle name="Normal 7 5 4 4" xfId="17023"/>
    <cellStyle name="Normal 7 5 4 4 2" xfId="39610"/>
    <cellStyle name="Normal 7 5 4 5" xfId="13803"/>
    <cellStyle name="Normal 7 5 4 5 2" xfId="36390"/>
    <cellStyle name="Normal 7 5 4 6" xfId="7363"/>
    <cellStyle name="Normal 7 5 4 6 2" xfId="29950"/>
    <cellStyle name="Normal 7 5 4 7" xfId="23510"/>
    <cellStyle name="Normal 7 5 5" xfId="1263"/>
    <cellStyle name="Normal 7 5 5 2" xfId="2577"/>
    <cellStyle name="Normal 7 5 5 2 2" xfId="5798"/>
    <cellStyle name="Normal 7 5 5 2 2 2" xfId="21898"/>
    <cellStyle name="Normal 7 5 5 2 2 2 2" xfId="44485"/>
    <cellStyle name="Normal 7 5 5 2 2 3" xfId="12238"/>
    <cellStyle name="Normal 7 5 5 2 2 3 2" xfId="34825"/>
    <cellStyle name="Normal 7 5 5 2 2 4" xfId="28385"/>
    <cellStyle name="Normal 7 5 5 2 3" xfId="18678"/>
    <cellStyle name="Normal 7 5 5 2 3 2" xfId="41265"/>
    <cellStyle name="Normal 7 5 5 2 4" xfId="15458"/>
    <cellStyle name="Normal 7 5 5 2 4 2" xfId="38045"/>
    <cellStyle name="Normal 7 5 5 2 5" xfId="9018"/>
    <cellStyle name="Normal 7 5 5 2 5 2" xfId="31605"/>
    <cellStyle name="Normal 7 5 5 2 6" xfId="25165"/>
    <cellStyle name="Normal 7 5 5 3" xfId="4490"/>
    <cellStyle name="Normal 7 5 5 3 2" xfId="20590"/>
    <cellStyle name="Normal 7 5 5 3 2 2" xfId="43177"/>
    <cellStyle name="Normal 7 5 5 3 3" xfId="10930"/>
    <cellStyle name="Normal 7 5 5 3 3 2" xfId="33517"/>
    <cellStyle name="Normal 7 5 5 3 4" xfId="27077"/>
    <cellStyle name="Normal 7 5 5 4" xfId="17370"/>
    <cellStyle name="Normal 7 5 5 4 2" xfId="39957"/>
    <cellStyle name="Normal 7 5 5 5" xfId="14150"/>
    <cellStyle name="Normal 7 5 5 5 2" xfId="36737"/>
    <cellStyle name="Normal 7 5 5 6" xfId="7710"/>
    <cellStyle name="Normal 7 5 5 6 2" xfId="30297"/>
    <cellStyle name="Normal 7 5 5 7" xfId="23857"/>
    <cellStyle name="Normal 7 5 6" xfId="1721"/>
    <cellStyle name="Normal 7 5 6 2" xfId="4944"/>
    <cellStyle name="Normal 7 5 6 2 2" xfId="21044"/>
    <cellStyle name="Normal 7 5 6 2 2 2" xfId="43631"/>
    <cellStyle name="Normal 7 5 6 2 3" xfId="11384"/>
    <cellStyle name="Normal 7 5 6 2 3 2" xfId="33971"/>
    <cellStyle name="Normal 7 5 6 2 4" xfId="27531"/>
    <cellStyle name="Normal 7 5 6 3" xfId="17824"/>
    <cellStyle name="Normal 7 5 6 3 2" xfId="40411"/>
    <cellStyle name="Normal 7 5 6 4" xfId="14604"/>
    <cellStyle name="Normal 7 5 6 4 2" xfId="37191"/>
    <cellStyle name="Normal 7 5 6 5" xfId="8164"/>
    <cellStyle name="Normal 7 5 6 5 2" xfId="30751"/>
    <cellStyle name="Normal 7 5 6 6" xfId="24311"/>
    <cellStyle name="Normal 7 5 7" xfId="1882"/>
    <cellStyle name="Normal 7 5 7 2" xfId="5104"/>
    <cellStyle name="Normal 7 5 7 2 2" xfId="21204"/>
    <cellStyle name="Normal 7 5 7 2 2 2" xfId="43791"/>
    <cellStyle name="Normal 7 5 7 2 3" xfId="11544"/>
    <cellStyle name="Normal 7 5 7 2 3 2" xfId="34131"/>
    <cellStyle name="Normal 7 5 7 2 4" xfId="27691"/>
    <cellStyle name="Normal 7 5 7 3" xfId="17984"/>
    <cellStyle name="Normal 7 5 7 3 2" xfId="40571"/>
    <cellStyle name="Normal 7 5 7 4" xfId="14764"/>
    <cellStyle name="Normal 7 5 7 4 2" xfId="37351"/>
    <cellStyle name="Normal 7 5 7 5" xfId="8324"/>
    <cellStyle name="Normal 7 5 7 5 2" xfId="30911"/>
    <cellStyle name="Normal 7 5 7 6" xfId="24471"/>
    <cellStyle name="Normal 7 5 8" xfId="2929"/>
    <cellStyle name="Normal 7 5 8 2" xfId="6150"/>
    <cellStyle name="Normal 7 5 8 2 2" xfId="22250"/>
    <cellStyle name="Normal 7 5 8 2 2 2" xfId="44837"/>
    <cellStyle name="Normal 7 5 8 2 3" xfId="12590"/>
    <cellStyle name="Normal 7 5 8 2 3 2" xfId="35177"/>
    <cellStyle name="Normal 7 5 8 2 4" xfId="28737"/>
    <cellStyle name="Normal 7 5 8 3" xfId="19030"/>
    <cellStyle name="Normal 7 5 8 3 2" xfId="41617"/>
    <cellStyle name="Normal 7 5 8 4" xfId="15810"/>
    <cellStyle name="Normal 7 5 8 4 2" xfId="38397"/>
    <cellStyle name="Normal 7 5 8 5" xfId="9370"/>
    <cellStyle name="Normal 7 5 8 5 2" xfId="31957"/>
    <cellStyle name="Normal 7 5 8 6" xfId="25517"/>
    <cellStyle name="Normal 7 5 9" xfId="3220"/>
    <cellStyle name="Normal 7 5 9 2" xfId="6440"/>
    <cellStyle name="Normal 7 5 9 2 2" xfId="22540"/>
    <cellStyle name="Normal 7 5 9 2 2 2" xfId="45127"/>
    <cellStyle name="Normal 7 5 9 2 3" xfId="12880"/>
    <cellStyle name="Normal 7 5 9 2 3 2" xfId="35467"/>
    <cellStyle name="Normal 7 5 9 2 4" xfId="29027"/>
    <cellStyle name="Normal 7 5 9 3" xfId="19320"/>
    <cellStyle name="Normal 7 5 9 3 2" xfId="41907"/>
    <cellStyle name="Normal 7 5 9 4" xfId="16100"/>
    <cellStyle name="Normal 7 5 9 4 2" xfId="38687"/>
    <cellStyle name="Normal 7 5 9 5" xfId="9660"/>
    <cellStyle name="Normal 7 5 9 5 2" xfId="32247"/>
    <cellStyle name="Normal 7 5 9 6" xfId="25807"/>
    <cellStyle name="Normal 7 6" xfId="241"/>
    <cellStyle name="Normal 7 6 10" xfId="16409"/>
    <cellStyle name="Normal 7 6 10 2" xfId="38996"/>
    <cellStyle name="Normal 7 6 11" xfId="13189"/>
    <cellStyle name="Normal 7 6 11 2" xfId="35776"/>
    <cellStyle name="Normal 7 6 12" xfId="6749"/>
    <cellStyle name="Normal 7 6 12 2" xfId="29336"/>
    <cellStyle name="Normal 7 6 13" xfId="22896"/>
    <cellStyle name="Normal 7 6 2" xfId="960"/>
    <cellStyle name="Normal 7 6 2 2" xfId="1722"/>
    <cellStyle name="Normal 7 6 2 2 2" xfId="4945"/>
    <cellStyle name="Normal 7 6 2 2 2 2" xfId="21045"/>
    <cellStyle name="Normal 7 6 2 2 2 2 2" xfId="43632"/>
    <cellStyle name="Normal 7 6 2 2 2 3" xfId="11385"/>
    <cellStyle name="Normal 7 6 2 2 2 3 2" xfId="33972"/>
    <cellStyle name="Normal 7 6 2 2 2 4" xfId="27532"/>
    <cellStyle name="Normal 7 6 2 2 3" xfId="17825"/>
    <cellStyle name="Normal 7 6 2 2 3 2" xfId="40412"/>
    <cellStyle name="Normal 7 6 2 2 4" xfId="14605"/>
    <cellStyle name="Normal 7 6 2 2 4 2" xfId="37192"/>
    <cellStyle name="Normal 7 6 2 2 5" xfId="8165"/>
    <cellStyle name="Normal 7 6 2 2 5 2" xfId="30752"/>
    <cellStyle name="Normal 7 6 2 2 6" xfId="24312"/>
    <cellStyle name="Normal 7 6 2 3" xfId="2279"/>
    <cellStyle name="Normal 7 6 2 3 2" xfId="5500"/>
    <cellStyle name="Normal 7 6 2 3 2 2" xfId="21600"/>
    <cellStyle name="Normal 7 6 2 3 2 2 2" xfId="44187"/>
    <cellStyle name="Normal 7 6 2 3 2 3" xfId="11940"/>
    <cellStyle name="Normal 7 6 2 3 2 3 2" xfId="34527"/>
    <cellStyle name="Normal 7 6 2 3 2 4" xfId="28087"/>
    <cellStyle name="Normal 7 6 2 3 3" xfId="18380"/>
    <cellStyle name="Normal 7 6 2 3 3 2" xfId="40967"/>
    <cellStyle name="Normal 7 6 2 3 4" xfId="15160"/>
    <cellStyle name="Normal 7 6 2 3 4 2" xfId="37747"/>
    <cellStyle name="Normal 7 6 2 3 5" xfId="8720"/>
    <cellStyle name="Normal 7 6 2 3 5 2" xfId="31307"/>
    <cellStyle name="Normal 7 6 2 3 6" xfId="24867"/>
    <cellStyle name="Normal 7 6 2 4" xfId="4192"/>
    <cellStyle name="Normal 7 6 2 4 2" xfId="20292"/>
    <cellStyle name="Normal 7 6 2 4 2 2" xfId="42879"/>
    <cellStyle name="Normal 7 6 2 4 3" xfId="10632"/>
    <cellStyle name="Normal 7 6 2 4 3 2" xfId="33219"/>
    <cellStyle name="Normal 7 6 2 4 4" xfId="26779"/>
    <cellStyle name="Normal 7 6 2 5" xfId="17072"/>
    <cellStyle name="Normal 7 6 2 5 2" xfId="39659"/>
    <cellStyle name="Normal 7 6 2 6" xfId="13852"/>
    <cellStyle name="Normal 7 6 2 6 2" xfId="36439"/>
    <cellStyle name="Normal 7 6 2 7" xfId="7412"/>
    <cellStyle name="Normal 7 6 2 7 2" xfId="29999"/>
    <cellStyle name="Normal 7 6 2 8" xfId="23559"/>
    <cellStyle name="Normal 7 6 3" xfId="1312"/>
    <cellStyle name="Normal 7 6 3 2" xfId="2626"/>
    <cellStyle name="Normal 7 6 3 2 2" xfId="5847"/>
    <cellStyle name="Normal 7 6 3 2 2 2" xfId="21947"/>
    <cellStyle name="Normal 7 6 3 2 2 2 2" xfId="44534"/>
    <cellStyle name="Normal 7 6 3 2 2 3" xfId="12287"/>
    <cellStyle name="Normal 7 6 3 2 2 3 2" xfId="34874"/>
    <cellStyle name="Normal 7 6 3 2 2 4" xfId="28434"/>
    <cellStyle name="Normal 7 6 3 2 3" xfId="18727"/>
    <cellStyle name="Normal 7 6 3 2 3 2" xfId="41314"/>
    <cellStyle name="Normal 7 6 3 2 4" xfId="15507"/>
    <cellStyle name="Normal 7 6 3 2 4 2" xfId="38094"/>
    <cellStyle name="Normal 7 6 3 2 5" xfId="9067"/>
    <cellStyle name="Normal 7 6 3 2 5 2" xfId="31654"/>
    <cellStyle name="Normal 7 6 3 2 6" xfId="25214"/>
    <cellStyle name="Normal 7 6 3 3" xfId="4539"/>
    <cellStyle name="Normal 7 6 3 3 2" xfId="20639"/>
    <cellStyle name="Normal 7 6 3 3 2 2" xfId="43226"/>
    <cellStyle name="Normal 7 6 3 3 3" xfId="10979"/>
    <cellStyle name="Normal 7 6 3 3 3 2" xfId="33566"/>
    <cellStyle name="Normal 7 6 3 3 4" xfId="27126"/>
    <cellStyle name="Normal 7 6 3 4" xfId="17419"/>
    <cellStyle name="Normal 7 6 3 4 2" xfId="40006"/>
    <cellStyle name="Normal 7 6 3 5" xfId="14199"/>
    <cellStyle name="Normal 7 6 3 5 2" xfId="36786"/>
    <cellStyle name="Normal 7 6 3 6" xfId="7759"/>
    <cellStyle name="Normal 7 6 3 6 2" xfId="30346"/>
    <cellStyle name="Normal 7 6 3 7" xfId="23906"/>
    <cellStyle name="Normal 7 6 4" xfId="1723"/>
    <cellStyle name="Normal 7 6 4 2" xfId="4946"/>
    <cellStyle name="Normal 7 6 4 2 2" xfId="21046"/>
    <cellStyle name="Normal 7 6 4 2 2 2" xfId="43633"/>
    <cellStyle name="Normal 7 6 4 2 3" xfId="11386"/>
    <cellStyle name="Normal 7 6 4 2 3 2" xfId="33973"/>
    <cellStyle name="Normal 7 6 4 2 4" xfId="27533"/>
    <cellStyle name="Normal 7 6 4 3" xfId="17826"/>
    <cellStyle name="Normal 7 6 4 3 2" xfId="40413"/>
    <cellStyle name="Normal 7 6 4 4" xfId="14606"/>
    <cellStyle name="Normal 7 6 4 4 2" xfId="37193"/>
    <cellStyle name="Normal 7 6 4 5" xfId="8166"/>
    <cellStyle name="Normal 7 6 4 5 2" xfId="30753"/>
    <cellStyle name="Normal 7 6 4 6" xfId="24313"/>
    <cellStyle name="Normal 7 6 5" xfId="1931"/>
    <cellStyle name="Normal 7 6 5 2" xfId="5153"/>
    <cellStyle name="Normal 7 6 5 2 2" xfId="21253"/>
    <cellStyle name="Normal 7 6 5 2 2 2" xfId="43840"/>
    <cellStyle name="Normal 7 6 5 2 3" xfId="11593"/>
    <cellStyle name="Normal 7 6 5 2 3 2" xfId="34180"/>
    <cellStyle name="Normal 7 6 5 2 4" xfId="27740"/>
    <cellStyle name="Normal 7 6 5 3" xfId="18033"/>
    <cellStyle name="Normal 7 6 5 3 2" xfId="40620"/>
    <cellStyle name="Normal 7 6 5 4" xfId="14813"/>
    <cellStyle name="Normal 7 6 5 4 2" xfId="37400"/>
    <cellStyle name="Normal 7 6 5 5" xfId="8373"/>
    <cellStyle name="Normal 7 6 5 5 2" xfId="30960"/>
    <cellStyle name="Normal 7 6 5 6" xfId="24520"/>
    <cellStyle name="Normal 7 6 6" xfId="2948"/>
    <cellStyle name="Normal 7 6 6 2" xfId="6169"/>
    <cellStyle name="Normal 7 6 6 2 2" xfId="22269"/>
    <cellStyle name="Normal 7 6 6 2 2 2" xfId="44856"/>
    <cellStyle name="Normal 7 6 6 2 3" xfId="12609"/>
    <cellStyle name="Normal 7 6 6 2 3 2" xfId="35196"/>
    <cellStyle name="Normal 7 6 6 2 4" xfId="28756"/>
    <cellStyle name="Normal 7 6 6 3" xfId="19049"/>
    <cellStyle name="Normal 7 6 6 3 2" xfId="41636"/>
    <cellStyle name="Normal 7 6 6 4" xfId="15829"/>
    <cellStyle name="Normal 7 6 6 4 2" xfId="38416"/>
    <cellStyle name="Normal 7 6 6 5" xfId="9389"/>
    <cellStyle name="Normal 7 6 6 5 2" xfId="31976"/>
    <cellStyle name="Normal 7 6 6 6" xfId="25536"/>
    <cellStyle name="Normal 7 6 7" xfId="3239"/>
    <cellStyle name="Normal 7 6 7 2" xfId="6459"/>
    <cellStyle name="Normal 7 6 7 2 2" xfId="22559"/>
    <cellStyle name="Normal 7 6 7 2 2 2" xfId="45146"/>
    <cellStyle name="Normal 7 6 7 2 3" xfId="12899"/>
    <cellStyle name="Normal 7 6 7 2 3 2" xfId="35486"/>
    <cellStyle name="Normal 7 6 7 2 4" xfId="29046"/>
    <cellStyle name="Normal 7 6 7 3" xfId="19339"/>
    <cellStyle name="Normal 7 6 7 3 2" xfId="41926"/>
    <cellStyle name="Normal 7 6 7 4" xfId="16119"/>
    <cellStyle name="Normal 7 6 7 4 2" xfId="38706"/>
    <cellStyle name="Normal 7 6 7 5" xfId="9679"/>
    <cellStyle name="Normal 7 6 7 5 2" xfId="32266"/>
    <cellStyle name="Normal 7 6 7 6" xfId="25826"/>
    <cellStyle name="Normal 7 6 8" xfId="574"/>
    <cellStyle name="Normal 7 6 8 2" xfId="3845"/>
    <cellStyle name="Normal 7 6 8 2 2" xfId="19945"/>
    <cellStyle name="Normal 7 6 8 2 2 2" xfId="42532"/>
    <cellStyle name="Normal 7 6 8 2 3" xfId="10285"/>
    <cellStyle name="Normal 7 6 8 2 3 2" xfId="32872"/>
    <cellStyle name="Normal 7 6 8 2 4" xfId="26432"/>
    <cellStyle name="Normal 7 6 8 3" xfId="16725"/>
    <cellStyle name="Normal 7 6 8 3 2" xfId="39312"/>
    <cellStyle name="Normal 7 6 8 4" xfId="13505"/>
    <cellStyle name="Normal 7 6 8 4 2" xfId="36092"/>
    <cellStyle name="Normal 7 6 8 5" xfId="7065"/>
    <cellStyle name="Normal 7 6 8 5 2" xfId="29652"/>
    <cellStyle name="Normal 7 6 8 6" xfId="23212"/>
    <cellStyle name="Normal 7 6 9" xfId="3529"/>
    <cellStyle name="Normal 7 6 9 2" xfId="19629"/>
    <cellStyle name="Normal 7 6 9 2 2" xfId="42216"/>
    <cellStyle name="Normal 7 6 9 3" xfId="9969"/>
    <cellStyle name="Normal 7 6 9 3 2" xfId="32556"/>
    <cellStyle name="Normal 7 6 9 4" xfId="26116"/>
    <cellStyle name="Normal 7 7" xfId="339"/>
    <cellStyle name="Normal 7 7 10" xfId="16506"/>
    <cellStyle name="Normal 7 7 10 2" xfId="39093"/>
    <cellStyle name="Normal 7 7 11" xfId="13286"/>
    <cellStyle name="Normal 7 7 11 2" xfId="35873"/>
    <cellStyle name="Normal 7 7 12" xfId="6846"/>
    <cellStyle name="Normal 7 7 12 2" xfId="29433"/>
    <cellStyle name="Normal 7 7 13" xfId="22993"/>
    <cellStyle name="Normal 7 7 2" xfId="1077"/>
    <cellStyle name="Normal 7 7 2 2" xfId="2391"/>
    <cellStyle name="Normal 7 7 2 2 2" xfId="5612"/>
    <cellStyle name="Normal 7 7 2 2 2 2" xfId="21712"/>
    <cellStyle name="Normal 7 7 2 2 2 2 2" xfId="44299"/>
    <cellStyle name="Normal 7 7 2 2 2 3" xfId="12052"/>
    <cellStyle name="Normal 7 7 2 2 2 3 2" xfId="34639"/>
    <cellStyle name="Normal 7 7 2 2 2 4" xfId="28199"/>
    <cellStyle name="Normal 7 7 2 2 3" xfId="18492"/>
    <cellStyle name="Normal 7 7 2 2 3 2" xfId="41079"/>
    <cellStyle name="Normal 7 7 2 2 4" xfId="15272"/>
    <cellStyle name="Normal 7 7 2 2 4 2" xfId="37859"/>
    <cellStyle name="Normal 7 7 2 2 5" xfId="8832"/>
    <cellStyle name="Normal 7 7 2 2 5 2" xfId="31419"/>
    <cellStyle name="Normal 7 7 2 2 6" xfId="24979"/>
    <cellStyle name="Normal 7 7 2 3" xfId="4304"/>
    <cellStyle name="Normal 7 7 2 3 2" xfId="20404"/>
    <cellStyle name="Normal 7 7 2 3 2 2" xfId="42991"/>
    <cellStyle name="Normal 7 7 2 3 3" xfId="10744"/>
    <cellStyle name="Normal 7 7 2 3 3 2" xfId="33331"/>
    <cellStyle name="Normal 7 7 2 3 4" xfId="26891"/>
    <cellStyle name="Normal 7 7 2 4" xfId="17184"/>
    <cellStyle name="Normal 7 7 2 4 2" xfId="39771"/>
    <cellStyle name="Normal 7 7 2 5" xfId="13964"/>
    <cellStyle name="Normal 7 7 2 5 2" xfId="36551"/>
    <cellStyle name="Normal 7 7 2 6" xfId="7524"/>
    <cellStyle name="Normal 7 7 2 6 2" xfId="30111"/>
    <cellStyle name="Normal 7 7 2 7" xfId="23671"/>
    <cellStyle name="Normal 7 7 3" xfId="1424"/>
    <cellStyle name="Normal 7 7 3 2" xfId="2738"/>
    <cellStyle name="Normal 7 7 3 2 2" xfId="5959"/>
    <cellStyle name="Normal 7 7 3 2 2 2" xfId="22059"/>
    <cellStyle name="Normal 7 7 3 2 2 2 2" xfId="44646"/>
    <cellStyle name="Normal 7 7 3 2 2 3" xfId="12399"/>
    <cellStyle name="Normal 7 7 3 2 2 3 2" xfId="34986"/>
    <cellStyle name="Normal 7 7 3 2 2 4" xfId="28546"/>
    <cellStyle name="Normal 7 7 3 2 3" xfId="18839"/>
    <cellStyle name="Normal 7 7 3 2 3 2" xfId="41426"/>
    <cellStyle name="Normal 7 7 3 2 4" xfId="15619"/>
    <cellStyle name="Normal 7 7 3 2 4 2" xfId="38206"/>
    <cellStyle name="Normal 7 7 3 2 5" xfId="9179"/>
    <cellStyle name="Normal 7 7 3 2 5 2" xfId="31766"/>
    <cellStyle name="Normal 7 7 3 2 6" xfId="25326"/>
    <cellStyle name="Normal 7 7 3 3" xfId="4651"/>
    <cellStyle name="Normal 7 7 3 3 2" xfId="20751"/>
    <cellStyle name="Normal 7 7 3 3 2 2" xfId="43338"/>
    <cellStyle name="Normal 7 7 3 3 3" xfId="11091"/>
    <cellStyle name="Normal 7 7 3 3 3 2" xfId="33678"/>
    <cellStyle name="Normal 7 7 3 3 4" xfId="27238"/>
    <cellStyle name="Normal 7 7 3 4" xfId="17531"/>
    <cellStyle name="Normal 7 7 3 4 2" xfId="40118"/>
    <cellStyle name="Normal 7 7 3 5" xfId="14311"/>
    <cellStyle name="Normal 7 7 3 5 2" xfId="36898"/>
    <cellStyle name="Normal 7 7 3 6" xfId="7871"/>
    <cellStyle name="Normal 7 7 3 6 2" xfId="30458"/>
    <cellStyle name="Normal 7 7 3 7" xfId="24018"/>
    <cellStyle name="Normal 7 7 4" xfId="1724"/>
    <cellStyle name="Normal 7 7 4 2" xfId="4947"/>
    <cellStyle name="Normal 7 7 4 2 2" xfId="21047"/>
    <cellStyle name="Normal 7 7 4 2 2 2" xfId="43634"/>
    <cellStyle name="Normal 7 7 4 2 3" xfId="11387"/>
    <cellStyle name="Normal 7 7 4 2 3 2" xfId="33974"/>
    <cellStyle name="Normal 7 7 4 2 4" xfId="27534"/>
    <cellStyle name="Normal 7 7 4 3" xfId="17827"/>
    <cellStyle name="Normal 7 7 4 3 2" xfId="40414"/>
    <cellStyle name="Normal 7 7 4 4" xfId="14607"/>
    <cellStyle name="Normal 7 7 4 4 2" xfId="37194"/>
    <cellStyle name="Normal 7 7 4 5" xfId="8167"/>
    <cellStyle name="Normal 7 7 4 5 2" xfId="30754"/>
    <cellStyle name="Normal 7 7 4 6" xfId="24314"/>
    <cellStyle name="Normal 7 7 5" xfId="2044"/>
    <cellStyle name="Normal 7 7 5 2" xfId="5265"/>
    <cellStyle name="Normal 7 7 5 2 2" xfId="21365"/>
    <cellStyle name="Normal 7 7 5 2 2 2" xfId="43952"/>
    <cellStyle name="Normal 7 7 5 2 3" xfId="11705"/>
    <cellStyle name="Normal 7 7 5 2 3 2" xfId="34292"/>
    <cellStyle name="Normal 7 7 5 2 4" xfId="27852"/>
    <cellStyle name="Normal 7 7 5 3" xfId="18145"/>
    <cellStyle name="Normal 7 7 5 3 2" xfId="40732"/>
    <cellStyle name="Normal 7 7 5 4" xfId="14925"/>
    <cellStyle name="Normal 7 7 5 4 2" xfId="37512"/>
    <cellStyle name="Normal 7 7 5 5" xfId="8485"/>
    <cellStyle name="Normal 7 7 5 5 2" xfId="31072"/>
    <cellStyle name="Normal 7 7 5 6" xfId="24632"/>
    <cellStyle name="Normal 7 7 6" xfId="3046"/>
    <cellStyle name="Normal 7 7 6 2" xfId="6266"/>
    <cellStyle name="Normal 7 7 6 2 2" xfId="22366"/>
    <cellStyle name="Normal 7 7 6 2 2 2" xfId="44953"/>
    <cellStyle name="Normal 7 7 6 2 3" xfId="12706"/>
    <cellStyle name="Normal 7 7 6 2 3 2" xfId="35293"/>
    <cellStyle name="Normal 7 7 6 2 4" xfId="28853"/>
    <cellStyle name="Normal 7 7 6 3" xfId="19146"/>
    <cellStyle name="Normal 7 7 6 3 2" xfId="41733"/>
    <cellStyle name="Normal 7 7 6 4" xfId="15926"/>
    <cellStyle name="Normal 7 7 6 4 2" xfId="38513"/>
    <cellStyle name="Normal 7 7 6 5" xfId="9486"/>
    <cellStyle name="Normal 7 7 6 5 2" xfId="32073"/>
    <cellStyle name="Normal 7 7 6 6" xfId="25633"/>
    <cellStyle name="Normal 7 7 7" xfId="3336"/>
    <cellStyle name="Normal 7 7 7 2" xfId="6556"/>
    <cellStyle name="Normal 7 7 7 2 2" xfId="22656"/>
    <cellStyle name="Normal 7 7 7 2 2 2" xfId="45243"/>
    <cellStyle name="Normal 7 7 7 2 3" xfId="12996"/>
    <cellStyle name="Normal 7 7 7 2 3 2" xfId="35583"/>
    <cellStyle name="Normal 7 7 7 2 4" xfId="29143"/>
    <cellStyle name="Normal 7 7 7 3" xfId="19436"/>
    <cellStyle name="Normal 7 7 7 3 2" xfId="42023"/>
    <cellStyle name="Normal 7 7 7 4" xfId="16216"/>
    <cellStyle name="Normal 7 7 7 4 2" xfId="38803"/>
    <cellStyle name="Normal 7 7 7 5" xfId="9776"/>
    <cellStyle name="Normal 7 7 7 5 2" xfId="32363"/>
    <cellStyle name="Normal 7 7 7 6" xfId="25923"/>
    <cellStyle name="Normal 7 7 8" xfId="725"/>
    <cellStyle name="Normal 7 7 8 2" xfId="3957"/>
    <cellStyle name="Normal 7 7 8 2 2" xfId="20057"/>
    <cellStyle name="Normal 7 7 8 2 2 2" xfId="42644"/>
    <cellStyle name="Normal 7 7 8 2 3" xfId="10397"/>
    <cellStyle name="Normal 7 7 8 2 3 2" xfId="32984"/>
    <cellStyle name="Normal 7 7 8 2 4" xfId="26544"/>
    <cellStyle name="Normal 7 7 8 3" xfId="16837"/>
    <cellStyle name="Normal 7 7 8 3 2" xfId="39424"/>
    <cellStyle name="Normal 7 7 8 4" xfId="13617"/>
    <cellStyle name="Normal 7 7 8 4 2" xfId="36204"/>
    <cellStyle name="Normal 7 7 8 5" xfId="7177"/>
    <cellStyle name="Normal 7 7 8 5 2" xfId="29764"/>
    <cellStyle name="Normal 7 7 8 6" xfId="23324"/>
    <cellStyle name="Normal 7 7 9" xfId="3626"/>
    <cellStyle name="Normal 7 7 9 2" xfId="19726"/>
    <cellStyle name="Normal 7 7 9 2 2" xfId="42313"/>
    <cellStyle name="Normal 7 7 9 3" xfId="10066"/>
    <cellStyle name="Normal 7 7 9 3 2" xfId="32653"/>
    <cellStyle name="Normal 7 7 9 4" xfId="26213"/>
    <cellStyle name="Normal 7 8" xfId="744"/>
    <cellStyle name="Normal 7 8 10" xfId="23343"/>
    <cellStyle name="Normal 7 8 2" xfId="1096"/>
    <cellStyle name="Normal 7 8 2 2" xfId="2410"/>
    <cellStyle name="Normal 7 8 2 2 2" xfId="5631"/>
    <cellStyle name="Normal 7 8 2 2 2 2" xfId="21731"/>
    <cellStyle name="Normal 7 8 2 2 2 2 2" xfId="44318"/>
    <cellStyle name="Normal 7 8 2 2 2 3" xfId="12071"/>
    <cellStyle name="Normal 7 8 2 2 2 3 2" xfId="34658"/>
    <cellStyle name="Normal 7 8 2 2 2 4" xfId="28218"/>
    <cellStyle name="Normal 7 8 2 2 3" xfId="18511"/>
    <cellStyle name="Normal 7 8 2 2 3 2" xfId="41098"/>
    <cellStyle name="Normal 7 8 2 2 4" xfId="15291"/>
    <cellStyle name="Normal 7 8 2 2 4 2" xfId="37878"/>
    <cellStyle name="Normal 7 8 2 2 5" xfId="8851"/>
    <cellStyle name="Normal 7 8 2 2 5 2" xfId="31438"/>
    <cellStyle name="Normal 7 8 2 2 6" xfId="24998"/>
    <cellStyle name="Normal 7 8 2 3" xfId="4323"/>
    <cellStyle name="Normal 7 8 2 3 2" xfId="20423"/>
    <cellStyle name="Normal 7 8 2 3 2 2" xfId="43010"/>
    <cellStyle name="Normal 7 8 2 3 3" xfId="10763"/>
    <cellStyle name="Normal 7 8 2 3 3 2" xfId="33350"/>
    <cellStyle name="Normal 7 8 2 3 4" xfId="26910"/>
    <cellStyle name="Normal 7 8 2 4" xfId="17203"/>
    <cellStyle name="Normal 7 8 2 4 2" xfId="39790"/>
    <cellStyle name="Normal 7 8 2 5" xfId="13983"/>
    <cellStyle name="Normal 7 8 2 5 2" xfId="36570"/>
    <cellStyle name="Normal 7 8 2 6" xfId="7543"/>
    <cellStyle name="Normal 7 8 2 6 2" xfId="30130"/>
    <cellStyle name="Normal 7 8 2 7" xfId="23690"/>
    <cellStyle name="Normal 7 8 3" xfId="1443"/>
    <cellStyle name="Normal 7 8 3 2" xfId="2757"/>
    <cellStyle name="Normal 7 8 3 2 2" xfId="5978"/>
    <cellStyle name="Normal 7 8 3 2 2 2" xfId="22078"/>
    <cellStyle name="Normal 7 8 3 2 2 2 2" xfId="44665"/>
    <cellStyle name="Normal 7 8 3 2 2 3" xfId="12418"/>
    <cellStyle name="Normal 7 8 3 2 2 3 2" xfId="35005"/>
    <cellStyle name="Normal 7 8 3 2 2 4" xfId="28565"/>
    <cellStyle name="Normal 7 8 3 2 3" xfId="18858"/>
    <cellStyle name="Normal 7 8 3 2 3 2" xfId="41445"/>
    <cellStyle name="Normal 7 8 3 2 4" xfId="15638"/>
    <cellStyle name="Normal 7 8 3 2 4 2" xfId="38225"/>
    <cellStyle name="Normal 7 8 3 2 5" xfId="9198"/>
    <cellStyle name="Normal 7 8 3 2 5 2" xfId="31785"/>
    <cellStyle name="Normal 7 8 3 2 6" xfId="25345"/>
    <cellStyle name="Normal 7 8 3 3" xfId="4670"/>
    <cellStyle name="Normal 7 8 3 3 2" xfId="20770"/>
    <cellStyle name="Normal 7 8 3 3 2 2" xfId="43357"/>
    <cellStyle name="Normal 7 8 3 3 3" xfId="11110"/>
    <cellStyle name="Normal 7 8 3 3 3 2" xfId="33697"/>
    <cellStyle name="Normal 7 8 3 3 4" xfId="27257"/>
    <cellStyle name="Normal 7 8 3 4" xfId="17550"/>
    <cellStyle name="Normal 7 8 3 4 2" xfId="40137"/>
    <cellStyle name="Normal 7 8 3 5" xfId="14330"/>
    <cellStyle name="Normal 7 8 3 5 2" xfId="36917"/>
    <cellStyle name="Normal 7 8 3 6" xfId="7890"/>
    <cellStyle name="Normal 7 8 3 6 2" xfId="30477"/>
    <cellStyle name="Normal 7 8 3 7" xfId="24037"/>
    <cellStyle name="Normal 7 8 4" xfId="1725"/>
    <cellStyle name="Normal 7 8 4 2" xfId="4948"/>
    <cellStyle name="Normal 7 8 4 2 2" xfId="21048"/>
    <cellStyle name="Normal 7 8 4 2 2 2" xfId="43635"/>
    <cellStyle name="Normal 7 8 4 2 3" xfId="11388"/>
    <cellStyle name="Normal 7 8 4 2 3 2" xfId="33975"/>
    <cellStyle name="Normal 7 8 4 2 4" xfId="27535"/>
    <cellStyle name="Normal 7 8 4 3" xfId="17828"/>
    <cellStyle name="Normal 7 8 4 3 2" xfId="40415"/>
    <cellStyle name="Normal 7 8 4 4" xfId="14608"/>
    <cellStyle name="Normal 7 8 4 4 2" xfId="37195"/>
    <cellStyle name="Normal 7 8 4 5" xfId="8168"/>
    <cellStyle name="Normal 7 8 4 5 2" xfId="30755"/>
    <cellStyle name="Normal 7 8 4 6" xfId="24315"/>
    <cellStyle name="Normal 7 8 5" xfId="2063"/>
    <cellStyle name="Normal 7 8 5 2" xfId="5284"/>
    <cellStyle name="Normal 7 8 5 2 2" xfId="21384"/>
    <cellStyle name="Normal 7 8 5 2 2 2" xfId="43971"/>
    <cellStyle name="Normal 7 8 5 2 3" xfId="11724"/>
    <cellStyle name="Normal 7 8 5 2 3 2" xfId="34311"/>
    <cellStyle name="Normal 7 8 5 2 4" xfId="27871"/>
    <cellStyle name="Normal 7 8 5 3" xfId="18164"/>
    <cellStyle name="Normal 7 8 5 3 2" xfId="40751"/>
    <cellStyle name="Normal 7 8 5 4" xfId="14944"/>
    <cellStyle name="Normal 7 8 5 4 2" xfId="37531"/>
    <cellStyle name="Normal 7 8 5 5" xfId="8504"/>
    <cellStyle name="Normal 7 8 5 5 2" xfId="31091"/>
    <cellStyle name="Normal 7 8 5 6" xfId="24651"/>
    <cellStyle name="Normal 7 8 6" xfId="3976"/>
    <cellStyle name="Normal 7 8 6 2" xfId="20076"/>
    <cellStyle name="Normal 7 8 6 2 2" xfId="42663"/>
    <cellStyle name="Normal 7 8 6 3" xfId="10416"/>
    <cellStyle name="Normal 7 8 6 3 2" xfId="33003"/>
    <cellStyle name="Normal 7 8 6 4" xfId="26563"/>
    <cellStyle name="Normal 7 8 7" xfId="16856"/>
    <cellStyle name="Normal 7 8 7 2" xfId="39443"/>
    <cellStyle name="Normal 7 8 8" xfId="13636"/>
    <cellStyle name="Normal 7 8 8 2" xfId="36223"/>
    <cellStyle name="Normal 7 8 9" xfId="7196"/>
    <cellStyle name="Normal 7 8 9 2" xfId="29783"/>
    <cellStyle name="Normal 7 9" xfId="838"/>
    <cellStyle name="Normal 7 9 2" xfId="2157"/>
    <cellStyle name="Normal 7 9 2 2" xfId="5378"/>
    <cellStyle name="Normal 7 9 2 2 2" xfId="21478"/>
    <cellStyle name="Normal 7 9 2 2 2 2" xfId="44065"/>
    <cellStyle name="Normal 7 9 2 2 3" xfId="11818"/>
    <cellStyle name="Normal 7 9 2 2 3 2" xfId="34405"/>
    <cellStyle name="Normal 7 9 2 2 4" xfId="27965"/>
    <cellStyle name="Normal 7 9 2 3" xfId="18258"/>
    <cellStyle name="Normal 7 9 2 3 2" xfId="40845"/>
    <cellStyle name="Normal 7 9 2 4" xfId="15038"/>
    <cellStyle name="Normal 7 9 2 4 2" xfId="37625"/>
    <cellStyle name="Normal 7 9 2 5" xfId="8598"/>
    <cellStyle name="Normal 7 9 2 5 2" xfId="31185"/>
    <cellStyle name="Normal 7 9 2 6" xfId="24745"/>
    <cellStyle name="Normal 7 9 3" xfId="4070"/>
    <cellStyle name="Normal 7 9 3 2" xfId="20170"/>
    <cellStyle name="Normal 7 9 3 2 2" xfId="42757"/>
    <cellStyle name="Normal 7 9 3 3" xfId="10510"/>
    <cellStyle name="Normal 7 9 3 3 2" xfId="33097"/>
    <cellStyle name="Normal 7 9 3 4" xfId="26657"/>
    <cellStyle name="Normal 7 9 4" xfId="16950"/>
    <cellStyle name="Normal 7 9 4 2" xfId="39537"/>
    <cellStyle name="Normal 7 9 5" xfId="13730"/>
    <cellStyle name="Normal 7 9 5 2" xfId="36317"/>
    <cellStyle name="Normal 7 9 6" xfId="7290"/>
    <cellStyle name="Normal 7 9 6 2" xfId="29877"/>
    <cellStyle name="Normal 7 9 7" xfId="23437"/>
    <cellStyle name="Normal 8" xfId="97"/>
    <cellStyle name="Normal 8 10" xfId="1726"/>
    <cellStyle name="Normal 8 10 2" xfId="4949"/>
    <cellStyle name="Normal 8 10 2 2" xfId="21049"/>
    <cellStyle name="Normal 8 10 2 2 2" xfId="43636"/>
    <cellStyle name="Normal 8 10 2 3" xfId="11389"/>
    <cellStyle name="Normal 8 10 2 3 2" xfId="33976"/>
    <cellStyle name="Normal 8 10 2 4" xfId="27536"/>
    <cellStyle name="Normal 8 10 3" xfId="17829"/>
    <cellStyle name="Normal 8 10 3 2" xfId="40416"/>
    <cellStyle name="Normal 8 10 4" xfId="14609"/>
    <cellStyle name="Normal 8 10 4 2" xfId="37196"/>
    <cellStyle name="Normal 8 10 5" xfId="8169"/>
    <cellStyle name="Normal 8 10 5 2" xfId="30756"/>
    <cellStyle name="Normal 8 10 6" xfId="24316"/>
    <cellStyle name="Normal 8 11" xfId="1813"/>
    <cellStyle name="Normal 8 11 2" xfId="5035"/>
    <cellStyle name="Normal 8 11 2 2" xfId="21135"/>
    <cellStyle name="Normal 8 11 2 2 2" xfId="43722"/>
    <cellStyle name="Normal 8 11 2 3" xfId="11475"/>
    <cellStyle name="Normal 8 11 2 3 2" xfId="34062"/>
    <cellStyle name="Normal 8 11 2 4" xfId="27622"/>
    <cellStyle name="Normal 8 11 3" xfId="17915"/>
    <cellStyle name="Normal 8 11 3 2" xfId="40502"/>
    <cellStyle name="Normal 8 11 4" xfId="14695"/>
    <cellStyle name="Normal 8 11 4 2" xfId="37282"/>
    <cellStyle name="Normal 8 11 5" xfId="8255"/>
    <cellStyle name="Normal 8 11 5 2" xfId="30842"/>
    <cellStyle name="Normal 8 11 6" xfId="24402"/>
    <cellStyle name="Normal 8 12" xfId="2856"/>
    <cellStyle name="Normal 8 12 2" xfId="6077"/>
    <cellStyle name="Normal 8 12 2 2" xfId="22177"/>
    <cellStyle name="Normal 8 12 2 2 2" xfId="44764"/>
    <cellStyle name="Normal 8 12 2 3" xfId="12517"/>
    <cellStyle name="Normal 8 12 2 3 2" xfId="35104"/>
    <cellStyle name="Normal 8 12 2 4" xfId="28664"/>
    <cellStyle name="Normal 8 12 3" xfId="18957"/>
    <cellStyle name="Normal 8 12 3 2" xfId="41544"/>
    <cellStyle name="Normal 8 12 4" xfId="15737"/>
    <cellStyle name="Normal 8 12 4 2" xfId="38324"/>
    <cellStyle name="Normal 8 12 5" xfId="9297"/>
    <cellStyle name="Normal 8 12 5 2" xfId="31884"/>
    <cellStyle name="Normal 8 12 6" xfId="25444"/>
    <cellStyle name="Normal 8 13" xfId="3147"/>
    <cellStyle name="Normal 8 13 2" xfId="6367"/>
    <cellStyle name="Normal 8 13 2 2" xfId="22467"/>
    <cellStyle name="Normal 8 13 2 2 2" xfId="45054"/>
    <cellStyle name="Normal 8 13 2 3" xfId="12807"/>
    <cellStyle name="Normal 8 13 2 3 2" xfId="35394"/>
    <cellStyle name="Normal 8 13 2 4" xfId="28954"/>
    <cellStyle name="Normal 8 13 3" xfId="19247"/>
    <cellStyle name="Normal 8 13 3 2" xfId="41834"/>
    <cellStyle name="Normal 8 13 4" xfId="16027"/>
    <cellStyle name="Normal 8 13 4 2" xfId="38614"/>
    <cellStyle name="Normal 8 13 5" xfId="9587"/>
    <cellStyle name="Normal 8 13 5 2" xfId="32174"/>
    <cellStyle name="Normal 8 13 6" xfId="25734"/>
    <cellStyle name="Normal 8 14" xfId="440"/>
    <cellStyle name="Normal 8 14 2" xfId="3727"/>
    <cellStyle name="Normal 8 14 2 2" xfId="19827"/>
    <cellStyle name="Normal 8 14 2 2 2" xfId="42414"/>
    <cellStyle name="Normal 8 14 2 3" xfId="10167"/>
    <cellStyle name="Normal 8 14 2 3 2" xfId="32754"/>
    <cellStyle name="Normal 8 14 2 4" xfId="26314"/>
    <cellStyle name="Normal 8 14 3" xfId="16607"/>
    <cellStyle name="Normal 8 14 3 2" xfId="39194"/>
    <cellStyle name="Normal 8 14 4" xfId="13387"/>
    <cellStyle name="Normal 8 14 4 2" xfId="35974"/>
    <cellStyle name="Normal 8 14 5" xfId="6947"/>
    <cellStyle name="Normal 8 14 5 2" xfId="29534"/>
    <cellStyle name="Normal 8 14 6" xfId="23094"/>
    <cellStyle name="Normal 8 15" xfId="3437"/>
    <cellStyle name="Normal 8 15 2" xfId="19537"/>
    <cellStyle name="Normal 8 15 2 2" xfId="42124"/>
    <cellStyle name="Normal 8 15 3" xfId="9877"/>
    <cellStyle name="Normal 8 15 3 2" xfId="32464"/>
    <cellStyle name="Normal 8 15 4" xfId="26024"/>
    <cellStyle name="Normal 8 16" xfId="16317"/>
    <cellStyle name="Normal 8 16 2" xfId="38904"/>
    <cellStyle name="Normal 8 17" xfId="13097"/>
    <cellStyle name="Normal 8 17 2" xfId="35684"/>
    <cellStyle name="Normal 8 18" xfId="6657"/>
    <cellStyle name="Normal 8 18 2" xfId="29244"/>
    <cellStyle name="Normal 8 19" xfId="22804"/>
    <cellStyle name="Normal 8 2" xfId="116"/>
    <cellStyle name="Normal 8 2 10" xfId="2872"/>
    <cellStyle name="Normal 8 2 10 2" xfId="6093"/>
    <cellStyle name="Normal 8 2 10 2 2" xfId="22193"/>
    <cellStyle name="Normal 8 2 10 2 2 2" xfId="44780"/>
    <cellStyle name="Normal 8 2 10 2 3" xfId="12533"/>
    <cellStyle name="Normal 8 2 10 2 3 2" xfId="35120"/>
    <cellStyle name="Normal 8 2 10 2 4" xfId="28680"/>
    <cellStyle name="Normal 8 2 10 3" xfId="18973"/>
    <cellStyle name="Normal 8 2 10 3 2" xfId="41560"/>
    <cellStyle name="Normal 8 2 10 4" xfId="15753"/>
    <cellStyle name="Normal 8 2 10 4 2" xfId="38340"/>
    <cellStyle name="Normal 8 2 10 5" xfId="9313"/>
    <cellStyle name="Normal 8 2 10 5 2" xfId="31900"/>
    <cellStyle name="Normal 8 2 10 6" xfId="25460"/>
    <cellStyle name="Normal 8 2 11" xfId="3163"/>
    <cellStyle name="Normal 8 2 11 2" xfId="6383"/>
    <cellStyle name="Normal 8 2 11 2 2" xfId="22483"/>
    <cellStyle name="Normal 8 2 11 2 2 2" xfId="45070"/>
    <cellStyle name="Normal 8 2 11 2 3" xfId="12823"/>
    <cellStyle name="Normal 8 2 11 2 3 2" xfId="35410"/>
    <cellStyle name="Normal 8 2 11 2 4" xfId="28970"/>
    <cellStyle name="Normal 8 2 11 3" xfId="19263"/>
    <cellStyle name="Normal 8 2 11 3 2" xfId="41850"/>
    <cellStyle name="Normal 8 2 11 4" xfId="16043"/>
    <cellStyle name="Normal 8 2 11 4 2" xfId="38630"/>
    <cellStyle name="Normal 8 2 11 5" xfId="9603"/>
    <cellStyle name="Normal 8 2 11 5 2" xfId="32190"/>
    <cellStyle name="Normal 8 2 11 6" xfId="25750"/>
    <cellStyle name="Normal 8 2 12" xfId="456"/>
    <cellStyle name="Normal 8 2 12 2" xfId="3743"/>
    <cellStyle name="Normal 8 2 12 2 2" xfId="19843"/>
    <cellStyle name="Normal 8 2 12 2 2 2" xfId="42430"/>
    <cellStyle name="Normal 8 2 12 2 3" xfId="10183"/>
    <cellStyle name="Normal 8 2 12 2 3 2" xfId="32770"/>
    <cellStyle name="Normal 8 2 12 2 4" xfId="26330"/>
    <cellStyle name="Normal 8 2 12 3" xfId="16623"/>
    <cellStyle name="Normal 8 2 12 3 2" xfId="39210"/>
    <cellStyle name="Normal 8 2 12 4" xfId="13403"/>
    <cellStyle name="Normal 8 2 12 4 2" xfId="35990"/>
    <cellStyle name="Normal 8 2 12 5" xfId="6963"/>
    <cellStyle name="Normal 8 2 12 5 2" xfId="29550"/>
    <cellStyle name="Normal 8 2 12 6" xfId="23110"/>
    <cellStyle name="Normal 8 2 13" xfId="3453"/>
    <cellStyle name="Normal 8 2 13 2" xfId="19553"/>
    <cellStyle name="Normal 8 2 13 2 2" xfId="42140"/>
    <cellStyle name="Normal 8 2 13 3" xfId="9893"/>
    <cellStyle name="Normal 8 2 13 3 2" xfId="32480"/>
    <cellStyle name="Normal 8 2 13 4" xfId="26040"/>
    <cellStyle name="Normal 8 2 14" xfId="16333"/>
    <cellStyle name="Normal 8 2 14 2" xfId="38920"/>
    <cellStyle name="Normal 8 2 15" xfId="13113"/>
    <cellStyle name="Normal 8 2 15 2" xfId="35700"/>
    <cellStyle name="Normal 8 2 16" xfId="6673"/>
    <cellStyle name="Normal 8 2 16 2" xfId="29260"/>
    <cellStyle name="Normal 8 2 17" xfId="22820"/>
    <cellStyle name="Normal 8 2 2" xfId="201"/>
    <cellStyle name="Normal 8 2 2 10" xfId="493"/>
    <cellStyle name="Normal 8 2 2 10 2" xfId="3780"/>
    <cellStyle name="Normal 8 2 2 10 2 2" xfId="19880"/>
    <cellStyle name="Normal 8 2 2 10 2 2 2" xfId="42467"/>
    <cellStyle name="Normal 8 2 2 10 2 3" xfId="10220"/>
    <cellStyle name="Normal 8 2 2 10 2 3 2" xfId="32807"/>
    <cellStyle name="Normal 8 2 2 10 2 4" xfId="26367"/>
    <cellStyle name="Normal 8 2 2 10 3" xfId="16660"/>
    <cellStyle name="Normal 8 2 2 10 3 2" xfId="39247"/>
    <cellStyle name="Normal 8 2 2 10 4" xfId="13440"/>
    <cellStyle name="Normal 8 2 2 10 4 2" xfId="36027"/>
    <cellStyle name="Normal 8 2 2 10 5" xfId="7000"/>
    <cellStyle name="Normal 8 2 2 10 5 2" xfId="29587"/>
    <cellStyle name="Normal 8 2 2 10 6" xfId="23147"/>
    <cellStyle name="Normal 8 2 2 11" xfId="3490"/>
    <cellStyle name="Normal 8 2 2 11 2" xfId="19590"/>
    <cellStyle name="Normal 8 2 2 11 2 2" xfId="42177"/>
    <cellStyle name="Normal 8 2 2 11 3" xfId="9930"/>
    <cellStyle name="Normal 8 2 2 11 3 2" xfId="32517"/>
    <cellStyle name="Normal 8 2 2 11 4" xfId="26077"/>
    <cellStyle name="Normal 8 2 2 12" xfId="16370"/>
    <cellStyle name="Normal 8 2 2 12 2" xfId="38957"/>
    <cellStyle name="Normal 8 2 2 13" xfId="13150"/>
    <cellStyle name="Normal 8 2 2 13 2" xfId="35737"/>
    <cellStyle name="Normal 8 2 2 14" xfId="6710"/>
    <cellStyle name="Normal 8 2 2 14 2" xfId="29297"/>
    <cellStyle name="Normal 8 2 2 15" xfId="22857"/>
    <cellStyle name="Normal 8 2 2 2" xfId="300"/>
    <cellStyle name="Normal 8 2 2 2 10" xfId="16467"/>
    <cellStyle name="Normal 8 2 2 2 10 2" xfId="39054"/>
    <cellStyle name="Normal 8 2 2 2 11" xfId="13247"/>
    <cellStyle name="Normal 8 2 2 2 11 2" xfId="35834"/>
    <cellStyle name="Normal 8 2 2 2 12" xfId="6807"/>
    <cellStyle name="Normal 8 2 2 2 12 2" xfId="29394"/>
    <cellStyle name="Normal 8 2 2 2 13" xfId="22954"/>
    <cellStyle name="Normal 8 2 2 2 2" xfId="1019"/>
    <cellStyle name="Normal 8 2 2 2 2 2" xfId="2333"/>
    <cellStyle name="Normal 8 2 2 2 2 2 2" xfId="5554"/>
    <cellStyle name="Normal 8 2 2 2 2 2 2 2" xfId="21654"/>
    <cellStyle name="Normal 8 2 2 2 2 2 2 2 2" xfId="44241"/>
    <cellStyle name="Normal 8 2 2 2 2 2 2 3" xfId="11994"/>
    <cellStyle name="Normal 8 2 2 2 2 2 2 3 2" xfId="34581"/>
    <cellStyle name="Normal 8 2 2 2 2 2 2 4" xfId="28141"/>
    <cellStyle name="Normal 8 2 2 2 2 2 3" xfId="18434"/>
    <cellStyle name="Normal 8 2 2 2 2 2 3 2" xfId="41021"/>
    <cellStyle name="Normal 8 2 2 2 2 2 4" xfId="15214"/>
    <cellStyle name="Normal 8 2 2 2 2 2 4 2" xfId="37801"/>
    <cellStyle name="Normal 8 2 2 2 2 2 5" xfId="8774"/>
    <cellStyle name="Normal 8 2 2 2 2 2 5 2" xfId="31361"/>
    <cellStyle name="Normal 8 2 2 2 2 2 6" xfId="24921"/>
    <cellStyle name="Normal 8 2 2 2 2 3" xfId="4246"/>
    <cellStyle name="Normal 8 2 2 2 2 3 2" xfId="20346"/>
    <cellStyle name="Normal 8 2 2 2 2 3 2 2" xfId="42933"/>
    <cellStyle name="Normal 8 2 2 2 2 3 3" xfId="10686"/>
    <cellStyle name="Normal 8 2 2 2 2 3 3 2" xfId="33273"/>
    <cellStyle name="Normal 8 2 2 2 2 3 4" xfId="26833"/>
    <cellStyle name="Normal 8 2 2 2 2 4" xfId="17126"/>
    <cellStyle name="Normal 8 2 2 2 2 4 2" xfId="39713"/>
    <cellStyle name="Normal 8 2 2 2 2 5" xfId="13906"/>
    <cellStyle name="Normal 8 2 2 2 2 5 2" xfId="36493"/>
    <cellStyle name="Normal 8 2 2 2 2 6" xfId="7466"/>
    <cellStyle name="Normal 8 2 2 2 2 6 2" xfId="30053"/>
    <cellStyle name="Normal 8 2 2 2 2 7" xfId="23613"/>
    <cellStyle name="Normal 8 2 2 2 3" xfId="1366"/>
    <cellStyle name="Normal 8 2 2 2 3 2" xfId="2680"/>
    <cellStyle name="Normal 8 2 2 2 3 2 2" xfId="5901"/>
    <cellStyle name="Normal 8 2 2 2 3 2 2 2" xfId="22001"/>
    <cellStyle name="Normal 8 2 2 2 3 2 2 2 2" xfId="44588"/>
    <cellStyle name="Normal 8 2 2 2 3 2 2 3" xfId="12341"/>
    <cellStyle name="Normal 8 2 2 2 3 2 2 3 2" xfId="34928"/>
    <cellStyle name="Normal 8 2 2 2 3 2 2 4" xfId="28488"/>
    <cellStyle name="Normal 8 2 2 2 3 2 3" xfId="18781"/>
    <cellStyle name="Normal 8 2 2 2 3 2 3 2" xfId="41368"/>
    <cellStyle name="Normal 8 2 2 2 3 2 4" xfId="15561"/>
    <cellStyle name="Normal 8 2 2 2 3 2 4 2" xfId="38148"/>
    <cellStyle name="Normal 8 2 2 2 3 2 5" xfId="9121"/>
    <cellStyle name="Normal 8 2 2 2 3 2 5 2" xfId="31708"/>
    <cellStyle name="Normal 8 2 2 2 3 2 6" xfId="25268"/>
    <cellStyle name="Normal 8 2 2 2 3 3" xfId="4593"/>
    <cellStyle name="Normal 8 2 2 2 3 3 2" xfId="20693"/>
    <cellStyle name="Normal 8 2 2 2 3 3 2 2" xfId="43280"/>
    <cellStyle name="Normal 8 2 2 2 3 3 3" xfId="11033"/>
    <cellStyle name="Normal 8 2 2 2 3 3 3 2" xfId="33620"/>
    <cellStyle name="Normal 8 2 2 2 3 3 4" xfId="27180"/>
    <cellStyle name="Normal 8 2 2 2 3 4" xfId="17473"/>
    <cellStyle name="Normal 8 2 2 2 3 4 2" xfId="40060"/>
    <cellStyle name="Normal 8 2 2 2 3 5" xfId="14253"/>
    <cellStyle name="Normal 8 2 2 2 3 5 2" xfId="36840"/>
    <cellStyle name="Normal 8 2 2 2 3 6" xfId="7813"/>
    <cellStyle name="Normal 8 2 2 2 3 6 2" xfId="30400"/>
    <cellStyle name="Normal 8 2 2 2 3 7" xfId="23960"/>
    <cellStyle name="Normal 8 2 2 2 4" xfId="1727"/>
    <cellStyle name="Normal 8 2 2 2 4 2" xfId="4950"/>
    <cellStyle name="Normal 8 2 2 2 4 2 2" xfId="21050"/>
    <cellStyle name="Normal 8 2 2 2 4 2 2 2" xfId="43637"/>
    <cellStyle name="Normal 8 2 2 2 4 2 3" xfId="11390"/>
    <cellStyle name="Normal 8 2 2 2 4 2 3 2" xfId="33977"/>
    <cellStyle name="Normal 8 2 2 2 4 2 4" xfId="27537"/>
    <cellStyle name="Normal 8 2 2 2 4 3" xfId="17830"/>
    <cellStyle name="Normal 8 2 2 2 4 3 2" xfId="40417"/>
    <cellStyle name="Normal 8 2 2 2 4 4" xfId="14610"/>
    <cellStyle name="Normal 8 2 2 2 4 4 2" xfId="37197"/>
    <cellStyle name="Normal 8 2 2 2 4 5" xfId="8170"/>
    <cellStyle name="Normal 8 2 2 2 4 5 2" xfId="30757"/>
    <cellStyle name="Normal 8 2 2 2 4 6" xfId="24317"/>
    <cellStyle name="Normal 8 2 2 2 5" xfId="1985"/>
    <cellStyle name="Normal 8 2 2 2 5 2" xfId="5207"/>
    <cellStyle name="Normal 8 2 2 2 5 2 2" xfId="21307"/>
    <cellStyle name="Normal 8 2 2 2 5 2 2 2" xfId="43894"/>
    <cellStyle name="Normal 8 2 2 2 5 2 3" xfId="11647"/>
    <cellStyle name="Normal 8 2 2 2 5 2 3 2" xfId="34234"/>
    <cellStyle name="Normal 8 2 2 2 5 2 4" xfId="27794"/>
    <cellStyle name="Normal 8 2 2 2 5 3" xfId="18087"/>
    <cellStyle name="Normal 8 2 2 2 5 3 2" xfId="40674"/>
    <cellStyle name="Normal 8 2 2 2 5 4" xfId="14867"/>
    <cellStyle name="Normal 8 2 2 2 5 4 2" xfId="37454"/>
    <cellStyle name="Normal 8 2 2 2 5 5" xfId="8427"/>
    <cellStyle name="Normal 8 2 2 2 5 5 2" xfId="31014"/>
    <cellStyle name="Normal 8 2 2 2 5 6" xfId="24574"/>
    <cellStyle name="Normal 8 2 2 2 6" xfId="3007"/>
    <cellStyle name="Normal 8 2 2 2 6 2" xfId="6227"/>
    <cellStyle name="Normal 8 2 2 2 6 2 2" xfId="22327"/>
    <cellStyle name="Normal 8 2 2 2 6 2 2 2" xfId="44914"/>
    <cellStyle name="Normal 8 2 2 2 6 2 3" xfId="12667"/>
    <cellStyle name="Normal 8 2 2 2 6 2 3 2" xfId="35254"/>
    <cellStyle name="Normal 8 2 2 2 6 2 4" xfId="28814"/>
    <cellStyle name="Normal 8 2 2 2 6 3" xfId="19107"/>
    <cellStyle name="Normal 8 2 2 2 6 3 2" xfId="41694"/>
    <cellStyle name="Normal 8 2 2 2 6 4" xfId="15887"/>
    <cellStyle name="Normal 8 2 2 2 6 4 2" xfId="38474"/>
    <cellStyle name="Normal 8 2 2 2 6 5" xfId="9447"/>
    <cellStyle name="Normal 8 2 2 2 6 5 2" xfId="32034"/>
    <cellStyle name="Normal 8 2 2 2 6 6" xfId="25594"/>
    <cellStyle name="Normal 8 2 2 2 7" xfId="3297"/>
    <cellStyle name="Normal 8 2 2 2 7 2" xfId="6517"/>
    <cellStyle name="Normal 8 2 2 2 7 2 2" xfId="22617"/>
    <cellStyle name="Normal 8 2 2 2 7 2 2 2" xfId="45204"/>
    <cellStyle name="Normal 8 2 2 2 7 2 3" xfId="12957"/>
    <cellStyle name="Normal 8 2 2 2 7 2 3 2" xfId="35544"/>
    <cellStyle name="Normal 8 2 2 2 7 2 4" xfId="29104"/>
    <cellStyle name="Normal 8 2 2 2 7 3" xfId="19397"/>
    <cellStyle name="Normal 8 2 2 2 7 3 2" xfId="41984"/>
    <cellStyle name="Normal 8 2 2 2 7 4" xfId="16177"/>
    <cellStyle name="Normal 8 2 2 2 7 4 2" xfId="38764"/>
    <cellStyle name="Normal 8 2 2 2 7 5" xfId="9737"/>
    <cellStyle name="Normal 8 2 2 2 7 5 2" xfId="32324"/>
    <cellStyle name="Normal 8 2 2 2 7 6" xfId="25884"/>
    <cellStyle name="Normal 8 2 2 2 8" xfId="655"/>
    <cellStyle name="Normal 8 2 2 2 8 2" xfId="3899"/>
    <cellStyle name="Normal 8 2 2 2 8 2 2" xfId="19999"/>
    <cellStyle name="Normal 8 2 2 2 8 2 2 2" xfId="42586"/>
    <cellStyle name="Normal 8 2 2 2 8 2 3" xfId="10339"/>
    <cellStyle name="Normal 8 2 2 2 8 2 3 2" xfId="32926"/>
    <cellStyle name="Normal 8 2 2 2 8 2 4" xfId="26486"/>
    <cellStyle name="Normal 8 2 2 2 8 3" xfId="16779"/>
    <cellStyle name="Normal 8 2 2 2 8 3 2" xfId="39366"/>
    <cellStyle name="Normal 8 2 2 2 8 4" xfId="13559"/>
    <cellStyle name="Normal 8 2 2 2 8 4 2" xfId="36146"/>
    <cellStyle name="Normal 8 2 2 2 8 5" xfId="7119"/>
    <cellStyle name="Normal 8 2 2 2 8 5 2" xfId="29706"/>
    <cellStyle name="Normal 8 2 2 2 8 6" xfId="23266"/>
    <cellStyle name="Normal 8 2 2 2 9" xfId="3587"/>
    <cellStyle name="Normal 8 2 2 2 9 2" xfId="19687"/>
    <cellStyle name="Normal 8 2 2 2 9 2 2" xfId="42274"/>
    <cellStyle name="Normal 8 2 2 2 9 3" xfId="10027"/>
    <cellStyle name="Normal 8 2 2 2 9 3 2" xfId="32614"/>
    <cellStyle name="Normal 8 2 2 2 9 4" xfId="26174"/>
    <cellStyle name="Normal 8 2 2 3" xfId="396"/>
    <cellStyle name="Normal 8 2 2 3 10" xfId="16563"/>
    <cellStyle name="Normal 8 2 2 3 10 2" xfId="39150"/>
    <cellStyle name="Normal 8 2 2 3 11" xfId="13343"/>
    <cellStyle name="Normal 8 2 2 3 11 2" xfId="35930"/>
    <cellStyle name="Normal 8 2 2 3 12" xfId="6903"/>
    <cellStyle name="Normal 8 2 2 3 12 2" xfId="29490"/>
    <cellStyle name="Normal 8 2 2 3 13" xfId="23050"/>
    <cellStyle name="Normal 8 2 2 3 2" xfId="1178"/>
    <cellStyle name="Normal 8 2 2 3 2 2" xfId="2492"/>
    <cellStyle name="Normal 8 2 2 3 2 2 2" xfId="5713"/>
    <cellStyle name="Normal 8 2 2 3 2 2 2 2" xfId="21813"/>
    <cellStyle name="Normal 8 2 2 3 2 2 2 2 2" xfId="44400"/>
    <cellStyle name="Normal 8 2 2 3 2 2 2 3" xfId="12153"/>
    <cellStyle name="Normal 8 2 2 3 2 2 2 3 2" xfId="34740"/>
    <cellStyle name="Normal 8 2 2 3 2 2 2 4" xfId="28300"/>
    <cellStyle name="Normal 8 2 2 3 2 2 3" xfId="18593"/>
    <cellStyle name="Normal 8 2 2 3 2 2 3 2" xfId="41180"/>
    <cellStyle name="Normal 8 2 2 3 2 2 4" xfId="15373"/>
    <cellStyle name="Normal 8 2 2 3 2 2 4 2" xfId="37960"/>
    <cellStyle name="Normal 8 2 2 3 2 2 5" xfId="8933"/>
    <cellStyle name="Normal 8 2 2 3 2 2 5 2" xfId="31520"/>
    <cellStyle name="Normal 8 2 2 3 2 2 6" xfId="25080"/>
    <cellStyle name="Normal 8 2 2 3 2 3" xfId="4405"/>
    <cellStyle name="Normal 8 2 2 3 2 3 2" xfId="20505"/>
    <cellStyle name="Normal 8 2 2 3 2 3 2 2" xfId="43092"/>
    <cellStyle name="Normal 8 2 2 3 2 3 3" xfId="10845"/>
    <cellStyle name="Normal 8 2 2 3 2 3 3 2" xfId="33432"/>
    <cellStyle name="Normal 8 2 2 3 2 3 4" xfId="26992"/>
    <cellStyle name="Normal 8 2 2 3 2 4" xfId="17285"/>
    <cellStyle name="Normal 8 2 2 3 2 4 2" xfId="39872"/>
    <cellStyle name="Normal 8 2 2 3 2 5" xfId="14065"/>
    <cellStyle name="Normal 8 2 2 3 2 5 2" xfId="36652"/>
    <cellStyle name="Normal 8 2 2 3 2 6" xfId="7625"/>
    <cellStyle name="Normal 8 2 2 3 2 6 2" xfId="30212"/>
    <cellStyle name="Normal 8 2 2 3 2 7" xfId="23772"/>
    <cellStyle name="Normal 8 2 2 3 3" xfId="1525"/>
    <cellStyle name="Normal 8 2 2 3 3 2" xfId="2839"/>
    <cellStyle name="Normal 8 2 2 3 3 2 2" xfId="6060"/>
    <cellStyle name="Normal 8 2 2 3 3 2 2 2" xfId="22160"/>
    <cellStyle name="Normal 8 2 2 3 3 2 2 2 2" xfId="44747"/>
    <cellStyle name="Normal 8 2 2 3 3 2 2 3" xfId="12500"/>
    <cellStyle name="Normal 8 2 2 3 3 2 2 3 2" xfId="35087"/>
    <cellStyle name="Normal 8 2 2 3 3 2 2 4" xfId="28647"/>
    <cellStyle name="Normal 8 2 2 3 3 2 3" xfId="18940"/>
    <cellStyle name="Normal 8 2 2 3 3 2 3 2" xfId="41527"/>
    <cellStyle name="Normal 8 2 2 3 3 2 4" xfId="15720"/>
    <cellStyle name="Normal 8 2 2 3 3 2 4 2" xfId="38307"/>
    <cellStyle name="Normal 8 2 2 3 3 2 5" xfId="9280"/>
    <cellStyle name="Normal 8 2 2 3 3 2 5 2" xfId="31867"/>
    <cellStyle name="Normal 8 2 2 3 3 2 6" xfId="25427"/>
    <cellStyle name="Normal 8 2 2 3 3 3" xfId="4752"/>
    <cellStyle name="Normal 8 2 2 3 3 3 2" xfId="20852"/>
    <cellStyle name="Normal 8 2 2 3 3 3 2 2" xfId="43439"/>
    <cellStyle name="Normal 8 2 2 3 3 3 3" xfId="11192"/>
    <cellStyle name="Normal 8 2 2 3 3 3 3 2" xfId="33779"/>
    <cellStyle name="Normal 8 2 2 3 3 3 4" xfId="27339"/>
    <cellStyle name="Normal 8 2 2 3 3 4" xfId="17632"/>
    <cellStyle name="Normal 8 2 2 3 3 4 2" xfId="40219"/>
    <cellStyle name="Normal 8 2 2 3 3 5" xfId="14412"/>
    <cellStyle name="Normal 8 2 2 3 3 5 2" xfId="36999"/>
    <cellStyle name="Normal 8 2 2 3 3 6" xfId="7972"/>
    <cellStyle name="Normal 8 2 2 3 3 6 2" xfId="30559"/>
    <cellStyle name="Normal 8 2 2 3 3 7" xfId="24119"/>
    <cellStyle name="Normal 8 2 2 3 4" xfId="1728"/>
    <cellStyle name="Normal 8 2 2 3 4 2" xfId="4951"/>
    <cellStyle name="Normal 8 2 2 3 4 2 2" xfId="21051"/>
    <cellStyle name="Normal 8 2 2 3 4 2 2 2" xfId="43638"/>
    <cellStyle name="Normal 8 2 2 3 4 2 3" xfId="11391"/>
    <cellStyle name="Normal 8 2 2 3 4 2 3 2" xfId="33978"/>
    <cellStyle name="Normal 8 2 2 3 4 2 4" xfId="27538"/>
    <cellStyle name="Normal 8 2 2 3 4 3" xfId="17831"/>
    <cellStyle name="Normal 8 2 2 3 4 3 2" xfId="40418"/>
    <cellStyle name="Normal 8 2 2 3 4 4" xfId="14611"/>
    <cellStyle name="Normal 8 2 2 3 4 4 2" xfId="37198"/>
    <cellStyle name="Normal 8 2 2 3 4 5" xfId="8171"/>
    <cellStyle name="Normal 8 2 2 3 4 5 2" xfId="30758"/>
    <cellStyle name="Normal 8 2 2 3 4 6" xfId="24318"/>
    <cellStyle name="Normal 8 2 2 3 5" xfId="2145"/>
    <cellStyle name="Normal 8 2 2 3 5 2" xfId="5366"/>
    <cellStyle name="Normal 8 2 2 3 5 2 2" xfId="21466"/>
    <cellStyle name="Normal 8 2 2 3 5 2 2 2" xfId="44053"/>
    <cellStyle name="Normal 8 2 2 3 5 2 3" xfId="11806"/>
    <cellStyle name="Normal 8 2 2 3 5 2 3 2" xfId="34393"/>
    <cellStyle name="Normal 8 2 2 3 5 2 4" xfId="27953"/>
    <cellStyle name="Normal 8 2 2 3 5 3" xfId="18246"/>
    <cellStyle name="Normal 8 2 2 3 5 3 2" xfId="40833"/>
    <cellStyle name="Normal 8 2 2 3 5 4" xfId="15026"/>
    <cellStyle name="Normal 8 2 2 3 5 4 2" xfId="37613"/>
    <cellStyle name="Normal 8 2 2 3 5 5" xfId="8586"/>
    <cellStyle name="Normal 8 2 2 3 5 5 2" xfId="31173"/>
    <cellStyle name="Normal 8 2 2 3 5 6" xfId="24733"/>
    <cellStyle name="Normal 8 2 2 3 6" xfId="3103"/>
    <cellStyle name="Normal 8 2 2 3 6 2" xfId="6323"/>
    <cellStyle name="Normal 8 2 2 3 6 2 2" xfId="22423"/>
    <cellStyle name="Normal 8 2 2 3 6 2 2 2" xfId="45010"/>
    <cellStyle name="Normal 8 2 2 3 6 2 3" xfId="12763"/>
    <cellStyle name="Normal 8 2 2 3 6 2 3 2" xfId="35350"/>
    <cellStyle name="Normal 8 2 2 3 6 2 4" xfId="28910"/>
    <cellStyle name="Normal 8 2 2 3 6 3" xfId="19203"/>
    <cellStyle name="Normal 8 2 2 3 6 3 2" xfId="41790"/>
    <cellStyle name="Normal 8 2 2 3 6 4" xfId="15983"/>
    <cellStyle name="Normal 8 2 2 3 6 4 2" xfId="38570"/>
    <cellStyle name="Normal 8 2 2 3 6 5" xfId="9543"/>
    <cellStyle name="Normal 8 2 2 3 6 5 2" xfId="32130"/>
    <cellStyle name="Normal 8 2 2 3 6 6" xfId="25690"/>
    <cellStyle name="Normal 8 2 2 3 7" xfId="3393"/>
    <cellStyle name="Normal 8 2 2 3 7 2" xfId="6613"/>
    <cellStyle name="Normal 8 2 2 3 7 2 2" xfId="22713"/>
    <cellStyle name="Normal 8 2 2 3 7 2 2 2" xfId="45300"/>
    <cellStyle name="Normal 8 2 2 3 7 2 3" xfId="13053"/>
    <cellStyle name="Normal 8 2 2 3 7 2 3 2" xfId="35640"/>
    <cellStyle name="Normal 8 2 2 3 7 2 4" xfId="29200"/>
    <cellStyle name="Normal 8 2 2 3 7 3" xfId="19493"/>
    <cellStyle name="Normal 8 2 2 3 7 3 2" xfId="42080"/>
    <cellStyle name="Normal 8 2 2 3 7 4" xfId="16273"/>
    <cellStyle name="Normal 8 2 2 3 7 4 2" xfId="38860"/>
    <cellStyle name="Normal 8 2 2 3 7 5" xfId="9833"/>
    <cellStyle name="Normal 8 2 2 3 7 5 2" xfId="32420"/>
    <cellStyle name="Normal 8 2 2 3 7 6" xfId="25980"/>
    <cellStyle name="Normal 8 2 2 3 8" xfId="826"/>
    <cellStyle name="Normal 8 2 2 3 8 2" xfId="4058"/>
    <cellStyle name="Normal 8 2 2 3 8 2 2" xfId="20158"/>
    <cellStyle name="Normal 8 2 2 3 8 2 2 2" xfId="42745"/>
    <cellStyle name="Normal 8 2 2 3 8 2 3" xfId="10498"/>
    <cellStyle name="Normal 8 2 2 3 8 2 3 2" xfId="33085"/>
    <cellStyle name="Normal 8 2 2 3 8 2 4" xfId="26645"/>
    <cellStyle name="Normal 8 2 2 3 8 3" xfId="16938"/>
    <cellStyle name="Normal 8 2 2 3 8 3 2" xfId="39525"/>
    <cellStyle name="Normal 8 2 2 3 8 4" xfId="13718"/>
    <cellStyle name="Normal 8 2 2 3 8 4 2" xfId="36305"/>
    <cellStyle name="Normal 8 2 2 3 8 5" xfId="7278"/>
    <cellStyle name="Normal 8 2 2 3 8 5 2" xfId="29865"/>
    <cellStyle name="Normal 8 2 2 3 8 6" xfId="23425"/>
    <cellStyle name="Normal 8 2 2 3 9" xfId="3683"/>
    <cellStyle name="Normal 8 2 2 3 9 2" xfId="19783"/>
    <cellStyle name="Normal 8 2 2 3 9 2 2" xfId="42370"/>
    <cellStyle name="Normal 8 2 2 3 9 3" xfId="10123"/>
    <cellStyle name="Normal 8 2 2 3 9 3 2" xfId="32710"/>
    <cellStyle name="Normal 8 2 2 3 9 4" xfId="26270"/>
    <cellStyle name="Normal 8 2 2 4" xfId="895"/>
    <cellStyle name="Normal 8 2 2 4 2" xfId="2214"/>
    <cellStyle name="Normal 8 2 2 4 2 2" xfId="5435"/>
    <cellStyle name="Normal 8 2 2 4 2 2 2" xfId="21535"/>
    <cellStyle name="Normal 8 2 2 4 2 2 2 2" xfId="44122"/>
    <cellStyle name="Normal 8 2 2 4 2 2 3" xfId="11875"/>
    <cellStyle name="Normal 8 2 2 4 2 2 3 2" xfId="34462"/>
    <cellStyle name="Normal 8 2 2 4 2 2 4" xfId="28022"/>
    <cellStyle name="Normal 8 2 2 4 2 3" xfId="18315"/>
    <cellStyle name="Normal 8 2 2 4 2 3 2" xfId="40902"/>
    <cellStyle name="Normal 8 2 2 4 2 4" xfId="15095"/>
    <cellStyle name="Normal 8 2 2 4 2 4 2" xfId="37682"/>
    <cellStyle name="Normal 8 2 2 4 2 5" xfId="8655"/>
    <cellStyle name="Normal 8 2 2 4 2 5 2" xfId="31242"/>
    <cellStyle name="Normal 8 2 2 4 2 6" xfId="24802"/>
    <cellStyle name="Normal 8 2 2 4 3" xfId="4127"/>
    <cellStyle name="Normal 8 2 2 4 3 2" xfId="20227"/>
    <cellStyle name="Normal 8 2 2 4 3 2 2" xfId="42814"/>
    <cellStyle name="Normal 8 2 2 4 3 3" xfId="10567"/>
    <cellStyle name="Normal 8 2 2 4 3 3 2" xfId="33154"/>
    <cellStyle name="Normal 8 2 2 4 3 4" xfId="26714"/>
    <cellStyle name="Normal 8 2 2 4 4" xfId="17007"/>
    <cellStyle name="Normal 8 2 2 4 4 2" xfId="39594"/>
    <cellStyle name="Normal 8 2 2 4 5" xfId="13787"/>
    <cellStyle name="Normal 8 2 2 4 5 2" xfId="36374"/>
    <cellStyle name="Normal 8 2 2 4 6" xfId="7347"/>
    <cellStyle name="Normal 8 2 2 4 6 2" xfId="29934"/>
    <cellStyle name="Normal 8 2 2 4 7" xfId="23494"/>
    <cellStyle name="Normal 8 2 2 5" xfId="1247"/>
    <cellStyle name="Normal 8 2 2 5 2" xfId="2561"/>
    <cellStyle name="Normal 8 2 2 5 2 2" xfId="5782"/>
    <cellStyle name="Normal 8 2 2 5 2 2 2" xfId="21882"/>
    <cellStyle name="Normal 8 2 2 5 2 2 2 2" xfId="44469"/>
    <cellStyle name="Normal 8 2 2 5 2 2 3" xfId="12222"/>
    <cellStyle name="Normal 8 2 2 5 2 2 3 2" xfId="34809"/>
    <cellStyle name="Normal 8 2 2 5 2 2 4" xfId="28369"/>
    <cellStyle name="Normal 8 2 2 5 2 3" xfId="18662"/>
    <cellStyle name="Normal 8 2 2 5 2 3 2" xfId="41249"/>
    <cellStyle name="Normal 8 2 2 5 2 4" xfId="15442"/>
    <cellStyle name="Normal 8 2 2 5 2 4 2" xfId="38029"/>
    <cellStyle name="Normal 8 2 2 5 2 5" xfId="9002"/>
    <cellStyle name="Normal 8 2 2 5 2 5 2" xfId="31589"/>
    <cellStyle name="Normal 8 2 2 5 2 6" xfId="25149"/>
    <cellStyle name="Normal 8 2 2 5 3" xfId="4474"/>
    <cellStyle name="Normal 8 2 2 5 3 2" xfId="20574"/>
    <cellStyle name="Normal 8 2 2 5 3 2 2" xfId="43161"/>
    <cellStyle name="Normal 8 2 2 5 3 3" xfId="10914"/>
    <cellStyle name="Normal 8 2 2 5 3 3 2" xfId="33501"/>
    <cellStyle name="Normal 8 2 2 5 3 4" xfId="27061"/>
    <cellStyle name="Normal 8 2 2 5 4" xfId="17354"/>
    <cellStyle name="Normal 8 2 2 5 4 2" xfId="39941"/>
    <cellStyle name="Normal 8 2 2 5 5" xfId="14134"/>
    <cellStyle name="Normal 8 2 2 5 5 2" xfId="36721"/>
    <cellStyle name="Normal 8 2 2 5 6" xfId="7694"/>
    <cellStyle name="Normal 8 2 2 5 6 2" xfId="30281"/>
    <cellStyle name="Normal 8 2 2 5 7" xfId="23841"/>
    <cellStyle name="Normal 8 2 2 6" xfId="1729"/>
    <cellStyle name="Normal 8 2 2 6 2" xfId="4952"/>
    <cellStyle name="Normal 8 2 2 6 2 2" xfId="21052"/>
    <cellStyle name="Normal 8 2 2 6 2 2 2" xfId="43639"/>
    <cellStyle name="Normal 8 2 2 6 2 3" xfId="11392"/>
    <cellStyle name="Normal 8 2 2 6 2 3 2" xfId="33979"/>
    <cellStyle name="Normal 8 2 2 6 2 4" xfId="27539"/>
    <cellStyle name="Normal 8 2 2 6 3" xfId="17832"/>
    <cellStyle name="Normal 8 2 2 6 3 2" xfId="40419"/>
    <cellStyle name="Normal 8 2 2 6 4" xfId="14612"/>
    <cellStyle name="Normal 8 2 2 6 4 2" xfId="37199"/>
    <cellStyle name="Normal 8 2 2 6 5" xfId="8172"/>
    <cellStyle name="Normal 8 2 2 6 5 2" xfId="30759"/>
    <cellStyle name="Normal 8 2 2 6 6" xfId="24319"/>
    <cellStyle name="Normal 8 2 2 7" xfId="1866"/>
    <cellStyle name="Normal 8 2 2 7 2" xfId="5088"/>
    <cellStyle name="Normal 8 2 2 7 2 2" xfId="21188"/>
    <cellStyle name="Normal 8 2 2 7 2 2 2" xfId="43775"/>
    <cellStyle name="Normal 8 2 2 7 2 3" xfId="11528"/>
    <cellStyle name="Normal 8 2 2 7 2 3 2" xfId="34115"/>
    <cellStyle name="Normal 8 2 2 7 2 4" xfId="27675"/>
    <cellStyle name="Normal 8 2 2 7 3" xfId="17968"/>
    <cellStyle name="Normal 8 2 2 7 3 2" xfId="40555"/>
    <cellStyle name="Normal 8 2 2 7 4" xfId="14748"/>
    <cellStyle name="Normal 8 2 2 7 4 2" xfId="37335"/>
    <cellStyle name="Normal 8 2 2 7 5" xfId="8308"/>
    <cellStyle name="Normal 8 2 2 7 5 2" xfId="30895"/>
    <cellStyle name="Normal 8 2 2 7 6" xfId="24455"/>
    <cellStyle name="Normal 8 2 2 8" xfId="2909"/>
    <cellStyle name="Normal 8 2 2 8 2" xfId="6130"/>
    <cellStyle name="Normal 8 2 2 8 2 2" xfId="22230"/>
    <cellStyle name="Normal 8 2 2 8 2 2 2" xfId="44817"/>
    <cellStyle name="Normal 8 2 2 8 2 3" xfId="12570"/>
    <cellStyle name="Normal 8 2 2 8 2 3 2" xfId="35157"/>
    <cellStyle name="Normal 8 2 2 8 2 4" xfId="28717"/>
    <cellStyle name="Normal 8 2 2 8 3" xfId="19010"/>
    <cellStyle name="Normal 8 2 2 8 3 2" xfId="41597"/>
    <cellStyle name="Normal 8 2 2 8 4" xfId="15790"/>
    <cellStyle name="Normal 8 2 2 8 4 2" xfId="38377"/>
    <cellStyle name="Normal 8 2 2 8 5" xfId="9350"/>
    <cellStyle name="Normal 8 2 2 8 5 2" xfId="31937"/>
    <cellStyle name="Normal 8 2 2 8 6" xfId="25497"/>
    <cellStyle name="Normal 8 2 2 9" xfId="3200"/>
    <cellStyle name="Normal 8 2 2 9 2" xfId="6420"/>
    <cellStyle name="Normal 8 2 2 9 2 2" xfId="22520"/>
    <cellStyle name="Normal 8 2 2 9 2 2 2" xfId="45107"/>
    <cellStyle name="Normal 8 2 2 9 2 3" xfId="12860"/>
    <cellStyle name="Normal 8 2 2 9 2 3 2" xfId="35447"/>
    <cellStyle name="Normal 8 2 2 9 2 4" xfId="29007"/>
    <cellStyle name="Normal 8 2 2 9 3" xfId="19300"/>
    <cellStyle name="Normal 8 2 2 9 3 2" xfId="41887"/>
    <cellStyle name="Normal 8 2 2 9 4" xfId="16080"/>
    <cellStyle name="Normal 8 2 2 9 4 2" xfId="38667"/>
    <cellStyle name="Normal 8 2 2 9 5" xfId="9640"/>
    <cellStyle name="Normal 8 2 2 9 5 2" xfId="32227"/>
    <cellStyle name="Normal 8 2 2 9 6" xfId="25787"/>
    <cellStyle name="Normal 8 2 3" xfId="259"/>
    <cellStyle name="Normal 8 2 3 10" xfId="3546"/>
    <cellStyle name="Normal 8 2 3 10 2" xfId="19646"/>
    <cellStyle name="Normal 8 2 3 10 2 2" xfId="42233"/>
    <cellStyle name="Normal 8 2 3 10 3" xfId="9986"/>
    <cellStyle name="Normal 8 2 3 10 3 2" xfId="32573"/>
    <cellStyle name="Normal 8 2 3 10 4" xfId="26133"/>
    <cellStyle name="Normal 8 2 3 11" xfId="16426"/>
    <cellStyle name="Normal 8 2 3 11 2" xfId="39013"/>
    <cellStyle name="Normal 8 2 3 12" xfId="13206"/>
    <cellStyle name="Normal 8 2 3 12 2" xfId="35793"/>
    <cellStyle name="Normal 8 2 3 13" xfId="6766"/>
    <cellStyle name="Normal 8 2 3 13 2" xfId="29353"/>
    <cellStyle name="Normal 8 2 3 14" xfId="22913"/>
    <cellStyle name="Normal 8 2 3 2" xfId="692"/>
    <cellStyle name="Normal 8 2 3 2 10" xfId="23303"/>
    <cellStyle name="Normal 8 2 3 2 2" xfId="1056"/>
    <cellStyle name="Normal 8 2 3 2 2 2" xfId="2370"/>
    <cellStyle name="Normal 8 2 3 2 2 2 2" xfId="5591"/>
    <cellStyle name="Normal 8 2 3 2 2 2 2 2" xfId="21691"/>
    <cellStyle name="Normal 8 2 3 2 2 2 2 2 2" xfId="44278"/>
    <cellStyle name="Normal 8 2 3 2 2 2 2 3" xfId="12031"/>
    <cellStyle name="Normal 8 2 3 2 2 2 2 3 2" xfId="34618"/>
    <cellStyle name="Normal 8 2 3 2 2 2 2 4" xfId="28178"/>
    <cellStyle name="Normal 8 2 3 2 2 2 3" xfId="18471"/>
    <cellStyle name="Normal 8 2 3 2 2 2 3 2" xfId="41058"/>
    <cellStyle name="Normal 8 2 3 2 2 2 4" xfId="15251"/>
    <cellStyle name="Normal 8 2 3 2 2 2 4 2" xfId="37838"/>
    <cellStyle name="Normal 8 2 3 2 2 2 5" xfId="8811"/>
    <cellStyle name="Normal 8 2 3 2 2 2 5 2" xfId="31398"/>
    <cellStyle name="Normal 8 2 3 2 2 2 6" xfId="24958"/>
    <cellStyle name="Normal 8 2 3 2 2 3" xfId="4283"/>
    <cellStyle name="Normal 8 2 3 2 2 3 2" xfId="20383"/>
    <cellStyle name="Normal 8 2 3 2 2 3 2 2" xfId="42970"/>
    <cellStyle name="Normal 8 2 3 2 2 3 3" xfId="10723"/>
    <cellStyle name="Normal 8 2 3 2 2 3 3 2" xfId="33310"/>
    <cellStyle name="Normal 8 2 3 2 2 3 4" xfId="26870"/>
    <cellStyle name="Normal 8 2 3 2 2 4" xfId="17163"/>
    <cellStyle name="Normal 8 2 3 2 2 4 2" xfId="39750"/>
    <cellStyle name="Normal 8 2 3 2 2 5" xfId="13943"/>
    <cellStyle name="Normal 8 2 3 2 2 5 2" xfId="36530"/>
    <cellStyle name="Normal 8 2 3 2 2 6" xfId="7503"/>
    <cellStyle name="Normal 8 2 3 2 2 6 2" xfId="30090"/>
    <cellStyle name="Normal 8 2 3 2 2 7" xfId="23650"/>
    <cellStyle name="Normal 8 2 3 2 3" xfId="1403"/>
    <cellStyle name="Normal 8 2 3 2 3 2" xfId="2717"/>
    <cellStyle name="Normal 8 2 3 2 3 2 2" xfId="5938"/>
    <cellStyle name="Normal 8 2 3 2 3 2 2 2" xfId="22038"/>
    <cellStyle name="Normal 8 2 3 2 3 2 2 2 2" xfId="44625"/>
    <cellStyle name="Normal 8 2 3 2 3 2 2 3" xfId="12378"/>
    <cellStyle name="Normal 8 2 3 2 3 2 2 3 2" xfId="34965"/>
    <cellStyle name="Normal 8 2 3 2 3 2 2 4" xfId="28525"/>
    <cellStyle name="Normal 8 2 3 2 3 2 3" xfId="18818"/>
    <cellStyle name="Normal 8 2 3 2 3 2 3 2" xfId="41405"/>
    <cellStyle name="Normal 8 2 3 2 3 2 4" xfId="15598"/>
    <cellStyle name="Normal 8 2 3 2 3 2 4 2" xfId="38185"/>
    <cellStyle name="Normal 8 2 3 2 3 2 5" xfId="9158"/>
    <cellStyle name="Normal 8 2 3 2 3 2 5 2" xfId="31745"/>
    <cellStyle name="Normal 8 2 3 2 3 2 6" xfId="25305"/>
    <cellStyle name="Normal 8 2 3 2 3 3" xfId="4630"/>
    <cellStyle name="Normal 8 2 3 2 3 3 2" xfId="20730"/>
    <cellStyle name="Normal 8 2 3 2 3 3 2 2" xfId="43317"/>
    <cellStyle name="Normal 8 2 3 2 3 3 3" xfId="11070"/>
    <cellStyle name="Normal 8 2 3 2 3 3 3 2" xfId="33657"/>
    <cellStyle name="Normal 8 2 3 2 3 3 4" xfId="27217"/>
    <cellStyle name="Normal 8 2 3 2 3 4" xfId="17510"/>
    <cellStyle name="Normal 8 2 3 2 3 4 2" xfId="40097"/>
    <cellStyle name="Normal 8 2 3 2 3 5" xfId="14290"/>
    <cellStyle name="Normal 8 2 3 2 3 5 2" xfId="36877"/>
    <cellStyle name="Normal 8 2 3 2 3 6" xfId="7850"/>
    <cellStyle name="Normal 8 2 3 2 3 6 2" xfId="30437"/>
    <cellStyle name="Normal 8 2 3 2 3 7" xfId="23997"/>
    <cellStyle name="Normal 8 2 3 2 4" xfId="1730"/>
    <cellStyle name="Normal 8 2 3 2 4 2" xfId="4953"/>
    <cellStyle name="Normal 8 2 3 2 4 2 2" xfId="21053"/>
    <cellStyle name="Normal 8 2 3 2 4 2 2 2" xfId="43640"/>
    <cellStyle name="Normal 8 2 3 2 4 2 3" xfId="11393"/>
    <cellStyle name="Normal 8 2 3 2 4 2 3 2" xfId="33980"/>
    <cellStyle name="Normal 8 2 3 2 4 2 4" xfId="27540"/>
    <cellStyle name="Normal 8 2 3 2 4 3" xfId="17833"/>
    <cellStyle name="Normal 8 2 3 2 4 3 2" xfId="40420"/>
    <cellStyle name="Normal 8 2 3 2 4 4" xfId="14613"/>
    <cellStyle name="Normal 8 2 3 2 4 4 2" xfId="37200"/>
    <cellStyle name="Normal 8 2 3 2 4 5" xfId="8173"/>
    <cellStyle name="Normal 8 2 3 2 4 5 2" xfId="30760"/>
    <cellStyle name="Normal 8 2 3 2 4 6" xfId="24320"/>
    <cellStyle name="Normal 8 2 3 2 5" xfId="2022"/>
    <cellStyle name="Normal 8 2 3 2 5 2" xfId="5244"/>
    <cellStyle name="Normal 8 2 3 2 5 2 2" xfId="21344"/>
    <cellStyle name="Normal 8 2 3 2 5 2 2 2" xfId="43931"/>
    <cellStyle name="Normal 8 2 3 2 5 2 3" xfId="11684"/>
    <cellStyle name="Normal 8 2 3 2 5 2 3 2" xfId="34271"/>
    <cellStyle name="Normal 8 2 3 2 5 2 4" xfId="27831"/>
    <cellStyle name="Normal 8 2 3 2 5 3" xfId="18124"/>
    <cellStyle name="Normal 8 2 3 2 5 3 2" xfId="40711"/>
    <cellStyle name="Normal 8 2 3 2 5 4" xfId="14904"/>
    <cellStyle name="Normal 8 2 3 2 5 4 2" xfId="37491"/>
    <cellStyle name="Normal 8 2 3 2 5 5" xfId="8464"/>
    <cellStyle name="Normal 8 2 3 2 5 5 2" xfId="31051"/>
    <cellStyle name="Normal 8 2 3 2 5 6" xfId="24611"/>
    <cellStyle name="Normal 8 2 3 2 6" xfId="3936"/>
    <cellStyle name="Normal 8 2 3 2 6 2" xfId="20036"/>
    <cellStyle name="Normal 8 2 3 2 6 2 2" xfId="42623"/>
    <cellStyle name="Normal 8 2 3 2 6 3" xfId="10376"/>
    <cellStyle name="Normal 8 2 3 2 6 3 2" xfId="32963"/>
    <cellStyle name="Normal 8 2 3 2 6 4" xfId="26523"/>
    <cellStyle name="Normal 8 2 3 2 7" xfId="16816"/>
    <cellStyle name="Normal 8 2 3 2 7 2" xfId="39403"/>
    <cellStyle name="Normal 8 2 3 2 8" xfId="13596"/>
    <cellStyle name="Normal 8 2 3 2 8 2" xfId="36183"/>
    <cellStyle name="Normal 8 2 3 2 9" xfId="7156"/>
    <cellStyle name="Normal 8 2 3 2 9 2" xfId="29743"/>
    <cellStyle name="Normal 8 2 3 3" xfId="935"/>
    <cellStyle name="Normal 8 2 3 3 2" xfId="2254"/>
    <cellStyle name="Normal 8 2 3 3 2 2" xfId="5475"/>
    <cellStyle name="Normal 8 2 3 3 2 2 2" xfId="21575"/>
    <cellStyle name="Normal 8 2 3 3 2 2 2 2" xfId="44162"/>
    <cellStyle name="Normal 8 2 3 3 2 2 3" xfId="11915"/>
    <cellStyle name="Normal 8 2 3 3 2 2 3 2" xfId="34502"/>
    <cellStyle name="Normal 8 2 3 3 2 2 4" xfId="28062"/>
    <cellStyle name="Normal 8 2 3 3 2 3" xfId="18355"/>
    <cellStyle name="Normal 8 2 3 3 2 3 2" xfId="40942"/>
    <cellStyle name="Normal 8 2 3 3 2 4" xfId="15135"/>
    <cellStyle name="Normal 8 2 3 3 2 4 2" xfId="37722"/>
    <cellStyle name="Normal 8 2 3 3 2 5" xfId="8695"/>
    <cellStyle name="Normal 8 2 3 3 2 5 2" xfId="31282"/>
    <cellStyle name="Normal 8 2 3 3 2 6" xfId="24842"/>
    <cellStyle name="Normal 8 2 3 3 3" xfId="4167"/>
    <cellStyle name="Normal 8 2 3 3 3 2" xfId="20267"/>
    <cellStyle name="Normal 8 2 3 3 3 2 2" xfId="42854"/>
    <cellStyle name="Normal 8 2 3 3 3 3" xfId="10607"/>
    <cellStyle name="Normal 8 2 3 3 3 3 2" xfId="33194"/>
    <cellStyle name="Normal 8 2 3 3 3 4" xfId="26754"/>
    <cellStyle name="Normal 8 2 3 3 4" xfId="17047"/>
    <cellStyle name="Normal 8 2 3 3 4 2" xfId="39634"/>
    <cellStyle name="Normal 8 2 3 3 5" xfId="13827"/>
    <cellStyle name="Normal 8 2 3 3 5 2" xfId="36414"/>
    <cellStyle name="Normal 8 2 3 3 6" xfId="7387"/>
    <cellStyle name="Normal 8 2 3 3 6 2" xfId="29974"/>
    <cellStyle name="Normal 8 2 3 3 7" xfId="23534"/>
    <cellStyle name="Normal 8 2 3 4" xfId="1287"/>
    <cellStyle name="Normal 8 2 3 4 2" xfId="2601"/>
    <cellStyle name="Normal 8 2 3 4 2 2" xfId="5822"/>
    <cellStyle name="Normal 8 2 3 4 2 2 2" xfId="21922"/>
    <cellStyle name="Normal 8 2 3 4 2 2 2 2" xfId="44509"/>
    <cellStyle name="Normal 8 2 3 4 2 2 3" xfId="12262"/>
    <cellStyle name="Normal 8 2 3 4 2 2 3 2" xfId="34849"/>
    <cellStyle name="Normal 8 2 3 4 2 2 4" xfId="28409"/>
    <cellStyle name="Normal 8 2 3 4 2 3" xfId="18702"/>
    <cellStyle name="Normal 8 2 3 4 2 3 2" xfId="41289"/>
    <cellStyle name="Normal 8 2 3 4 2 4" xfId="15482"/>
    <cellStyle name="Normal 8 2 3 4 2 4 2" xfId="38069"/>
    <cellStyle name="Normal 8 2 3 4 2 5" xfId="9042"/>
    <cellStyle name="Normal 8 2 3 4 2 5 2" xfId="31629"/>
    <cellStyle name="Normal 8 2 3 4 2 6" xfId="25189"/>
    <cellStyle name="Normal 8 2 3 4 3" xfId="4514"/>
    <cellStyle name="Normal 8 2 3 4 3 2" xfId="20614"/>
    <cellStyle name="Normal 8 2 3 4 3 2 2" xfId="43201"/>
    <cellStyle name="Normal 8 2 3 4 3 3" xfId="10954"/>
    <cellStyle name="Normal 8 2 3 4 3 3 2" xfId="33541"/>
    <cellStyle name="Normal 8 2 3 4 3 4" xfId="27101"/>
    <cellStyle name="Normal 8 2 3 4 4" xfId="17394"/>
    <cellStyle name="Normal 8 2 3 4 4 2" xfId="39981"/>
    <cellStyle name="Normal 8 2 3 4 5" xfId="14174"/>
    <cellStyle name="Normal 8 2 3 4 5 2" xfId="36761"/>
    <cellStyle name="Normal 8 2 3 4 6" xfId="7734"/>
    <cellStyle name="Normal 8 2 3 4 6 2" xfId="30321"/>
    <cellStyle name="Normal 8 2 3 4 7" xfId="23881"/>
    <cellStyle name="Normal 8 2 3 5" xfId="1731"/>
    <cellStyle name="Normal 8 2 3 5 2" xfId="4954"/>
    <cellStyle name="Normal 8 2 3 5 2 2" xfId="21054"/>
    <cellStyle name="Normal 8 2 3 5 2 2 2" xfId="43641"/>
    <cellStyle name="Normal 8 2 3 5 2 3" xfId="11394"/>
    <cellStyle name="Normal 8 2 3 5 2 3 2" xfId="33981"/>
    <cellStyle name="Normal 8 2 3 5 2 4" xfId="27541"/>
    <cellStyle name="Normal 8 2 3 5 3" xfId="17834"/>
    <cellStyle name="Normal 8 2 3 5 3 2" xfId="40421"/>
    <cellStyle name="Normal 8 2 3 5 4" xfId="14614"/>
    <cellStyle name="Normal 8 2 3 5 4 2" xfId="37201"/>
    <cellStyle name="Normal 8 2 3 5 5" xfId="8174"/>
    <cellStyle name="Normal 8 2 3 5 5 2" xfId="30761"/>
    <cellStyle name="Normal 8 2 3 5 6" xfId="24321"/>
    <cellStyle name="Normal 8 2 3 6" xfId="1906"/>
    <cellStyle name="Normal 8 2 3 6 2" xfId="5128"/>
    <cellStyle name="Normal 8 2 3 6 2 2" xfId="21228"/>
    <cellStyle name="Normal 8 2 3 6 2 2 2" xfId="43815"/>
    <cellStyle name="Normal 8 2 3 6 2 3" xfId="11568"/>
    <cellStyle name="Normal 8 2 3 6 2 3 2" xfId="34155"/>
    <cellStyle name="Normal 8 2 3 6 2 4" xfId="27715"/>
    <cellStyle name="Normal 8 2 3 6 3" xfId="18008"/>
    <cellStyle name="Normal 8 2 3 6 3 2" xfId="40595"/>
    <cellStyle name="Normal 8 2 3 6 4" xfId="14788"/>
    <cellStyle name="Normal 8 2 3 6 4 2" xfId="37375"/>
    <cellStyle name="Normal 8 2 3 6 5" xfId="8348"/>
    <cellStyle name="Normal 8 2 3 6 5 2" xfId="30935"/>
    <cellStyle name="Normal 8 2 3 6 6" xfId="24495"/>
    <cellStyle name="Normal 8 2 3 7" xfId="2966"/>
    <cellStyle name="Normal 8 2 3 7 2" xfId="6186"/>
    <cellStyle name="Normal 8 2 3 7 2 2" xfId="22286"/>
    <cellStyle name="Normal 8 2 3 7 2 2 2" xfId="44873"/>
    <cellStyle name="Normal 8 2 3 7 2 3" xfId="12626"/>
    <cellStyle name="Normal 8 2 3 7 2 3 2" xfId="35213"/>
    <cellStyle name="Normal 8 2 3 7 2 4" xfId="28773"/>
    <cellStyle name="Normal 8 2 3 7 3" xfId="19066"/>
    <cellStyle name="Normal 8 2 3 7 3 2" xfId="41653"/>
    <cellStyle name="Normal 8 2 3 7 4" xfId="15846"/>
    <cellStyle name="Normal 8 2 3 7 4 2" xfId="38433"/>
    <cellStyle name="Normal 8 2 3 7 5" xfId="9406"/>
    <cellStyle name="Normal 8 2 3 7 5 2" xfId="31993"/>
    <cellStyle name="Normal 8 2 3 7 6" xfId="25553"/>
    <cellStyle name="Normal 8 2 3 8" xfId="3256"/>
    <cellStyle name="Normal 8 2 3 8 2" xfId="6476"/>
    <cellStyle name="Normal 8 2 3 8 2 2" xfId="22576"/>
    <cellStyle name="Normal 8 2 3 8 2 2 2" xfId="45163"/>
    <cellStyle name="Normal 8 2 3 8 2 3" xfId="12916"/>
    <cellStyle name="Normal 8 2 3 8 2 3 2" xfId="35503"/>
    <cellStyle name="Normal 8 2 3 8 2 4" xfId="29063"/>
    <cellStyle name="Normal 8 2 3 8 3" xfId="19356"/>
    <cellStyle name="Normal 8 2 3 8 3 2" xfId="41943"/>
    <cellStyle name="Normal 8 2 3 8 4" xfId="16136"/>
    <cellStyle name="Normal 8 2 3 8 4 2" xfId="38723"/>
    <cellStyle name="Normal 8 2 3 8 5" xfId="9696"/>
    <cellStyle name="Normal 8 2 3 8 5 2" xfId="32283"/>
    <cellStyle name="Normal 8 2 3 8 6" xfId="25843"/>
    <cellStyle name="Normal 8 2 3 9" xfId="533"/>
    <cellStyle name="Normal 8 2 3 9 2" xfId="3820"/>
    <cellStyle name="Normal 8 2 3 9 2 2" xfId="19920"/>
    <cellStyle name="Normal 8 2 3 9 2 2 2" xfId="42507"/>
    <cellStyle name="Normal 8 2 3 9 2 3" xfId="10260"/>
    <cellStyle name="Normal 8 2 3 9 2 3 2" xfId="32847"/>
    <cellStyle name="Normal 8 2 3 9 2 4" xfId="26407"/>
    <cellStyle name="Normal 8 2 3 9 3" xfId="16700"/>
    <cellStyle name="Normal 8 2 3 9 3 2" xfId="39287"/>
    <cellStyle name="Normal 8 2 3 9 4" xfId="13480"/>
    <cellStyle name="Normal 8 2 3 9 4 2" xfId="36067"/>
    <cellStyle name="Normal 8 2 3 9 5" xfId="7040"/>
    <cellStyle name="Normal 8 2 3 9 5 2" xfId="29627"/>
    <cellStyle name="Normal 8 2 3 9 6" xfId="23187"/>
    <cellStyle name="Normal 8 2 4" xfId="359"/>
    <cellStyle name="Normal 8 2 4 10" xfId="16526"/>
    <cellStyle name="Normal 8 2 4 10 2" xfId="39113"/>
    <cellStyle name="Normal 8 2 4 11" xfId="13306"/>
    <cellStyle name="Normal 8 2 4 11 2" xfId="35893"/>
    <cellStyle name="Normal 8 2 4 12" xfId="6866"/>
    <cellStyle name="Normal 8 2 4 12 2" xfId="29453"/>
    <cellStyle name="Normal 8 2 4 13" xfId="23013"/>
    <cellStyle name="Normal 8 2 4 2" xfId="959"/>
    <cellStyle name="Normal 8 2 4 2 2" xfId="2278"/>
    <cellStyle name="Normal 8 2 4 2 2 2" xfId="5499"/>
    <cellStyle name="Normal 8 2 4 2 2 2 2" xfId="21599"/>
    <cellStyle name="Normal 8 2 4 2 2 2 2 2" xfId="44186"/>
    <cellStyle name="Normal 8 2 4 2 2 2 3" xfId="11939"/>
    <cellStyle name="Normal 8 2 4 2 2 2 3 2" xfId="34526"/>
    <cellStyle name="Normal 8 2 4 2 2 2 4" xfId="28086"/>
    <cellStyle name="Normal 8 2 4 2 2 3" xfId="18379"/>
    <cellStyle name="Normal 8 2 4 2 2 3 2" xfId="40966"/>
    <cellStyle name="Normal 8 2 4 2 2 4" xfId="15159"/>
    <cellStyle name="Normal 8 2 4 2 2 4 2" xfId="37746"/>
    <cellStyle name="Normal 8 2 4 2 2 5" xfId="8719"/>
    <cellStyle name="Normal 8 2 4 2 2 5 2" xfId="31306"/>
    <cellStyle name="Normal 8 2 4 2 2 6" xfId="24866"/>
    <cellStyle name="Normal 8 2 4 2 3" xfId="4191"/>
    <cellStyle name="Normal 8 2 4 2 3 2" xfId="20291"/>
    <cellStyle name="Normal 8 2 4 2 3 2 2" xfId="42878"/>
    <cellStyle name="Normal 8 2 4 2 3 3" xfId="10631"/>
    <cellStyle name="Normal 8 2 4 2 3 3 2" xfId="33218"/>
    <cellStyle name="Normal 8 2 4 2 3 4" xfId="26778"/>
    <cellStyle name="Normal 8 2 4 2 4" xfId="17071"/>
    <cellStyle name="Normal 8 2 4 2 4 2" xfId="39658"/>
    <cellStyle name="Normal 8 2 4 2 5" xfId="13851"/>
    <cellStyle name="Normal 8 2 4 2 5 2" xfId="36438"/>
    <cellStyle name="Normal 8 2 4 2 6" xfId="7411"/>
    <cellStyle name="Normal 8 2 4 2 6 2" xfId="29998"/>
    <cellStyle name="Normal 8 2 4 2 7" xfId="23558"/>
    <cellStyle name="Normal 8 2 4 3" xfId="1311"/>
    <cellStyle name="Normal 8 2 4 3 2" xfId="2625"/>
    <cellStyle name="Normal 8 2 4 3 2 2" xfId="5846"/>
    <cellStyle name="Normal 8 2 4 3 2 2 2" xfId="21946"/>
    <cellStyle name="Normal 8 2 4 3 2 2 2 2" xfId="44533"/>
    <cellStyle name="Normal 8 2 4 3 2 2 3" xfId="12286"/>
    <cellStyle name="Normal 8 2 4 3 2 2 3 2" xfId="34873"/>
    <cellStyle name="Normal 8 2 4 3 2 2 4" xfId="28433"/>
    <cellStyle name="Normal 8 2 4 3 2 3" xfId="18726"/>
    <cellStyle name="Normal 8 2 4 3 2 3 2" xfId="41313"/>
    <cellStyle name="Normal 8 2 4 3 2 4" xfId="15506"/>
    <cellStyle name="Normal 8 2 4 3 2 4 2" xfId="38093"/>
    <cellStyle name="Normal 8 2 4 3 2 5" xfId="9066"/>
    <cellStyle name="Normal 8 2 4 3 2 5 2" xfId="31653"/>
    <cellStyle name="Normal 8 2 4 3 2 6" xfId="25213"/>
    <cellStyle name="Normal 8 2 4 3 3" xfId="4538"/>
    <cellStyle name="Normal 8 2 4 3 3 2" xfId="20638"/>
    <cellStyle name="Normal 8 2 4 3 3 2 2" xfId="43225"/>
    <cellStyle name="Normal 8 2 4 3 3 3" xfId="10978"/>
    <cellStyle name="Normal 8 2 4 3 3 3 2" xfId="33565"/>
    <cellStyle name="Normal 8 2 4 3 3 4" xfId="27125"/>
    <cellStyle name="Normal 8 2 4 3 4" xfId="17418"/>
    <cellStyle name="Normal 8 2 4 3 4 2" xfId="40005"/>
    <cellStyle name="Normal 8 2 4 3 5" xfId="14198"/>
    <cellStyle name="Normal 8 2 4 3 5 2" xfId="36785"/>
    <cellStyle name="Normal 8 2 4 3 6" xfId="7758"/>
    <cellStyle name="Normal 8 2 4 3 6 2" xfId="30345"/>
    <cellStyle name="Normal 8 2 4 3 7" xfId="23905"/>
    <cellStyle name="Normal 8 2 4 4" xfId="1732"/>
    <cellStyle name="Normal 8 2 4 4 2" xfId="4955"/>
    <cellStyle name="Normal 8 2 4 4 2 2" xfId="21055"/>
    <cellStyle name="Normal 8 2 4 4 2 2 2" xfId="43642"/>
    <cellStyle name="Normal 8 2 4 4 2 3" xfId="11395"/>
    <cellStyle name="Normal 8 2 4 4 2 3 2" xfId="33982"/>
    <cellStyle name="Normal 8 2 4 4 2 4" xfId="27542"/>
    <cellStyle name="Normal 8 2 4 4 3" xfId="17835"/>
    <cellStyle name="Normal 8 2 4 4 3 2" xfId="40422"/>
    <cellStyle name="Normal 8 2 4 4 4" xfId="14615"/>
    <cellStyle name="Normal 8 2 4 4 4 2" xfId="37202"/>
    <cellStyle name="Normal 8 2 4 4 5" xfId="8175"/>
    <cellStyle name="Normal 8 2 4 4 5 2" xfId="30762"/>
    <cellStyle name="Normal 8 2 4 4 6" xfId="24322"/>
    <cellStyle name="Normal 8 2 4 5" xfId="1930"/>
    <cellStyle name="Normal 8 2 4 5 2" xfId="5152"/>
    <cellStyle name="Normal 8 2 4 5 2 2" xfId="21252"/>
    <cellStyle name="Normal 8 2 4 5 2 2 2" xfId="43839"/>
    <cellStyle name="Normal 8 2 4 5 2 3" xfId="11592"/>
    <cellStyle name="Normal 8 2 4 5 2 3 2" xfId="34179"/>
    <cellStyle name="Normal 8 2 4 5 2 4" xfId="27739"/>
    <cellStyle name="Normal 8 2 4 5 3" xfId="18032"/>
    <cellStyle name="Normal 8 2 4 5 3 2" xfId="40619"/>
    <cellStyle name="Normal 8 2 4 5 4" xfId="14812"/>
    <cellStyle name="Normal 8 2 4 5 4 2" xfId="37399"/>
    <cellStyle name="Normal 8 2 4 5 5" xfId="8372"/>
    <cellStyle name="Normal 8 2 4 5 5 2" xfId="30959"/>
    <cellStyle name="Normal 8 2 4 5 6" xfId="24519"/>
    <cellStyle name="Normal 8 2 4 6" xfId="3066"/>
    <cellStyle name="Normal 8 2 4 6 2" xfId="6286"/>
    <cellStyle name="Normal 8 2 4 6 2 2" xfId="22386"/>
    <cellStyle name="Normal 8 2 4 6 2 2 2" xfId="44973"/>
    <cellStyle name="Normal 8 2 4 6 2 3" xfId="12726"/>
    <cellStyle name="Normal 8 2 4 6 2 3 2" xfId="35313"/>
    <cellStyle name="Normal 8 2 4 6 2 4" xfId="28873"/>
    <cellStyle name="Normal 8 2 4 6 3" xfId="19166"/>
    <cellStyle name="Normal 8 2 4 6 3 2" xfId="41753"/>
    <cellStyle name="Normal 8 2 4 6 4" xfId="15946"/>
    <cellStyle name="Normal 8 2 4 6 4 2" xfId="38533"/>
    <cellStyle name="Normal 8 2 4 6 5" xfId="9506"/>
    <cellStyle name="Normal 8 2 4 6 5 2" xfId="32093"/>
    <cellStyle name="Normal 8 2 4 6 6" xfId="25653"/>
    <cellStyle name="Normal 8 2 4 7" xfId="3356"/>
    <cellStyle name="Normal 8 2 4 7 2" xfId="6576"/>
    <cellStyle name="Normal 8 2 4 7 2 2" xfId="22676"/>
    <cellStyle name="Normal 8 2 4 7 2 2 2" xfId="45263"/>
    <cellStyle name="Normal 8 2 4 7 2 3" xfId="13016"/>
    <cellStyle name="Normal 8 2 4 7 2 3 2" xfId="35603"/>
    <cellStyle name="Normal 8 2 4 7 2 4" xfId="29163"/>
    <cellStyle name="Normal 8 2 4 7 3" xfId="19456"/>
    <cellStyle name="Normal 8 2 4 7 3 2" xfId="42043"/>
    <cellStyle name="Normal 8 2 4 7 4" xfId="16236"/>
    <cellStyle name="Normal 8 2 4 7 4 2" xfId="38823"/>
    <cellStyle name="Normal 8 2 4 7 5" xfId="9796"/>
    <cellStyle name="Normal 8 2 4 7 5 2" xfId="32383"/>
    <cellStyle name="Normal 8 2 4 7 6" xfId="25943"/>
    <cellStyle name="Normal 8 2 4 8" xfId="572"/>
    <cellStyle name="Normal 8 2 4 8 2" xfId="3844"/>
    <cellStyle name="Normal 8 2 4 8 2 2" xfId="19944"/>
    <cellStyle name="Normal 8 2 4 8 2 2 2" xfId="42531"/>
    <cellStyle name="Normal 8 2 4 8 2 3" xfId="10284"/>
    <cellStyle name="Normal 8 2 4 8 2 3 2" xfId="32871"/>
    <cellStyle name="Normal 8 2 4 8 2 4" xfId="26431"/>
    <cellStyle name="Normal 8 2 4 8 3" xfId="16724"/>
    <cellStyle name="Normal 8 2 4 8 3 2" xfId="39311"/>
    <cellStyle name="Normal 8 2 4 8 4" xfId="13504"/>
    <cellStyle name="Normal 8 2 4 8 4 2" xfId="36091"/>
    <cellStyle name="Normal 8 2 4 8 5" xfId="7064"/>
    <cellStyle name="Normal 8 2 4 8 5 2" xfId="29651"/>
    <cellStyle name="Normal 8 2 4 8 6" xfId="23211"/>
    <cellStyle name="Normal 8 2 4 9" xfId="3646"/>
    <cellStyle name="Normal 8 2 4 9 2" xfId="19746"/>
    <cellStyle name="Normal 8 2 4 9 2 2" xfId="42333"/>
    <cellStyle name="Normal 8 2 4 9 3" xfId="10086"/>
    <cellStyle name="Normal 8 2 4 9 3 2" xfId="32673"/>
    <cellStyle name="Normal 8 2 4 9 4" xfId="26233"/>
    <cellStyle name="Normal 8 2 5" xfId="788"/>
    <cellStyle name="Normal 8 2 5 2" xfId="1140"/>
    <cellStyle name="Normal 8 2 5 2 2" xfId="2454"/>
    <cellStyle name="Normal 8 2 5 2 2 2" xfId="5675"/>
    <cellStyle name="Normal 8 2 5 2 2 2 2" xfId="21775"/>
    <cellStyle name="Normal 8 2 5 2 2 2 2 2" xfId="44362"/>
    <cellStyle name="Normal 8 2 5 2 2 2 3" xfId="12115"/>
    <cellStyle name="Normal 8 2 5 2 2 2 3 2" xfId="34702"/>
    <cellStyle name="Normal 8 2 5 2 2 2 4" xfId="28262"/>
    <cellStyle name="Normal 8 2 5 2 2 3" xfId="18555"/>
    <cellStyle name="Normal 8 2 5 2 2 3 2" xfId="41142"/>
    <cellStyle name="Normal 8 2 5 2 2 4" xfId="15335"/>
    <cellStyle name="Normal 8 2 5 2 2 4 2" xfId="37922"/>
    <cellStyle name="Normal 8 2 5 2 2 5" xfId="8895"/>
    <cellStyle name="Normal 8 2 5 2 2 5 2" xfId="31482"/>
    <cellStyle name="Normal 8 2 5 2 2 6" xfId="25042"/>
    <cellStyle name="Normal 8 2 5 2 3" xfId="4367"/>
    <cellStyle name="Normal 8 2 5 2 3 2" xfId="20467"/>
    <cellStyle name="Normal 8 2 5 2 3 2 2" xfId="43054"/>
    <cellStyle name="Normal 8 2 5 2 3 3" xfId="10807"/>
    <cellStyle name="Normal 8 2 5 2 3 3 2" xfId="33394"/>
    <cellStyle name="Normal 8 2 5 2 3 4" xfId="26954"/>
    <cellStyle name="Normal 8 2 5 2 4" xfId="17247"/>
    <cellStyle name="Normal 8 2 5 2 4 2" xfId="39834"/>
    <cellStyle name="Normal 8 2 5 2 5" xfId="14027"/>
    <cellStyle name="Normal 8 2 5 2 5 2" xfId="36614"/>
    <cellStyle name="Normal 8 2 5 2 6" xfId="7587"/>
    <cellStyle name="Normal 8 2 5 2 6 2" xfId="30174"/>
    <cellStyle name="Normal 8 2 5 2 7" xfId="23734"/>
    <cellStyle name="Normal 8 2 5 3" xfId="1487"/>
    <cellStyle name="Normal 8 2 5 3 2" xfId="2801"/>
    <cellStyle name="Normal 8 2 5 3 2 2" xfId="6022"/>
    <cellStyle name="Normal 8 2 5 3 2 2 2" xfId="22122"/>
    <cellStyle name="Normal 8 2 5 3 2 2 2 2" xfId="44709"/>
    <cellStyle name="Normal 8 2 5 3 2 2 3" xfId="12462"/>
    <cellStyle name="Normal 8 2 5 3 2 2 3 2" xfId="35049"/>
    <cellStyle name="Normal 8 2 5 3 2 2 4" xfId="28609"/>
    <cellStyle name="Normal 8 2 5 3 2 3" xfId="18902"/>
    <cellStyle name="Normal 8 2 5 3 2 3 2" xfId="41489"/>
    <cellStyle name="Normal 8 2 5 3 2 4" xfId="15682"/>
    <cellStyle name="Normal 8 2 5 3 2 4 2" xfId="38269"/>
    <cellStyle name="Normal 8 2 5 3 2 5" xfId="9242"/>
    <cellStyle name="Normal 8 2 5 3 2 5 2" xfId="31829"/>
    <cellStyle name="Normal 8 2 5 3 2 6" xfId="25389"/>
    <cellStyle name="Normal 8 2 5 3 3" xfId="4714"/>
    <cellStyle name="Normal 8 2 5 3 3 2" xfId="20814"/>
    <cellStyle name="Normal 8 2 5 3 3 2 2" xfId="43401"/>
    <cellStyle name="Normal 8 2 5 3 3 3" xfId="11154"/>
    <cellStyle name="Normal 8 2 5 3 3 3 2" xfId="33741"/>
    <cellStyle name="Normal 8 2 5 3 3 4" xfId="27301"/>
    <cellStyle name="Normal 8 2 5 3 4" xfId="17594"/>
    <cellStyle name="Normal 8 2 5 3 4 2" xfId="40181"/>
    <cellStyle name="Normal 8 2 5 3 5" xfId="14374"/>
    <cellStyle name="Normal 8 2 5 3 5 2" xfId="36961"/>
    <cellStyle name="Normal 8 2 5 3 6" xfId="7934"/>
    <cellStyle name="Normal 8 2 5 3 6 2" xfId="30521"/>
    <cellStyle name="Normal 8 2 5 3 7" xfId="24081"/>
    <cellStyle name="Normal 8 2 5 4" xfId="2107"/>
    <cellStyle name="Normal 8 2 5 4 2" xfId="5328"/>
    <cellStyle name="Normal 8 2 5 4 2 2" xfId="21428"/>
    <cellStyle name="Normal 8 2 5 4 2 2 2" xfId="44015"/>
    <cellStyle name="Normal 8 2 5 4 2 3" xfId="11768"/>
    <cellStyle name="Normal 8 2 5 4 2 3 2" xfId="34355"/>
    <cellStyle name="Normal 8 2 5 4 2 4" xfId="27915"/>
    <cellStyle name="Normal 8 2 5 4 3" xfId="18208"/>
    <cellStyle name="Normal 8 2 5 4 3 2" xfId="40795"/>
    <cellStyle name="Normal 8 2 5 4 4" xfId="14988"/>
    <cellStyle name="Normal 8 2 5 4 4 2" xfId="37575"/>
    <cellStyle name="Normal 8 2 5 4 5" xfId="8548"/>
    <cellStyle name="Normal 8 2 5 4 5 2" xfId="31135"/>
    <cellStyle name="Normal 8 2 5 4 6" xfId="24695"/>
    <cellStyle name="Normal 8 2 5 5" xfId="4020"/>
    <cellStyle name="Normal 8 2 5 5 2" xfId="20120"/>
    <cellStyle name="Normal 8 2 5 5 2 2" xfId="42707"/>
    <cellStyle name="Normal 8 2 5 5 3" xfId="10460"/>
    <cellStyle name="Normal 8 2 5 5 3 2" xfId="33047"/>
    <cellStyle name="Normal 8 2 5 5 4" xfId="26607"/>
    <cellStyle name="Normal 8 2 5 6" xfId="16900"/>
    <cellStyle name="Normal 8 2 5 6 2" xfId="39487"/>
    <cellStyle name="Normal 8 2 5 7" xfId="13680"/>
    <cellStyle name="Normal 8 2 5 7 2" xfId="36267"/>
    <cellStyle name="Normal 8 2 5 8" xfId="7240"/>
    <cellStyle name="Normal 8 2 5 8 2" xfId="29827"/>
    <cellStyle name="Normal 8 2 5 9" xfId="23387"/>
    <cellStyle name="Normal 8 2 6" xfId="858"/>
    <cellStyle name="Normal 8 2 6 2" xfId="2177"/>
    <cellStyle name="Normal 8 2 6 2 2" xfId="5398"/>
    <cellStyle name="Normal 8 2 6 2 2 2" xfId="21498"/>
    <cellStyle name="Normal 8 2 6 2 2 2 2" xfId="44085"/>
    <cellStyle name="Normal 8 2 6 2 2 3" xfId="11838"/>
    <cellStyle name="Normal 8 2 6 2 2 3 2" xfId="34425"/>
    <cellStyle name="Normal 8 2 6 2 2 4" xfId="27985"/>
    <cellStyle name="Normal 8 2 6 2 3" xfId="18278"/>
    <cellStyle name="Normal 8 2 6 2 3 2" xfId="40865"/>
    <cellStyle name="Normal 8 2 6 2 4" xfId="15058"/>
    <cellStyle name="Normal 8 2 6 2 4 2" xfId="37645"/>
    <cellStyle name="Normal 8 2 6 2 5" xfId="8618"/>
    <cellStyle name="Normal 8 2 6 2 5 2" xfId="31205"/>
    <cellStyle name="Normal 8 2 6 2 6" xfId="24765"/>
    <cellStyle name="Normal 8 2 6 3" xfId="4090"/>
    <cellStyle name="Normal 8 2 6 3 2" xfId="20190"/>
    <cellStyle name="Normal 8 2 6 3 2 2" xfId="42777"/>
    <cellStyle name="Normal 8 2 6 3 3" xfId="10530"/>
    <cellStyle name="Normal 8 2 6 3 3 2" xfId="33117"/>
    <cellStyle name="Normal 8 2 6 3 4" xfId="26677"/>
    <cellStyle name="Normal 8 2 6 4" xfId="16970"/>
    <cellStyle name="Normal 8 2 6 4 2" xfId="39557"/>
    <cellStyle name="Normal 8 2 6 5" xfId="13750"/>
    <cellStyle name="Normal 8 2 6 5 2" xfId="36337"/>
    <cellStyle name="Normal 8 2 6 6" xfId="7310"/>
    <cellStyle name="Normal 8 2 6 6 2" xfId="29897"/>
    <cellStyle name="Normal 8 2 6 7" xfId="23457"/>
    <cellStyle name="Normal 8 2 7" xfId="1210"/>
    <cellStyle name="Normal 8 2 7 2" xfId="2524"/>
    <cellStyle name="Normal 8 2 7 2 2" xfId="5745"/>
    <cellStyle name="Normal 8 2 7 2 2 2" xfId="21845"/>
    <cellStyle name="Normal 8 2 7 2 2 2 2" xfId="44432"/>
    <cellStyle name="Normal 8 2 7 2 2 3" xfId="12185"/>
    <cellStyle name="Normal 8 2 7 2 2 3 2" xfId="34772"/>
    <cellStyle name="Normal 8 2 7 2 2 4" xfId="28332"/>
    <cellStyle name="Normal 8 2 7 2 3" xfId="18625"/>
    <cellStyle name="Normal 8 2 7 2 3 2" xfId="41212"/>
    <cellStyle name="Normal 8 2 7 2 4" xfId="15405"/>
    <cellStyle name="Normal 8 2 7 2 4 2" xfId="37992"/>
    <cellStyle name="Normal 8 2 7 2 5" xfId="8965"/>
    <cellStyle name="Normal 8 2 7 2 5 2" xfId="31552"/>
    <cellStyle name="Normal 8 2 7 2 6" xfId="25112"/>
    <cellStyle name="Normal 8 2 7 3" xfId="4437"/>
    <cellStyle name="Normal 8 2 7 3 2" xfId="20537"/>
    <cellStyle name="Normal 8 2 7 3 2 2" xfId="43124"/>
    <cellStyle name="Normal 8 2 7 3 3" xfId="10877"/>
    <cellStyle name="Normal 8 2 7 3 3 2" xfId="33464"/>
    <cellStyle name="Normal 8 2 7 3 4" xfId="27024"/>
    <cellStyle name="Normal 8 2 7 4" xfId="17317"/>
    <cellStyle name="Normal 8 2 7 4 2" xfId="39904"/>
    <cellStyle name="Normal 8 2 7 5" xfId="14097"/>
    <cellStyle name="Normal 8 2 7 5 2" xfId="36684"/>
    <cellStyle name="Normal 8 2 7 6" xfId="7657"/>
    <cellStyle name="Normal 8 2 7 6 2" xfId="30244"/>
    <cellStyle name="Normal 8 2 7 7" xfId="23804"/>
    <cellStyle name="Normal 8 2 8" xfId="1733"/>
    <cellStyle name="Normal 8 2 8 2" xfId="4956"/>
    <cellStyle name="Normal 8 2 8 2 2" xfId="21056"/>
    <cellStyle name="Normal 8 2 8 2 2 2" xfId="43643"/>
    <cellStyle name="Normal 8 2 8 2 3" xfId="11396"/>
    <cellStyle name="Normal 8 2 8 2 3 2" xfId="33983"/>
    <cellStyle name="Normal 8 2 8 2 4" xfId="27543"/>
    <cellStyle name="Normal 8 2 8 3" xfId="17836"/>
    <cellStyle name="Normal 8 2 8 3 2" xfId="40423"/>
    <cellStyle name="Normal 8 2 8 4" xfId="14616"/>
    <cellStyle name="Normal 8 2 8 4 2" xfId="37203"/>
    <cellStyle name="Normal 8 2 8 5" xfId="8176"/>
    <cellStyle name="Normal 8 2 8 5 2" xfId="30763"/>
    <cellStyle name="Normal 8 2 8 6" xfId="24323"/>
    <cellStyle name="Normal 8 2 9" xfId="1829"/>
    <cellStyle name="Normal 8 2 9 2" xfId="5051"/>
    <cellStyle name="Normal 8 2 9 2 2" xfId="21151"/>
    <cellStyle name="Normal 8 2 9 2 2 2" xfId="43738"/>
    <cellStyle name="Normal 8 2 9 2 3" xfId="11491"/>
    <cellStyle name="Normal 8 2 9 2 3 2" xfId="34078"/>
    <cellStyle name="Normal 8 2 9 2 4" xfId="27638"/>
    <cellStyle name="Normal 8 2 9 3" xfId="17931"/>
    <cellStyle name="Normal 8 2 9 3 2" xfId="40518"/>
    <cellStyle name="Normal 8 2 9 4" xfId="14711"/>
    <cellStyle name="Normal 8 2 9 4 2" xfId="37298"/>
    <cellStyle name="Normal 8 2 9 5" xfId="8271"/>
    <cellStyle name="Normal 8 2 9 5 2" xfId="30858"/>
    <cellStyle name="Normal 8 2 9 6" xfId="24418"/>
    <cellStyle name="Normal 8 3" xfId="135"/>
    <cellStyle name="Normal 8 3 10" xfId="473"/>
    <cellStyle name="Normal 8 3 10 2" xfId="3760"/>
    <cellStyle name="Normal 8 3 10 2 2" xfId="19860"/>
    <cellStyle name="Normal 8 3 10 2 2 2" xfId="42447"/>
    <cellStyle name="Normal 8 3 10 2 3" xfId="10200"/>
    <cellStyle name="Normal 8 3 10 2 3 2" xfId="32787"/>
    <cellStyle name="Normal 8 3 10 2 4" xfId="26347"/>
    <cellStyle name="Normal 8 3 10 3" xfId="16640"/>
    <cellStyle name="Normal 8 3 10 3 2" xfId="39227"/>
    <cellStyle name="Normal 8 3 10 4" xfId="13420"/>
    <cellStyle name="Normal 8 3 10 4 2" xfId="36007"/>
    <cellStyle name="Normal 8 3 10 5" xfId="6980"/>
    <cellStyle name="Normal 8 3 10 5 2" xfId="29567"/>
    <cellStyle name="Normal 8 3 10 6" xfId="23127"/>
    <cellStyle name="Normal 8 3 11" xfId="3470"/>
    <cellStyle name="Normal 8 3 11 2" xfId="19570"/>
    <cellStyle name="Normal 8 3 11 2 2" xfId="42157"/>
    <cellStyle name="Normal 8 3 11 3" xfId="9910"/>
    <cellStyle name="Normal 8 3 11 3 2" xfId="32497"/>
    <cellStyle name="Normal 8 3 11 4" xfId="26057"/>
    <cellStyle name="Normal 8 3 12" xfId="16350"/>
    <cellStyle name="Normal 8 3 12 2" xfId="38937"/>
    <cellStyle name="Normal 8 3 13" xfId="13130"/>
    <cellStyle name="Normal 8 3 13 2" xfId="35717"/>
    <cellStyle name="Normal 8 3 14" xfId="6690"/>
    <cellStyle name="Normal 8 3 14 2" xfId="29277"/>
    <cellStyle name="Normal 8 3 15" xfId="22837"/>
    <cellStyle name="Normal 8 3 2" xfId="281"/>
    <cellStyle name="Normal 8 3 2 10" xfId="16448"/>
    <cellStyle name="Normal 8 3 2 10 2" xfId="39035"/>
    <cellStyle name="Normal 8 3 2 11" xfId="13228"/>
    <cellStyle name="Normal 8 3 2 11 2" xfId="35815"/>
    <cellStyle name="Normal 8 3 2 12" xfId="6788"/>
    <cellStyle name="Normal 8 3 2 12 2" xfId="29375"/>
    <cellStyle name="Normal 8 3 2 13" xfId="22935"/>
    <cellStyle name="Normal 8 3 2 2" xfId="999"/>
    <cellStyle name="Normal 8 3 2 2 2" xfId="2313"/>
    <cellStyle name="Normal 8 3 2 2 2 2" xfId="5534"/>
    <cellStyle name="Normal 8 3 2 2 2 2 2" xfId="21634"/>
    <cellStyle name="Normal 8 3 2 2 2 2 2 2" xfId="44221"/>
    <cellStyle name="Normal 8 3 2 2 2 2 3" xfId="11974"/>
    <cellStyle name="Normal 8 3 2 2 2 2 3 2" xfId="34561"/>
    <cellStyle name="Normal 8 3 2 2 2 2 4" xfId="28121"/>
    <cellStyle name="Normal 8 3 2 2 2 3" xfId="18414"/>
    <cellStyle name="Normal 8 3 2 2 2 3 2" xfId="41001"/>
    <cellStyle name="Normal 8 3 2 2 2 4" xfId="15194"/>
    <cellStyle name="Normal 8 3 2 2 2 4 2" xfId="37781"/>
    <cellStyle name="Normal 8 3 2 2 2 5" xfId="8754"/>
    <cellStyle name="Normal 8 3 2 2 2 5 2" xfId="31341"/>
    <cellStyle name="Normal 8 3 2 2 2 6" xfId="24901"/>
    <cellStyle name="Normal 8 3 2 2 3" xfId="4226"/>
    <cellStyle name="Normal 8 3 2 2 3 2" xfId="20326"/>
    <cellStyle name="Normal 8 3 2 2 3 2 2" xfId="42913"/>
    <cellStyle name="Normal 8 3 2 2 3 3" xfId="10666"/>
    <cellStyle name="Normal 8 3 2 2 3 3 2" xfId="33253"/>
    <cellStyle name="Normal 8 3 2 2 3 4" xfId="26813"/>
    <cellStyle name="Normal 8 3 2 2 4" xfId="17106"/>
    <cellStyle name="Normal 8 3 2 2 4 2" xfId="39693"/>
    <cellStyle name="Normal 8 3 2 2 5" xfId="13886"/>
    <cellStyle name="Normal 8 3 2 2 5 2" xfId="36473"/>
    <cellStyle name="Normal 8 3 2 2 6" xfId="7446"/>
    <cellStyle name="Normal 8 3 2 2 6 2" xfId="30033"/>
    <cellStyle name="Normal 8 3 2 2 7" xfId="23593"/>
    <cellStyle name="Normal 8 3 2 3" xfId="1346"/>
    <cellStyle name="Normal 8 3 2 3 2" xfId="2660"/>
    <cellStyle name="Normal 8 3 2 3 2 2" xfId="5881"/>
    <cellStyle name="Normal 8 3 2 3 2 2 2" xfId="21981"/>
    <cellStyle name="Normal 8 3 2 3 2 2 2 2" xfId="44568"/>
    <cellStyle name="Normal 8 3 2 3 2 2 3" xfId="12321"/>
    <cellStyle name="Normal 8 3 2 3 2 2 3 2" xfId="34908"/>
    <cellStyle name="Normal 8 3 2 3 2 2 4" xfId="28468"/>
    <cellStyle name="Normal 8 3 2 3 2 3" xfId="18761"/>
    <cellStyle name="Normal 8 3 2 3 2 3 2" xfId="41348"/>
    <cellStyle name="Normal 8 3 2 3 2 4" xfId="15541"/>
    <cellStyle name="Normal 8 3 2 3 2 4 2" xfId="38128"/>
    <cellStyle name="Normal 8 3 2 3 2 5" xfId="9101"/>
    <cellStyle name="Normal 8 3 2 3 2 5 2" xfId="31688"/>
    <cellStyle name="Normal 8 3 2 3 2 6" xfId="25248"/>
    <cellStyle name="Normal 8 3 2 3 3" xfId="4573"/>
    <cellStyle name="Normal 8 3 2 3 3 2" xfId="20673"/>
    <cellStyle name="Normal 8 3 2 3 3 2 2" xfId="43260"/>
    <cellStyle name="Normal 8 3 2 3 3 3" xfId="11013"/>
    <cellStyle name="Normal 8 3 2 3 3 3 2" xfId="33600"/>
    <cellStyle name="Normal 8 3 2 3 3 4" xfId="27160"/>
    <cellStyle name="Normal 8 3 2 3 4" xfId="17453"/>
    <cellStyle name="Normal 8 3 2 3 4 2" xfId="40040"/>
    <cellStyle name="Normal 8 3 2 3 5" xfId="14233"/>
    <cellStyle name="Normal 8 3 2 3 5 2" xfId="36820"/>
    <cellStyle name="Normal 8 3 2 3 6" xfId="7793"/>
    <cellStyle name="Normal 8 3 2 3 6 2" xfId="30380"/>
    <cellStyle name="Normal 8 3 2 3 7" xfId="23940"/>
    <cellStyle name="Normal 8 3 2 4" xfId="1734"/>
    <cellStyle name="Normal 8 3 2 4 2" xfId="4957"/>
    <cellStyle name="Normal 8 3 2 4 2 2" xfId="21057"/>
    <cellStyle name="Normal 8 3 2 4 2 2 2" xfId="43644"/>
    <cellStyle name="Normal 8 3 2 4 2 3" xfId="11397"/>
    <cellStyle name="Normal 8 3 2 4 2 3 2" xfId="33984"/>
    <cellStyle name="Normal 8 3 2 4 2 4" xfId="27544"/>
    <cellStyle name="Normal 8 3 2 4 3" xfId="17837"/>
    <cellStyle name="Normal 8 3 2 4 3 2" xfId="40424"/>
    <cellStyle name="Normal 8 3 2 4 4" xfId="14617"/>
    <cellStyle name="Normal 8 3 2 4 4 2" xfId="37204"/>
    <cellStyle name="Normal 8 3 2 4 5" xfId="8177"/>
    <cellStyle name="Normal 8 3 2 4 5 2" xfId="30764"/>
    <cellStyle name="Normal 8 3 2 4 6" xfId="24324"/>
    <cellStyle name="Normal 8 3 2 5" xfId="1965"/>
    <cellStyle name="Normal 8 3 2 5 2" xfId="5187"/>
    <cellStyle name="Normal 8 3 2 5 2 2" xfId="21287"/>
    <cellStyle name="Normal 8 3 2 5 2 2 2" xfId="43874"/>
    <cellStyle name="Normal 8 3 2 5 2 3" xfId="11627"/>
    <cellStyle name="Normal 8 3 2 5 2 3 2" xfId="34214"/>
    <cellStyle name="Normal 8 3 2 5 2 4" xfId="27774"/>
    <cellStyle name="Normal 8 3 2 5 3" xfId="18067"/>
    <cellStyle name="Normal 8 3 2 5 3 2" xfId="40654"/>
    <cellStyle name="Normal 8 3 2 5 4" xfId="14847"/>
    <cellStyle name="Normal 8 3 2 5 4 2" xfId="37434"/>
    <cellStyle name="Normal 8 3 2 5 5" xfId="8407"/>
    <cellStyle name="Normal 8 3 2 5 5 2" xfId="30994"/>
    <cellStyle name="Normal 8 3 2 5 6" xfId="24554"/>
    <cellStyle name="Normal 8 3 2 6" xfId="2988"/>
    <cellStyle name="Normal 8 3 2 6 2" xfId="6208"/>
    <cellStyle name="Normal 8 3 2 6 2 2" xfId="22308"/>
    <cellStyle name="Normal 8 3 2 6 2 2 2" xfId="44895"/>
    <cellStyle name="Normal 8 3 2 6 2 3" xfId="12648"/>
    <cellStyle name="Normal 8 3 2 6 2 3 2" xfId="35235"/>
    <cellStyle name="Normal 8 3 2 6 2 4" xfId="28795"/>
    <cellStyle name="Normal 8 3 2 6 3" xfId="19088"/>
    <cellStyle name="Normal 8 3 2 6 3 2" xfId="41675"/>
    <cellStyle name="Normal 8 3 2 6 4" xfId="15868"/>
    <cellStyle name="Normal 8 3 2 6 4 2" xfId="38455"/>
    <cellStyle name="Normal 8 3 2 6 5" xfId="9428"/>
    <cellStyle name="Normal 8 3 2 6 5 2" xfId="32015"/>
    <cellStyle name="Normal 8 3 2 6 6" xfId="25575"/>
    <cellStyle name="Normal 8 3 2 7" xfId="3278"/>
    <cellStyle name="Normal 8 3 2 7 2" xfId="6498"/>
    <cellStyle name="Normal 8 3 2 7 2 2" xfId="22598"/>
    <cellStyle name="Normal 8 3 2 7 2 2 2" xfId="45185"/>
    <cellStyle name="Normal 8 3 2 7 2 3" xfId="12938"/>
    <cellStyle name="Normal 8 3 2 7 2 3 2" xfId="35525"/>
    <cellStyle name="Normal 8 3 2 7 2 4" xfId="29085"/>
    <cellStyle name="Normal 8 3 2 7 3" xfId="19378"/>
    <cellStyle name="Normal 8 3 2 7 3 2" xfId="41965"/>
    <cellStyle name="Normal 8 3 2 7 4" xfId="16158"/>
    <cellStyle name="Normal 8 3 2 7 4 2" xfId="38745"/>
    <cellStyle name="Normal 8 3 2 7 5" xfId="9718"/>
    <cellStyle name="Normal 8 3 2 7 5 2" xfId="32305"/>
    <cellStyle name="Normal 8 3 2 7 6" xfId="25865"/>
    <cellStyle name="Normal 8 3 2 8" xfId="635"/>
    <cellStyle name="Normal 8 3 2 8 2" xfId="3879"/>
    <cellStyle name="Normal 8 3 2 8 2 2" xfId="19979"/>
    <cellStyle name="Normal 8 3 2 8 2 2 2" xfId="42566"/>
    <cellStyle name="Normal 8 3 2 8 2 3" xfId="10319"/>
    <cellStyle name="Normal 8 3 2 8 2 3 2" xfId="32906"/>
    <cellStyle name="Normal 8 3 2 8 2 4" xfId="26466"/>
    <cellStyle name="Normal 8 3 2 8 3" xfId="16759"/>
    <cellStyle name="Normal 8 3 2 8 3 2" xfId="39346"/>
    <cellStyle name="Normal 8 3 2 8 4" xfId="13539"/>
    <cellStyle name="Normal 8 3 2 8 4 2" xfId="36126"/>
    <cellStyle name="Normal 8 3 2 8 5" xfId="7099"/>
    <cellStyle name="Normal 8 3 2 8 5 2" xfId="29686"/>
    <cellStyle name="Normal 8 3 2 8 6" xfId="23246"/>
    <cellStyle name="Normal 8 3 2 9" xfId="3568"/>
    <cellStyle name="Normal 8 3 2 9 2" xfId="19668"/>
    <cellStyle name="Normal 8 3 2 9 2 2" xfId="42255"/>
    <cellStyle name="Normal 8 3 2 9 3" xfId="10008"/>
    <cellStyle name="Normal 8 3 2 9 3 2" xfId="32595"/>
    <cellStyle name="Normal 8 3 2 9 4" xfId="26155"/>
    <cellStyle name="Normal 8 3 3" xfId="376"/>
    <cellStyle name="Normal 8 3 3 10" xfId="16543"/>
    <cellStyle name="Normal 8 3 3 10 2" xfId="39130"/>
    <cellStyle name="Normal 8 3 3 11" xfId="13323"/>
    <cellStyle name="Normal 8 3 3 11 2" xfId="35910"/>
    <cellStyle name="Normal 8 3 3 12" xfId="6883"/>
    <cellStyle name="Normal 8 3 3 12 2" xfId="29470"/>
    <cellStyle name="Normal 8 3 3 13" xfId="23030"/>
    <cellStyle name="Normal 8 3 3 2" xfId="1160"/>
    <cellStyle name="Normal 8 3 3 2 2" xfId="2474"/>
    <cellStyle name="Normal 8 3 3 2 2 2" xfId="5695"/>
    <cellStyle name="Normal 8 3 3 2 2 2 2" xfId="21795"/>
    <cellStyle name="Normal 8 3 3 2 2 2 2 2" xfId="44382"/>
    <cellStyle name="Normal 8 3 3 2 2 2 3" xfId="12135"/>
    <cellStyle name="Normal 8 3 3 2 2 2 3 2" xfId="34722"/>
    <cellStyle name="Normal 8 3 3 2 2 2 4" xfId="28282"/>
    <cellStyle name="Normal 8 3 3 2 2 3" xfId="18575"/>
    <cellStyle name="Normal 8 3 3 2 2 3 2" xfId="41162"/>
    <cellStyle name="Normal 8 3 3 2 2 4" xfId="15355"/>
    <cellStyle name="Normal 8 3 3 2 2 4 2" xfId="37942"/>
    <cellStyle name="Normal 8 3 3 2 2 5" xfId="8915"/>
    <cellStyle name="Normal 8 3 3 2 2 5 2" xfId="31502"/>
    <cellStyle name="Normal 8 3 3 2 2 6" xfId="25062"/>
    <cellStyle name="Normal 8 3 3 2 3" xfId="4387"/>
    <cellStyle name="Normal 8 3 3 2 3 2" xfId="20487"/>
    <cellStyle name="Normal 8 3 3 2 3 2 2" xfId="43074"/>
    <cellStyle name="Normal 8 3 3 2 3 3" xfId="10827"/>
    <cellStyle name="Normal 8 3 3 2 3 3 2" xfId="33414"/>
    <cellStyle name="Normal 8 3 3 2 3 4" xfId="26974"/>
    <cellStyle name="Normal 8 3 3 2 4" xfId="17267"/>
    <cellStyle name="Normal 8 3 3 2 4 2" xfId="39854"/>
    <cellStyle name="Normal 8 3 3 2 5" xfId="14047"/>
    <cellStyle name="Normal 8 3 3 2 5 2" xfId="36634"/>
    <cellStyle name="Normal 8 3 3 2 6" xfId="7607"/>
    <cellStyle name="Normal 8 3 3 2 6 2" xfId="30194"/>
    <cellStyle name="Normal 8 3 3 2 7" xfId="23754"/>
    <cellStyle name="Normal 8 3 3 3" xfId="1507"/>
    <cellStyle name="Normal 8 3 3 3 2" xfId="2821"/>
    <cellStyle name="Normal 8 3 3 3 2 2" xfId="6042"/>
    <cellStyle name="Normal 8 3 3 3 2 2 2" xfId="22142"/>
    <cellStyle name="Normal 8 3 3 3 2 2 2 2" xfId="44729"/>
    <cellStyle name="Normal 8 3 3 3 2 2 3" xfId="12482"/>
    <cellStyle name="Normal 8 3 3 3 2 2 3 2" xfId="35069"/>
    <cellStyle name="Normal 8 3 3 3 2 2 4" xfId="28629"/>
    <cellStyle name="Normal 8 3 3 3 2 3" xfId="18922"/>
    <cellStyle name="Normal 8 3 3 3 2 3 2" xfId="41509"/>
    <cellStyle name="Normal 8 3 3 3 2 4" xfId="15702"/>
    <cellStyle name="Normal 8 3 3 3 2 4 2" xfId="38289"/>
    <cellStyle name="Normal 8 3 3 3 2 5" xfId="9262"/>
    <cellStyle name="Normal 8 3 3 3 2 5 2" xfId="31849"/>
    <cellStyle name="Normal 8 3 3 3 2 6" xfId="25409"/>
    <cellStyle name="Normal 8 3 3 3 3" xfId="4734"/>
    <cellStyle name="Normal 8 3 3 3 3 2" xfId="20834"/>
    <cellStyle name="Normal 8 3 3 3 3 2 2" xfId="43421"/>
    <cellStyle name="Normal 8 3 3 3 3 3" xfId="11174"/>
    <cellStyle name="Normal 8 3 3 3 3 3 2" xfId="33761"/>
    <cellStyle name="Normal 8 3 3 3 3 4" xfId="27321"/>
    <cellStyle name="Normal 8 3 3 3 4" xfId="17614"/>
    <cellStyle name="Normal 8 3 3 3 4 2" xfId="40201"/>
    <cellStyle name="Normal 8 3 3 3 5" xfId="14394"/>
    <cellStyle name="Normal 8 3 3 3 5 2" xfId="36981"/>
    <cellStyle name="Normal 8 3 3 3 6" xfId="7954"/>
    <cellStyle name="Normal 8 3 3 3 6 2" xfId="30541"/>
    <cellStyle name="Normal 8 3 3 3 7" xfId="24101"/>
    <cellStyle name="Normal 8 3 3 4" xfId="1735"/>
    <cellStyle name="Normal 8 3 3 4 2" xfId="4958"/>
    <cellStyle name="Normal 8 3 3 4 2 2" xfId="21058"/>
    <cellStyle name="Normal 8 3 3 4 2 2 2" xfId="43645"/>
    <cellStyle name="Normal 8 3 3 4 2 3" xfId="11398"/>
    <cellStyle name="Normal 8 3 3 4 2 3 2" xfId="33985"/>
    <cellStyle name="Normal 8 3 3 4 2 4" xfId="27545"/>
    <cellStyle name="Normal 8 3 3 4 3" xfId="17838"/>
    <cellStyle name="Normal 8 3 3 4 3 2" xfId="40425"/>
    <cellStyle name="Normal 8 3 3 4 4" xfId="14618"/>
    <cellStyle name="Normal 8 3 3 4 4 2" xfId="37205"/>
    <cellStyle name="Normal 8 3 3 4 5" xfId="8178"/>
    <cellStyle name="Normal 8 3 3 4 5 2" xfId="30765"/>
    <cellStyle name="Normal 8 3 3 4 6" xfId="24325"/>
    <cellStyle name="Normal 8 3 3 5" xfId="2127"/>
    <cellStyle name="Normal 8 3 3 5 2" xfId="5348"/>
    <cellStyle name="Normal 8 3 3 5 2 2" xfId="21448"/>
    <cellStyle name="Normal 8 3 3 5 2 2 2" xfId="44035"/>
    <cellStyle name="Normal 8 3 3 5 2 3" xfId="11788"/>
    <cellStyle name="Normal 8 3 3 5 2 3 2" xfId="34375"/>
    <cellStyle name="Normal 8 3 3 5 2 4" xfId="27935"/>
    <cellStyle name="Normal 8 3 3 5 3" xfId="18228"/>
    <cellStyle name="Normal 8 3 3 5 3 2" xfId="40815"/>
    <cellStyle name="Normal 8 3 3 5 4" xfId="15008"/>
    <cellStyle name="Normal 8 3 3 5 4 2" xfId="37595"/>
    <cellStyle name="Normal 8 3 3 5 5" xfId="8568"/>
    <cellStyle name="Normal 8 3 3 5 5 2" xfId="31155"/>
    <cellStyle name="Normal 8 3 3 5 6" xfId="24715"/>
    <cellStyle name="Normal 8 3 3 6" xfId="3083"/>
    <cellStyle name="Normal 8 3 3 6 2" xfId="6303"/>
    <cellStyle name="Normal 8 3 3 6 2 2" xfId="22403"/>
    <cellStyle name="Normal 8 3 3 6 2 2 2" xfId="44990"/>
    <cellStyle name="Normal 8 3 3 6 2 3" xfId="12743"/>
    <cellStyle name="Normal 8 3 3 6 2 3 2" xfId="35330"/>
    <cellStyle name="Normal 8 3 3 6 2 4" xfId="28890"/>
    <cellStyle name="Normal 8 3 3 6 3" xfId="19183"/>
    <cellStyle name="Normal 8 3 3 6 3 2" xfId="41770"/>
    <cellStyle name="Normal 8 3 3 6 4" xfId="15963"/>
    <cellStyle name="Normal 8 3 3 6 4 2" xfId="38550"/>
    <cellStyle name="Normal 8 3 3 6 5" xfId="9523"/>
    <cellStyle name="Normal 8 3 3 6 5 2" xfId="32110"/>
    <cellStyle name="Normal 8 3 3 6 6" xfId="25670"/>
    <cellStyle name="Normal 8 3 3 7" xfId="3373"/>
    <cellStyle name="Normal 8 3 3 7 2" xfId="6593"/>
    <cellStyle name="Normal 8 3 3 7 2 2" xfId="22693"/>
    <cellStyle name="Normal 8 3 3 7 2 2 2" xfId="45280"/>
    <cellStyle name="Normal 8 3 3 7 2 3" xfId="13033"/>
    <cellStyle name="Normal 8 3 3 7 2 3 2" xfId="35620"/>
    <cellStyle name="Normal 8 3 3 7 2 4" xfId="29180"/>
    <cellStyle name="Normal 8 3 3 7 3" xfId="19473"/>
    <cellStyle name="Normal 8 3 3 7 3 2" xfId="42060"/>
    <cellStyle name="Normal 8 3 3 7 4" xfId="16253"/>
    <cellStyle name="Normal 8 3 3 7 4 2" xfId="38840"/>
    <cellStyle name="Normal 8 3 3 7 5" xfId="9813"/>
    <cellStyle name="Normal 8 3 3 7 5 2" xfId="32400"/>
    <cellStyle name="Normal 8 3 3 7 6" xfId="25960"/>
    <cellStyle name="Normal 8 3 3 8" xfId="808"/>
    <cellStyle name="Normal 8 3 3 8 2" xfId="4040"/>
    <cellStyle name="Normal 8 3 3 8 2 2" xfId="20140"/>
    <cellStyle name="Normal 8 3 3 8 2 2 2" xfId="42727"/>
    <cellStyle name="Normal 8 3 3 8 2 3" xfId="10480"/>
    <cellStyle name="Normal 8 3 3 8 2 3 2" xfId="33067"/>
    <cellStyle name="Normal 8 3 3 8 2 4" xfId="26627"/>
    <cellStyle name="Normal 8 3 3 8 3" xfId="16920"/>
    <cellStyle name="Normal 8 3 3 8 3 2" xfId="39507"/>
    <cellStyle name="Normal 8 3 3 8 4" xfId="13700"/>
    <cellStyle name="Normal 8 3 3 8 4 2" xfId="36287"/>
    <cellStyle name="Normal 8 3 3 8 5" xfId="7260"/>
    <cellStyle name="Normal 8 3 3 8 5 2" xfId="29847"/>
    <cellStyle name="Normal 8 3 3 8 6" xfId="23407"/>
    <cellStyle name="Normal 8 3 3 9" xfId="3663"/>
    <cellStyle name="Normal 8 3 3 9 2" xfId="19763"/>
    <cellStyle name="Normal 8 3 3 9 2 2" xfId="42350"/>
    <cellStyle name="Normal 8 3 3 9 3" xfId="10103"/>
    <cellStyle name="Normal 8 3 3 9 3 2" xfId="32690"/>
    <cellStyle name="Normal 8 3 3 9 4" xfId="26250"/>
    <cellStyle name="Normal 8 3 4" xfId="875"/>
    <cellStyle name="Normal 8 3 4 2" xfId="2194"/>
    <cellStyle name="Normal 8 3 4 2 2" xfId="5415"/>
    <cellStyle name="Normal 8 3 4 2 2 2" xfId="21515"/>
    <cellStyle name="Normal 8 3 4 2 2 2 2" xfId="44102"/>
    <cellStyle name="Normal 8 3 4 2 2 3" xfId="11855"/>
    <cellStyle name="Normal 8 3 4 2 2 3 2" xfId="34442"/>
    <cellStyle name="Normal 8 3 4 2 2 4" xfId="28002"/>
    <cellStyle name="Normal 8 3 4 2 3" xfId="18295"/>
    <cellStyle name="Normal 8 3 4 2 3 2" xfId="40882"/>
    <cellStyle name="Normal 8 3 4 2 4" xfId="15075"/>
    <cellStyle name="Normal 8 3 4 2 4 2" xfId="37662"/>
    <cellStyle name="Normal 8 3 4 2 5" xfId="8635"/>
    <cellStyle name="Normal 8 3 4 2 5 2" xfId="31222"/>
    <cellStyle name="Normal 8 3 4 2 6" xfId="24782"/>
    <cellStyle name="Normal 8 3 4 3" xfId="4107"/>
    <cellStyle name="Normal 8 3 4 3 2" xfId="20207"/>
    <cellStyle name="Normal 8 3 4 3 2 2" xfId="42794"/>
    <cellStyle name="Normal 8 3 4 3 3" xfId="10547"/>
    <cellStyle name="Normal 8 3 4 3 3 2" xfId="33134"/>
    <cellStyle name="Normal 8 3 4 3 4" xfId="26694"/>
    <cellStyle name="Normal 8 3 4 4" xfId="16987"/>
    <cellStyle name="Normal 8 3 4 4 2" xfId="39574"/>
    <cellStyle name="Normal 8 3 4 5" xfId="13767"/>
    <cellStyle name="Normal 8 3 4 5 2" xfId="36354"/>
    <cellStyle name="Normal 8 3 4 6" xfId="7327"/>
    <cellStyle name="Normal 8 3 4 6 2" xfId="29914"/>
    <cellStyle name="Normal 8 3 4 7" xfId="23474"/>
    <cellStyle name="Normal 8 3 5" xfId="1227"/>
    <cellStyle name="Normal 8 3 5 2" xfId="2541"/>
    <cellStyle name="Normal 8 3 5 2 2" xfId="5762"/>
    <cellStyle name="Normal 8 3 5 2 2 2" xfId="21862"/>
    <cellStyle name="Normal 8 3 5 2 2 2 2" xfId="44449"/>
    <cellStyle name="Normal 8 3 5 2 2 3" xfId="12202"/>
    <cellStyle name="Normal 8 3 5 2 2 3 2" xfId="34789"/>
    <cellStyle name="Normal 8 3 5 2 2 4" xfId="28349"/>
    <cellStyle name="Normal 8 3 5 2 3" xfId="18642"/>
    <cellStyle name="Normal 8 3 5 2 3 2" xfId="41229"/>
    <cellStyle name="Normal 8 3 5 2 4" xfId="15422"/>
    <cellStyle name="Normal 8 3 5 2 4 2" xfId="38009"/>
    <cellStyle name="Normal 8 3 5 2 5" xfId="8982"/>
    <cellStyle name="Normal 8 3 5 2 5 2" xfId="31569"/>
    <cellStyle name="Normal 8 3 5 2 6" xfId="25129"/>
    <cellStyle name="Normal 8 3 5 3" xfId="4454"/>
    <cellStyle name="Normal 8 3 5 3 2" xfId="20554"/>
    <cellStyle name="Normal 8 3 5 3 2 2" xfId="43141"/>
    <cellStyle name="Normal 8 3 5 3 3" xfId="10894"/>
    <cellStyle name="Normal 8 3 5 3 3 2" xfId="33481"/>
    <cellStyle name="Normal 8 3 5 3 4" xfId="27041"/>
    <cellStyle name="Normal 8 3 5 4" xfId="17334"/>
    <cellStyle name="Normal 8 3 5 4 2" xfId="39921"/>
    <cellStyle name="Normal 8 3 5 5" xfId="14114"/>
    <cellStyle name="Normal 8 3 5 5 2" xfId="36701"/>
    <cellStyle name="Normal 8 3 5 6" xfId="7674"/>
    <cellStyle name="Normal 8 3 5 6 2" xfId="30261"/>
    <cellStyle name="Normal 8 3 5 7" xfId="23821"/>
    <cellStyle name="Normal 8 3 6" xfId="1736"/>
    <cellStyle name="Normal 8 3 6 2" xfId="4959"/>
    <cellStyle name="Normal 8 3 6 2 2" xfId="21059"/>
    <cellStyle name="Normal 8 3 6 2 2 2" xfId="43646"/>
    <cellStyle name="Normal 8 3 6 2 3" xfId="11399"/>
    <cellStyle name="Normal 8 3 6 2 3 2" xfId="33986"/>
    <cellStyle name="Normal 8 3 6 2 4" xfId="27546"/>
    <cellStyle name="Normal 8 3 6 3" xfId="17839"/>
    <cellStyle name="Normal 8 3 6 3 2" xfId="40426"/>
    <cellStyle name="Normal 8 3 6 4" xfId="14619"/>
    <cellStyle name="Normal 8 3 6 4 2" xfId="37206"/>
    <cellStyle name="Normal 8 3 6 5" xfId="8179"/>
    <cellStyle name="Normal 8 3 6 5 2" xfId="30766"/>
    <cellStyle name="Normal 8 3 6 6" xfId="24326"/>
    <cellStyle name="Normal 8 3 7" xfId="1846"/>
    <cellStyle name="Normal 8 3 7 2" xfId="5068"/>
    <cellStyle name="Normal 8 3 7 2 2" xfId="21168"/>
    <cellStyle name="Normal 8 3 7 2 2 2" xfId="43755"/>
    <cellStyle name="Normal 8 3 7 2 3" xfId="11508"/>
    <cellStyle name="Normal 8 3 7 2 3 2" xfId="34095"/>
    <cellStyle name="Normal 8 3 7 2 4" xfId="27655"/>
    <cellStyle name="Normal 8 3 7 3" xfId="17948"/>
    <cellStyle name="Normal 8 3 7 3 2" xfId="40535"/>
    <cellStyle name="Normal 8 3 7 4" xfId="14728"/>
    <cellStyle name="Normal 8 3 7 4 2" xfId="37315"/>
    <cellStyle name="Normal 8 3 7 5" xfId="8288"/>
    <cellStyle name="Normal 8 3 7 5 2" xfId="30875"/>
    <cellStyle name="Normal 8 3 7 6" xfId="24435"/>
    <cellStyle name="Normal 8 3 8" xfId="2889"/>
    <cellStyle name="Normal 8 3 8 2" xfId="6110"/>
    <cellStyle name="Normal 8 3 8 2 2" xfId="22210"/>
    <cellStyle name="Normal 8 3 8 2 2 2" xfId="44797"/>
    <cellStyle name="Normal 8 3 8 2 3" xfId="12550"/>
    <cellStyle name="Normal 8 3 8 2 3 2" xfId="35137"/>
    <cellStyle name="Normal 8 3 8 2 4" xfId="28697"/>
    <cellStyle name="Normal 8 3 8 3" xfId="18990"/>
    <cellStyle name="Normal 8 3 8 3 2" xfId="41577"/>
    <cellStyle name="Normal 8 3 8 4" xfId="15770"/>
    <cellStyle name="Normal 8 3 8 4 2" xfId="38357"/>
    <cellStyle name="Normal 8 3 8 5" xfId="9330"/>
    <cellStyle name="Normal 8 3 8 5 2" xfId="31917"/>
    <cellStyle name="Normal 8 3 8 6" xfId="25477"/>
    <cellStyle name="Normal 8 3 9" xfId="3180"/>
    <cellStyle name="Normal 8 3 9 2" xfId="6400"/>
    <cellStyle name="Normal 8 3 9 2 2" xfId="22500"/>
    <cellStyle name="Normal 8 3 9 2 2 2" xfId="45087"/>
    <cellStyle name="Normal 8 3 9 2 3" xfId="12840"/>
    <cellStyle name="Normal 8 3 9 2 3 2" xfId="35427"/>
    <cellStyle name="Normal 8 3 9 2 4" xfId="28987"/>
    <cellStyle name="Normal 8 3 9 3" xfId="19280"/>
    <cellStyle name="Normal 8 3 9 3 2" xfId="41867"/>
    <cellStyle name="Normal 8 3 9 4" xfId="16060"/>
    <cellStyle name="Normal 8 3 9 4 2" xfId="38647"/>
    <cellStyle name="Normal 8 3 9 5" xfId="9620"/>
    <cellStyle name="Normal 8 3 9 5 2" xfId="32207"/>
    <cellStyle name="Normal 8 3 9 6" xfId="25767"/>
    <cellStyle name="Normal 8 4" xfId="226"/>
    <cellStyle name="Normal 8 4 10" xfId="513"/>
    <cellStyle name="Normal 8 4 10 2" xfId="3800"/>
    <cellStyle name="Normal 8 4 10 2 2" xfId="19900"/>
    <cellStyle name="Normal 8 4 10 2 2 2" xfId="42487"/>
    <cellStyle name="Normal 8 4 10 2 3" xfId="10240"/>
    <cellStyle name="Normal 8 4 10 2 3 2" xfId="32827"/>
    <cellStyle name="Normal 8 4 10 2 4" xfId="26387"/>
    <cellStyle name="Normal 8 4 10 3" xfId="16680"/>
    <cellStyle name="Normal 8 4 10 3 2" xfId="39267"/>
    <cellStyle name="Normal 8 4 10 4" xfId="13460"/>
    <cellStyle name="Normal 8 4 10 4 2" xfId="36047"/>
    <cellStyle name="Normal 8 4 10 5" xfId="7020"/>
    <cellStyle name="Normal 8 4 10 5 2" xfId="29607"/>
    <cellStyle name="Normal 8 4 10 6" xfId="23167"/>
    <cellStyle name="Normal 8 4 11" xfId="3514"/>
    <cellStyle name="Normal 8 4 11 2" xfId="19614"/>
    <cellStyle name="Normal 8 4 11 2 2" xfId="42201"/>
    <cellStyle name="Normal 8 4 11 3" xfId="9954"/>
    <cellStyle name="Normal 8 4 11 3 2" xfId="32541"/>
    <cellStyle name="Normal 8 4 11 4" xfId="26101"/>
    <cellStyle name="Normal 8 4 12" xfId="16394"/>
    <cellStyle name="Normal 8 4 12 2" xfId="38981"/>
    <cellStyle name="Normal 8 4 13" xfId="13174"/>
    <cellStyle name="Normal 8 4 13 2" xfId="35761"/>
    <cellStyle name="Normal 8 4 14" xfId="6734"/>
    <cellStyle name="Normal 8 4 14 2" xfId="29321"/>
    <cellStyle name="Normal 8 4 15" xfId="22881"/>
    <cellStyle name="Normal 8 4 2" xfId="324"/>
    <cellStyle name="Normal 8 4 2 10" xfId="16491"/>
    <cellStyle name="Normal 8 4 2 10 2" xfId="39078"/>
    <cellStyle name="Normal 8 4 2 11" xfId="13271"/>
    <cellStyle name="Normal 8 4 2 11 2" xfId="35858"/>
    <cellStyle name="Normal 8 4 2 12" xfId="6831"/>
    <cellStyle name="Normal 8 4 2 12 2" xfId="29418"/>
    <cellStyle name="Normal 8 4 2 13" xfId="22978"/>
    <cellStyle name="Normal 8 4 2 2" xfId="1036"/>
    <cellStyle name="Normal 8 4 2 2 2" xfId="2350"/>
    <cellStyle name="Normal 8 4 2 2 2 2" xfId="5571"/>
    <cellStyle name="Normal 8 4 2 2 2 2 2" xfId="21671"/>
    <cellStyle name="Normal 8 4 2 2 2 2 2 2" xfId="44258"/>
    <cellStyle name="Normal 8 4 2 2 2 2 3" xfId="12011"/>
    <cellStyle name="Normal 8 4 2 2 2 2 3 2" xfId="34598"/>
    <cellStyle name="Normal 8 4 2 2 2 2 4" xfId="28158"/>
    <cellStyle name="Normal 8 4 2 2 2 3" xfId="18451"/>
    <cellStyle name="Normal 8 4 2 2 2 3 2" xfId="41038"/>
    <cellStyle name="Normal 8 4 2 2 2 4" xfId="15231"/>
    <cellStyle name="Normal 8 4 2 2 2 4 2" xfId="37818"/>
    <cellStyle name="Normal 8 4 2 2 2 5" xfId="8791"/>
    <cellStyle name="Normal 8 4 2 2 2 5 2" xfId="31378"/>
    <cellStyle name="Normal 8 4 2 2 2 6" xfId="24938"/>
    <cellStyle name="Normal 8 4 2 2 3" xfId="4263"/>
    <cellStyle name="Normal 8 4 2 2 3 2" xfId="20363"/>
    <cellStyle name="Normal 8 4 2 2 3 2 2" xfId="42950"/>
    <cellStyle name="Normal 8 4 2 2 3 3" xfId="10703"/>
    <cellStyle name="Normal 8 4 2 2 3 3 2" xfId="33290"/>
    <cellStyle name="Normal 8 4 2 2 3 4" xfId="26850"/>
    <cellStyle name="Normal 8 4 2 2 4" xfId="17143"/>
    <cellStyle name="Normal 8 4 2 2 4 2" xfId="39730"/>
    <cellStyle name="Normal 8 4 2 2 5" xfId="13923"/>
    <cellStyle name="Normal 8 4 2 2 5 2" xfId="36510"/>
    <cellStyle name="Normal 8 4 2 2 6" xfId="7483"/>
    <cellStyle name="Normal 8 4 2 2 6 2" xfId="30070"/>
    <cellStyle name="Normal 8 4 2 2 7" xfId="23630"/>
    <cellStyle name="Normal 8 4 2 3" xfId="1383"/>
    <cellStyle name="Normal 8 4 2 3 2" xfId="2697"/>
    <cellStyle name="Normal 8 4 2 3 2 2" xfId="5918"/>
    <cellStyle name="Normal 8 4 2 3 2 2 2" xfId="22018"/>
    <cellStyle name="Normal 8 4 2 3 2 2 2 2" xfId="44605"/>
    <cellStyle name="Normal 8 4 2 3 2 2 3" xfId="12358"/>
    <cellStyle name="Normal 8 4 2 3 2 2 3 2" xfId="34945"/>
    <cellStyle name="Normal 8 4 2 3 2 2 4" xfId="28505"/>
    <cellStyle name="Normal 8 4 2 3 2 3" xfId="18798"/>
    <cellStyle name="Normal 8 4 2 3 2 3 2" xfId="41385"/>
    <cellStyle name="Normal 8 4 2 3 2 4" xfId="15578"/>
    <cellStyle name="Normal 8 4 2 3 2 4 2" xfId="38165"/>
    <cellStyle name="Normal 8 4 2 3 2 5" xfId="9138"/>
    <cellStyle name="Normal 8 4 2 3 2 5 2" xfId="31725"/>
    <cellStyle name="Normal 8 4 2 3 2 6" xfId="25285"/>
    <cellStyle name="Normal 8 4 2 3 3" xfId="4610"/>
    <cellStyle name="Normal 8 4 2 3 3 2" xfId="20710"/>
    <cellStyle name="Normal 8 4 2 3 3 2 2" xfId="43297"/>
    <cellStyle name="Normal 8 4 2 3 3 3" xfId="11050"/>
    <cellStyle name="Normal 8 4 2 3 3 3 2" xfId="33637"/>
    <cellStyle name="Normal 8 4 2 3 3 4" xfId="27197"/>
    <cellStyle name="Normal 8 4 2 3 4" xfId="17490"/>
    <cellStyle name="Normal 8 4 2 3 4 2" xfId="40077"/>
    <cellStyle name="Normal 8 4 2 3 5" xfId="14270"/>
    <cellStyle name="Normal 8 4 2 3 5 2" xfId="36857"/>
    <cellStyle name="Normal 8 4 2 3 6" xfId="7830"/>
    <cellStyle name="Normal 8 4 2 3 6 2" xfId="30417"/>
    <cellStyle name="Normal 8 4 2 3 7" xfId="23977"/>
    <cellStyle name="Normal 8 4 2 4" xfId="1737"/>
    <cellStyle name="Normal 8 4 2 4 2" xfId="4960"/>
    <cellStyle name="Normal 8 4 2 4 2 2" xfId="21060"/>
    <cellStyle name="Normal 8 4 2 4 2 2 2" xfId="43647"/>
    <cellStyle name="Normal 8 4 2 4 2 3" xfId="11400"/>
    <cellStyle name="Normal 8 4 2 4 2 3 2" xfId="33987"/>
    <cellStyle name="Normal 8 4 2 4 2 4" xfId="27547"/>
    <cellStyle name="Normal 8 4 2 4 3" xfId="17840"/>
    <cellStyle name="Normal 8 4 2 4 3 2" xfId="40427"/>
    <cellStyle name="Normal 8 4 2 4 4" xfId="14620"/>
    <cellStyle name="Normal 8 4 2 4 4 2" xfId="37207"/>
    <cellStyle name="Normal 8 4 2 4 5" xfId="8180"/>
    <cellStyle name="Normal 8 4 2 4 5 2" xfId="30767"/>
    <cellStyle name="Normal 8 4 2 4 6" xfId="24327"/>
    <cellStyle name="Normal 8 4 2 5" xfId="2002"/>
    <cellStyle name="Normal 8 4 2 5 2" xfId="5224"/>
    <cellStyle name="Normal 8 4 2 5 2 2" xfId="21324"/>
    <cellStyle name="Normal 8 4 2 5 2 2 2" xfId="43911"/>
    <cellStyle name="Normal 8 4 2 5 2 3" xfId="11664"/>
    <cellStyle name="Normal 8 4 2 5 2 3 2" xfId="34251"/>
    <cellStyle name="Normal 8 4 2 5 2 4" xfId="27811"/>
    <cellStyle name="Normal 8 4 2 5 3" xfId="18104"/>
    <cellStyle name="Normal 8 4 2 5 3 2" xfId="40691"/>
    <cellStyle name="Normal 8 4 2 5 4" xfId="14884"/>
    <cellStyle name="Normal 8 4 2 5 4 2" xfId="37471"/>
    <cellStyle name="Normal 8 4 2 5 5" xfId="8444"/>
    <cellStyle name="Normal 8 4 2 5 5 2" xfId="31031"/>
    <cellStyle name="Normal 8 4 2 5 6" xfId="24591"/>
    <cellStyle name="Normal 8 4 2 6" xfId="3031"/>
    <cellStyle name="Normal 8 4 2 6 2" xfId="6251"/>
    <cellStyle name="Normal 8 4 2 6 2 2" xfId="22351"/>
    <cellStyle name="Normal 8 4 2 6 2 2 2" xfId="44938"/>
    <cellStyle name="Normal 8 4 2 6 2 3" xfId="12691"/>
    <cellStyle name="Normal 8 4 2 6 2 3 2" xfId="35278"/>
    <cellStyle name="Normal 8 4 2 6 2 4" xfId="28838"/>
    <cellStyle name="Normal 8 4 2 6 3" xfId="19131"/>
    <cellStyle name="Normal 8 4 2 6 3 2" xfId="41718"/>
    <cellStyle name="Normal 8 4 2 6 4" xfId="15911"/>
    <cellStyle name="Normal 8 4 2 6 4 2" xfId="38498"/>
    <cellStyle name="Normal 8 4 2 6 5" xfId="9471"/>
    <cellStyle name="Normal 8 4 2 6 5 2" xfId="32058"/>
    <cellStyle name="Normal 8 4 2 6 6" xfId="25618"/>
    <cellStyle name="Normal 8 4 2 7" xfId="3321"/>
    <cellStyle name="Normal 8 4 2 7 2" xfId="6541"/>
    <cellStyle name="Normal 8 4 2 7 2 2" xfId="22641"/>
    <cellStyle name="Normal 8 4 2 7 2 2 2" xfId="45228"/>
    <cellStyle name="Normal 8 4 2 7 2 3" xfId="12981"/>
    <cellStyle name="Normal 8 4 2 7 2 3 2" xfId="35568"/>
    <cellStyle name="Normal 8 4 2 7 2 4" xfId="29128"/>
    <cellStyle name="Normal 8 4 2 7 3" xfId="19421"/>
    <cellStyle name="Normal 8 4 2 7 3 2" xfId="42008"/>
    <cellStyle name="Normal 8 4 2 7 4" xfId="16201"/>
    <cellStyle name="Normal 8 4 2 7 4 2" xfId="38788"/>
    <cellStyle name="Normal 8 4 2 7 5" xfId="9761"/>
    <cellStyle name="Normal 8 4 2 7 5 2" xfId="32348"/>
    <cellStyle name="Normal 8 4 2 7 6" xfId="25908"/>
    <cellStyle name="Normal 8 4 2 8" xfId="672"/>
    <cellStyle name="Normal 8 4 2 8 2" xfId="3916"/>
    <cellStyle name="Normal 8 4 2 8 2 2" xfId="20016"/>
    <cellStyle name="Normal 8 4 2 8 2 2 2" xfId="42603"/>
    <cellStyle name="Normal 8 4 2 8 2 3" xfId="10356"/>
    <cellStyle name="Normal 8 4 2 8 2 3 2" xfId="32943"/>
    <cellStyle name="Normal 8 4 2 8 2 4" xfId="26503"/>
    <cellStyle name="Normal 8 4 2 8 3" xfId="16796"/>
    <cellStyle name="Normal 8 4 2 8 3 2" xfId="39383"/>
    <cellStyle name="Normal 8 4 2 8 4" xfId="13576"/>
    <cellStyle name="Normal 8 4 2 8 4 2" xfId="36163"/>
    <cellStyle name="Normal 8 4 2 8 5" xfId="7136"/>
    <cellStyle name="Normal 8 4 2 8 5 2" xfId="29723"/>
    <cellStyle name="Normal 8 4 2 8 6" xfId="23283"/>
    <cellStyle name="Normal 8 4 2 9" xfId="3611"/>
    <cellStyle name="Normal 8 4 2 9 2" xfId="19711"/>
    <cellStyle name="Normal 8 4 2 9 2 2" xfId="42298"/>
    <cellStyle name="Normal 8 4 2 9 3" xfId="10051"/>
    <cellStyle name="Normal 8 4 2 9 3 2" xfId="32638"/>
    <cellStyle name="Normal 8 4 2 9 4" xfId="26198"/>
    <cellStyle name="Normal 8 4 3" xfId="420"/>
    <cellStyle name="Normal 8 4 3 10" xfId="16587"/>
    <cellStyle name="Normal 8 4 3 10 2" xfId="39174"/>
    <cellStyle name="Normal 8 4 3 11" xfId="13367"/>
    <cellStyle name="Normal 8 4 3 11 2" xfId="35954"/>
    <cellStyle name="Normal 8 4 3 12" xfId="6927"/>
    <cellStyle name="Normal 8 4 3 12 2" xfId="29514"/>
    <cellStyle name="Normal 8 4 3 13" xfId="23074"/>
    <cellStyle name="Normal 8 4 3 2" xfId="1120"/>
    <cellStyle name="Normal 8 4 3 2 2" xfId="2434"/>
    <cellStyle name="Normal 8 4 3 2 2 2" xfId="5655"/>
    <cellStyle name="Normal 8 4 3 2 2 2 2" xfId="21755"/>
    <cellStyle name="Normal 8 4 3 2 2 2 2 2" xfId="44342"/>
    <cellStyle name="Normal 8 4 3 2 2 2 3" xfId="12095"/>
    <cellStyle name="Normal 8 4 3 2 2 2 3 2" xfId="34682"/>
    <cellStyle name="Normal 8 4 3 2 2 2 4" xfId="28242"/>
    <cellStyle name="Normal 8 4 3 2 2 3" xfId="18535"/>
    <cellStyle name="Normal 8 4 3 2 2 3 2" xfId="41122"/>
    <cellStyle name="Normal 8 4 3 2 2 4" xfId="15315"/>
    <cellStyle name="Normal 8 4 3 2 2 4 2" xfId="37902"/>
    <cellStyle name="Normal 8 4 3 2 2 5" xfId="8875"/>
    <cellStyle name="Normal 8 4 3 2 2 5 2" xfId="31462"/>
    <cellStyle name="Normal 8 4 3 2 2 6" xfId="25022"/>
    <cellStyle name="Normal 8 4 3 2 3" xfId="4347"/>
    <cellStyle name="Normal 8 4 3 2 3 2" xfId="20447"/>
    <cellStyle name="Normal 8 4 3 2 3 2 2" xfId="43034"/>
    <cellStyle name="Normal 8 4 3 2 3 3" xfId="10787"/>
    <cellStyle name="Normal 8 4 3 2 3 3 2" xfId="33374"/>
    <cellStyle name="Normal 8 4 3 2 3 4" xfId="26934"/>
    <cellStyle name="Normal 8 4 3 2 4" xfId="17227"/>
    <cellStyle name="Normal 8 4 3 2 4 2" xfId="39814"/>
    <cellStyle name="Normal 8 4 3 2 5" xfId="14007"/>
    <cellStyle name="Normal 8 4 3 2 5 2" xfId="36594"/>
    <cellStyle name="Normal 8 4 3 2 6" xfId="7567"/>
    <cellStyle name="Normal 8 4 3 2 6 2" xfId="30154"/>
    <cellStyle name="Normal 8 4 3 2 7" xfId="23714"/>
    <cellStyle name="Normal 8 4 3 3" xfId="1467"/>
    <cellStyle name="Normal 8 4 3 3 2" xfId="2781"/>
    <cellStyle name="Normal 8 4 3 3 2 2" xfId="6002"/>
    <cellStyle name="Normal 8 4 3 3 2 2 2" xfId="22102"/>
    <cellStyle name="Normal 8 4 3 3 2 2 2 2" xfId="44689"/>
    <cellStyle name="Normal 8 4 3 3 2 2 3" xfId="12442"/>
    <cellStyle name="Normal 8 4 3 3 2 2 3 2" xfId="35029"/>
    <cellStyle name="Normal 8 4 3 3 2 2 4" xfId="28589"/>
    <cellStyle name="Normal 8 4 3 3 2 3" xfId="18882"/>
    <cellStyle name="Normal 8 4 3 3 2 3 2" xfId="41469"/>
    <cellStyle name="Normal 8 4 3 3 2 4" xfId="15662"/>
    <cellStyle name="Normal 8 4 3 3 2 4 2" xfId="38249"/>
    <cellStyle name="Normal 8 4 3 3 2 5" xfId="9222"/>
    <cellStyle name="Normal 8 4 3 3 2 5 2" xfId="31809"/>
    <cellStyle name="Normal 8 4 3 3 2 6" xfId="25369"/>
    <cellStyle name="Normal 8 4 3 3 3" xfId="4694"/>
    <cellStyle name="Normal 8 4 3 3 3 2" xfId="20794"/>
    <cellStyle name="Normal 8 4 3 3 3 2 2" xfId="43381"/>
    <cellStyle name="Normal 8 4 3 3 3 3" xfId="11134"/>
    <cellStyle name="Normal 8 4 3 3 3 3 2" xfId="33721"/>
    <cellStyle name="Normal 8 4 3 3 3 4" xfId="27281"/>
    <cellStyle name="Normal 8 4 3 3 4" xfId="17574"/>
    <cellStyle name="Normal 8 4 3 3 4 2" xfId="40161"/>
    <cellStyle name="Normal 8 4 3 3 5" xfId="14354"/>
    <cellStyle name="Normal 8 4 3 3 5 2" xfId="36941"/>
    <cellStyle name="Normal 8 4 3 3 6" xfId="7914"/>
    <cellStyle name="Normal 8 4 3 3 6 2" xfId="30501"/>
    <cellStyle name="Normal 8 4 3 3 7" xfId="24061"/>
    <cellStyle name="Normal 8 4 3 4" xfId="1738"/>
    <cellStyle name="Normal 8 4 3 4 2" xfId="4961"/>
    <cellStyle name="Normal 8 4 3 4 2 2" xfId="21061"/>
    <cellStyle name="Normal 8 4 3 4 2 2 2" xfId="43648"/>
    <cellStyle name="Normal 8 4 3 4 2 3" xfId="11401"/>
    <cellStyle name="Normal 8 4 3 4 2 3 2" xfId="33988"/>
    <cellStyle name="Normal 8 4 3 4 2 4" xfId="27548"/>
    <cellStyle name="Normal 8 4 3 4 3" xfId="17841"/>
    <cellStyle name="Normal 8 4 3 4 3 2" xfId="40428"/>
    <cellStyle name="Normal 8 4 3 4 4" xfId="14621"/>
    <cellStyle name="Normal 8 4 3 4 4 2" xfId="37208"/>
    <cellStyle name="Normal 8 4 3 4 5" xfId="8181"/>
    <cellStyle name="Normal 8 4 3 4 5 2" xfId="30768"/>
    <cellStyle name="Normal 8 4 3 4 6" xfId="24328"/>
    <cellStyle name="Normal 8 4 3 5" xfId="2087"/>
    <cellStyle name="Normal 8 4 3 5 2" xfId="5308"/>
    <cellStyle name="Normal 8 4 3 5 2 2" xfId="21408"/>
    <cellStyle name="Normal 8 4 3 5 2 2 2" xfId="43995"/>
    <cellStyle name="Normal 8 4 3 5 2 3" xfId="11748"/>
    <cellStyle name="Normal 8 4 3 5 2 3 2" xfId="34335"/>
    <cellStyle name="Normal 8 4 3 5 2 4" xfId="27895"/>
    <cellStyle name="Normal 8 4 3 5 3" xfId="18188"/>
    <cellStyle name="Normal 8 4 3 5 3 2" xfId="40775"/>
    <cellStyle name="Normal 8 4 3 5 4" xfId="14968"/>
    <cellStyle name="Normal 8 4 3 5 4 2" xfId="37555"/>
    <cellStyle name="Normal 8 4 3 5 5" xfId="8528"/>
    <cellStyle name="Normal 8 4 3 5 5 2" xfId="31115"/>
    <cellStyle name="Normal 8 4 3 5 6" xfId="24675"/>
    <cellStyle name="Normal 8 4 3 6" xfId="3127"/>
    <cellStyle name="Normal 8 4 3 6 2" xfId="6347"/>
    <cellStyle name="Normal 8 4 3 6 2 2" xfId="22447"/>
    <cellStyle name="Normal 8 4 3 6 2 2 2" xfId="45034"/>
    <cellStyle name="Normal 8 4 3 6 2 3" xfId="12787"/>
    <cellStyle name="Normal 8 4 3 6 2 3 2" xfId="35374"/>
    <cellStyle name="Normal 8 4 3 6 2 4" xfId="28934"/>
    <cellStyle name="Normal 8 4 3 6 3" xfId="19227"/>
    <cellStyle name="Normal 8 4 3 6 3 2" xfId="41814"/>
    <cellStyle name="Normal 8 4 3 6 4" xfId="16007"/>
    <cellStyle name="Normal 8 4 3 6 4 2" xfId="38594"/>
    <cellStyle name="Normal 8 4 3 6 5" xfId="9567"/>
    <cellStyle name="Normal 8 4 3 6 5 2" xfId="32154"/>
    <cellStyle name="Normal 8 4 3 6 6" xfId="25714"/>
    <cellStyle name="Normal 8 4 3 7" xfId="3417"/>
    <cellStyle name="Normal 8 4 3 7 2" xfId="6637"/>
    <cellStyle name="Normal 8 4 3 7 2 2" xfId="22737"/>
    <cellStyle name="Normal 8 4 3 7 2 2 2" xfId="45324"/>
    <cellStyle name="Normal 8 4 3 7 2 3" xfId="13077"/>
    <cellStyle name="Normal 8 4 3 7 2 3 2" xfId="35664"/>
    <cellStyle name="Normal 8 4 3 7 2 4" xfId="29224"/>
    <cellStyle name="Normal 8 4 3 7 3" xfId="19517"/>
    <cellStyle name="Normal 8 4 3 7 3 2" xfId="42104"/>
    <cellStyle name="Normal 8 4 3 7 4" xfId="16297"/>
    <cellStyle name="Normal 8 4 3 7 4 2" xfId="38884"/>
    <cellStyle name="Normal 8 4 3 7 5" xfId="9857"/>
    <cellStyle name="Normal 8 4 3 7 5 2" xfId="32444"/>
    <cellStyle name="Normal 8 4 3 7 6" xfId="26004"/>
    <cellStyle name="Normal 8 4 3 8" xfId="768"/>
    <cellStyle name="Normal 8 4 3 8 2" xfId="4000"/>
    <cellStyle name="Normal 8 4 3 8 2 2" xfId="20100"/>
    <cellStyle name="Normal 8 4 3 8 2 2 2" xfId="42687"/>
    <cellStyle name="Normal 8 4 3 8 2 3" xfId="10440"/>
    <cellStyle name="Normal 8 4 3 8 2 3 2" xfId="33027"/>
    <cellStyle name="Normal 8 4 3 8 2 4" xfId="26587"/>
    <cellStyle name="Normal 8 4 3 8 3" xfId="16880"/>
    <cellStyle name="Normal 8 4 3 8 3 2" xfId="39467"/>
    <cellStyle name="Normal 8 4 3 8 4" xfId="13660"/>
    <cellStyle name="Normal 8 4 3 8 4 2" xfId="36247"/>
    <cellStyle name="Normal 8 4 3 8 5" xfId="7220"/>
    <cellStyle name="Normal 8 4 3 8 5 2" xfId="29807"/>
    <cellStyle name="Normal 8 4 3 8 6" xfId="23367"/>
    <cellStyle name="Normal 8 4 3 9" xfId="3707"/>
    <cellStyle name="Normal 8 4 3 9 2" xfId="19807"/>
    <cellStyle name="Normal 8 4 3 9 2 2" xfId="42394"/>
    <cellStyle name="Normal 8 4 3 9 3" xfId="10147"/>
    <cellStyle name="Normal 8 4 3 9 3 2" xfId="32734"/>
    <cellStyle name="Normal 8 4 3 9 4" xfId="26294"/>
    <cellStyle name="Normal 8 4 4" xfId="915"/>
    <cellStyle name="Normal 8 4 4 2" xfId="2234"/>
    <cellStyle name="Normal 8 4 4 2 2" xfId="5455"/>
    <cellStyle name="Normal 8 4 4 2 2 2" xfId="21555"/>
    <cellStyle name="Normal 8 4 4 2 2 2 2" xfId="44142"/>
    <cellStyle name="Normal 8 4 4 2 2 3" xfId="11895"/>
    <cellStyle name="Normal 8 4 4 2 2 3 2" xfId="34482"/>
    <cellStyle name="Normal 8 4 4 2 2 4" xfId="28042"/>
    <cellStyle name="Normal 8 4 4 2 3" xfId="18335"/>
    <cellStyle name="Normal 8 4 4 2 3 2" xfId="40922"/>
    <cellStyle name="Normal 8 4 4 2 4" xfId="15115"/>
    <cellStyle name="Normal 8 4 4 2 4 2" xfId="37702"/>
    <cellStyle name="Normal 8 4 4 2 5" xfId="8675"/>
    <cellStyle name="Normal 8 4 4 2 5 2" xfId="31262"/>
    <cellStyle name="Normal 8 4 4 2 6" xfId="24822"/>
    <cellStyle name="Normal 8 4 4 3" xfId="4147"/>
    <cellStyle name="Normal 8 4 4 3 2" xfId="20247"/>
    <cellStyle name="Normal 8 4 4 3 2 2" xfId="42834"/>
    <cellStyle name="Normal 8 4 4 3 3" xfId="10587"/>
    <cellStyle name="Normal 8 4 4 3 3 2" xfId="33174"/>
    <cellStyle name="Normal 8 4 4 3 4" xfId="26734"/>
    <cellStyle name="Normal 8 4 4 4" xfId="17027"/>
    <cellStyle name="Normal 8 4 4 4 2" xfId="39614"/>
    <cellStyle name="Normal 8 4 4 5" xfId="13807"/>
    <cellStyle name="Normal 8 4 4 5 2" xfId="36394"/>
    <cellStyle name="Normal 8 4 4 6" xfId="7367"/>
    <cellStyle name="Normal 8 4 4 6 2" xfId="29954"/>
    <cellStyle name="Normal 8 4 4 7" xfId="23514"/>
    <cellStyle name="Normal 8 4 5" xfId="1267"/>
    <cellStyle name="Normal 8 4 5 2" xfId="2581"/>
    <cellStyle name="Normal 8 4 5 2 2" xfId="5802"/>
    <cellStyle name="Normal 8 4 5 2 2 2" xfId="21902"/>
    <cellStyle name="Normal 8 4 5 2 2 2 2" xfId="44489"/>
    <cellStyle name="Normal 8 4 5 2 2 3" xfId="12242"/>
    <cellStyle name="Normal 8 4 5 2 2 3 2" xfId="34829"/>
    <cellStyle name="Normal 8 4 5 2 2 4" xfId="28389"/>
    <cellStyle name="Normal 8 4 5 2 3" xfId="18682"/>
    <cellStyle name="Normal 8 4 5 2 3 2" xfId="41269"/>
    <cellStyle name="Normal 8 4 5 2 4" xfId="15462"/>
    <cellStyle name="Normal 8 4 5 2 4 2" xfId="38049"/>
    <cellStyle name="Normal 8 4 5 2 5" xfId="9022"/>
    <cellStyle name="Normal 8 4 5 2 5 2" xfId="31609"/>
    <cellStyle name="Normal 8 4 5 2 6" xfId="25169"/>
    <cellStyle name="Normal 8 4 5 3" xfId="4494"/>
    <cellStyle name="Normal 8 4 5 3 2" xfId="20594"/>
    <cellStyle name="Normal 8 4 5 3 2 2" xfId="43181"/>
    <cellStyle name="Normal 8 4 5 3 3" xfId="10934"/>
    <cellStyle name="Normal 8 4 5 3 3 2" xfId="33521"/>
    <cellStyle name="Normal 8 4 5 3 4" xfId="27081"/>
    <cellStyle name="Normal 8 4 5 4" xfId="17374"/>
    <cellStyle name="Normal 8 4 5 4 2" xfId="39961"/>
    <cellStyle name="Normal 8 4 5 5" xfId="14154"/>
    <cellStyle name="Normal 8 4 5 5 2" xfId="36741"/>
    <cellStyle name="Normal 8 4 5 6" xfId="7714"/>
    <cellStyle name="Normal 8 4 5 6 2" xfId="30301"/>
    <cellStyle name="Normal 8 4 5 7" xfId="23861"/>
    <cellStyle name="Normal 8 4 6" xfId="1739"/>
    <cellStyle name="Normal 8 4 6 2" xfId="4962"/>
    <cellStyle name="Normal 8 4 6 2 2" xfId="21062"/>
    <cellStyle name="Normal 8 4 6 2 2 2" xfId="43649"/>
    <cellStyle name="Normal 8 4 6 2 3" xfId="11402"/>
    <cellStyle name="Normal 8 4 6 2 3 2" xfId="33989"/>
    <cellStyle name="Normal 8 4 6 2 4" xfId="27549"/>
    <cellStyle name="Normal 8 4 6 3" xfId="17842"/>
    <cellStyle name="Normal 8 4 6 3 2" xfId="40429"/>
    <cellStyle name="Normal 8 4 6 4" xfId="14622"/>
    <cellStyle name="Normal 8 4 6 4 2" xfId="37209"/>
    <cellStyle name="Normal 8 4 6 5" xfId="8182"/>
    <cellStyle name="Normal 8 4 6 5 2" xfId="30769"/>
    <cellStyle name="Normal 8 4 6 6" xfId="24329"/>
    <cellStyle name="Normal 8 4 7" xfId="1886"/>
    <cellStyle name="Normal 8 4 7 2" xfId="5108"/>
    <cellStyle name="Normal 8 4 7 2 2" xfId="21208"/>
    <cellStyle name="Normal 8 4 7 2 2 2" xfId="43795"/>
    <cellStyle name="Normal 8 4 7 2 3" xfId="11548"/>
    <cellStyle name="Normal 8 4 7 2 3 2" xfId="34135"/>
    <cellStyle name="Normal 8 4 7 2 4" xfId="27695"/>
    <cellStyle name="Normal 8 4 7 3" xfId="17988"/>
    <cellStyle name="Normal 8 4 7 3 2" xfId="40575"/>
    <cellStyle name="Normal 8 4 7 4" xfId="14768"/>
    <cellStyle name="Normal 8 4 7 4 2" xfId="37355"/>
    <cellStyle name="Normal 8 4 7 5" xfId="8328"/>
    <cellStyle name="Normal 8 4 7 5 2" xfId="30915"/>
    <cellStyle name="Normal 8 4 7 6" xfId="24475"/>
    <cellStyle name="Normal 8 4 8" xfId="2933"/>
    <cellStyle name="Normal 8 4 8 2" xfId="6154"/>
    <cellStyle name="Normal 8 4 8 2 2" xfId="22254"/>
    <cellStyle name="Normal 8 4 8 2 2 2" xfId="44841"/>
    <cellStyle name="Normal 8 4 8 2 3" xfId="12594"/>
    <cellStyle name="Normal 8 4 8 2 3 2" xfId="35181"/>
    <cellStyle name="Normal 8 4 8 2 4" xfId="28741"/>
    <cellStyle name="Normal 8 4 8 3" xfId="19034"/>
    <cellStyle name="Normal 8 4 8 3 2" xfId="41621"/>
    <cellStyle name="Normal 8 4 8 4" xfId="15814"/>
    <cellStyle name="Normal 8 4 8 4 2" xfId="38401"/>
    <cellStyle name="Normal 8 4 8 5" xfId="9374"/>
    <cellStyle name="Normal 8 4 8 5 2" xfId="31961"/>
    <cellStyle name="Normal 8 4 8 6" xfId="25521"/>
    <cellStyle name="Normal 8 4 9" xfId="3224"/>
    <cellStyle name="Normal 8 4 9 2" xfId="6444"/>
    <cellStyle name="Normal 8 4 9 2 2" xfId="22544"/>
    <cellStyle name="Normal 8 4 9 2 2 2" xfId="45131"/>
    <cellStyle name="Normal 8 4 9 2 3" xfId="12884"/>
    <cellStyle name="Normal 8 4 9 2 3 2" xfId="35471"/>
    <cellStyle name="Normal 8 4 9 2 4" xfId="29031"/>
    <cellStyle name="Normal 8 4 9 3" xfId="19324"/>
    <cellStyle name="Normal 8 4 9 3 2" xfId="41911"/>
    <cellStyle name="Normal 8 4 9 4" xfId="16104"/>
    <cellStyle name="Normal 8 4 9 4 2" xfId="38691"/>
    <cellStyle name="Normal 8 4 9 5" xfId="9664"/>
    <cellStyle name="Normal 8 4 9 5 2" xfId="32251"/>
    <cellStyle name="Normal 8 4 9 6" xfId="25811"/>
    <cellStyle name="Normal 8 5" xfId="245"/>
    <cellStyle name="Normal 8 5 10" xfId="16413"/>
    <cellStyle name="Normal 8 5 10 2" xfId="39000"/>
    <cellStyle name="Normal 8 5 11" xfId="13193"/>
    <cellStyle name="Normal 8 5 11 2" xfId="35780"/>
    <cellStyle name="Normal 8 5 12" xfId="6753"/>
    <cellStyle name="Normal 8 5 12 2" xfId="29340"/>
    <cellStyle name="Normal 8 5 13" xfId="22900"/>
    <cellStyle name="Normal 8 5 2" xfId="965"/>
    <cellStyle name="Normal 8 5 2 2" xfId="1740"/>
    <cellStyle name="Normal 8 5 2 2 2" xfId="4963"/>
    <cellStyle name="Normal 8 5 2 2 2 2" xfId="21063"/>
    <cellStyle name="Normal 8 5 2 2 2 2 2" xfId="43650"/>
    <cellStyle name="Normal 8 5 2 2 2 3" xfId="11403"/>
    <cellStyle name="Normal 8 5 2 2 2 3 2" xfId="33990"/>
    <cellStyle name="Normal 8 5 2 2 2 4" xfId="27550"/>
    <cellStyle name="Normal 8 5 2 2 3" xfId="17843"/>
    <cellStyle name="Normal 8 5 2 2 3 2" xfId="40430"/>
    <cellStyle name="Normal 8 5 2 2 4" xfId="14623"/>
    <cellStyle name="Normal 8 5 2 2 4 2" xfId="37210"/>
    <cellStyle name="Normal 8 5 2 2 5" xfId="8183"/>
    <cellStyle name="Normal 8 5 2 2 5 2" xfId="30770"/>
    <cellStyle name="Normal 8 5 2 2 6" xfId="24330"/>
    <cellStyle name="Normal 8 5 2 3" xfId="2283"/>
    <cellStyle name="Normal 8 5 2 3 2" xfId="5504"/>
    <cellStyle name="Normal 8 5 2 3 2 2" xfId="21604"/>
    <cellStyle name="Normal 8 5 2 3 2 2 2" xfId="44191"/>
    <cellStyle name="Normal 8 5 2 3 2 3" xfId="11944"/>
    <cellStyle name="Normal 8 5 2 3 2 3 2" xfId="34531"/>
    <cellStyle name="Normal 8 5 2 3 2 4" xfId="28091"/>
    <cellStyle name="Normal 8 5 2 3 3" xfId="18384"/>
    <cellStyle name="Normal 8 5 2 3 3 2" xfId="40971"/>
    <cellStyle name="Normal 8 5 2 3 4" xfId="15164"/>
    <cellStyle name="Normal 8 5 2 3 4 2" xfId="37751"/>
    <cellStyle name="Normal 8 5 2 3 5" xfId="8724"/>
    <cellStyle name="Normal 8 5 2 3 5 2" xfId="31311"/>
    <cellStyle name="Normal 8 5 2 3 6" xfId="24871"/>
    <cellStyle name="Normal 8 5 2 4" xfId="4196"/>
    <cellStyle name="Normal 8 5 2 4 2" xfId="20296"/>
    <cellStyle name="Normal 8 5 2 4 2 2" xfId="42883"/>
    <cellStyle name="Normal 8 5 2 4 3" xfId="10636"/>
    <cellStyle name="Normal 8 5 2 4 3 2" xfId="33223"/>
    <cellStyle name="Normal 8 5 2 4 4" xfId="26783"/>
    <cellStyle name="Normal 8 5 2 5" xfId="17076"/>
    <cellStyle name="Normal 8 5 2 5 2" xfId="39663"/>
    <cellStyle name="Normal 8 5 2 6" xfId="13856"/>
    <cellStyle name="Normal 8 5 2 6 2" xfId="36443"/>
    <cellStyle name="Normal 8 5 2 7" xfId="7416"/>
    <cellStyle name="Normal 8 5 2 7 2" xfId="30003"/>
    <cellStyle name="Normal 8 5 2 8" xfId="23563"/>
    <cellStyle name="Normal 8 5 3" xfId="1316"/>
    <cellStyle name="Normal 8 5 3 2" xfId="2630"/>
    <cellStyle name="Normal 8 5 3 2 2" xfId="5851"/>
    <cellStyle name="Normal 8 5 3 2 2 2" xfId="21951"/>
    <cellStyle name="Normal 8 5 3 2 2 2 2" xfId="44538"/>
    <cellStyle name="Normal 8 5 3 2 2 3" xfId="12291"/>
    <cellStyle name="Normal 8 5 3 2 2 3 2" xfId="34878"/>
    <cellStyle name="Normal 8 5 3 2 2 4" xfId="28438"/>
    <cellStyle name="Normal 8 5 3 2 3" xfId="18731"/>
    <cellStyle name="Normal 8 5 3 2 3 2" xfId="41318"/>
    <cellStyle name="Normal 8 5 3 2 4" xfId="15511"/>
    <cellStyle name="Normal 8 5 3 2 4 2" xfId="38098"/>
    <cellStyle name="Normal 8 5 3 2 5" xfId="9071"/>
    <cellStyle name="Normal 8 5 3 2 5 2" xfId="31658"/>
    <cellStyle name="Normal 8 5 3 2 6" xfId="25218"/>
    <cellStyle name="Normal 8 5 3 3" xfId="4543"/>
    <cellStyle name="Normal 8 5 3 3 2" xfId="20643"/>
    <cellStyle name="Normal 8 5 3 3 2 2" xfId="43230"/>
    <cellStyle name="Normal 8 5 3 3 3" xfId="10983"/>
    <cellStyle name="Normal 8 5 3 3 3 2" xfId="33570"/>
    <cellStyle name="Normal 8 5 3 3 4" xfId="27130"/>
    <cellStyle name="Normal 8 5 3 4" xfId="17423"/>
    <cellStyle name="Normal 8 5 3 4 2" xfId="40010"/>
    <cellStyle name="Normal 8 5 3 5" xfId="14203"/>
    <cellStyle name="Normal 8 5 3 5 2" xfId="36790"/>
    <cellStyle name="Normal 8 5 3 6" xfId="7763"/>
    <cellStyle name="Normal 8 5 3 6 2" xfId="30350"/>
    <cellStyle name="Normal 8 5 3 7" xfId="23910"/>
    <cellStyle name="Normal 8 5 4" xfId="1741"/>
    <cellStyle name="Normal 8 5 4 2" xfId="4964"/>
    <cellStyle name="Normal 8 5 4 2 2" xfId="21064"/>
    <cellStyle name="Normal 8 5 4 2 2 2" xfId="43651"/>
    <cellStyle name="Normal 8 5 4 2 3" xfId="11404"/>
    <cellStyle name="Normal 8 5 4 2 3 2" xfId="33991"/>
    <cellStyle name="Normal 8 5 4 2 4" xfId="27551"/>
    <cellStyle name="Normal 8 5 4 3" xfId="17844"/>
    <cellStyle name="Normal 8 5 4 3 2" xfId="40431"/>
    <cellStyle name="Normal 8 5 4 4" xfId="14624"/>
    <cellStyle name="Normal 8 5 4 4 2" xfId="37211"/>
    <cellStyle name="Normal 8 5 4 5" xfId="8184"/>
    <cellStyle name="Normal 8 5 4 5 2" xfId="30771"/>
    <cellStyle name="Normal 8 5 4 6" xfId="24331"/>
    <cellStyle name="Normal 8 5 5" xfId="1935"/>
    <cellStyle name="Normal 8 5 5 2" xfId="5157"/>
    <cellStyle name="Normal 8 5 5 2 2" xfId="21257"/>
    <cellStyle name="Normal 8 5 5 2 2 2" xfId="43844"/>
    <cellStyle name="Normal 8 5 5 2 3" xfId="11597"/>
    <cellStyle name="Normal 8 5 5 2 3 2" xfId="34184"/>
    <cellStyle name="Normal 8 5 5 2 4" xfId="27744"/>
    <cellStyle name="Normal 8 5 5 3" xfId="18037"/>
    <cellStyle name="Normal 8 5 5 3 2" xfId="40624"/>
    <cellStyle name="Normal 8 5 5 4" xfId="14817"/>
    <cellStyle name="Normal 8 5 5 4 2" xfId="37404"/>
    <cellStyle name="Normal 8 5 5 5" xfId="8377"/>
    <cellStyle name="Normal 8 5 5 5 2" xfId="30964"/>
    <cellStyle name="Normal 8 5 5 6" xfId="24524"/>
    <cellStyle name="Normal 8 5 6" xfId="2952"/>
    <cellStyle name="Normal 8 5 6 2" xfId="6173"/>
    <cellStyle name="Normal 8 5 6 2 2" xfId="22273"/>
    <cellStyle name="Normal 8 5 6 2 2 2" xfId="44860"/>
    <cellStyle name="Normal 8 5 6 2 3" xfId="12613"/>
    <cellStyle name="Normal 8 5 6 2 3 2" xfId="35200"/>
    <cellStyle name="Normal 8 5 6 2 4" xfId="28760"/>
    <cellStyle name="Normal 8 5 6 3" xfId="19053"/>
    <cellStyle name="Normal 8 5 6 3 2" xfId="41640"/>
    <cellStyle name="Normal 8 5 6 4" xfId="15833"/>
    <cellStyle name="Normal 8 5 6 4 2" xfId="38420"/>
    <cellStyle name="Normal 8 5 6 5" xfId="9393"/>
    <cellStyle name="Normal 8 5 6 5 2" xfId="31980"/>
    <cellStyle name="Normal 8 5 6 6" xfId="25540"/>
    <cellStyle name="Normal 8 5 7" xfId="3243"/>
    <cellStyle name="Normal 8 5 7 2" xfId="6463"/>
    <cellStyle name="Normal 8 5 7 2 2" xfId="22563"/>
    <cellStyle name="Normal 8 5 7 2 2 2" xfId="45150"/>
    <cellStyle name="Normal 8 5 7 2 3" xfId="12903"/>
    <cellStyle name="Normal 8 5 7 2 3 2" xfId="35490"/>
    <cellStyle name="Normal 8 5 7 2 4" xfId="29050"/>
    <cellStyle name="Normal 8 5 7 3" xfId="19343"/>
    <cellStyle name="Normal 8 5 7 3 2" xfId="41930"/>
    <cellStyle name="Normal 8 5 7 4" xfId="16123"/>
    <cellStyle name="Normal 8 5 7 4 2" xfId="38710"/>
    <cellStyle name="Normal 8 5 7 5" xfId="9683"/>
    <cellStyle name="Normal 8 5 7 5 2" xfId="32270"/>
    <cellStyle name="Normal 8 5 7 6" xfId="25830"/>
    <cellStyle name="Normal 8 5 8" xfId="579"/>
    <cellStyle name="Normal 8 5 8 2" xfId="3849"/>
    <cellStyle name="Normal 8 5 8 2 2" xfId="19949"/>
    <cellStyle name="Normal 8 5 8 2 2 2" xfId="42536"/>
    <cellStyle name="Normal 8 5 8 2 3" xfId="10289"/>
    <cellStyle name="Normal 8 5 8 2 3 2" xfId="32876"/>
    <cellStyle name="Normal 8 5 8 2 4" xfId="26436"/>
    <cellStyle name="Normal 8 5 8 3" xfId="16729"/>
    <cellStyle name="Normal 8 5 8 3 2" xfId="39316"/>
    <cellStyle name="Normal 8 5 8 4" xfId="13509"/>
    <cellStyle name="Normal 8 5 8 4 2" xfId="36096"/>
    <cellStyle name="Normal 8 5 8 5" xfId="7069"/>
    <cellStyle name="Normal 8 5 8 5 2" xfId="29656"/>
    <cellStyle name="Normal 8 5 8 6" xfId="23216"/>
    <cellStyle name="Normal 8 5 9" xfId="3533"/>
    <cellStyle name="Normal 8 5 9 2" xfId="19633"/>
    <cellStyle name="Normal 8 5 9 2 2" xfId="42220"/>
    <cellStyle name="Normal 8 5 9 3" xfId="9973"/>
    <cellStyle name="Normal 8 5 9 3 2" xfId="32560"/>
    <cellStyle name="Normal 8 5 9 4" xfId="26120"/>
    <cellStyle name="Normal 8 6" xfId="343"/>
    <cellStyle name="Normal 8 6 10" xfId="16510"/>
    <cellStyle name="Normal 8 6 10 2" xfId="39097"/>
    <cellStyle name="Normal 8 6 11" xfId="13290"/>
    <cellStyle name="Normal 8 6 11 2" xfId="35877"/>
    <cellStyle name="Normal 8 6 12" xfId="6850"/>
    <cellStyle name="Normal 8 6 12 2" xfId="29437"/>
    <cellStyle name="Normal 8 6 13" xfId="22997"/>
    <cellStyle name="Normal 8 6 2" xfId="1081"/>
    <cellStyle name="Normal 8 6 2 2" xfId="2395"/>
    <cellStyle name="Normal 8 6 2 2 2" xfId="5616"/>
    <cellStyle name="Normal 8 6 2 2 2 2" xfId="21716"/>
    <cellStyle name="Normal 8 6 2 2 2 2 2" xfId="44303"/>
    <cellStyle name="Normal 8 6 2 2 2 3" xfId="12056"/>
    <cellStyle name="Normal 8 6 2 2 2 3 2" xfId="34643"/>
    <cellStyle name="Normal 8 6 2 2 2 4" xfId="28203"/>
    <cellStyle name="Normal 8 6 2 2 3" xfId="18496"/>
    <cellStyle name="Normal 8 6 2 2 3 2" xfId="41083"/>
    <cellStyle name="Normal 8 6 2 2 4" xfId="15276"/>
    <cellStyle name="Normal 8 6 2 2 4 2" xfId="37863"/>
    <cellStyle name="Normal 8 6 2 2 5" xfId="8836"/>
    <cellStyle name="Normal 8 6 2 2 5 2" xfId="31423"/>
    <cellStyle name="Normal 8 6 2 2 6" xfId="24983"/>
    <cellStyle name="Normal 8 6 2 3" xfId="4308"/>
    <cellStyle name="Normal 8 6 2 3 2" xfId="20408"/>
    <cellStyle name="Normal 8 6 2 3 2 2" xfId="42995"/>
    <cellStyle name="Normal 8 6 2 3 3" xfId="10748"/>
    <cellStyle name="Normal 8 6 2 3 3 2" xfId="33335"/>
    <cellStyle name="Normal 8 6 2 3 4" xfId="26895"/>
    <cellStyle name="Normal 8 6 2 4" xfId="17188"/>
    <cellStyle name="Normal 8 6 2 4 2" xfId="39775"/>
    <cellStyle name="Normal 8 6 2 5" xfId="13968"/>
    <cellStyle name="Normal 8 6 2 5 2" xfId="36555"/>
    <cellStyle name="Normal 8 6 2 6" xfId="7528"/>
    <cellStyle name="Normal 8 6 2 6 2" xfId="30115"/>
    <cellStyle name="Normal 8 6 2 7" xfId="23675"/>
    <cellStyle name="Normal 8 6 3" xfId="1428"/>
    <cellStyle name="Normal 8 6 3 2" xfId="2742"/>
    <cellStyle name="Normal 8 6 3 2 2" xfId="5963"/>
    <cellStyle name="Normal 8 6 3 2 2 2" xfId="22063"/>
    <cellStyle name="Normal 8 6 3 2 2 2 2" xfId="44650"/>
    <cellStyle name="Normal 8 6 3 2 2 3" xfId="12403"/>
    <cellStyle name="Normal 8 6 3 2 2 3 2" xfId="34990"/>
    <cellStyle name="Normal 8 6 3 2 2 4" xfId="28550"/>
    <cellStyle name="Normal 8 6 3 2 3" xfId="18843"/>
    <cellStyle name="Normal 8 6 3 2 3 2" xfId="41430"/>
    <cellStyle name="Normal 8 6 3 2 4" xfId="15623"/>
    <cellStyle name="Normal 8 6 3 2 4 2" xfId="38210"/>
    <cellStyle name="Normal 8 6 3 2 5" xfId="9183"/>
    <cellStyle name="Normal 8 6 3 2 5 2" xfId="31770"/>
    <cellStyle name="Normal 8 6 3 2 6" xfId="25330"/>
    <cellStyle name="Normal 8 6 3 3" xfId="4655"/>
    <cellStyle name="Normal 8 6 3 3 2" xfId="20755"/>
    <cellStyle name="Normal 8 6 3 3 2 2" xfId="43342"/>
    <cellStyle name="Normal 8 6 3 3 3" xfId="11095"/>
    <cellStyle name="Normal 8 6 3 3 3 2" xfId="33682"/>
    <cellStyle name="Normal 8 6 3 3 4" xfId="27242"/>
    <cellStyle name="Normal 8 6 3 4" xfId="17535"/>
    <cellStyle name="Normal 8 6 3 4 2" xfId="40122"/>
    <cellStyle name="Normal 8 6 3 5" xfId="14315"/>
    <cellStyle name="Normal 8 6 3 5 2" xfId="36902"/>
    <cellStyle name="Normal 8 6 3 6" xfId="7875"/>
    <cellStyle name="Normal 8 6 3 6 2" xfId="30462"/>
    <cellStyle name="Normal 8 6 3 7" xfId="24022"/>
    <cellStyle name="Normal 8 6 4" xfId="1742"/>
    <cellStyle name="Normal 8 6 4 2" xfId="4965"/>
    <cellStyle name="Normal 8 6 4 2 2" xfId="21065"/>
    <cellStyle name="Normal 8 6 4 2 2 2" xfId="43652"/>
    <cellStyle name="Normal 8 6 4 2 3" xfId="11405"/>
    <cellStyle name="Normal 8 6 4 2 3 2" xfId="33992"/>
    <cellStyle name="Normal 8 6 4 2 4" xfId="27552"/>
    <cellStyle name="Normal 8 6 4 3" xfId="17845"/>
    <cellStyle name="Normal 8 6 4 3 2" xfId="40432"/>
    <cellStyle name="Normal 8 6 4 4" xfId="14625"/>
    <cellStyle name="Normal 8 6 4 4 2" xfId="37212"/>
    <cellStyle name="Normal 8 6 4 5" xfId="8185"/>
    <cellStyle name="Normal 8 6 4 5 2" xfId="30772"/>
    <cellStyle name="Normal 8 6 4 6" xfId="24332"/>
    <cellStyle name="Normal 8 6 5" xfId="2048"/>
    <cellStyle name="Normal 8 6 5 2" xfId="5269"/>
    <cellStyle name="Normal 8 6 5 2 2" xfId="21369"/>
    <cellStyle name="Normal 8 6 5 2 2 2" xfId="43956"/>
    <cellStyle name="Normal 8 6 5 2 3" xfId="11709"/>
    <cellStyle name="Normal 8 6 5 2 3 2" xfId="34296"/>
    <cellStyle name="Normal 8 6 5 2 4" xfId="27856"/>
    <cellStyle name="Normal 8 6 5 3" xfId="18149"/>
    <cellStyle name="Normal 8 6 5 3 2" xfId="40736"/>
    <cellStyle name="Normal 8 6 5 4" xfId="14929"/>
    <cellStyle name="Normal 8 6 5 4 2" xfId="37516"/>
    <cellStyle name="Normal 8 6 5 5" xfId="8489"/>
    <cellStyle name="Normal 8 6 5 5 2" xfId="31076"/>
    <cellStyle name="Normal 8 6 5 6" xfId="24636"/>
    <cellStyle name="Normal 8 6 6" xfId="3050"/>
    <cellStyle name="Normal 8 6 6 2" xfId="6270"/>
    <cellStyle name="Normal 8 6 6 2 2" xfId="22370"/>
    <cellStyle name="Normal 8 6 6 2 2 2" xfId="44957"/>
    <cellStyle name="Normal 8 6 6 2 3" xfId="12710"/>
    <cellStyle name="Normal 8 6 6 2 3 2" xfId="35297"/>
    <cellStyle name="Normal 8 6 6 2 4" xfId="28857"/>
    <cellStyle name="Normal 8 6 6 3" xfId="19150"/>
    <cellStyle name="Normal 8 6 6 3 2" xfId="41737"/>
    <cellStyle name="Normal 8 6 6 4" xfId="15930"/>
    <cellStyle name="Normal 8 6 6 4 2" xfId="38517"/>
    <cellStyle name="Normal 8 6 6 5" xfId="9490"/>
    <cellStyle name="Normal 8 6 6 5 2" xfId="32077"/>
    <cellStyle name="Normal 8 6 6 6" xfId="25637"/>
    <cellStyle name="Normal 8 6 7" xfId="3340"/>
    <cellStyle name="Normal 8 6 7 2" xfId="6560"/>
    <cellStyle name="Normal 8 6 7 2 2" xfId="22660"/>
    <cellStyle name="Normal 8 6 7 2 2 2" xfId="45247"/>
    <cellStyle name="Normal 8 6 7 2 3" xfId="13000"/>
    <cellStyle name="Normal 8 6 7 2 3 2" xfId="35587"/>
    <cellStyle name="Normal 8 6 7 2 4" xfId="29147"/>
    <cellStyle name="Normal 8 6 7 3" xfId="19440"/>
    <cellStyle name="Normal 8 6 7 3 2" xfId="42027"/>
    <cellStyle name="Normal 8 6 7 4" xfId="16220"/>
    <cellStyle name="Normal 8 6 7 4 2" xfId="38807"/>
    <cellStyle name="Normal 8 6 7 5" xfId="9780"/>
    <cellStyle name="Normal 8 6 7 5 2" xfId="32367"/>
    <cellStyle name="Normal 8 6 7 6" xfId="25927"/>
    <cellStyle name="Normal 8 6 8" xfId="729"/>
    <cellStyle name="Normal 8 6 8 2" xfId="3961"/>
    <cellStyle name="Normal 8 6 8 2 2" xfId="20061"/>
    <cellStyle name="Normal 8 6 8 2 2 2" xfId="42648"/>
    <cellStyle name="Normal 8 6 8 2 3" xfId="10401"/>
    <cellStyle name="Normal 8 6 8 2 3 2" xfId="32988"/>
    <cellStyle name="Normal 8 6 8 2 4" xfId="26548"/>
    <cellStyle name="Normal 8 6 8 3" xfId="16841"/>
    <cellStyle name="Normal 8 6 8 3 2" xfId="39428"/>
    <cellStyle name="Normal 8 6 8 4" xfId="13621"/>
    <cellStyle name="Normal 8 6 8 4 2" xfId="36208"/>
    <cellStyle name="Normal 8 6 8 5" xfId="7181"/>
    <cellStyle name="Normal 8 6 8 5 2" xfId="29768"/>
    <cellStyle name="Normal 8 6 8 6" xfId="23328"/>
    <cellStyle name="Normal 8 6 9" xfId="3630"/>
    <cellStyle name="Normal 8 6 9 2" xfId="19730"/>
    <cellStyle name="Normal 8 6 9 2 2" xfId="42317"/>
    <cellStyle name="Normal 8 6 9 3" xfId="10070"/>
    <cellStyle name="Normal 8 6 9 3 2" xfId="32657"/>
    <cellStyle name="Normal 8 6 9 4" xfId="26217"/>
    <cellStyle name="Normal 8 7" xfId="748"/>
    <cellStyle name="Normal 8 7 10" xfId="23347"/>
    <cellStyle name="Normal 8 7 2" xfId="1100"/>
    <cellStyle name="Normal 8 7 2 2" xfId="2414"/>
    <cellStyle name="Normal 8 7 2 2 2" xfId="5635"/>
    <cellStyle name="Normal 8 7 2 2 2 2" xfId="21735"/>
    <cellStyle name="Normal 8 7 2 2 2 2 2" xfId="44322"/>
    <cellStyle name="Normal 8 7 2 2 2 3" xfId="12075"/>
    <cellStyle name="Normal 8 7 2 2 2 3 2" xfId="34662"/>
    <cellStyle name="Normal 8 7 2 2 2 4" xfId="28222"/>
    <cellStyle name="Normal 8 7 2 2 3" xfId="18515"/>
    <cellStyle name="Normal 8 7 2 2 3 2" xfId="41102"/>
    <cellStyle name="Normal 8 7 2 2 4" xfId="15295"/>
    <cellStyle name="Normal 8 7 2 2 4 2" xfId="37882"/>
    <cellStyle name="Normal 8 7 2 2 5" xfId="8855"/>
    <cellStyle name="Normal 8 7 2 2 5 2" xfId="31442"/>
    <cellStyle name="Normal 8 7 2 2 6" xfId="25002"/>
    <cellStyle name="Normal 8 7 2 3" xfId="4327"/>
    <cellStyle name="Normal 8 7 2 3 2" xfId="20427"/>
    <cellStyle name="Normal 8 7 2 3 2 2" xfId="43014"/>
    <cellStyle name="Normal 8 7 2 3 3" xfId="10767"/>
    <cellStyle name="Normal 8 7 2 3 3 2" xfId="33354"/>
    <cellStyle name="Normal 8 7 2 3 4" xfId="26914"/>
    <cellStyle name="Normal 8 7 2 4" xfId="17207"/>
    <cellStyle name="Normal 8 7 2 4 2" xfId="39794"/>
    <cellStyle name="Normal 8 7 2 5" xfId="13987"/>
    <cellStyle name="Normal 8 7 2 5 2" xfId="36574"/>
    <cellStyle name="Normal 8 7 2 6" xfId="7547"/>
    <cellStyle name="Normal 8 7 2 6 2" xfId="30134"/>
    <cellStyle name="Normal 8 7 2 7" xfId="23694"/>
    <cellStyle name="Normal 8 7 3" xfId="1447"/>
    <cellStyle name="Normal 8 7 3 2" xfId="2761"/>
    <cellStyle name="Normal 8 7 3 2 2" xfId="5982"/>
    <cellStyle name="Normal 8 7 3 2 2 2" xfId="22082"/>
    <cellStyle name="Normal 8 7 3 2 2 2 2" xfId="44669"/>
    <cellStyle name="Normal 8 7 3 2 2 3" xfId="12422"/>
    <cellStyle name="Normal 8 7 3 2 2 3 2" xfId="35009"/>
    <cellStyle name="Normal 8 7 3 2 2 4" xfId="28569"/>
    <cellStyle name="Normal 8 7 3 2 3" xfId="18862"/>
    <cellStyle name="Normal 8 7 3 2 3 2" xfId="41449"/>
    <cellStyle name="Normal 8 7 3 2 4" xfId="15642"/>
    <cellStyle name="Normal 8 7 3 2 4 2" xfId="38229"/>
    <cellStyle name="Normal 8 7 3 2 5" xfId="9202"/>
    <cellStyle name="Normal 8 7 3 2 5 2" xfId="31789"/>
    <cellStyle name="Normal 8 7 3 2 6" xfId="25349"/>
    <cellStyle name="Normal 8 7 3 3" xfId="4674"/>
    <cellStyle name="Normal 8 7 3 3 2" xfId="20774"/>
    <cellStyle name="Normal 8 7 3 3 2 2" xfId="43361"/>
    <cellStyle name="Normal 8 7 3 3 3" xfId="11114"/>
    <cellStyle name="Normal 8 7 3 3 3 2" xfId="33701"/>
    <cellStyle name="Normal 8 7 3 3 4" xfId="27261"/>
    <cellStyle name="Normal 8 7 3 4" xfId="17554"/>
    <cellStyle name="Normal 8 7 3 4 2" xfId="40141"/>
    <cellStyle name="Normal 8 7 3 5" xfId="14334"/>
    <cellStyle name="Normal 8 7 3 5 2" xfId="36921"/>
    <cellStyle name="Normal 8 7 3 6" xfId="7894"/>
    <cellStyle name="Normal 8 7 3 6 2" xfId="30481"/>
    <cellStyle name="Normal 8 7 3 7" xfId="24041"/>
    <cellStyle name="Normal 8 7 4" xfId="1743"/>
    <cellStyle name="Normal 8 7 4 2" xfId="4966"/>
    <cellStyle name="Normal 8 7 4 2 2" xfId="21066"/>
    <cellStyle name="Normal 8 7 4 2 2 2" xfId="43653"/>
    <cellStyle name="Normal 8 7 4 2 3" xfId="11406"/>
    <cellStyle name="Normal 8 7 4 2 3 2" xfId="33993"/>
    <cellStyle name="Normal 8 7 4 2 4" xfId="27553"/>
    <cellStyle name="Normal 8 7 4 3" xfId="17846"/>
    <cellStyle name="Normal 8 7 4 3 2" xfId="40433"/>
    <cellStyle name="Normal 8 7 4 4" xfId="14626"/>
    <cellStyle name="Normal 8 7 4 4 2" xfId="37213"/>
    <cellStyle name="Normal 8 7 4 5" xfId="8186"/>
    <cellStyle name="Normal 8 7 4 5 2" xfId="30773"/>
    <cellStyle name="Normal 8 7 4 6" xfId="24333"/>
    <cellStyle name="Normal 8 7 5" xfId="2067"/>
    <cellStyle name="Normal 8 7 5 2" xfId="5288"/>
    <cellStyle name="Normal 8 7 5 2 2" xfId="21388"/>
    <cellStyle name="Normal 8 7 5 2 2 2" xfId="43975"/>
    <cellStyle name="Normal 8 7 5 2 3" xfId="11728"/>
    <cellStyle name="Normal 8 7 5 2 3 2" xfId="34315"/>
    <cellStyle name="Normal 8 7 5 2 4" xfId="27875"/>
    <cellStyle name="Normal 8 7 5 3" xfId="18168"/>
    <cellStyle name="Normal 8 7 5 3 2" xfId="40755"/>
    <cellStyle name="Normal 8 7 5 4" xfId="14948"/>
    <cellStyle name="Normal 8 7 5 4 2" xfId="37535"/>
    <cellStyle name="Normal 8 7 5 5" xfId="8508"/>
    <cellStyle name="Normal 8 7 5 5 2" xfId="31095"/>
    <cellStyle name="Normal 8 7 5 6" xfId="24655"/>
    <cellStyle name="Normal 8 7 6" xfId="3980"/>
    <cellStyle name="Normal 8 7 6 2" xfId="20080"/>
    <cellStyle name="Normal 8 7 6 2 2" xfId="42667"/>
    <cellStyle name="Normal 8 7 6 3" xfId="10420"/>
    <cellStyle name="Normal 8 7 6 3 2" xfId="33007"/>
    <cellStyle name="Normal 8 7 6 4" xfId="26567"/>
    <cellStyle name="Normal 8 7 7" xfId="16860"/>
    <cellStyle name="Normal 8 7 7 2" xfId="39447"/>
    <cellStyle name="Normal 8 7 8" xfId="13640"/>
    <cellStyle name="Normal 8 7 8 2" xfId="36227"/>
    <cellStyle name="Normal 8 7 9" xfId="7200"/>
    <cellStyle name="Normal 8 7 9 2" xfId="29787"/>
    <cellStyle name="Normal 8 8" xfId="842"/>
    <cellStyle name="Normal 8 8 2" xfId="2161"/>
    <cellStyle name="Normal 8 8 2 2" xfId="5382"/>
    <cellStyle name="Normal 8 8 2 2 2" xfId="21482"/>
    <cellStyle name="Normal 8 8 2 2 2 2" xfId="44069"/>
    <cellStyle name="Normal 8 8 2 2 3" xfId="11822"/>
    <cellStyle name="Normal 8 8 2 2 3 2" xfId="34409"/>
    <cellStyle name="Normal 8 8 2 2 4" xfId="27969"/>
    <cellStyle name="Normal 8 8 2 3" xfId="18262"/>
    <cellStyle name="Normal 8 8 2 3 2" xfId="40849"/>
    <cellStyle name="Normal 8 8 2 4" xfId="15042"/>
    <cellStyle name="Normal 8 8 2 4 2" xfId="37629"/>
    <cellStyle name="Normal 8 8 2 5" xfId="8602"/>
    <cellStyle name="Normal 8 8 2 5 2" xfId="31189"/>
    <cellStyle name="Normal 8 8 2 6" xfId="24749"/>
    <cellStyle name="Normal 8 8 3" xfId="4074"/>
    <cellStyle name="Normal 8 8 3 2" xfId="20174"/>
    <cellStyle name="Normal 8 8 3 2 2" xfId="42761"/>
    <cellStyle name="Normal 8 8 3 3" xfId="10514"/>
    <cellStyle name="Normal 8 8 3 3 2" xfId="33101"/>
    <cellStyle name="Normal 8 8 3 4" xfId="26661"/>
    <cellStyle name="Normal 8 8 4" xfId="16954"/>
    <cellStyle name="Normal 8 8 4 2" xfId="39541"/>
    <cellStyle name="Normal 8 8 5" xfId="13734"/>
    <cellStyle name="Normal 8 8 5 2" xfId="36321"/>
    <cellStyle name="Normal 8 8 6" xfId="7294"/>
    <cellStyle name="Normal 8 8 6 2" xfId="29881"/>
    <cellStyle name="Normal 8 8 7" xfId="23441"/>
    <cellStyle name="Normal 8 9" xfId="1194"/>
    <cellStyle name="Normal 8 9 2" xfId="2508"/>
    <cellStyle name="Normal 8 9 2 2" xfId="5729"/>
    <cellStyle name="Normal 8 9 2 2 2" xfId="21829"/>
    <cellStyle name="Normal 8 9 2 2 2 2" xfId="44416"/>
    <cellStyle name="Normal 8 9 2 2 3" xfId="12169"/>
    <cellStyle name="Normal 8 9 2 2 3 2" xfId="34756"/>
    <cellStyle name="Normal 8 9 2 2 4" xfId="28316"/>
    <cellStyle name="Normal 8 9 2 3" xfId="18609"/>
    <cellStyle name="Normal 8 9 2 3 2" xfId="41196"/>
    <cellStyle name="Normal 8 9 2 4" xfId="15389"/>
    <cellStyle name="Normal 8 9 2 4 2" xfId="37976"/>
    <cellStyle name="Normal 8 9 2 5" xfId="8949"/>
    <cellStyle name="Normal 8 9 2 5 2" xfId="31536"/>
    <cellStyle name="Normal 8 9 2 6" xfId="25096"/>
    <cellStyle name="Normal 8 9 3" xfId="4421"/>
    <cellStyle name="Normal 8 9 3 2" xfId="20521"/>
    <cellStyle name="Normal 8 9 3 2 2" xfId="43108"/>
    <cellStyle name="Normal 8 9 3 3" xfId="10861"/>
    <cellStyle name="Normal 8 9 3 3 2" xfId="33448"/>
    <cellStyle name="Normal 8 9 3 4" xfId="27008"/>
    <cellStyle name="Normal 8 9 4" xfId="17301"/>
    <cellStyle name="Normal 8 9 4 2" xfId="39888"/>
    <cellStyle name="Normal 8 9 5" xfId="14081"/>
    <cellStyle name="Normal 8 9 5 2" xfId="36668"/>
    <cellStyle name="Normal 8 9 6" xfId="7641"/>
    <cellStyle name="Normal 8 9 6 2" xfId="30228"/>
    <cellStyle name="Normal 8 9 7" xfId="23788"/>
    <cellStyle name="Normal 9" xfId="103"/>
    <cellStyle name="Normal 9 10" xfId="1744"/>
    <cellStyle name="Normal 9 10 2" xfId="4967"/>
    <cellStyle name="Normal 9 10 2 2" xfId="21067"/>
    <cellStyle name="Normal 9 10 2 2 2" xfId="43654"/>
    <cellStyle name="Normal 9 10 2 3" xfId="11407"/>
    <cellStyle name="Normal 9 10 2 3 2" xfId="33994"/>
    <cellStyle name="Normal 9 10 2 4" xfId="27554"/>
    <cellStyle name="Normal 9 10 3" xfId="17847"/>
    <cellStyle name="Normal 9 10 3 2" xfId="40434"/>
    <cellStyle name="Normal 9 10 4" xfId="14627"/>
    <cellStyle name="Normal 9 10 4 2" xfId="37214"/>
    <cellStyle name="Normal 9 10 5" xfId="8187"/>
    <cellStyle name="Normal 9 10 5 2" xfId="30774"/>
    <cellStyle name="Normal 9 10 6" xfId="24334"/>
    <cellStyle name="Normal 9 11" xfId="1818"/>
    <cellStyle name="Normal 9 11 2" xfId="5040"/>
    <cellStyle name="Normal 9 11 2 2" xfId="21140"/>
    <cellStyle name="Normal 9 11 2 2 2" xfId="43727"/>
    <cellStyle name="Normal 9 11 2 3" xfId="11480"/>
    <cellStyle name="Normal 9 11 2 3 2" xfId="34067"/>
    <cellStyle name="Normal 9 11 2 4" xfId="27627"/>
    <cellStyle name="Normal 9 11 3" xfId="17920"/>
    <cellStyle name="Normal 9 11 3 2" xfId="40507"/>
    <cellStyle name="Normal 9 11 4" xfId="14700"/>
    <cellStyle name="Normal 9 11 4 2" xfId="37287"/>
    <cellStyle name="Normal 9 11 5" xfId="8260"/>
    <cellStyle name="Normal 9 11 5 2" xfId="30847"/>
    <cellStyle name="Normal 9 11 6" xfId="24407"/>
    <cellStyle name="Normal 9 12" xfId="2861"/>
    <cellStyle name="Normal 9 12 2" xfId="6082"/>
    <cellStyle name="Normal 9 12 2 2" xfId="22182"/>
    <cellStyle name="Normal 9 12 2 2 2" xfId="44769"/>
    <cellStyle name="Normal 9 12 2 3" xfId="12522"/>
    <cellStyle name="Normal 9 12 2 3 2" xfId="35109"/>
    <cellStyle name="Normal 9 12 2 4" xfId="28669"/>
    <cellStyle name="Normal 9 12 3" xfId="18962"/>
    <cellStyle name="Normal 9 12 3 2" xfId="41549"/>
    <cellStyle name="Normal 9 12 4" xfId="15742"/>
    <cellStyle name="Normal 9 12 4 2" xfId="38329"/>
    <cellStyle name="Normal 9 12 5" xfId="9302"/>
    <cellStyle name="Normal 9 12 5 2" xfId="31889"/>
    <cellStyle name="Normal 9 12 6" xfId="25449"/>
    <cellStyle name="Normal 9 13" xfId="3152"/>
    <cellStyle name="Normal 9 13 2" xfId="6372"/>
    <cellStyle name="Normal 9 13 2 2" xfId="22472"/>
    <cellStyle name="Normal 9 13 2 2 2" xfId="45059"/>
    <cellStyle name="Normal 9 13 2 3" xfId="12812"/>
    <cellStyle name="Normal 9 13 2 3 2" xfId="35399"/>
    <cellStyle name="Normal 9 13 2 4" xfId="28959"/>
    <cellStyle name="Normal 9 13 3" xfId="19252"/>
    <cellStyle name="Normal 9 13 3 2" xfId="41839"/>
    <cellStyle name="Normal 9 13 4" xfId="16032"/>
    <cellStyle name="Normal 9 13 4 2" xfId="38619"/>
    <cellStyle name="Normal 9 13 5" xfId="9592"/>
    <cellStyle name="Normal 9 13 5 2" xfId="32179"/>
    <cellStyle name="Normal 9 13 6" xfId="25739"/>
    <cellStyle name="Normal 9 14" xfId="445"/>
    <cellStyle name="Normal 9 14 2" xfId="3732"/>
    <cellStyle name="Normal 9 14 2 2" xfId="19832"/>
    <cellStyle name="Normal 9 14 2 2 2" xfId="42419"/>
    <cellStyle name="Normal 9 14 2 3" xfId="10172"/>
    <cellStyle name="Normal 9 14 2 3 2" xfId="32759"/>
    <cellStyle name="Normal 9 14 2 4" xfId="26319"/>
    <cellStyle name="Normal 9 14 3" xfId="16612"/>
    <cellStyle name="Normal 9 14 3 2" xfId="39199"/>
    <cellStyle name="Normal 9 14 4" xfId="13392"/>
    <cellStyle name="Normal 9 14 4 2" xfId="35979"/>
    <cellStyle name="Normal 9 14 5" xfId="6952"/>
    <cellStyle name="Normal 9 14 5 2" xfId="29539"/>
    <cellStyle name="Normal 9 14 6" xfId="23099"/>
    <cellStyle name="Normal 9 15" xfId="3442"/>
    <cellStyle name="Normal 9 15 2" xfId="19542"/>
    <cellStyle name="Normal 9 15 2 2" xfId="42129"/>
    <cellStyle name="Normal 9 15 3" xfId="9882"/>
    <cellStyle name="Normal 9 15 3 2" xfId="32469"/>
    <cellStyle name="Normal 9 15 4" xfId="26029"/>
    <cellStyle name="Normal 9 16" xfId="16322"/>
    <cellStyle name="Normal 9 16 2" xfId="38909"/>
    <cellStyle name="Normal 9 17" xfId="13102"/>
    <cellStyle name="Normal 9 17 2" xfId="35689"/>
    <cellStyle name="Normal 9 18" xfId="6662"/>
    <cellStyle name="Normal 9 18 2" xfId="29249"/>
    <cellStyle name="Normal 9 19" xfId="22809"/>
    <cellStyle name="Normal 9 2" xfId="121"/>
    <cellStyle name="Normal 9 2 10" xfId="2877"/>
    <cellStyle name="Normal 9 2 10 2" xfId="6098"/>
    <cellStyle name="Normal 9 2 10 2 2" xfId="22198"/>
    <cellStyle name="Normal 9 2 10 2 2 2" xfId="44785"/>
    <cellStyle name="Normal 9 2 10 2 3" xfId="12538"/>
    <cellStyle name="Normal 9 2 10 2 3 2" xfId="35125"/>
    <cellStyle name="Normal 9 2 10 2 4" xfId="28685"/>
    <cellStyle name="Normal 9 2 10 3" xfId="18978"/>
    <cellStyle name="Normal 9 2 10 3 2" xfId="41565"/>
    <cellStyle name="Normal 9 2 10 4" xfId="15758"/>
    <cellStyle name="Normal 9 2 10 4 2" xfId="38345"/>
    <cellStyle name="Normal 9 2 10 5" xfId="9318"/>
    <cellStyle name="Normal 9 2 10 5 2" xfId="31905"/>
    <cellStyle name="Normal 9 2 10 6" xfId="25465"/>
    <cellStyle name="Normal 9 2 11" xfId="3168"/>
    <cellStyle name="Normal 9 2 11 2" xfId="6388"/>
    <cellStyle name="Normal 9 2 11 2 2" xfId="22488"/>
    <cellStyle name="Normal 9 2 11 2 2 2" xfId="45075"/>
    <cellStyle name="Normal 9 2 11 2 3" xfId="12828"/>
    <cellStyle name="Normal 9 2 11 2 3 2" xfId="35415"/>
    <cellStyle name="Normal 9 2 11 2 4" xfId="28975"/>
    <cellStyle name="Normal 9 2 11 3" xfId="19268"/>
    <cellStyle name="Normal 9 2 11 3 2" xfId="41855"/>
    <cellStyle name="Normal 9 2 11 4" xfId="16048"/>
    <cellStyle name="Normal 9 2 11 4 2" xfId="38635"/>
    <cellStyle name="Normal 9 2 11 5" xfId="9608"/>
    <cellStyle name="Normal 9 2 11 5 2" xfId="32195"/>
    <cellStyle name="Normal 9 2 11 6" xfId="25755"/>
    <cellStyle name="Normal 9 2 12" xfId="461"/>
    <cellStyle name="Normal 9 2 12 2" xfId="3748"/>
    <cellStyle name="Normal 9 2 12 2 2" xfId="19848"/>
    <cellStyle name="Normal 9 2 12 2 2 2" xfId="42435"/>
    <cellStyle name="Normal 9 2 12 2 3" xfId="10188"/>
    <cellStyle name="Normal 9 2 12 2 3 2" xfId="32775"/>
    <cellStyle name="Normal 9 2 12 2 4" xfId="26335"/>
    <cellStyle name="Normal 9 2 12 3" xfId="16628"/>
    <cellStyle name="Normal 9 2 12 3 2" xfId="39215"/>
    <cellStyle name="Normal 9 2 12 4" xfId="13408"/>
    <cellStyle name="Normal 9 2 12 4 2" xfId="35995"/>
    <cellStyle name="Normal 9 2 12 5" xfId="6968"/>
    <cellStyle name="Normal 9 2 12 5 2" xfId="29555"/>
    <cellStyle name="Normal 9 2 12 6" xfId="23115"/>
    <cellStyle name="Normal 9 2 13" xfId="3458"/>
    <cellStyle name="Normal 9 2 13 2" xfId="19558"/>
    <cellStyle name="Normal 9 2 13 2 2" xfId="42145"/>
    <cellStyle name="Normal 9 2 13 3" xfId="9898"/>
    <cellStyle name="Normal 9 2 13 3 2" xfId="32485"/>
    <cellStyle name="Normal 9 2 13 4" xfId="26045"/>
    <cellStyle name="Normal 9 2 14" xfId="16338"/>
    <cellStyle name="Normal 9 2 14 2" xfId="38925"/>
    <cellStyle name="Normal 9 2 15" xfId="13118"/>
    <cellStyle name="Normal 9 2 15 2" xfId="35705"/>
    <cellStyle name="Normal 9 2 16" xfId="6678"/>
    <cellStyle name="Normal 9 2 16 2" xfId="29265"/>
    <cellStyle name="Normal 9 2 17" xfId="22825"/>
    <cellStyle name="Normal 9 2 2" xfId="206"/>
    <cellStyle name="Normal 9 2 2 10" xfId="498"/>
    <cellStyle name="Normal 9 2 2 10 2" xfId="3785"/>
    <cellStyle name="Normal 9 2 2 10 2 2" xfId="19885"/>
    <cellStyle name="Normal 9 2 2 10 2 2 2" xfId="42472"/>
    <cellStyle name="Normal 9 2 2 10 2 3" xfId="10225"/>
    <cellStyle name="Normal 9 2 2 10 2 3 2" xfId="32812"/>
    <cellStyle name="Normal 9 2 2 10 2 4" xfId="26372"/>
    <cellStyle name="Normal 9 2 2 10 3" xfId="16665"/>
    <cellStyle name="Normal 9 2 2 10 3 2" xfId="39252"/>
    <cellStyle name="Normal 9 2 2 10 4" xfId="13445"/>
    <cellStyle name="Normal 9 2 2 10 4 2" xfId="36032"/>
    <cellStyle name="Normal 9 2 2 10 5" xfId="7005"/>
    <cellStyle name="Normal 9 2 2 10 5 2" xfId="29592"/>
    <cellStyle name="Normal 9 2 2 10 6" xfId="23152"/>
    <cellStyle name="Normal 9 2 2 11" xfId="3495"/>
    <cellStyle name="Normal 9 2 2 11 2" xfId="19595"/>
    <cellStyle name="Normal 9 2 2 11 2 2" xfId="42182"/>
    <cellStyle name="Normal 9 2 2 11 3" xfId="9935"/>
    <cellStyle name="Normal 9 2 2 11 3 2" xfId="32522"/>
    <cellStyle name="Normal 9 2 2 11 4" xfId="26082"/>
    <cellStyle name="Normal 9 2 2 12" xfId="16375"/>
    <cellStyle name="Normal 9 2 2 12 2" xfId="38962"/>
    <cellStyle name="Normal 9 2 2 13" xfId="13155"/>
    <cellStyle name="Normal 9 2 2 13 2" xfId="35742"/>
    <cellStyle name="Normal 9 2 2 14" xfId="6715"/>
    <cellStyle name="Normal 9 2 2 14 2" xfId="29302"/>
    <cellStyle name="Normal 9 2 2 15" xfId="22862"/>
    <cellStyle name="Normal 9 2 2 2" xfId="305"/>
    <cellStyle name="Normal 9 2 2 2 10" xfId="16472"/>
    <cellStyle name="Normal 9 2 2 2 10 2" xfId="39059"/>
    <cellStyle name="Normal 9 2 2 2 11" xfId="13252"/>
    <cellStyle name="Normal 9 2 2 2 11 2" xfId="35839"/>
    <cellStyle name="Normal 9 2 2 2 12" xfId="6812"/>
    <cellStyle name="Normal 9 2 2 2 12 2" xfId="29399"/>
    <cellStyle name="Normal 9 2 2 2 13" xfId="22959"/>
    <cellStyle name="Normal 9 2 2 2 2" xfId="1024"/>
    <cellStyle name="Normal 9 2 2 2 2 2" xfId="2338"/>
    <cellStyle name="Normal 9 2 2 2 2 2 2" xfId="5559"/>
    <cellStyle name="Normal 9 2 2 2 2 2 2 2" xfId="21659"/>
    <cellStyle name="Normal 9 2 2 2 2 2 2 2 2" xfId="44246"/>
    <cellStyle name="Normal 9 2 2 2 2 2 2 3" xfId="11999"/>
    <cellStyle name="Normal 9 2 2 2 2 2 2 3 2" xfId="34586"/>
    <cellStyle name="Normal 9 2 2 2 2 2 2 4" xfId="28146"/>
    <cellStyle name="Normal 9 2 2 2 2 2 3" xfId="18439"/>
    <cellStyle name="Normal 9 2 2 2 2 2 3 2" xfId="41026"/>
    <cellStyle name="Normal 9 2 2 2 2 2 4" xfId="15219"/>
    <cellStyle name="Normal 9 2 2 2 2 2 4 2" xfId="37806"/>
    <cellStyle name="Normal 9 2 2 2 2 2 5" xfId="8779"/>
    <cellStyle name="Normal 9 2 2 2 2 2 5 2" xfId="31366"/>
    <cellStyle name="Normal 9 2 2 2 2 2 6" xfId="24926"/>
    <cellStyle name="Normal 9 2 2 2 2 3" xfId="4251"/>
    <cellStyle name="Normal 9 2 2 2 2 3 2" xfId="20351"/>
    <cellStyle name="Normal 9 2 2 2 2 3 2 2" xfId="42938"/>
    <cellStyle name="Normal 9 2 2 2 2 3 3" xfId="10691"/>
    <cellStyle name="Normal 9 2 2 2 2 3 3 2" xfId="33278"/>
    <cellStyle name="Normal 9 2 2 2 2 3 4" xfId="26838"/>
    <cellStyle name="Normal 9 2 2 2 2 4" xfId="17131"/>
    <cellStyle name="Normal 9 2 2 2 2 4 2" xfId="39718"/>
    <cellStyle name="Normal 9 2 2 2 2 5" xfId="13911"/>
    <cellStyle name="Normal 9 2 2 2 2 5 2" xfId="36498"/>
    <cellStyle name="Normal 9 2 2 2 2 6" xfId="7471"/>
    <cellStyle name="Normal 9 2 2 2 2 6 2" xfId="30058"/>
    <cellStyle name="Normal 9 2 2 2 2 7" xfId="23618"/>
    <cellStyle name="Normal 9 2 2 2 3" xfId="1371"/>
    <cellStyle name="Normal 9 2 2 2 3 2" xfId="2685"/>
    <cellStyle name="Normal 9 2 2 2 3 2 2" xfId="5906"/>
    <cellStyle name="Normal 9 2 2 2 3 2 2 2" xfId="22006"/>
    <cellStyle name="Normal 9 2 2 2 3 2 2 2 2" xfId="44593"/>
    <cellStyle name="Normal 9 2 2 2 3 2 2 3" xfId="12346"/>
    <cellStyle name="Normal 9 2 2 2 3 2 2 3 2" xfId="34933"/>
    <cellStyle name="Normal 9 2 2 2 3 2 2 4" xfId="28493"/>
    <cellStyle name="Normal 9 2 2 2 3 2 3" xfId="18786"/>
    <cellStyle name="Normal 9 2 2 2 3 2 3 2" xfId="41373"/>
    <cellStyle name="Normal 9 2 2 2 3 2 4" xfId="15566"/>
    <cellStyle name="Normal 9 2 2 2 3 2 4 2" xfId="38153"/>
    <cellStyle name="Normal 9 2 2 2 3 2 5" xfId="9126"/>
    <cellStyle name="Normal 9 2 2 2 3 2 5 2" xfId="31713"/>
    <cellStyle name="Normal 9 2 2 2 3 2 6" xfId="25273"/>
    <cellStyle name="Normal 9 2 2 2 3 3" xfId="4598"/>
    <cellStyle name="Normal 9 2 2 2 3 3 2" xfId="20698"/>
    <cellStyle name="Normal 9 2 2 2 3 3 2 2" xfId="43285"/>
    <cellStyle name="Normal 9 2 2 2 3 3 3" xfId="11038"/>
    <cellStyle name="Normal 9 2 2 2 3 3 3 2" xfId="33625"/>
    <cellStyle name="Normal 9 2 2 2 3 3 4" xfId="27185"/>
    <cellStyle name="Normal 9 2 2 2 3 4" xfId="17478"/>
    <cellStyle name="Normal 9 2 2 2 3 4 2" xfId="40065"/>
    <cellStyle name="Normal 9 2 2 2 3 5" xfId="14258"/>
    <cellStyle name="Normal 9 2 2 2 3 5 2" xfId="36845"/>
    <cellStyle name="Normal 9 2 2 2 3 6" xfId="7818"/>
    <cellStyle name="Normal 9 2 2 2 3 6 2" xfId="30405"/>
    <cellStyle name="Normal 9 2 2 2 3 7" xfId="23965"/>
    <cellStyle name="Normal 9 2 2 2 4" xfId="1745"/>
    <cellStyle name="Normal 9 2 2 2 4 2" xfId="4968"/>
    <cellStyle name="Normal 9 2 2 2 4 2 2" xfId="21068"/>
    <cellStyle name="Normal 9 2 2 2 4 2 2 2" xfId="43655"/>
    <cellStyle name="Normal 9 2 2 2 4 2 3" xfId="11408"/>
    <cellStyle name="Normal 9 2 2 2 4 2 3 2" xfId="33995"/>
    <cellStyle name="Normal 9 2 2 2 4 2 4" xfId="27555"/>
    <cellStyle name="Normal 9 2 2 2 4 3" xfId="17848"/>
    <cellStyle name="Normal 9 2 2 2 4 3 2" xfId="40435"/>
    <cellStyle name="Normal 9 2 2 2 4 4" xfId="14628"/>
    <cellStyle name="Normal 9 2 2 2 4 4 2" xfId="37215"/>
    <cellStyle name="Normal 9 2 2 2 4 5" xfId="8188"/>
    <cellStyle name="Normal 9 2 2 2 4 5 2" xfId="30775"/>
    <cellStyle name="Normal 9 2 2 2 4 6" xfId="24335"/>
    <cellStyle name="Normal 9 2 2 2 5" xfId="1990"/>
    <cellStyle name="Normal 9 2 2 2 5 2" xfId="5212"/>
    <cellStyle name="Normal 9 2 2 2 5 2 2" xfId="21312"/>
    <cellStyle name="Normal 9 2 2 2 5 2 2 2" xfId="43899"/>
    <cellStyle name="Normal 9 2 2 2 5 2 3" xfId="11652"/>
    <cellStyle name="Normal 9 2 2 2 5 2 3 2" xfId="34239"/>
    <cellStyle name="Normal 9 2 2 2 5 2 4" xfId="27799"/>
    <cellStyle name="Normal 9 2 2 2 5 3" xfId="18092"/>
    <cellStyle name="Normal 9 2 2 2 5 3 2" xfId="40679"/>
    <cellStyle name="Normal 9 2 2 2 5 4" xfId="14872"/>
    <cellStyle name="Normal 9 2 2 2 5 4 2" xfId="37459"/>
    <cellStyle name="Normal 9 2 2 2 5 5" xfId="8432"/>
    <cellStyle name="Normal 9 2 2 2 5 5 2" xfId="31019"/>
    <cellStyle name="Normal 9 2 2 2 5 6" xfId="24579"/>
    <cellStyle name="Normal 9 2 2 2 6" xfId="3012"/>
    <cellStyle name="Normal 9 2 2 2 6 2" xfId="6232"/>
    <cellStyle name="Normal 9 2 2 2 6 2 2" xfId="22332"/>
    <cellStyle name="Normal 9 2 2 2 6 2 2 2" xfId="44919"/>
    <cellStyle name="Normal 9 2 2 2 6 2 3" xfId="12672"/>
    <cellStyle name="Normal 9 2 2 2 6 2 3 2" xfId="35259"/>
    <cellStyle name="Normal 9 2 2 2 6 2 4" xfId="28819"/>
    <cellStyle name="Normal 9 2 2 2 6 3" xfId="19112"/>
    <cellStyle name="Normal 9 2 2 2 6 3 2" xfId="41699"/>
    <cellStyle name="Normal 9 2 2 2 6 4" xfId="15892"/>
    <cellStyle name="Normal 9 2 2 2 6 4 2" xfId="38479"/>
    <cellStyle name="Normal 9 2 2 2 6 5" xfId="9452"/>
    <cellStyle name="Normal 9 2 2 2 6 5 2" xfId="32039"/>
    <cellStyle name="Normal 9 2 2 2 6 6" xfId="25599"/>
    <cellStyle name="Normal 9 2 2 2 7" xfId="3302"/>
    <cellStyle name="Normal 9 2 2 2 7 2" xfId="6522"/>
    <cellStyle name="Normal 9 2 2 2 7 2 2" xfId="22622"/>
    <cellStyle name="Normal 9 2 2 2 7 2 2 2" xfId="45209"/>
    <cellStyle name="Normal 9 2 2 2 7 2 3" xfId="12962"/>
    <cellStyle name="Normal 9 2 2 2 7 2 3 2" xfId="35549"/>
    <cellStyle name="Normal 9 2 2 2 7 2 4" xfId="29109"/>
    <cellStyle name="Normal 9 2 2 2 7 3" xfId="19402"/>
    <cellStyle name="Normal 9 2 2 2 7 3 2" xfId="41989"/>
    <cellStyle name="Normal 9 2 2 2 7 4" xfId="16182"/>
    <cellStyle name="Normal 9 2 2 2 7 4 2" xfId="38769"/>
    <cellStyle name="Normal 9 2 2 2 7 5" xfId="9742"/>
    <cellStyle name="Normal 9 2 2 2 7 5 2" xfId="32329"/>
    <cellStyle name="Normal 9 2 2 2 7 6" xfId="25889"/>
    <cellStyle name="Normal 9 2 2 2 8" xfId="660"/>
    <cellStyle name="Normal 9 2 2 2 8 2" xfId="3904"/>
    <cellStyle name="Normal 9 2 2 2 8 2 2" xfId="20004"/>
    <cellStyle name="Normal 9 2 2 2 8 2 2 2" xfId="42591"/>
    <cellStyle name="Normal 9 2 2 2 8 2 3" xfId="10344"/>
    <cellStyle name="Normal 9 2 2 2 8 2 3 2" xfId="32931"/>
    <cellStyle name="Normal 9 2 2 2 8 2 4" xfId="26491"/>
    <cellStyle name="Normal 9 2 2 2 8 3" xfId="16784"/>
    <cellStyle name="Normal 9 2 2 2 8 3 2" xfId="39371"/>
    <cellStyle name="Normal 9 2 2 2 8 4" xfId="13564"/>
    <cellStyle name="Normal 9 2 2 2 8 4 2" xfId="36151"/>
    <cellStyle name="Normal 9 2 2 2 8 5" xfId="7124"/>
    <cellStyle name="Normal 9 2 2 2 8 5 2" xfId="29711"/>
    <cellStyle name="Normal 9 2 2 2 8 6" xfId="23271"/>
    <cellStyle name="Normal 9 2 2 2 9" xfId="3592"/>
    <cellStyle name="Normal 9 2 2 2 9 2" xfId="19692"/>
    <cellStyle name="Normal 9 2 2 2 9 2 2" xfId="42279"/>
    <cellStyle name="Normal 9 2 2 2 9 3" xfId="10032"/>
    <cellStyle name="Normal 9 2 2 2 9 3 2" xfId="32619"/>
    <cellStyle name="Normal 9 2 2 2 9 4" xfId="26179"/>
    <cellStyle name="Normal 9 2 2 3" xfId="401"/>
    <cellStyle name="Normal 9 2 2 3 10" xfId="16568"/>
    <cellStyle name="Normal 9 2 2 3 10 2" xfId="39155"/>
    <cellStyle name="Normal 9 2 2 3 11" xfId="13348"/>
    <cellStyle name="Normal 9 2 2 3 11 2" xfId="35935"/>
    <cellStyle name="Normal 9 2 2 3 12" xfId="6908"/>
    <cellStyle name="Normal 9 2 2 3 12 2" xfId="29495"/>
    <cellStyle name="Normal 9 2 2 3 13" xfId="23055"/>
    <cellStyle name="Normal 9 2 2 3 2" xfId="1183"/>
    <cellStyle name="Normal 9 2 2 3 2 2" xfId="2497"/>
    <cellStyle name="Normal 9 2 2 3 2 2 2" xfId="5718"/>
    <cellStyle name="Normal 9 2 2 3 2 2 2 2" xfId="21818"/>
    <cellStyle name="Normal 9 2 2 3 2 2 2 2 2" xfId="44405"/>
    <cellStyle name="Normal 9 2 2 3 2 2 2 3" xfId="12158"/>
    <cellStyle name="Normal 9 2 2 3 2 2 2 3 2" xfId="34745"/>
    <cellStyle name="Normal 9 2 2 3 2 2 2 4" xfId="28305"/>
    <cellStyle name="Normal 9 2 2 3 2 2 3" xfId="18598"/>
    <cellStyle name="Normal 9 2 2 3 2 2 3 2" xfId="41185"/>
    <cellStyle name="Normal 9 2 2 3 2 2 4" xfId="15378"/>
    <cellStyle name="Normal 9 2 2 3 2 2 4 2" xfId="37965"/>
    <cellStyle name="Normal 9 2 2 3 2 2 5" xfId="8938"/>
    <cellStyle name="Normal 9 2 2 3 2 2 5 2" xfId="31525"/>
    <cellStyle name="Normal 9 2 2 3 2 2 6" xfId="25085"/>
    <cellStyle name="Normal 9 2 2 3 2 3" xfId="4410"/>
    <cellStyle name="Normal 9 2 2 3 2 3 2" xfId="20510"/>
    <cellStyle name="Normal 9 2 2 3 2 3 2 2" xfId="43097"/>
    <cellStyle name="Normal 9 2 2 3 2 3 3" xfId="10850"/>
    <cellStyle name="Normal 9 2 2 3 2 3 3 2" xfId="33437"/>
    <cellStyle name="Normal 9 2 2 3 2 3 4" xfId="26997"/>
    <cellStyle name="Normal 9 2 2 3 2 4" xfId="17290"/>
    <cellStyle name="Normal 9 2 2 3 2 4 2" xfId="39877"/>
    <cellStyle name="Normal 9 2 2 3 2 5" xfId="14070"/>
    <cellStyle name="Normal 9 2 2 3 2 5 2" xfId="36657"/>
    <cellStyle name="Normal 9 2 2 3 2 6" xfId="7630"/>
    <cellStyle name="Normal 9 2 2 3 2 6 2" xfId="30217"/>
    <cellStyle name="Normal 9 2 2 3 2 7" xfId="23777"/>
    <cellStyle name="Normal 9 2 2 3 3" xfId="1530"/>
    <cellStyle name="Normal 9 2 2 3 3 2" xfId="2844"/>
    <cellStyle name="Normal 9 2 2 3 3 2 2" xfId="6065"/>
    <cellStyle name="Normal 9 2 2 3 3 2 2 2" xfId="22165"/>
    <cellStyle name="Normal 9 2 2 3 3 2 2 2 2" xfId="44752"/>
    <cellStyle name="Normal 9 2 2 3 3 2 2 3" xfId="12505"/>
    <cellStyle name="Normal 9 2 2 3 3 2 2 3 2" xfId="35092"/>
    <cellStyle name="Normal 9 2 2 3 3 2 2 4" xfId="28652"/>
    <cellStyle name="Normal 9 2 2 3 3 2 3" xfId="18945"/>
    <cellStyle name="Normal 9 2 2 3 3 2 3 2" xfId="41532"/>
    <cellStyle name="Normal 9 2 2 3 3 2 4" xfId="15725"/>
    <cellStyle name="Normal 9 2 2 3 3 2 4 2" xfId="38312"/>
    <cellStyle name="Normal 9 2 2 3 3 2 5" xfId="9285"/>
    <cellStyle name="Normal 9 2 2 3 3 2 5 2" xfId="31872"/>
    <cellStyle name="Normal 9 2 2 3 3 2 6" xfId="25432"/>
    <cellStyle name="Normal 9 2 2 3 3 3" xfId="4757"/>
    <cellStyle name="Normal 9 2 2 3 3 3 2" xfId="20857"/>
    <cellStyle name="Normal 9 2 2 3 3 3 2 2" xfId="43444"/>
    <cellStyle name="Normal 9 2 2 3 3 3 3" xfId="11197"/>
    <cellStyle name="Normal 9 2 2 3 3 3 3 2" xfId="33784"/>
    <cellStyle name="Normal 9 2 2 3 3 3 4" xfId="27344"/>
    <cellStyle name="Normal 9 2 2 3 3 4" xfId="17637"/>
    <cellStyle name="Normal 9 2 2 3 3 4 2" xfId="40224"/>
    <cellStyle name="Normal 9 2 2 3 3 5" xfId="14417"/>
    <cellStyle name="Normal 9 2 2 3 3 5 2" xfId="37004"/>
    <cellStyle name="Normal 9 2 2 3 3 6" xfId="7977"/>
    <cellStyle name="Normal 9 2 2 3 3 6 2" xfId="30564"/>
    <cellStyle name="Normal 9 2 2 3 3 7" xfId="24124"/>
    <cellStyle name="Normal 9 2 2 3 4" xfId="1746"/>
    <cellStyle name="Normal 9 2 2 3 4 2" xfId="4969"/>
    <cellStyle name="Normal 9 2 2 3 4 2 2" xfId="21069"/>
    <cellStyle name="Normal 9 2 2 3 4 2 2 2" xfId="43656"/>
    <cellStyle name="Normal 9 2 2 3 4 2 3" xfId="11409"/>
    <cellStyle name="Normal 9 2 2 3 4 2 3 2" xfId="33996"/>
    <cellStyle name="Normal 9 2 2 3 4 2 4" xfId="27556"/>
    <cellStyle name="Normal 9 2 2 3 4 3" xfId="17849"/>
    <cellStyle name="Normal 9 2 2 3 4 3 2" xfId="40436"/>
    <cellStyle name="Normal 9 2 2 3 4 4" xfId="14629"/>
    <cellStyle name="Normal 9 2 2 3 4 4 2" xfId="37216"/>
    <cellStyle name="Normal 9 2 2 3 4 5" xfId="8189"/>
    <cellStyle name="Normal 9 2 2 3 4 5 2" xfId="30776"/>
    <cellStyle name="Normal 9 2 2 3 4 6" xfId="24336"/>
    <cellStyle name="Normal 9 2 2 3 5" xfId="2150"/>
    <cellStyle name="Normal 9 2 2 3 5 2" xfId="5371"/>
    <cellStyle name="Normal 9 2 2 3 5 2 2" xfId="21471"/>
    <cellStyle name="Normal 9 2 2 3 5 2 2 2" xfId="44058"/>
    <cellStyle name="Normal 9 2 2 3 5 2 3" xfId="11811"/>
    <cellStyle name="Normal 9 2 2 3 5 2 3 2" xfId="34398"/>
    <cellStyle name="Normal 9 2 2 3 5 2 4" xfId="27958"/>
    <cellStyle name="Normal 9 2 2 3 5 3" xfId="18251"/>
    <cellStyle name="Normal 9 2 2 3 5 3 2" xfId="40838"/>
    <cellStyle name="Normal 9 2 2 3 5 4" xfId="15031"/>
    <cellStyle name="Normal 9 2 2 3 5 4 2" xfId="37618"/>
    <cellStyle name="Normal 9 2 2 3 5 5" xfId="8591"/>
    <cellStyle name="Normal 9 2 2 3 5 5 2" xfId="31178"/>
    <cellStyle name="Normal 9 2 2 3 5 6" xfId="24738"/>
    <cellStyle name="Normal 9 2 2 3 6" xfId="3108"/>
    <cellStyle name="Normal 9 2 2 3 6 2" xfId="6328"/>
    <cellStyle name="Normal 9 2 2 3 6 2 2" xfId="22428"/>
    <cellStyle name="Normal 9 2 2 3 6 2 2 2" xfId="45015"/>
    <cellStyle name="Normal 9 2 2 3 6 2 3" xfId="12768"/>
    <cellStyle name="Normal 9 2 2 3 6 2 3 2" xfId="35355"/>
    <cellStyle name="Normal 9 2 2 3 6 2 4" xfId="28915"/>
    <cellStyle name="Normal 9 2 2 3 6 3" xfId="19208"/>
    <cellStyle name="Normal 9 2 2 3 6 3 2" xfId="41795"/>
    <cellStyle name="Normal 9 2 2 3 6 4" xfId="15988"/>
    <cellStyle name="Normal 9 2 2 3 6 4 2" xfId="38575"/>
    <cellStyle name="Normal 9 2 2 3 6 5" xfId="9548"/>
    <cellStyle name="Normal 9 2 2 3 6 5 2" xfId="32135"/>
    <cellStyle name="Normal 9 2 2 3 6 6" xfId="25695"/>
    <cellStyle name="Normal 9 2 2 3 7" xfId="3398"/>
    <cellStyle name="Normal 9 2 2 3 7 2" xfId="6618"/>
    <cellStyle name="Normal 9 2 2 3 7 2 2" xfId="22718"/>
    <cellStyle name="Normal 9 2 2 3 7 2 2 2" xfId="45305"/>
    <cellStyle name="Normal 9 2 2 3 7 2 3" xfId="13058"/>
    <cellStyle name="Normal 9 2 2 3 7 2 3 2" xfId="35645"/>
    <cellStyle name="Normal 9 2 2 3 7 2 4" xfId="29205"/>
    <cellStyle name="Normal 9 2 2 3 7 3" xfId="19498"/>
    <cellStyle name="Normal 9 2 2 3 7 3 2" xfId="42085"/>
    <cellStyle name="Normal 9 2 2 3 7 4" xfId="16278"/>
    <cellStyle name="Normal 9 2 2 3 7 4 2" xfId="38865"/>
    <cellStyle name="Normal 9 2 2 3 7 5" xfId="9838"/>
    <cellStyle name="Normal 9 2 2 3 7 5 2" xfId="32425"/>
    <cellStyle name="Normal 9 2 2 3 7 6" xfId="25985"/>
    <cellStyle name="Normal 9 2 2 3 8" xfId="831"/>
    <cellStyle name="Normal 9 2 2 3 8 2" xfId="4063"/>
    <cellStyle name="Normal 9 2 2 3 8 2 2" xfId="20163"/>
    <cellStyle name="Normal 9 2 2 3 8 2 2 2" xfId="42750"/>
    <cellStyle name="Normal 9 2 2 3 8 2 3" xfId="10503"/>
    <cellStyle name="Normal 9 2 2 3 8 2 3 2" xfId="33090"/>
    <cellStyle name="Normal 9 2 2 3 8 2 4" xfId="26650"/>
    <cellStyle name="Normal 9 2 2 3 8 3" xfId="16943"/>
    <cellStyle name="Normal 9 2 2 3 8 3 2" xfId="39530"/>
    <cellStyle name="Normal 9 2 2 3 8 4" xfId="13723"/>
    <cellStyle name="Normal 9 2 2 3 8 4 2" xfId="36310"/>
    <cellStyle name="Normal 9 2 2 3 8 5" xfId="7283"/>
    <cellStyle name="Normal 9 2 2 3 8 5 2" xfId="29870"/>
    <cellStyle name="Normal 9 2 2 3 8 6" xfId="23430"/>
    <cellStyle name="Normal 9 2 2 3 9" xfId="3688"/>
    <cellStyle name="Normal 9 2 2 3 9 2" xfId="19788"/>
    <cellStyle name="Normal 9 2 2 3 9 2 2" xfId="42375"/>
    <cellStyle name="Normal 9 2 2 3 9 3" xfId="10128"/>
    <cellStyle name="Normal 9 2 2 3 9 3 2" xfId="32715"/>
    <cellStyle name="Normal 9 2 2 3 9 4" xfId="26275"/>
    <cellStyle name="Normal 9 2 2 4" xfId="900"/>
    <cellStyle name="Normal 9 2 2 4 2" xfId="2219"/>
    <cellStyle name="Normal 9 2 2 4 2 2" xfId="5440"/>
    <cellStyle name="Normal 9 2 2 4 2 2 2" xfId="21540"/>
    <cellStyle name="Normal 9 2 2 4 2 2 2 2" xfId="44127"/>
    <cellStyle name="Normal 9 2 2 4 2 2 3" xfId="11880"/>
    <cellStyle name="Normal 9 2 2 4 2 2 3 2" xfId="34467"/>
    <cellStyle name="Normal 9 2 2 4 2 2 4" xfId="28027"/>
    <cellStyle name="Normal 9 2 2 4 2 3" xfId="18320"/>
    <cellStyle name="Normal 9 2 2 4 2 3 2" xfId="40907"/>
    <cellStyle name="Normal 9 2 2 4 2 4" xfId="15100"/>
    <cellStyle name="Normal 9 2 2 4 2 4 2" xfId="37687"/>
    <cellStyle name="Normal 9 2 2 4 2 5" xfId="8660"/>
    <cellStyle name="Normal 9 2 2 4 2 5 2" xfId="31247"/>
    <cellStyle name="Normal 9 2 2 4 2 6" xfId="24807"/>
    <cellStyle name="Normal 9 2 2 4 3" xfId="4132"/>
    <cellStyle name="Normal 9 2 2 4 3 2" xfId="20232"/>
    <cellStyle name="Normal 9 2 2 4 3 2 2" xfId="42819"/>
    <cellStyle name="Normal 9 2 2 4 3 3" xfId="10572"/>
    <cellStyle name="Normal 9 2 2 4 3 3 2" xfId="33159"/>
    <cellStyle name="Normal 9 2 2 4 3 4" xfId="26719"/>
    <cellStyle name="Normal 9 2 2 4 4" xfId="17012"/>
    <cellStyle name="Normal 9 2 2 4 4 2" xfId="39599"/>
    <cellStyle name="Normal 9 2 2 4 5" xfId="13792"/>
    <cellStyle name="Normal 9 2 2 4 5 2" xfId="36379"/>
    <cellStyle name="Normal 9 2 2 4 6" xfId="7352"/>
    <cellStyle name="Normal 9 2 2 4 6 2" xfId="29939"/>
    <cellStyle name="Normal 9 2 2 4 7" xfId="23499"/>
    <cellStyle name="Normal 9 2 2 5" xfId="1252"/>
    <cellStyle name="Normal 9 2 2 5 2" xfId="2566"/>
    <cellStyle name="Normal 9 2 2 5 2 2" xfId="5787"/>
    <cellStyle name="Normal 9 2 2 5 2 2 2" xfId="21887"/>
    <cellStyle name="Normal 9 2 2 5 2 2 2 2" xfId="44474"/>
    <cellStyle name="Normal 9 2 2 5 2 2 3" xfId="12227"/>
    <cellStyle name="Normal 9 2 2 5 2 2 3 2" xfId="34814"/>
    <cellStyle name="Normal 9 2 2 5 2 2 4" xfId="28374"/>
    <cellStyle name="Normal 9 2 2 5 2 3" xfId="18667"/>
    <cellStyle name="Normal 9 2 2 5 2 3 2" xfId="41254"/>
    <cellStyle name="Normal 9 2 2 5 2 4" xfId="15447"/>
    <cellStyle name="Normal 9 2 2 5 2 4 2" xfId="38034"/>
    <cellStyle name="Normal 9 2 2 5 2 5" xfId="9007"/>
    <cellStyle name="Normal 9 2 2 5 2 5 2" xfId="31594"/>
    <cellStyle name="Normal 9 2 2 5 2 6" xfId="25154"/>
    <cellStyle name="Normal 9 2 2 5 3" xfId="4479"/>
    <cellStyle name="Normal 9 2 2 5 3 2" xfId="20579"/>
    <cellStyle name="Normal 9 2 2 5 3 2 2" xfId="43166"/>
    <cellStyle name="Normal 9 2 2 5 3 3" xfId="10919"/>
    <cellStyle name="Normal 9 2 2 5 3 3 2" xfId="33506"/>
    <cellStyle name="Normal 9 2 2 5 3 4" xfId="27066"/>
    <cellStyle name="Normal 9 2 2 5 4" xfId="17359"/>
    <cellStyle name="Normal 9 2 2 5 4 2" xfId="39946"/>
    <cellStyle name="Normal 9 2 2 5 5" xfId="14139"/>
    <cellStyle name="Normal 9 2 2 5 5 2" xfId="36726"/>
    <cellStyle name="Normal 9 2 2 5 6" xfId="7699"/>
    <cellStyle name="Normal 9 2 2 5 6 2" xfId="30286"/>
    <cellStyle name="Normal 9 2 2 5 7" xfId="23846"/>
    <cellStyle name="Normal 9 2 2 6" xfId="1747"/>
    <cellStyle name="Normal 9 2 2 6 2" xfId="4970"/>
    <cellStyle name="Normal 9 2 2 6 2 2" xfId="21070"/>
    <cellStyle name="Normal 9 2 2 6 2 2 2" xfId="43657"/>
    <cellStyle name="Normal 9 2 2 6 2 3" xfId="11410"/>
    <cellStyle name="Normal 9 2 2 6 2 3 2" xfId="33997"/>
    <cellStyle name="Normal 9 2 2 6 2 4" xfId="27557"/>
    <cellStyle name="Normal 9 2 2 6 3" xfId="17850"/>
    <cellStyle name="Normal 9 2 2 6 3 2" xfId="40437"/>
    <cellStyle name="Normal 9 2 2 6 4" xfId="14630"/>
    <cellStyle name="Normal 9 2 2 6 4 2" xfId="37217"/>
    <cellStyle name="Normal 9 2 2 6 5" xfId="8190"/>
    <cellStyle name="Normal 9 2 2 6 5 2" xfId="30777"/>
    <cellStyle name="Normal 9 2 2 6 6" xfId="24337"/>
    <cellStyle name="Normal 9 2 2 7" xfId="1871"/>
    <cellStyle name="Normal 9 2 2 7 2" xfId="5093"/>
    <cellStyle name="Normal 9 2 2 7 2 2" xfId="21193"/>
    <cellStyle name="Normal 9 2 2 7 2 2 2" xfId="43780"/>
    <cellStyle name="Normal 9 2 2 7 2 3" xfId="11533"/>
    <cellStyle name="Normal 9 2 2 7 2 3 2" xfId="34120"/>
    <cellStyle name="Normal 9 2 2 7 2 4" xfId="27680"/>
    <cellStyle name="Normal 9 2 2 7 3" xfId="17973"/>
    <cellStyle name="Normal 9 2 2 7 3 2" xfId="40560"/>
    <cellStyle name="Normal 9 2 2 7 4" xfId="14753"/>
    <cellStyle name="Normal 9 2 2 7 4 2" xfId="37340"/>
    <cellStyle name="Normal 9 2 2 7 5" xfId="8313"/>
    <cellStyle name="Normal 9 2 2 7 5 2" xfId="30900"/>
    <cellStyle name="Normal 9 2 2 7 6" xfId="24460"/>
    <cellStyle name="Normal 9 2 2 8" xfId="2914"/>
    <cellStyle name="Normal 9 2 2 8 2" xfId="6135"/>
    <cellStyle name="Normal 9 2 2 8 2 2" xfId="22235"/>
    <cellStyle name="Normal 9 2 2 8 2 2 2" xfId="44822"/>
    <cellStyle name="Normal 9 2 2 8 2 3" xfId="12575"/>
    <cellStyle name="Normal 9 2 2 8 2 3 2" xfId="35162"/>
    <cellStyle name="Normal 9 2 2 8 2 4" xfId="28722"/>
    <cellStyle name="Normal 9 2 2 8 3" xfId="19015"/>
    <cellStyle name="Normal 9 2 2 8 3 2" xfId="41602"/>
    <cellStyle name="Normal 9 2 2 8 4" xfId="15795"/>
    <cellStyle name="Normal 9 2 2 8 4 2" xfId="38382"/>
    <cellStyle name="Normal 9 2 2 8 5" xfId="9355"/>
    <cellStyle name="Normal 9 2 2 8 5 2" xfId="31942"/>
    <cellStyle name="Normal 9 2 2 8 6" xfId="25502"/>
    <cellStyle name="Normal 9 2 2 9" xfId="3205"/>
    <cellStyle name="Normal 9 2 2 9 2" xfId="6425"/>
    <cellStyle name="Normal 9 2 2 9 2 2" xfId="22525"/>
    <cellStyle name="Normal 9 2 2 9 2 2 2" xfId="45112"/>
    <cellStyle name="Normal 9 2 2 9 2 3" xfId="12865"/>
    <cellStyle name="Normal 9 2 2 9 2 3 2" xfId="35452"/>
    <cellStyle name="Normal 9 2 2 9 2 4" xfId="29012"/>
    <cellStyle name="Normal 9 2 2 9 3" xfId="19305"/>
    <cellStyle name="Normal 9 2 2 9 3 2" xfId="41892"/>
    <cellStyle name="Normal 9 2 2 9 4" xfId="16085"/>
    <cellStyle name="Normal 9 2 2 9 4 2" xfId="38672"/>
    <cellStyle name="Normal 9 2 2 9 5" xfId="9645"/>
    <cellStyle name="Normal 9 2 2 9 5 2" xfId="32232"/>
    <cellStyle name="Normal 9 2 2 9 6" xfId="25792"/>
    <cellStyle name="Normal 9 2 3" xfId="273"/>
    <cellStyle name="Normal 9 2 3 10" xfId="3560"/>
    <cellStyle name="Normal 9 2 3 10 2" xfId="19660"/>
    <cellStyle name="Normal 9 2 3 10 2 2" xfId="42247"/>
    <cellStyle name="Normal 9 2 3 10 3" xfId="10000"/>
    <cellStyle name="Normal 9 2 3 10 3 2" xfId="32587"/>
    <cellStyle name="Normal 9 2 3 10 4" xfId="26147"/>
    <cellStyle name="Normal 9 2 3 11" xfId="16440"/>
    <cellStyle name="Normal 9 2 3 11 2" xfId="39027"/>
    <cellStyle name="Normal 9 2 3 12" xfId="13220"/>
    <cellStyle name="Normal 9 2 3 12 2" xfId="35807"/>
    <cellStyle name="Normal 9 2 3 13" xfId="6780"/>
    <cellStyle name="Normal 9 2 3 13 2" xfId="29367"/>
    <cellStyle name="Normal 9 2 3 14" xfId="22927"/>
    <cellStyle name="Normal 9 2 3 2" xfId="697"/>
    <cellStyle name="Normal 9 2 3 2 10" xfId="23308"/>
    <cellStyle name="Normal 9 2 3 2 2" xfId="1061"/>
    <cellStyle name="Normal 9 2 3 2 2 2" xfId="2375"/>
    <cellStyle name="Normal 9 2 3 2 2 2 2" xfId="5596"/>
    <cellStyle name="Normal 9 2 3 2 2 2 2 2" xfId="21696"/>
    <cellStyle name="Normal 9 2 3 2 2 2 2 2 2" xfId="44283"/>
    <cellStyle name="Normal 9 2 3 2 2 2 2 3" xfId="12036"/>
    <cellStyle name="Normal 9 2 3 2 2 2 2 3 2" xfId="34623"/>
    <cellStyle name="Normal 9 2 3 2 2 2 2 4" xfId="28183"/>
    <cellStyle name="Normal 9 2 3 2 2 2 3" xfId="18476"/>
    <cellStyle name="Normal 9 2 3 2 2 2 3 2" xfId="41063"/>
    <cellStyle name="Normal 9 2 3 2 2 2 4" xfId="15256"/>
    <cellStyle name="Normal 9 2 3 2 2 2 4 2" xfId="37843"/>
    <cellStyle name="Normal 9 2 3 2 2 2 5" xfId="8816"/>
    <cellStyle name="Normal 9 2 3 2 2 2 5 2" xfId="31403"/>
    <cellStyle name="Normal 9 2 3 2 2 2 6" xfId="24963"/>
    <cellStyle name="Normal 9 2 3 2 2 3" xfId="4288"/>
    <cellStyle name="Normal 9 2 3 2 2 3 2" xfId="20388"/>
    <cellStyle name="Normal 9 2 3 2 2 3 2 2" xfId="42975"/>
    <cellStyle name="Normal 9 2 3 2 2 3 3" xfId="10728"/>
    <cellStyle name="Normal 9 2 3 2 2 3 3 2" xfId="33315"/>
    <cellStyle name="Normal 9 2 3 2 2 3 4" xfId="26875"/>
    <cellStyle name="Normal 9 2 3 2 2 4" xfId="17168"/>
    <cellStyle name="Normal 9 2 3 2 2 4 2" xfId="39755"/>
    <cellStyle name="Normal 9 2 3 2 2 5" xfId="13948"/>
    <cellStyle name="Normal 9 2 3 2 2 5 2" xfId="36535"/>
    <cellStyle name="Normal 9 2 3 2 2 6" xfId="7508"/>
    <cellStyle name="Normal 9 2 3 2 2 6 2" xfId="30095"/>
    <cellStyle name="Normal 9 2 3 2 2 7" xfId="23655"/>
    <cellStyle name="Normal 9 2 3 2 3" xfId="1408"/>
    <cellStyle name="Normal 9 2 3 2 3 2" xfId="2722"/>
    <cellStyle name="Normal 9 2 3 2 3 2 2" xfId="5943"/>
    <cellStyle name="Normal 9 2 3 2 3 2 2 2" xfId="22043"/>
    <cellStyle name="Normal 9 2 3 2 3 2 2 2 2" xfId="44630"/>
    <cellStyle name="Normal 9 2 3 2 3 2 2 3" xfId="12383"/>
    <cellStyle name="Normal 9 2 3 2 3 2 2 3 2" xfId="34970"/>
    <cellStyle name="Normal 9 2 3 2 3 2 2 4" xfId="28530"/>
    <cellStyle name="Normal 9 2 3 2 3 2 3" xfId="18823"/>
    <cellStyle name="Normal 9 2 3 2 3 2 3 2" xfId="41410"/>
    <cellStyle name="Normal 9 2 3 2 3 2 4" xfId="15603"/>
    <cellStyle name="Normal 9 2 3 2 3 2 4 2" xfId="38190"/>
    <cellStyle name="Normal 9 2 3 2 3 2 5" xfId="9163"/>
    <cellStyle name="Normal 9 2 3 2 3 2 5 2" xfId="31750"/>
    <cellStyle name="Normal 9 2 3 2 3 2 6" xfId="25310"/>
    <cellStyle name="Normal 9 2 3 2 3 3" xfId="4635"/>
    <cellStyle name="Normal 9 2 3 2 3 3 2" xfId="20735"/>
    <cellStyle name="Normal 9 2 3 2 3 3 2 2" xfId="43322"/>
    <cellStyle name="Normal 9 2 3 2 3 3 3" xfId="11075"/>
    <cellStyle name="Normal 9 2 3 2 3 3 3 2" xfId="33662"/>
    <cellStyle name="Normal 9 2 3 2 3 3 4" xfId="27222"/>
    <cellStyle name="Normal 9 2 3 2 3 4" xfId="17515"/>
    <cellStyle name="Normal 9 2 3 2 3 4 2" xfId="40102"/>
    <cellStyle name="Normal 9 2 3 2 3 5" xfId="14295"/>
    <cellStyle name="Normal 9 2 3 2 3 5 2" xfId="36882"/>
    <cellStyle name="Normal 9 2 3 2 3 6" xfId="7855"/>
    <cellStyle name="Normal 9 2 3 2 3 6 2" xfId="30442"/>
    <cellStyle name="Normal 9 2 3 2 3 7" xfId="24002"/>
    <cellStyle name="Normal 9 2 3 2 4" xfId="1748"/>
    <cellStyle name="Normal 9 2 3 2 4 2" xfId="4971"/>
    <cellStyle name="Normal 9 2 3 2 4 2 2" xfId="21071"/>
    <cellStyle name="Normal 9 2 3 2 4 2 2 2" xfId="43658"/>
    <cellStyle name="Normal 9 2 3 2 4 2 3" xfId="11411"/>
    <cellStyle name="Normal 9 2 3 2 4 2 3 2" xfId="33998"/>
    <cellStyle name="Normal 9 2 3 2 4 2 4" xfId="27558"/>
    <cellStyle name="Normal 9 2 3 2 4 3" xfId="17851"/>
    <cellStyle name="Normal 9 2 3 2 4 3 2" xfId="40438"/>
    <cellStyle name="Normal 9 2 3 2 4 4" xfId="14631"/>
    <cellStyle name="Normal 9 2 3 2 4 4 2" xfId="37218"/>
    <cellStyle name="Normal 9 2 3 2 4 5" xfId="8191"/>
    <cellStyle name="Normal 9 2 3 2 4 5 2" xfId="30778"/>
    <cellStyle name="Normal 9 2 3 2 4 6" xfId="24338"/>
    <cellStyle name="Normal 9 2 3 2 5" xfId="2027"/>
    <cellStyle name="Normal 9 2 3 2 5 2" xfId="5249"/>
    <cellStyle name="Normal 9 2 3 2 5 2 2" xfId="21349"/>
    <cellStyle name="Normal 9 2 3 2 5 2 2 2" xfId="43936"/>
    <cellStyle name="Normal 9 2 3 2 5 2 3" xfId="11689"/>
    <cellStyle name="Normal 9 2 3 2 5 2 3 2" xfId="34276"/>
    <cellStyle name="Normal 9 2 3 2 5 2 4" xfId="27836"/>
    <cellStyle name="Normal 9 2 3 2 5 3" xfId="18129"/>
    <cellStyle name="Normal 9 2 3 2 5 3 2" xfId="40716"/>
    <cellStyle name="Normal 9 2 3 2 5 4" xfId="14909"/>
    <cellStyle name="Normal 9 2 3 2 5 4 2" xfId="37496"/>
    <cellStyle name="Normal 9 2 3 2 5 5" xfId="8469"/>
    <cellStyle name="Normal 9 2 3 2 5 5 2" xfId="31056"/>
    <cellStyle name="Normal 9 2 3 2 5 6" xfId="24616"/>
    <cellStyle name="Normal 9 2 3 2 6" xfId="3941"/>
    <cellStyle name="Normal 9 2 3 2 6 2" xfId="20041"/>
    <cellStyle name="Normal 9 2 3 2 6 2 2" xfId="42628"/>
    <cellStyle name="Normal 9 2 3 2 6 3" xfId="10381"/>
    <cellStyle name="Normal 9 2 3 2 6 3 2" xfId="32968"/>
    <cellStyle name="Normal 9 2 3 2 6 4" xfId="26528"/>
    <cellStyle name="Normal 9 2 3 2 7" xfId="16821"/>
    <cellStyle name="Normal 9 2 3 2 7 2" xfId="39408"/>
    <cellStyle name="Normal 9 2 3 2 8" xfId="13601"/>
    <cellStyle name="Normal 9 2 3 2 8 2" xfId="36188"/>
    <cellStyle name="Normal 9 2 3 2 9" xfId="7161"/>
    <cellStyle name="Normal 9 2 3 2 9 2" xfId="29748"/>
    <cellStyle name="Normal 9 2 3 3" xfId="940"/>
    <cellStyle name="Normal 9 2 3 3 2" xfId="2259"/>
    <cellStyle name="Normal 9 2 3 3 2 2" xfId="5480"/>
    <cellStyle name="Normal 9 2 3 3 2 2 2" xfId="21580"/>
    <cellStyle name="Normal 9 2 3 3 2 2 2 2" xfId="44167"/>
    <cellStyle name="Normal 9 2 3 3 2 2 3" xfId="11920"/>
    <cellStyle name="Normal 9 2 3 3 2 2 3 2" xfId="34507"/>
    <cellStyle name="Normal 9 2 3 3 2 2 4" xfId="28067"/>
    <cellStyle name="Normal 9 2 3 3 2 3" xfId="18360"/>
    <cellStyle name="Normal 9 2 3 3 2 3 2" xfId="40947"/>
    <cellStyle name="Normal 9 2 3 3 2 4" xfId="15140"/>
    <cellStyle name="Normal 9 2 3 3 2 4 2" xfId="37727"/>
    <cellStyle name="Normal 9 2 3 3 2 5" xfId="8700"/>
    <cellStyle name="Normal 9 2 3 3 2 5 2" xfId="31287"/>
    <cellStyle name="Normal 9 2 3 3 2 6" xfId="24847"/>
    <cellStyle name="Normal 9 2 3 3 3" xfId="4172"/>
    <cellStyle name="Normal 9 2 3 3 3 2" xfId="20272"/>
    <cellStyle name="Normal 9 2 3 3 3 2 2" xfId="42859"/>
    <cellStyle name="Normal 9 2 3 3 3 3" xfId="10612"/>
    <cellStyle name="Normal 9 2 3 3 3 3 2" xfId="33199"/>
    <cellStyle name="Normal 9 2 3 3 3 4" xfId="26759"/>
    <cellStyle name="Normal 9 2 3 3 4" xfId="17052"/>
    <cellStyle name="Normal 9 2 3 3 4 2" xfId="39639"/>
    <cellStyle name="Normal 9 2 3 3 5" xfId="13832"/>
    <cellStyle name="Normal 9 2 3 3 5 2" xfId="36419"/>
    <cellStyle name="Normal 9 2 3 3 6" xfId="7392"/>
    <cellStyle name="Normal 9 2 3 3 6 2" xfId="29979"/>
    <cellStyle name="Normal 9 2 3 3 7" xfId="23539"/>
    <cellStyle name="Normal 9 2 3 4" xfId="1292"/>
    <cellStyle name="Normal 9 2 3 4 2" xfId="2606"/>
    <cellStyle name="Normal 9 2 3 4 2 2" xfId="5827"/>
    <cellStyle name="Normal 9 2 3 4 2 2 2" xfId="21927"/>
    <cellStyle name="Normal 9 2 3 4 2 2 2 2" xfId="44514"/>
    <cellStyle name="Normal 9 2 3 4 2 2 3" xfId="12267"/>
    <cellStyle name="Normal 9 2 3 4 2 2 3 2" xfId="34854"/>
    <cellStyle name="Normal 9 2 3 4 2 2 4" xfId="28414"/>
    <cellStyle name="Normal 9 2 3 4 2 3" xfId="18707"/>
    <cellStyle name="Normal 9 2 3 4 2 3 2" xfId="41294"/>
    <cellStyle name="Normal 9 2 3 4 2 4" xfId="15487"/>
    <cellStyle name="Normal 9 2 3 4 2 4 2" xfId="38074"/>
    <cellStyle name="Normal 9 2 3 4 2 5" xfId="9047"/>
    <cellStyle name="Normal 9 2 3 4 2 5 2" xfId="31634"/>
    <cellStyle name="Normal 9 2 3 4 2 6" xfId="25194"/>
    <cellStyle name="Normal 9 2 3 4 3" xfId="4519"/>
    <cellStyle name="Normal 9 2 3 4 3 2" xfId="20619"/>
    <cellStyle name="Normal 9 2 3 4 3 2 2" xfId="43206"/>
    <cellStyle name="Normal 9 2 3 4 3 3" xfId="10959"/>
    <cellStyle name="Normal 9 2 3 4 3 3 2" xfId="33546"/>
    <cellStyle name="Normal 9 2 3 4 3 4" xfId="27106"/>
    <cellStyle name="Normal 9 2 3 4 4" xfId="17399"/>
    <cellStyle name="Normal 9 2 3 4 4 2" xfId="39986"/>
    <cellStyle name="Normal 9 2 3 4 5" xfId="14179"/>
    <cellStyle name="Normal 9 2 3 4 5 2" xfId="36766"/>
    <cellStyle name="Normal 9 2 3 4 6" xfId="7739"/>
    <cellStyle name="Normal 9 2 3 4 6 2" xfId="30326"/>
    <cellStyle name="Normal 9 2 3 4 7" xfId="23886"/>
    <cellStyle name="Normal 9 2 3 5" xfId="1749"/>
    <cellStyle name="Normal 9 2 3 5 2" xfId="4972"/>
    <cellStyle name="Normal 9 2 3 5 2 2" xfId="21072"/>
    <cellStyle name="Normal 9 2 3 5 2 2 2" xfId="43659"/>
    <cellStyle name="Normal 9 2 3 5 2 3" xfId="11412"/>
    <cellStyle name="Normal 9 2 3 5 2 3 2" xfId="33999"/>
    <cellStyle name="Normal 9 2 3 5 2 4" xfId="27559"/>
    <cellStyle name="Normal 9 2 3 5 3" xfId="17852"/>
    <cellStyle name="Normal 9 2 3 5 3 2" xfId="40439"/>
    <cellStyle name="Normal 9 2 3 5 4" xfId="14632"/>
    <cellStyle name="Normal 9 2 3 5 4 2" xfId="37219"/>
    <cellStyle name="Normal 9 2 3 5 5" xfId="8192"/>
    <cellStyle name="Normal 9 2 3 5 5 2" xfId="30779"/>
    <cellStyle name="Normal 9 2 3 5 6" xfId="24339"/>
    <cellStyle name="Normal 9 2 3 6" xfId="1911"/>
    <cellStyle name="Normal 9 2 3 6 2" xfId="5133"/>
    <cellStyle name="Normal 9 2 3 6 2 2" xfId="21233"/>
    <cellStyle name="Normal 9 2 3 6 2 2 2" xfId="43820"/>
    <cellStyle name="Normal 9 2 3 6 2 3" xfId="11573"/>
    <cellStyle name="Normal 9 2 3 6 2 3 2" xfId="34160"/>
    <cellStyle name="Normal 9 2 3 6 2 4" xfId="27720"/>
    <cellStyle name="Normal 9 2 3 6 3" xfId="18013"/>
    <cellStyle name="Normal 9 2 3 6 3 2" xfId="40600"/>
    <cellStyle name="Normal 9 2 3 6 4" xfId="14793"/>
    <cellStyle name="Normal 9 2 3 6 4 2" xfId="37380"/>
    <cellStyle name="Normal 9 2 3 6 5" xfId="8353"/>
    <cellStyle name="Normal 9 2 3 6 5 2" xfId="30940"/>
    <cellStyle name="Normal 9 2 3 6 6" xfId="24500"/>
    <cellStyle name="Normal 9 2 3 7" xfId="2980"/>
    <cellStyle name="Normal 9 2 3 7 2" xfId="6200"/>
    <cellStyle name="Normal 9 2 3 7 2 2" xfId="22300"/>
    <cellStyle name="Normal 9 2 3 7 2 2 2" xfId="44887"/>
    <cellStyle name="Normal 9 2 3 7 2 3" xfId="12640"/>
    <cellStyle name="Normal 9 2 3 7 2 3 2" xfId="35227"/>
    <cellStyle name="Normal 9 2 3 7 2 4" xfId="28787"/>
    <cellStyle name="Normal 9 2 3 7 3" xfId="19080"/>
    <cellStyle name="Normal 9 2 3 7 3 2" xfId="41667"/>
    <cellStyle name="Normal 9 2 3 7 4" xfId="15860"/>
    <cellStyle name="Normal 9 2 3 7 4 2" xfId="38447"/>
    <cellStyle name="Normal 9 2 3 7 5" xfId="9420"/>
    <cellStyle name="Normal 9 2 3 7 5 2" xfId="32007"/>
    <cellStyle name="Normal 9 2 3 7 6" xfId="25567"/>
    <cellStyle name="Normal 9 2 3 8" xfId="3270"/>
    <cellStyle name="Normal 9 2 3 8 2" xfId="6490"/>
    <cellStyle name="Normal 9 2 3 8 2 2" xfId="22590"/>
    <cellStyle name="Normal 9 2 3 8 2 2 2" xfId="45177"/>
    <cellStyle name="Normal 9 2 3 8 2 3" xfId="12930"/>
    <cellStyle name="Normal 9 2 3 8 2 3 2" xfId="35517"/>
    <cellStyle name="Normal 9 2 3 8 2 4" xfId="29077"/>
    <cellStyle name="Normal 9 2 3 8 3" xfId="19370"/>
    <cellStyle name="Normal 9 2 3 8 3 2" xfId="41957"/>
    <cellStyle name="Normal 9 2 3 8 4" xfId="16150"/>
    <cellStyle name="Normal 9 2 3 8 4 2" xfId="38737"/>
    <cellStyle name="Normal 9 2 3 8 5" xfId="9710"/>
    <cellStyle name="Normal 9 2 3 8 5 2" xfId="32297"/>
    <cellStyle name="Normal 9 2 3 8 6" xfId="25857"/>
    <cellStyle name="Normal 9 2 3 9" xfId="538"/>
    <cellStyle name="Normal 9 2 3 9 2" xfId="3825"/>
    <cellStyle name="Normal 9 2 3 9 2 2" xfId="19925"/>
    <cellStyle name="Normal 9 2 3 9 2 2 2" xfId="42512"/>
    <cellStyle name="Normal 9 2 3 9 2 3" xfId="10265"/>
    <cellStyle name="Normal 9 2 3 9 2 3 2" xfId="32852"/>
    <cellStyle name="Normal 9 2 3 9 2 4" xfId="26412"/>
    <cellStyle name="Normal 9 2 3 9 3" xfId="16705"/>
    <cellStyle name="Normal 9 2 3 9 3 2" xfId="39292"/>
    <cellStyle name="Normal 9 2 3 9 4" xfId="13485"/>
    <cellStyle name="Normal 9 2 3 9 4 2" xfId="36072"/>
    <cellStyle name="Normal 9 2 3 9 5" xfId="7045"/>
    <cellStyle name="Normal 9 2 3 9 5 2" xfId="29632"/>
    <cellStyle name="Normal 9 2 3 9 6" xfId="23192"/>
    <cellStyle name="Normal 9 2 4" xfId="364"/>
    <cellStyle name="Normal 9 2 4 10" xfId="16531"/>
    <cellStyle name="Normal 9 2 4 10 2" xfId="39118"/>
    <cellStyle name="Normal 9 2 4 11" xfId="13311"/>
    <cellStyle name="Normal 9 2 4 11 2" xfId="35898"/>
    <cellStyle name="Normal 9 2 4 12" xfId="6871"/>
    <cellStyle name="Normal 9 2 4 12 2" xfId="29458"/>
    <cellStyle name="Normal 9 2 4 13" xfId="23018"/>
    <cellStyle name="Normal 9 2 4 2" xfId="987"/>
    <cellStyle name="Normal 9 2 4 2 2" xfId="2301"/>
    <cellStyle name="Normal 9 2 4 2 2 2" xfId="5522"/>
    <cellStyle name="Normal 9 2 4 2 2 2 2" xfId="21622"/>
    <cellStyle name="Normal 9 2 4 2 2 2 2 2" xfId="44209"/>
    <cellStyle name="Normal 9 2 4 2 2 2 3" xfId="11962"/>
    <cellStyle name="Normal 9 2 4 2 2 2 3 2" xfId="34549"/>
    <cellStyle name="Normal 9 2 4 2 2 2 4" xfId="28109"/>
    <cellStyle name="Normal 9 2 4 2 2 3" xfId="18402"/>
    <cellStyle name="Normal 9 2 4 2 2 3 2" xfId="40989"/>
    <cellStyle name="Normal 9 2 4 2 2 4" xfId="15182"/>
    <cellStyle name="Normal 9 2 4 2 2 4 2" xfId="37769"/>
    <cellStyle name="Normal 9 2 4 2 2 5" xfId="8742"/>
    <cellStyle name="Normal 9 2 4 2 2 5 2" xfId="31329"/>
    <cellStyle name="Normal 9 2 4 2 2 6" xfId="24889"/>
    <cellStyle name="Normal 9 2 4 2 3" xfId="4214"/>
    <cellStyle name="Normal 9 2 4 2 3 2" xfId="20314"/>
    <cellStyle name="Normal 9 2 4 2 3 2 2" xfId="42901"/>
    <cellStyle name="Normal 9 2 4 2 3 3" xfId="10654"/>
    <cellStyle name="Normal 9 2 4 2 3 3 2" xfId="33241"/>
    <cellStyle name="Normal 9 2 4 2 3 4" xfId="26801"/>
    <cellStyle name="Normal 9 2 4 2 4" xfId="17094"/>
    <cellStyle name="Normal 9 2 4 2 4 2" xfId="39681"/>
    <cellStyle name="Normal 9 2 4 2 5" xfId="13874"/>
    <cellStyle name="Normal 9 2 4 2 5 2" xfId="36461"/>
    <cellStyle name="Normal 9 2 4 2 6" xfId="7434"/>
    <cellStyle name="Normal 9 2 4 2 6 2" xfId="30021"/>
    <cellStyle name="Normal 9 2 4 2 7" xfId="23581"/>
    <cellStyle name="Normal 9 2 4 3" xfId="1334"/>
    <cellStyle name="Normal 9 2 4 3 2" xfId="2648"/>
    <cellStyle name="Normal 9 2 4 3 2 2" xfId="5869"/>
    <cellStyle name="Normal 9 2 4 3 2 2 2" xfId="21969"/>
    <cellStyle name="Normal 9 2 4 3 2 2 2 2" xfId="44556"/>
    <cellStyle name="Normal 9 2 4 3 2 2 3" xfId="12309"/>
    <cellStyle name="Normal 9 2 4 3 2 2 3 2" xfId="34896"/>
    <cellStyle name="Normal 9 2 4 3 2 2 4" xfId="28456"/>
    <cellStyle name="Normal 9 2 4 3 2 3" xfId="18749"/>
    <cellStyle name="Normal 9 2 4 3 2 3 2" xfId="41336"/>
    <cellStyle name="Normal 9 2 4 3 2 4" xfId="15529"/>
    <cellStyle name="Normal 9 2 4 3 2 4 2" xfId="38116"/>
    <cellStyle name="Normal 9 2 4 3 2 5" xfId="9089"/>
    <cellStyle name="Normal 9 2 4 3 2 5 2" xfId="31676"/>
    <cellStyle name="Normal 9 2 4 3 2 6" xfId="25236"/>
    <cellStyle name="Normal 9 2 4 3 3" xfId="4561"/>
    <cellStyle name="Normal 9 2 4 3 3 2" xfId="20661"/>
    <cellStyle name="Normal 9 2 4 3 3 2 2" xfId="43248"/>
    <cellStyle name="Normal 9 2 4 3 3 3" xfId="11001"/>
    <cellStyle name="Normal 9 2 4 3 3 3 2" xfId="33588"/>
    <cellStyle name="Normal 9 2 4 3 3 4" xfId="27148"/>
    <cellStyle name="Normal 9 2 4 3 4" xfId="17441"/>
    <cellStyle name="Normal 9 2 4 3 4 2" xfId="40028"/>
    <cellStyle name="Normal 9 2 4 3 5" xfId="14221"/>
    <cellStyle name="Normal 9 2 4 3 5 2" xfId="36808"/>
    <cellStyle name="Normal 9 2 4 3 6" xfId="7781"/>
    <cellStyle name="Normal 9 2 4 3 6 2" xfId="30368"/>
    <cellStyle name="Normal 9 2 4 3 7" xfId="23928"/>
    <cellStyle name="Normal 9 2 4 4" xfId="1750"/>
    <cellStyle name="Normal 9 2 4 4 2" xfId="4973"/>
    <cellStyle name="Normal 9 2 4 4 2 2" xfId="21073"/>
    <cellStyle name="Normal 9 2 4 4 2 2 2" xfId="43660"/>
    <cellStyle name="Normal 9 2 4 4 2 3" xfId="11413"/>
    <cellStyle name="Normal 9 2 4 4 2 3 2" xfId="34000"/>
    <cellStyle name="Normal 9 2 4 4 2 4" xfId="27560"/>
    <cellStyle name="Normal 9 2 4 4 3" xfId="17853"/>
    <cellStyle name="Normal 9 2 4 4 3 2" xfId="40440"/>
    <cellStyle name="Normal 9 2 4 4 4" xfId="14633"/>
    <cellStyle name="Normal 9 2 4 4 4 2" xfId="37220"/>
    <cellStyle name="Normal 9 2 4 4 5" xfId="8193"/>
    <cellStyle name="Normal 9 2 4 4 5 2" xfId="30780"/>
    <cellStyle name="Normal 9 2 4 4 6" xfId="24340"/>
    <cellStyle name="Normal 9 2 4 5" xfId="1953"/>
    <cellStyle name="Normal 9 2 4 5 2" xfId="5175"/>
    <cellStyle name="Normal 9 2 4 5 2 2" xfId="21275"/>
    <cellStyle name="Normal 9 2 4 5 2 2 2" xfId="43862"/>
    <cellStyle name="Normal 9 2 4 5 2 3" xfId="11615"/>
    <cellStyle name="Normal 9 2 4 5 2 3 2" xfId="34202"/>
    <cellStyle name="Normal 9 2 4 5 2 4" xfId="27762"/>
    <cellStyle name="Normal 9 2 4 5 3" xfId="18055"/>
    <cellStyle name="Normal 9 2 4 5 3 2" xfId="40642"/>
    <cellStyle name="Normal 9 2 4 5 4" xfId="14835"/>
    <cellStyle name="Normal 9 2 4 5 4 2" xfId="37422"/>
    <cellStyle name="Normal 9 2 4 5 5" xfId="8395"/>
    <cellStyle name="Normal 9 2 4 5 5 2" xfId="30982"/>
    <cellStyle name="Normal 9 2 4 5 6" xfId="24542"/>
    <cellStyle name="Normal 9 2 4 6" xfId="3071"/>
    <cellStyle name="Normal 9 2 4 6 2" xfId="6291"/>
    <cellStyle name="Normal 9 2 4 6 2 2" xfId="22391"/>
    <cellStyle name="Normal 9 2 4 6 2 2 2" xfId="44978"/>
    <cellStyle name="Normal 9 2 4 6 2 3" xfId="12731"/>
    <cellStyle name="Normal 9 2 4 6 2 3 2" xfId="35318"/>
    <cellStyle name="Normal 9 2 4 6 2 4" xfId="28878"/>
    <cellStyle name="Normal 9 2 4 6 3" xfId="19171"/>
    <cellStyle name="Normal 9 2 4 6 3 2" xfId="41758"/>
    <cellStyle name="Normal 9 2 4 6 4" xfId="15951"/>
    <cellStyle name="Normal 9 2 4 6 4 2" xfId="38538"/>
    <cellStyle name="Normal 9 2 4 6 5" xfId="9511"/>
    <cellStyle name="Normal 9 2 4 6 5 2" xfId="32098"/>
    <cellStyle name="Normal 9 2 4 6 6" xfId="25658"/>
    <cellStyle name="Normal 9 2 4 7" xfId="3361"/>
    <cellStyle name="Normal 9 2 4 7 2" xfId="6581"/>
    <cellStyle name="Normal 9 2 4 7 2 2" xfId="22681"/>
    <cellStyle name="Normal 9 2 4 7 2 2 2" xfId="45268"/>
    <cellStyle name="Normal 9 2 4 7 2 3" xfId="13021"/>
    <cellStyle name="Normal 9 2 4 7 2 3 2" xfId="35608"/>
    <cellStyle name="Normal 9 2 4 7 2 4" xfId="29168"/>
    <cellStyle name="Normal 9 2 4 7 3" xfId="19461"/>
    <cellStyle name="Normal 9 2 4 7 3 2" xfId="42048"/>
    <cellStyle name="Normal 9 2 4 7 4" xfId="16241"/>
    <cellStyle name="Normal 9 2 4 7 4 2" xfId="38828"/>
    <cellStyle name="Normal 9 2 4 7 5" xfId="9801"/>
    <cellStyle name="Normal 9 2 4 7 5 2" xfId="32388"/>
    <cellStyle name="Normal 9 2 4 7 6" xfId="25948"/>
    <cellStyle name="Normal 9 2 4 8" xfId="623"/>
    <cellStyle name="Normal 9 2 4 8 2" xfId="3867"/>
    <cellStyle name="Normal 9 2 4 8 2 2" xfId="19967"/>
    <cellStyle name="Normal 9 2 4 8 2 2 2" xfId="42554"/>
    <cellStyle name="Normal 9 2 4 8 2 3" xfId="10307"/>
    <cellStyle name="Normal 9 2 4 8 2 3 2" xfId="32894"/>
    <cellStyle name="Normal 9 2 4 8 2 4" xfId="26454"/>
    <cellStyle name="Normal 9 2 4 8 3" xfId="16747"/>
    <cellStyle name="Normal 9 2 4 8 3 2" xfId="39334"/>
    <cellStyle name="Normal 9 2 4 8 4" xfId="13527"/>
    <cellStyle name="Normal 9 2 4 8 4 2" xfId="36114"/>
    <cellStyle name="Normal 9 2 4 8 5" xfId="7087"/>
    <cellStyle name="Normal 9 2 4 8 5 2" xfId="29674"/>
    <cellStyle name="Normal 9 2 4 8 6" xfId="23234"/>
    <cellStyle name="Normal 9 2 4 9" xfId="3651"/>
    <cellStyle name="Normal 9 2 4 9 2" xfId="19751"/>
    <cellStyle name="Normal 9 2 4 9 2 2" xfId="42338"/>
    <cellStyle name="Normal 9 2 4 9 3" xfId="10091"/>
    <cellStyle name="Normal 9 2 4 9 3 2" xfId="32678"/>
    <cellStyle name="Normal 9 2 4 9 4" xfId="26238"/>
    <cellStyle name="Normal 9 2 5" xfId="793"/>
    <cellStyle name="Normal 9 2 5 2" xfId="1145"/>
    <cellStyle name="Normal 9 2 5 2 2" xfId="2459"/>
    <cellStyle name="Normal 9 2 5 2 2 2" xfId="5680"/>
    <cellStyle name="Normal 9 2 5 2 2 2 2" xfId="21780"/>
    <cellStyle name="Normal 9 2 5 2 2 2 2 2" xfId="44367"/>
    <cellStyle name="Normal 9 2 5 2 2 2 3" xfId="12120"/>
    <cellStyle name="Normal 9 2 5 2 2 2 3 2" xfId="34707"/>
    <cellStyle name="Normal 9 2 5 2 2 2 4" xfId="28267"/>
    <cellStyle name="Normal 9 2 5 2 2 3" xfId="18560"/>
    <cellStyle name="Normal 9 2 5 2 2 3 2" xfId="41147"/>
    <cellStyle name="Normal 9 2 5 2 2 4" xfId="15340"/>
    <cellStyle name="Normal 9 2 5 2 2 4 2" xfId="37927"/>
    <cellStyle name="Normal 9 2 5 2 2 5" xfId="8900"/>
    <cellStyle name="Normal 9 2 5 2 2 5 2" xfId="31487"/>
    <cellStyle name="Normal 9 2 5 2 2 6" xfId="25047"/>
    <cellStyle name="Normal 9 2 5 2 3" xfId="4372"/>
    <cellStyle name="Normal 9 2 5 2 3 2" xfId="20472"/>
    <cellStyle name="Normal 9 2 5 2 3 2 2" xfId="43059"/>
    <cellStyle name="Normal 9 2 5 2 3 3" xfId="10812"/>
    <cellStyle name="Normal 9 2 5 2 3 3 2" xfId="33399"/>
    <cellStyle name="Normal 9 2 5 2 3 4" xfId="26959"/>
    <cellStyle name="Normal 9 2 5 2 4" xfId="17252"/>
    <cellStyle name="Normal 9 2 5 2 4 2" xfId="39839"/>
    <cellStyle name="Normal 9 2 5 2 5" xfId="14032"/>
    <cellStyle name="Normal 9 2 5 2 5 2" xfId="36619"/>
    <cellStyle name="Normal 9 2 5 2 6" xfId="7592"/>
    <cellStyle name="Normal 9 2 5 2 6 2" xfId="30179"/>
    <cellStyle name="Normal 9 2 5 2 7" xfId="23739"/>
    <cellStyle name="Normal 9 2 5 3" xfId="1492"/>
    <cellStyle name="Normal 9 2 5 3 2" xfId="2806"/>
    <cellStyle name="Normal 9 2 5 3 2 2" xfId="6027"/>
    <cellStyle name="Normal 9 2 5 3 2 2 2" xfId="22127"/>
    <cellStyle name="Normal 9 2 5 3 2 2 2 2" xfId="44714"/>
    <cellStyle name="Normal 9 2 5 3 2 2 3" xfId="12467"/>
    <cellStyle name="Normal 9 2 5 3 2 2 3 2" xfId="35054"/>
    <cellStyle name="Normal 9 2 5 3 2 2 4" xfId="28614"/>
    <cellStyle name="Normal 9 2 5 3 2 3" xfId="18907"/>
    <cellStyle name="Normal 9 2 5 3 2 3 2" xfId="41494"/>
    <cellStyle name="Normal 9 2 5 3 2 4" xfId="15687"/>
    <cellStyle name="Normal 9 2 5 3 2 4 2" xfId="38274"/>
    <cellStyle name="Normal 9 2 5 3 2 5" xfId="9247"/>
    <cellStyle name="Normal 9 2 5 3 2 5 2" xfId="31834"/>
    <cellStyle name="Normal 9 2 5 3 2 6" xfId="25394"/>
    <cellStyle name="Normal 9 2 5 3 3" xfId="4719"/>
    <cellStyle name="Normal 9 2 5 3 3 2" xfId="20819"/>
    <cellStyle name="Normal 9 2 5 3 3 2 2" xfId="43406"/>
    <cellStyle name="Normal 9 2 5 3 3 3" xfId="11159"/>
    <cellStyle name="Normal 9 2 5 3 3 3 2" xfId="33746"/>
    <cellStyle name="Normal 9 2 5 3 3 4" xfId="27306"/>
    <cellStyle name="Normal 9 2 5 3 4" xfId="17599"/>
    <cellStyle name="Normal 9 2 5 3 4 2" xfId="40186"/>
    <cellStyle name="Normal 9 2 5 3 5" xfId="14379"/>
    <cellStyle name="Normal 9 2 5 3 5 2" xfId="36966"/>
    <cellStyle name="Normal 9 2 5 3 6" xfId="7939"/>
    <cellStyle name="Normal 9 2 5 3 6 2" xfId="30526"/>
    <cellStyle name="Normal 9 2 5 3 7" xfId="24086"/>
    <cellStyle name="Normal 9 2 5 4" xfId="2112"/>
    <cellStyle name="Normal 9 2 5 4 2" xfId="5333"/>
    <cellStyle name="Normal 9 2 5 4 2 2" xfId="21433"/>
    <cellStyle name="Normal 9 2 5 4 2 2 2" xfId="44020"/>
    <cellStyle name="Normal 9 2 5 4 2 3" xfId="11773"/>
    <cellStyle name="Normal 9 2 5 4 2 3 2" xfId="34360"/>
    <cellStyle name="Normal 9 2 5 4 2 4" xfId="27920"/>
    <cellStyle name="Normal 9 2 5 4 3" xfId="18213"/>
    <cellStyle name="Normal 9 2 5 4 3 2" xfId="40800"/>
    <cellStyle name="Normal 9 2 5 4 4" xfId="14993"/>
    <cellStyle name="Normal 9 2 5 4 4 2" xfId="37580"/>
    <cellStyle name="Normal 9 2 5 4 5" xfId="8553"/>
    <cellStyle name="Normal 9 2 5 4 5 2" xfId="31140"/>
    <cellStyle name="Normal 9 2 5 4 6" xfId="24700"/>
    <cellStyle name="Normal 9 2 5 5" xfId="4025"/>
    <cellStyle name="Normal 9 2 5 5 2" xfId="20125"/>
    <cellStyle name="Normal 9 2 5 5 2 2" xfId="42712"/>
    <cellStyle name="Normal 9 2 5 5 3" xfId="10465"/>
    <cellStyle name="Normal 9 2 5 5 3 2" xfId="33052"/>
    <cellStyle name="Normal 9 2 5 5 4" xfId="26612"/>
    <cellStyle name="Normal 9 2 5 6" xfId="16905"/>
    <cellStyle name="Normal 9 2 5 6 2" xfId="39492"/>
    <cellStyle name="Normal 9 2 5 7" xfId="13685"/>
    <cellStyle name="Normal 9 2 5 7 2" xfId="36272"/>
    <cellStyle name="Normal 9 2 5 8" xfId="7245"/>
    <cellStyle name="Normal 9 2 5 8 2" xfId="29832"/>
    <cellStyle name="Normal 9 2 5 9" xfId="23392"/>
    <cellStyle name="Normal 9 2 6" xfId="863"/>
    <cellStyle name="Normal 9 2 6 2" xfId="2182"/>
    <cellStyle name="Normal 9 2 6 2 2" xfId="5403"/>
    <cellStyle name="Normal 9 2 6 2 2 2" xfId="21503"/>
    <cellStyle name="Normal 9 2 6 2 2 2 2" xfId="44090"/>
    <cellStyle name="Normal 9 2 6 2 2 3" xfId="11843"/>
    <cellStyle name="Normal 9 2 6 2 2 3 2" xfId="34430"/>
    <cellStyle name="Normal 9 2 6 2 2 4" xfId="27990"/>
    <cellStyle name="Normal 9 2 6 2 3" xfId="18283"/>
    <cellStyle name="Normal 9 2 6 2 3 2" xfId="40870"/>
    <cellStyle name="Normal 9 2 6 2 4" xfId="15063"/>
    <cellStyle name="Normal 9 2 6 2 4 2" xfId="37650"/>
    <cellStyle name="Normal 9 2 6 2 5" xfId="8623"/>
    <cellStyle name="Normal 9 2 6 2 5 2" xfId="31210"/>
    <cellStyle name="Normal 9 2 6 2 6" xfId="24770"/>
    <cellStyle name="Normal 9 2 6 3" xfId="4095"/>
    <cellStyle name="Normal 9 2 6 3 2" xfId="20195"/>
    <cellStyle name="Normal 9 2 6 3 2 2" xfId="42782"/>
    <cellStyle name="Normal 9 2 6 3 3" xfId="10535"/>
    <cellStyle name="Normal 9 2 6 3 3 2" xfId="33122"/>
    <cellStyle name="Normal 9 2 6 3 4" xfId="26682"/>
    <cellStyle name="Normal 9 2 6 4" xfId="16975"/>
    <cellStyle name="Normal 9 2 6 4 2" xfId="39562"/>
    <cellStyle name="Normal 9 2 6 5" xfId="13755"/>
    <cellStyle name="Normal 9 2 6 5 2" xfId="36342"/>
    <cellStyle name="Normal 9 2 6 6" xfId="7315"/>
    <cellStyle name="Normal 9 2 6 6 2" xfId="29902"/>
    <cellStyle name="Normal 9 2 6 7" xfId="23462"/>
    <cellStyle name="Normal 9 2 7" xfId="1215"/>
    <cellStyle name="Normal 9 2 7 2" xfId="2529"/>
    <cellStyle name="Normal 9 2 7 2 2" xfId="5750"/>
    <cellStyle name="Normal 9 2 7 2 2 2" xfId="21850"/>
    <cellStyle name="Normal 9 2 7 2 2 2 2" xfId="44437"/>
    <cellStyle name="Normal 9 2 7 2 2 3" xfId="12190"/>
    <cellStyle name="Normal 9 2 7 2 2 3 2" xfId="34777"/>
    <cellStyle name="Normal 9 2 7 2 2 4" xfId="28337"/>
    <cellStyle name="Normal 9 2 7 2 3" xfId="18630"/>
    <cellStyle name="Normal 9 2 7 2 3 2" xfId="41217"/>
    <cellStyle name="Normal 9 2 7 2 4" xfId="15410"/>
    <cellStyle name="Normal 9 2 7 2 4 2" xfId="37997"/>
    <cellStyle name="Normal 9 2 7 2 5" xfId="8970"/>
    <cellStyle name="Normal 9 2 7 2 5 2" xfId="31557"/>
    <cellStyle name="Normal 9 2 7 2 6" xfId="25117"/>
    <cellStyle name="Normal 9 2 7 3" xfId="4442"/>
    <cellStyle name="Normal 9 2 7 3 2" xfId="20542"/>
    <cellStyle name="Normal 9 2 7 3 2 2" xfId="43129"/>
    <cellStyle name="Normal 9 2 7 3 3" xfId="10882"/>
    <cellStyle name="Normal 9 2 7 3 3 2" xfId="33469"/>
    <cellStyle name="Normal 9 2 7 3 4" xfId="27029"/>
    <cellStyle name="Normal 9 2 7 4" xfId="17322"/>
    <cellStyle name="Normal 9 2 7 4 2" xfId="39909"/>
    <cellStyle name="Normal 9 2 7 5" xfId="14102"/>
    <cellStyle name="Normal 9 2 7 5 2" xfId="36689"/>
    <cellStyle name="Normal 9 2 7 6" xfId="7662"/>
    <cellStyle name="Normal 9 2 7 6 2" xfId="30249"/>
    <cellStyle name="Normal 9 2 7 7" xfId="23809"/>
    <cellStyle name="Normal 9 2 8" xfId="1751"/>
    <cellStyle name="Normal 9 2 8 2" xfId="4974"/>
    <cellStyle name="Normal 9 2 8 2 2" xfId="21074"/>
    <cellStyle name="Normal 9 2 8 2 2 2" xfId="43661"/>
    <cellStyle name="Normal 9 2 8 2 3" xfId="11414"/>
    <cellStyle name="Normal 9 2 8 2 3 2" xfId="34001"/>
    <cellStyle name="Normal 9 2 8 2 4" xfId="27561"/>
    <cellStyle name="Normal 9 2 8 3" xfId="17854"/>
    <cellStyle name="Normal 9 2 8 3 2" xfId="40441"/>
    <cellStyle name="Normal 9 2 8 4" xfId="14634"/>
    <cellStyle name="Normal 9 2 8 4 2" xfId="37221"/>
    <cellStyle name="Normal 9 2 8 5" xfId="8194"/>
    <cellStyle name="Normal 9 2 8 5 2" xfId="30781"/>
    <cellStyle name="Normal 9 2 8 6" xfId="24341"/>
    <cellStyle name="Normal 9 2 9" xfId="1834"/>
    <cellStyle name="Normal 9 2 9 2" xfId="5056"/>
    <cellStyle name="Normal 9 2 9 2 2" xfId="21156"/>
    <cellStyle name="Normal 9 2 9 2 2 2" xfId="43743"/>
    <cellStyle name="Normal 9 2 9 2 3" xfId="11496"/>
    <cellStyle name="Normal 9 2 9 2 3 2" xfId="34083"/>
    <cellStyle name="Normal 9 2 9 2 4" xfId="27643"/>
    <cellStyle name="Normal 9 2 9 3" xfId="17936"/>
    <cellStyle name="Normal 9 2 9 3 2" xfId="40523"/>
    <cellStyle name="Normal 9 2 9 4" xfId="14716"/>
    <cellStyle name="Normal 9 2 9 4 2" xfId="37303"/>
    <cellStyle name="Normal 9 2 9 5" xfId="8276"/>
    <cellStyle name="Normal 9 2 9 5 2" xfId="30863"/>
    <cellStyle name="Normal 9 2 9 6" xfId="24423"/>
    <cellStyle name="Normal 9 3" xfId="140"/>
    <cellStyle name="Normal 9 3 10" xfId="478"/>
    <cellStyle name="Normal 9 3 10 2" xfId="3765"/>
    <cellStyle name="Normal 9 3 10 2 2" xfId="19865"/>
    <cellStyle name="Normal 9 3 10 2 2 2" xfId="42452"/>
    <cellStyle name="Normal 9 3 10 2 3" xfId="10205"/>
    <cellStyle name="Normal 9 3 10 2 3 2" xfId="32792"/>
    <cellStyle name="Normal 9 3 10 2 4" xfId="26352"/>
    <cellStyle name="Normal 9 3 10 3" xfId="16645"/>
    <cellStyle name="Normal 9 3 10 3 2" xfId="39232"/>
    <cellStyle name="Normal 9 3 10 4" xfId="13425"/>
    <cellStyle name="Normal 9 3 10 4 2" xfId="36012"/>
    <cellStyle name="Normal 9 3 10 5" xfId="6985"/>
    <cellStyle name="Normal 9 3 10 5 2" xfId="29572"/>
    <cellStyle name="Normal 9 3 10 6" xfId="23132"/>
    <cellStyle name="Normal 9 3 11" xfId="3475"/>
    <cellStyle name="Normal 9 3 11 2" xfId="19575"/>
    <cellStyle name="Normal 9 3 11 2 2" xfId="42162"/>
    <cellStyle name="Normal 9 3 11 3" xfId="9915"/>
    <cellStyle name="Normal 9 3 11 3 2" xfId="32502"/>
    <cellStyle name="Normal 9 3 11 4" xfId="26062"/>
    <cellStyle name="Normal 9 3 12" xfId="16355"/>
    <cellStyle name="Normal 9 3 12 2" xfId="38942"/>
    <cellStyle name="Normal 9 3 13" xfId="13135"/>
    <cellStyle name="Normal 9 3 13 2" xfId="35722"/>
    <cellStyle name="Normal 9 3 14" xfId="6695"/>
    <cellStyle name="Normal 9 3 14 2" xfId="29282"/>
    <cellStyle name="Normal 9 3 15" xfId="22842"/>
    <cellStyle name="Normal 9 3 2" xfId="286"/>
    <cellStyle name="Normal 9 3 2 10" xfId="16453"/>
    <cellStyle name="Normal 9 3 2 10 2" xfId="39040"/>
    <cellStyle name="Normal 9 3 2 11" xfId="13233"/>
    <cellStyle name="Normal 9 3 2 11 2" xfId="35820"/>
    <cellStyle name="Normal 9 3 2 12" xfId="6793"/>
    <cellStyle name="Normal 9 3 2 12 2" xfId="29380"/>
    <cellStyle name="Normal 9 3 2 13" xfId="22940"/>
    <cellStyle name="Normal 9 3 2 2" xfId="1004"/>
    <cellStyle name="Normal 9 3 2 2 2" xfId="2318"/>
    <cellStyle name="Normal 9 3 2 2 2 2" xfId="5539"/>
    <cellStyle name="Normal 9 3 2 2 2 2 2" xfId="21639"/>
    <cellStyle name="Normal 9 3 2 2 2 2 2 2" xfId="44226"/>
    <cellStyle name="Normal 9 3 2 2 2 2 3" xfId="11979"/>
    <cellStyle name="Normal 9 3 2 2 2 2 3 2" xfId="34566"/>
    <cellStyle name="Normal 9 3 2 2 2 2 4" xfId="28126"/>
    <cellStyle name="Normal 9 3 2 2 2 3" xfId="18419"/>
    <cellStyle name="Normal 9 3 2 2 2 3 2" xfId="41006"/>
    <cellStyle name="Normal 9 3 2 2 2 4" xfId="15199"/>
    <cellStyle name="Normal 9 3 2 2 2 4 2" xfId="37786"/>
    <cellStyle name="Normal 9 3 2 2 2 5" xfId="8759"/>
    <cellStyle name="Normal 9 3 2 2 2 5 2" xfId="31346"/>
    <cellStyle name="Normal 9 3 2 2 2 6" xfId="24906"/>
    <cellStyle name="Normal 9 3 2 2 3" xfId="4231"/>
    <cellStyle name="Normal 9 3 2 2 3 2" xfId="20331"/>
    <cellStyle name="Normal 9 3 2 2 3 2 2" xfId="42918"/>
    <cellStyle name="Normal 9 3 2 2 3 3" xfId="10671"/>
    <cellStyle name="Normal 9 3 2 2 3 3 2" xfId="33258"/>
    <cellStyle name="Normal 9 3 2 2 3 4" xfId="26818"/>
    <cellStyle name="Normal 9 3 2 2 4" xfId="17111"/>
    <cellStyle name="Normal 9 3 2 2 4 2" xfId="39698"/>
    <cellStyle name="Normal 9 3 2 2 5" xfId="13891"/>
    <cellStyle name="Normal 9 3 2 2 5 2" xfId="36478"/>
    <cellStyle name="Normal 9 3 2 2 6" xfId="7451"/>
    <cellStyle name="Normal 9 3 2 2 6 2" xfId="30038"/>
    <cellStyle name="Normal 9 3 2 2 7" xfId="23598"/>
    <cellStyle name="Normal 9 3 2 3" xfId="1351"/>
    <cellStyle name="Normal 9 3 2 3 2" xfId="2665"/>
    <cellStyle name="Normal 9 3 2 3 2 2" xfId="5886"/>
    <cellStyle name="Normal 9 3 2 3 2 2 2" xfId="21986"/>
    <cellStyle name="Normal 9 3 2 3 2 2 2 2" xfId="44573"/>
    <cellStyle name="Normal 9 3 2 3 2 2 3" xfId="12326"/>
    <cellStyle name="Normal 9 3 2 3 2 2 3 2" xfId="34913"/>
    <cellStyle name="Normal 9 3 2 3 2 2 4" xfId="28473"/>
    <cellStyle name="Normal 9 3 2 3 2 3" xfId="18766"/>
    <cellStyle name="Normal 9 3 2 3 2 3 2" xfId="41353"/>
    <cellStyle name="Normal 9 3 2 3 2 4" xfId="15546"/>
    <cellStyle name="Normal 9 3 2 3 2 4 2" xfId="38133"/>
    <cellStyle name="Normal 9 3 2 3 2 5" xfId="9106"/>
    <cellStyle name="Normal 9 3 2 3 2 5 2" xfId="31693"/>
    <cellStyle name="Normal 9 3 2 3 2 6" xfId="25253"/>
    <cellStyle name="Normal 9 3 2 3 3" xfId="4578"/>
    <cellStyle name="Normal 9 3 2 3 3 2" xfId="20678"/>
    <cellStyle name="Normal 9 3 2 3 3 2 2" xfId="43265"/>
    <cellStyle name="Normal 9 3 2 3 3 3" xfId="11018"/>
    <cellStyle name="Normal 9 3 2 3 3 3 2" xfId="33605"/>
    <cellStyle name="Normal 9 3 2 3 3 4" xfId="27165"/>
    <cellStyle name="Normal 9 3 2 3 4" xfId="17458"/>
    <cellStyle name="Normal 9 3 2 3 4 2" xfId="40045"/>
    <cellStyle name="Normal 9 3 2 3 5" xfId="14238"/>
    <cellStyle name="Normal 9 3 2 3 5 2" xfId="36825"/>
    <cellStyle name="Normal 9 3 2 3 6" xfId="7798"/>
    <cellStyle name="Normal 9 3 2 3 6 2" xfId="30385"/>
    <cellStyle name="Normal 9 3 2 3 7" xfId="23945"/>
    <cellStyle name="Normal 9 3 2 4" xfId="1752"/>
    <cellStyle name="Normal 9 3 2 4 2" xfId="4975"/>
    <cellStyle name="Normal 9 3 2 4 2 2" xfId="21075"/>
    <cellStyle name="Normal 9 3 2 4 2 2 2" xfId="43662"/>
    <cellStyle name="Normal 9 3 2 4 2 3" xfId="11415"/>
    <cellStyle name="Normal 9 3 2 4 2 3 2" xfId="34002"/>
    <cellStyle name="Normal 9 3 2 4 2 4" xfId="27562"/>
    <cellStyle name="Normal 9 3 2 4 3" xfId="17855"/>
    <cellStyle name="Normal 9 3 2 4 3 2" xfId="40442"/>
    <cellStyle name="Normal 9 3 2 4 4" xfId="14635"/>
    <cellStyle name="Normal 9 3 2 4 4 2" xfId="37222"/>
    <cellStyle name="Normal 9 3 2 4 5" xfId="8195"/>
    <cellStyle name="Normal 9 3 2 4 5 2" xfId="30782"/>
    <cellStyle name="Normal 9 3 2 4 6" xfId="24342"/>
    <cellStyle name="Normal 9 3 2 5" xfId="1970"/>
    <cellStyle name="Normal 9 3 2 5 2" xfId="5192"/>
    <cellStyle name="Normal 9 3 2 5 2 2" xfId="21292"/>
    <cellStyle name="Normal 9 3 2 5 2 2 2" xfId="43879"/>
    <cellStyle name="Normal 9 3 2 5 2 3" xfId="11632"/>
    <cellStyle name="Normal 9 3 2 5 2 3 2" xfId="34219"/>
    <cellStyle name="Normal 9 3 2 5 2 4" xfId="27779"/>
    <cellStyle name="Normal 9 3 2 5 3" xfId="18072"/>
    <cellStyle name="Normal 9 3 2 5 3 2" xfId="40659"/>
    <cellStyle name="Normal 9 3 2 5 4" xfId="14852"/>
    <cellStyle name="Normal 9 3 2 5 4 2" xfId="37439"/>
    <cellStyle name="Normal 9 3 2 5 5" xfId="8412"/>
    <cellStyle name="Normal 9 3 2 5 5 2" xfId="30999"/>
    <cellStyle name="Normal 9 3 2 5 6" xfId="24559"/>
    <cellStyle name="Normal 9 3 2 6" xfId="2993"/>
    <cellStyle name="Normal 9 3 2 6 2" xfId="6213"/>
    <cellStyle name="Normal 9 3 2 6 2 2" xfId="22313"/>
    <cellStyle name="Normal 9 3 2 6 2 2 2" xfId="44900"/>
    <cellStyle name="Normal 9 3 2 6 2 3" xfId="12653"/>
    <cellStyle name="Normal 9 3 2 6 2 3 2" xfId="35240"/>
    <cellStyle name="Normal 9 3 2 6 2 4" xfId="28800"/>
    <cellStyle name="Normal 9 3 2 6 3" xfId="19093"/>
    <cellStyle name="Normal 9 3 2 6 3 2" xfId="41680"/>
    <cellStyle name="Normal 9 3 2 6 4" xfId="15873"/>
    <cellStyle name="Normal 9 3 2 6 4 2" xfId="38460"/>
    <cellStyle name="Normal 9 3 2 6 5" xfId="9433"/>
    <cellStyle name="Normal 9 3 2 6 5 2" xfId="32020"/>
    <cellStyle name="Normal 9 3 2 6 6" xfId="25580"/>
    <cellStyle name="Normal 9 3 2 7" xfId="3283"/>
    <cellStyle name="Normal 9 3 2 7 2" xfId="6503"/>
    <cellStyle name="Normal 9 3 2 7 2 2" xfId="22603"/>
    <cellStyle name="Normal 9 3 2 7 2 2 2" xfId="45190"/>
    <cellStyle name="Normal 9 3 2 7 2 3" xfId="12943"/>
    <cellStyle name="Normal 9 3 2 7 2 3 2" xfId="35530"/>
    <cellStyle name="Normal 9 3 2 7 2 4" xfId="29090"/>
    <cellStyle name="Normal 9 3 2 7 3" xfId="19383"/>
    <cellStyle name="Normal 9 3 2 7 3 2" xfId="41970"/>
    <cellStyle name="Normal 9 3 2 7 4" xfId="16163"/>
    <cellStyle name="Normal 9 3 2 7 4 2" xfId="38750"/>
    <cellStyle name="Normal 9 3 2 7 5" xfId="9723"/>
    <cellStyle name="Normal 9 3 2 7 5 2" xfId="32310"/>
    <cellStyle name="Normal 9 3 2 7 6" xfId="25870"/>
    <cellStyle name="Normal 9 3 2 8" xfId="640"/>
    <cellStyle name="Normal 9 3 2 8 2" xfId="3884"/>
    <cellStyle name="Normal 9 3 2 8 2 2" xfId="19984"/>
    <cellStyle name="Normal 9 3 2 8 2 2 2" xfId="42571"/>
    <cellStyle name="Normal 9 3 2 8 2 3" xfId="10324"/>
    <cellStyle name="Normal 9 3 2 8 2 3 2" xfId="32911"/>
    <cellStyle name="Normal 9 3 2 8 2 4" xfId="26471"/>
    <cellStyle name="Normal 9 3 2 8 3" xfId="16764"/>
    <cellStyle name="Normal 9 3 2 8 3 2" xfId="39351"/>
    <cellStyle name="Normal 9 3 2 8 4" xfId="13544"/>
    <cellStyle name="Normal 9 3 2 8 4 2" xfId="36131"/>
    <cellStyle name="Normal 9 3 2 8 5" xfId="7104"/>
    <cellStyle name="Normal 9 3 2 8 5 2" xfId="29691"/>
    <cellStyle name="Normal 9 3 2 8 6" xfId="23251"/>
    <cellStyle name="Normal 9 3 2 9" xfId="3573"/>
    <cellStyle name="Normal 9 3 2 9 2" xfId="19673"/>
    <cellStyle name="Normal 9 3 2 9 2 2" xfId="42260"/>
    <cellStyle name="Normal 9 3 2 9 3" xfId="10013"/>
    <cellStyle name="Normal 9 3 2 9 3 2" xfId="32600"/>
    <cellStyle name="Normal 9 3 2 9 4" xfId="26160"/>
    <cellStyle name="Normal 9 3 3" xfId="381"/>
    <cellStyle name="Normal 9 3 3 10" xfId="16548"/>
    <cellStyle name="Normal 9 3 3 10 2" xfId="39135"/>
    <cellStyle name="Normal 9 3 3 11" xfId="13328"/>
    <cellStyle name="Normal 9 3 3 11 2" xfId="35915"/>
    <cellStyle name="Normal 9 3 3 12" xfId="6888"/>
    <cellStyle name="Normal 9 3 3 12 2" xfId="29475"/>
    <cellStyle name="Normal 9 3 3 13" xfId="23035"/>
    <cellStyle name="Normal 9 3 3 2" xfId="1165"/>
    <cellStyle name="Normal 9 3 3 2 2" xfId="2479"/>
    <cellStyle name="Normal 9 3 3 2 2 2" xfId="5700"/>
    <cellStyle name="Normal 9 3 3 2 2 2 2" xfId="21800"/>
    <cellStyle name="Normal 9 3 3 2 2 2 2 2" xfId="44387"/>
    <cellStyle name="Normal 9 3 3 2 2 2 3" xfId="12140"/>
    <cellStyle name="Normal 9 3 3 2 2 2 3 2" xfId="34727"/>
    <cellStyle name="Normal 9 3 3 2 2 2 4" xfId="28287"/>
    <cellStyle name="Normal 9 3 3 2 2 3" xfId="18580"/>
    <cellStyle name="Normal 9 3 3 2 2 3 2" xfId="41167"/>
    <cellStyle name="Normal 9 3 3 2 2 4" xfId="15360"/>
    <cellStyle name="Normal 9 3 3 2 2 4 2" xfId="37947"/>
    <cellStyle name="Normal 9 3 3 2 2 5" xfId="8920"/>
    <cellStyle name="Normal 9 3 3 2 2 5 2" xfId="31507"/>
    <cellStyle name="Normal 9 3 3 2 2 6" xfId="25067"/>
    <cellStyle name="Normal 9 3 3 2 3" xfId="4392"/>
    <cellStyle name="Normal 9 3 3 2 3 2" xfId="20492"/>
    <cellStyle name="Normal 9 3 3 2 3 2 2" xfId="43079"/>
    <cellStyle name="Normal 9 3 3 2 3 3" xfId="10832"/>
    <cellStyle name="Normal 9 3 3 2 3 3 2" xfId="33419"/>
    <cellStyle name="Normal 9 3 3 2 3 4" xfId="26979"/>
    <cellStyle name="Normal 9 3 3 2 4" xfId="17272"/>
    <cellStyle name="Normal 9 3 3 2 4 2" xfId="39859"/>
    <cellStyle name="Normal 9 3 3 2 5" xfId="14052"/>
    <cellStyle name="Normal 9 3 3 2 5 2" xfId="36639"/>
    <cellStyle name="Normal 9 3 3 2 6" xfId="7612"/>
    <cellStyle name="Normal 9 3 3 2 6 2" xfId="30199"/>
    <cellStyle name="Normal 9 3 3 2 7" xfId="23759"/>
    <cellStyle name="Normal 9 3 3 3" xfId="1512"/>
    <cellStyle name="Normal 9 3 3 3 2" xfId="2826"/>
    <cellStyle name="Normal 9 3 3 3 2 2" xfId="6047"/>
    <cellStyle name="Normal 9 3 3 3 2 2 2" xfId="22147"/>
    <cellStyle name="Normal 9 3 3 3 2 2 2 2" xfId="44734"/>
    <cellStyle name="Normal 9 3 3 3 2 2 3" xfId="12487"/>
    <cellStyle name="Normal 9 3 3 3 2 2 3 2" xfId="35074"/>
    <cellStyle name="Normal 9 3 3 3 2 2 4" xfId="28634"/>
    <cellStyle name="Normal 9 3 3 3 2 3" xfId="18927"/>
    <cellStyle name="Normal 9 3 3 3 2 3 2" xfId="41514"/>
    <cellStyle name="Normal 9 3 3 3 2 4" xfId="15707"/>
    <cellStyle name="Normal 9 3 3 3 2 4 2" xfId="38294"/>
    <cellStyle name="Normal 9 3 3 3 2 5" xfId="9267"/>
    <cellStyle name="Normal 9 3 3 3 2 5 2" xfId="31854"/>
    <cellStyle name="Normal 9 3 3 3 2 6" xfId="25414"/>
    <cellStyle name="Normal 9 3 3 3 3" xfId="4739"/>
    <cellStyle name="Normal 9 3 3 3 3 2" xfId="20839"/>
    <cellStyle name="Normal 9 3 3 3 3 2 2" xfId="43426"/>
    <cellStyle name="Normal 9 3 3 3 3 3" xfId="11179"/>
    <cellStyle name="Normal 9 3 3 3 3 3 2" xfId="33766"/>
    <cellStyle name="Normal 9 3 3 3 3 4" xfId="27326"/>
    <cellStyle name="Normal 9 3 3 3 4" xfId="17619"/>
    <cellStyle name="Normal 9 3 3 3 4 2" xfId="40206"/>
    <cellStyle name="Normal 9 3 3 3 5" xfId="14399"/>
    <cellStyle name="Normal 9 3 3 3 5 2" xfId="36986"/>
    <cellStyle name="Normal 9 3 3 3 6" xfId="7959"/>
    <cellStyle name="Normal 9 3 3 3 6 2" xfId="30546"/>
    <cellStyle name="Normal 9 3 3 3 7" xfId="24106"/>
    <cellStyle name="Normal 9 3 3 4" xfId="1753"/>
    <cellStyle name="Normal 9 3 3 4 2" xfId="4976"/>
    <cellStyle name="Normal 9 3 3 4 2 2" xfId="21076"/>
    <cellStyle name="Normal 9 3 3 4 2 2 2" xfId="43663"/>
    <cellStyle name="Normal 9 3 3 4 2 3" xfId="11416"/>
    <cellStyle name="Normal 9 3 3 4 2 3 2" xfId="34003"/>
    <cellStyle name="Normal 9 3 3 4 2 4" xfId="27563"/>
    <cellStyle name="Normal 9 3 3 4 3" xfId="17856"/>
    <cellStyle name="Normal 9 3 3 4 3 2" xfId="40443"/>
    <cellStyle name="Normal 9 3 3 4 4" xfId="14636"/>
    <cellStyle name="Normal 9 3 3 4 4 2" xfId="37223"/>
    <cellStyle name="Normal 9 3 3 4 5" xfId="8196"/>
    <cellStyle name="Normal 9 3 3 4 5 2" xfId="30783"/>
    <cellStyle name="Normal 9 3 3 4 6" xfId="24343"/>
    <cellStyle name="Normal 9 3 3 5" xfId="2132"/>
    <cellStyle name="Normal 9 3 3 5 2" xfId="5353"/>
    <cellStyle name="Normal 9 3 3 5 2 2" xfId="21453"/>
    <cellStyle name="Normal 9 3 3 5 2 2 2" xfId="44040"/>
    <cellStyle name="Normal 9 3 3 5 2 3" xfId="11793"/>
    <cellStyle name="Normal 9 3 3 5 2 3 2" xfId="34380"/>
    <cellStyle name="Normal 9 3 3 5 2 4" xfId="27940"/>
    <cellStyle name="Normal 9 3 3 5 3" xfId="18233"/>
    <cellStyle name="Normal 9 3 3 5 3 2" xfId="40820"/>
    <cellStyle name="Normal 9 3 3 5 4" xfId="15013"/>
    <cellStyle name="Normal 9 3 3 5 4 2" xfId="37600"/>
    <cellStyle name="Normal 9 3 3 5 5" xfId="8573"/>
    <cellStyle name="Normal 9 3 3 5 5 2" xfId="31160"/>
    <cellStyle name="Normal 9 3 3 5 6" xfId="24720"/>
    <cellStyle name="Normal 9 3 3 6" xfId="3088"/>
    <cellStyle name="Normal 9 3 3 6 2" xfId="6308"/>
    <cellStyle name="Normal 9 3 3 6 2 2" xfId="22408"/>
    <cellStyle name="Normal 9 3 3 6 2 2 2" xfId="44995"/>
    <cellStyle name="Normal 9 3 3 6 2 3" xfId="12748"/>
    <cellStyle name="Normal 9 3 3 6 2 3 2" xfId="35335"/>
    <cellStyle name="Normal 9 3 3 6 2 4" xfId="28895"/>
    <cellStyle name="Normal 9 3 3 6 3" xfId="19188"/>
    <cellStyle name="Normal 9 3 3 6 3 2" xfId="41775"/>
    <cellStyle name="Normal 9 3 3 6 4" xfId="15968"/>
    <cellStyle name="Normal 9 3 3 6 4 2" xfId="38555"/>
    <cellStyle name="Normal 9 3 3 6 5" xfId="9528"/>
    <cellStyle name="Normal 9 3 3 6 5 2" xfId="32115"/>
    <cellStyle name="Normal 9 3 3 6 6" xfId="25675"/>
    <cellStyle name="Normal 9 3 3 7" xfId="3378"/>
    <cellStyle name="Normal 9 3 3 7 2" xfId="6598"/>
    <cellStyle name="Normal 9 3 3 7 2 2" xfId="22698"/>
    <cellStyle name="Normal 9 3 3 7 2 2 2" xfId="45285"/>
    <cellStyle name="Normal 9 3 3 7 2 3" xfId="13038"/>
    <cellStyle name="Normal 9 3 3 7 2 3 2" xfId="35625"/>
    <cellStyle name="Normal 9 3 3 7 2 4" xfId="29185"/>
    <cellStyle name="Normal 9 3 3 7 3" xfId="19478"/>
    <cellStyle name="Normal 9 3 3 7 3 2" xfId="42065"/>
    <cellStyle name="Normal 9 3 3 7 4" xfId="16258"/>
    <cellStyle name="Normal 9 3 3 7 4 2" xfId="38845"/>
    <cellStyle name="Normal 9 3 3 7 5" xfId="9818"/>
    <cellStyle name="Normal 9 3 3 7 5 2" xfId="32405"/>
    <cellStyle name="Normal 9 3 3 7 6" xfId="25965"/>
    <cellStyle name="Normal 9 3 3 8" xfId="813"/>
    <cellStyle name="Normal 9 3 3 8 2" xfId="4045"/>
    <cellStyle name="Normal 9 3 3 8 2 2" xfId="20145"/>
    <cellStyle name="Normal 9 3 3 8 2 2 2" xfId="42732"/>
    <cellStyle name="Normal 9 3 3 8 2 3" xfId="10485"/>
    <cellStyle name="Normal 9 3 3 8 2 3 2" xfId="33072"/>
    <cellStyle name="Normal 9 3 3 8 2 4" xfId="26632"/>
    <cellStyle name="Normal 9 3 3 8 3" xfId="16925"/>
    <cellStyle name="Normal 9 3 3 8 3 2" xfId="39512"/>
    <cellStyle name="Normal 9 3 3 8 4" xfId="13705"/>
    <cellStyle name="Normal 9 3 3 8 4 2" xfId="36292"/>
    <cellStyle name="Normal 9 3 3 8 5" xfId="7265"/>
    <cellStyle name="Normal 9 3 3 8 5 2" xfId="29852"/>
    <cellStyle name="Normal 9 3 3 8 6" xfId="23412"/>
    <cellStyle name="Normal 9 3 3 9" xfId="3668"/>
    <cellStyle name="Normal 9 3 3 9 2" xfId="19768"/>
    <cellStyle name="Normal 9 3 3 9 2 2" xfId="42355"/>
    <cellStyle name="Normal 9 3 3 9 3" xfId="10108"/>
    <cellStyle name="Normal 9 3 3 9 3 2" xfId="32695"/>
    <cellStyle name="Normal 9 3 3 9 4" xfId="26255"/>
    <cellStyle name="Normal 9 3 4" xfId="880"/>
    <cellStyle name="Normal 9 3 4 2" xfId="2199"/>
    <cellStyle name="Normal 9 3 4 2 2" xfId="5420"/>
    <cellStyle name="Normal 9 3 4 2 2 2" xfId="21520"/>
    <cellStyle name="Normal 9 3 4 2 2 2 2" xfId="44107"/>
    <cellStyle name="Normal 9 3 4 2 2 3" xfId="11860"/>
    <cellStyle name="Normal 9 3 4 2 2 3 2" xfId="34447"/>
    <cellStyle name="Normal 9 3 4 2 2 4" xfId="28007"/>
    <cellStyle name="Normal 9 3 4 2 3" xfId="18300"/>
    <cellStyle name="Normal 9 3 4 2 3 2" xfId="40887"/>
    <cellStyle name="Normal 9 3 4 2 4" xfId="15080"/>
    <cellStyle name="Normal 9 3 4 2 4 2" xfId="37667"/>
    <cellStyle name="Normal 9 3 4 2 5" xfId="8640"/>
    <cellStyle name="Normal 9 3 4 2 5 2" xfId="31227"/>
    <cellStyle name="Normal 9 3 4 2 6" xfId="24787"/>
    <cellStyle name="Normal 9 3 4 3" xfId="4112"/>
    <cellStyle name="Normal 9 3 4 3 2" xfId="20212"/>
    <cellStyle name="Normal 9 3 4 3 2 2" xfId="42799"/>
    <cellStyle name="Normal 9 3 4 3 3" xfId="10552"/>
    <cellStyle name="Normal 9 3 4 3 3 2" xfId="33139"/>
    <cellStyle name="Normal 9 3 4 3 4" xfId="26699"/>
    <cellStyle name="Normal 9 3 4 4" xfId="16992"/>
    <cellStyle name="Normal 9 3 4 4 2" xfId="39579"/>
    <cellStyle name="Normal 9 3 4 5" xfId="13772"/>
    <cellStyle name="Normal 9 3 4 5 2" xfId="36359"/>
    <cellStyle name="Normal 9 3 4 6" xfId="7332"/>
    <cellStyle name="Normal 9 3 4 6 2" xfId="29919"/>
    <cellStyle name="Normal 9 3 4 7" xfId="23479"/>
    <cellStyle name="Normal 9 3 5" xfId="1232"/>
    <cellStyle name="Normal 9 3 5 2" xfId="2546"/>
    <cellStyle name="Normal 9 3 5 2 2" xfId="5767"/>
    <cellStyle name="Normal 9 3 5 2 2 2" xfId="21867"/>
    <cellStyle name="Normal 9 3 5 2 2 2 2" xfId="44454"/>
    <cellStyle name="Normal 9 3 5 2 2 3" xfId="12207"/>
    <cellStyle name="Normal 9 3 5 2 2 3 2" xfId="34794"/>
    <cellStyle name="Normal 9 3 5 2 2 4" xfId="28354"/>
    <cellStyle name="Normal 9 3 5 2 3" xfId="18647"/>
    <cellStyle name="Normal 9 3 5 2 3 2" xfId="41234"/>
    <cellStyle name="Normal 9 3 5 2 4" xfId="15427"/>
    <cellStyle name="Normal 9 3 5 2 4 2" xfId="38014"/>
    <cellStyle name="Normal 9 3 5 2 5" xfId="8987"/>
    <cellStyle name="Normal 9 3 5 2 5 2" xfId="31574"/>
    <cellStyle name="Normal 9 3 5 2 6" xfId="25134"/>
    <cellStyle name="Normal 9 3 5 3" xfId="4459"/>
    <cellStyle name="Normal 9 3 5 3 2" xfId="20559"/>
    <cellStyle name="Normal 9 3 5 3 2 2" xfId="43146"/>
    <cellStyle name="Normal 9 3 5 3 3" xfId="10899"/>
    <cellStyle name="Normal 9 3 5 3 3 2" xfId="33486"/>
    <cellStyle name="Normal 9 3 5 3 4" xfId="27046"/>
    <cellStyle name="Normal 9 3 5 4" xfId="17339"/>
    <cellStyle name="Normal 9 3 5 4 2" xfId="39926"/>
    <cellStyle name="Normal 9 3 5 5" xfId="14119"/>
    <cellStyle name="Normal 9 3 5 5 2" xfId="36706"/>
    <cellStyle name="Normal 9 3 5 6" xfId="7679"/>
    <cellStyle name="Normal 9 3 5 6 2" xfId="30266"/>
    <cellStyle name="Normal 9 3 5 7" xfId="23826"/>
    <cellStyle name="Normal 9 3 6" xfId="1754"/>
    <cellStyle name="Normal 9 3 6 2" xfId="4977"/>
    <cellStyle name="Normal 9 3 6 2 2" xfId="21077"/>
    <cellStyle name="Normal 9 3 6 2 2 2" xfId="43664"/>
    <cellStyle name="Normal 9 3 6 2 3" xfId="11417"/>
    <cellStyle name="Normal 9 3 6 2 3 2" xfId="34004"/>
    <cellStyle name="Normal 9 3 6 2 4" xfId="27564"/>
    <cellStyle name="Normal 9 3 6 3" xfId="17857"/>
    <cellStyle name="Normal 9 3 6 3 2" xfId="40444"/>
    <cellStyle name="Normal 9 3 6 4" xfId="14637"/>
    <cellStyle name="Normal 9 3 6 4 2" xfId="37224"/>
    <cellStyle name="Normal 9 3 6 5" xfId="8197"/>
    <cellStyle name="Normal 9 3 6 5 2" xfId="30784"/>
    <cellStyle name="Normal 9 3 6 6" xfId="24344"/>
    <cellStyle name="Normal 9 3 7" xfId="1851"/>
    <cellStyle name="Normal 9 3 7 2" xfId="5073"/>
    <cellStyle name="Normal 9 3 7 2 2" xfId="21173"/>
    <cellStyle name="Normal 9 3 7 2 2 2" xfId="43760"/>
    <cellStyle name="Normal 9 3 7 2 3" xfId="11513"/>
    <cellStyle name="Normal 9 3 7 2 3 2" xfId="34100"/>
    <cellStyle name="Normal 9 3 7 2 4" xfId="27660"/>
    <cellStyle name="Normal 9 3 7 3" xfId="17953"/>
    <cellStyle name="Normal 9 3 7 3 2" xfId="40540"/>
    <cellStyle name="Normal 9 3 7 4" xfId="14733"/>
    <cellStyle name="Normal 9 3 7 4 2" xfId="37320"/>
    <cellStyle name="Normal 9 3 7 5" xfId="8293"/>
    <cellStyle name="Normal 9 3 7 5 2" xfId="30880"/>
    <cellStyle name="Normal 9 3 7 6" xfId="24440"/>
    <cellStyle name="Normal 9 3 8" xfId="2894"/>
    <cellStyle name="Normal 9 3 8 2" xfId="6115"/>
    <cellStyle name="Normal 9 3 8 2 2" xfId="22215"/>
    <cellStyle name="Normal 9 3 8 2 2 2" xfId="44802"/>
    <cellStyle name="Normal 9 3 8 2 3" xfId="12555"/>
    <cellStyle name="Normal 9 3 8 2 3 2" xfId="35142"/>
    <cellStyle name="Normal 9 3 8 2 4" xfId="28702"/>
    <cellStyle name="Normal 9 3 8 3" xfId="18995"/>
    <cellStyle name="Normal 9 3 8 3 2" xfId="41582"/>
    <cellStyle name="Normal 9 3 8 4" xfId="15775"/>
    <cellStyle name="Normal 9 3 8 4 2" xfId="38362"/>
    <cellStyle name="Normal 9 3 8 5" xfId="9335"/>
    <cellStyle name="Normal 9 3 8 5 2" xfId="31922"/>
    <cellStyle name="Normal 9 3 8 6" xfId="25482"/>
    <cellStyle name="Normal 9 3 9" xfId="3185"/>
    <cellStyle name="Normal 9 3 9 2" xfId="6405"/>
    <cellStyle name="Normal 9 3 9 2 2" xfId="22505"/>
    <cellStyle name="Normal 9 3 9 2 2 2" xfId="45092"/>
    <cellStyle name="Normal 9 3 9 2 3" xfId="12845"/>
    <cellStyle name="Normal 9 3 9 2 3 2" xfId="35432"/>
    <cellStyle name="Normal 9 3 9 2 4" xfId="28992"/>
    <cellStyle name="Normal 9 3 9 3" xfId="19285"/>
    <cellStyle name="Normal 9 3 9 3 2" xfId="41872"/>
    <cellStyle name="Normal 9 3 9 4" xfId="16065"/>
    <cellStyle name="Normal 9 3 9 4 2" xfId="38652"/>
    <cellStyle name="Normal 9 3 9 5" xfId="9625"/>
    <cellStyle name="Normal 9 3 9 5 2" xfId="32212"/>
    <cellStyle name="Normal 9 3 9 6" xfId="25772"/>
    <cellStyle name="Normal 9 4" xfId="231"/>
    <cellStyle name="Normal 9 4 10" xfId="518"/>
    <cellStyle name="Normal 9 4 10 2" xfId="3805"/>
    <cellStyle name="Normal 9 4 10 2 2" xfId="19905"/>
    <cellStyle name="Normal 9 4 10 2 2 2" xfId="42492"/>
    <cellStyle name="Normal 9 4 10 2 3" xfId="10245"/>
    <cellStyle name="Normal 9 4 10 2 3 2" xfId="32832"/>
    <cellStyle name="Normal 9 4 10 2 4" xfId="26392"/>
    <cellStyle name="Normal 9 4 10 3" xfId="16685"/>
    <cellStyle name="Normal 9 4 10 3 2" xfId="39272"/>
    <cellStyle name="Normal 9 4 10 4" xfId="13465"/>
    <cellStyle name="Normal 9 4 10 4 2" xfId="36052"/>
    <cellStyle name="Normal 9 4 10 5" xfId="7025"/>
    <cellStyle name="Normal 9 4 10 5 2" xfId="29612"/>
    <cellStyle name="Normal 9 4 10 6" xfId="23172"/>
    <cellStyle name="Normal 9 4 11" xfId="3519"/>
    <cellStyle name="Normal 9 4 11 2" xfId="19619"/>
    <cellStyle name="Normal 9 4 11 2 2" xfId="42206"/>
    <cellStyle name="Normal 9 4 11 3" xfId="9959"/>
    <cellStyle name="Normal 9 4 11 3 2" xfId="32546"/>
    <cellStyle name="Normal 9 4 11 4" xfId="26106"/>
    <cellStyle name="Normal 9 4 12" xfId="16399"/>
    <cellStyle name="Normal 9 4 12 2" xfId="38986"/>
    <cellStyle name="Normal 9 4 13" xfId="13179"/>
    <cellStyle name="Normal 9 4 13 2" xfId="35766"/>
    <cellStyle name="Normal 9 4 14" xfId="6739"/>
    <cellStyle name="Normal 9 4 14 2" xfId="29326"/>
    <cellStyle name="Normal 9 4 15" xfId="22886"/>
    <cellStyle name="Normal 9 4 2" xfId="329"/>
    <cellStyle name="Normal 9 4 2 10" xfId="16496"/>
    <cellStyle name="Normal 9 4 2 10 2" xfId="39083"/>
    <cellStyle name="Normal 9 4 2 11" xfId="13276"/>
    <cellStyle name="Normal 9 4 2 11 2" xfId="35863"/>
    <cellStyle name="Normal 9 4 2 12" xfId="6836"/>
    <cellStyle name="Normal 9 4 2 12 2" xfId="29423"/>
    <cellStyle name="Normal 9 4 2 13" xfId="22983"/>
    <cellStyle name="Normal 9 4 2 2" xfId="1041"/>
    <cellStyle name="Normal 9 4 2 2 2" xfId="2355"/>
    <cellStyle name="Normal 9 4 2 2 2 2" xfId="5576"/>
    <cellStyle name="Normal 9 4 2 2 2 2 2" xfId="21676"/>
    <cellStyle name="Normal 9 4 2 2 2 2 2 2" xfId="44263"/>
    <cellStyle name="Normal 9 4 2 2 2 2 3" xfId="12016"/>
    <cellStyle name="Normal 9 4 2 2 2 2 3 2" xfId="34603"/>
    <cellStyle name="Normal 9 4 2 2 2 2 4" xfId="28163"/>
    <cellStyle name="Normal 9 4 2 2 2 3" xfId="18456"/>
    <cellStyle name="Normal 9 4 2 2 2 3 2" xfId="41043"/>
    <cellStyle name="Normal 9 4 2 2 2 4" xfId="15236"/>
    <cellStyle name="Normal 9 4 2 2 2 4 2" xfId="37823"/>
    <cellStyle name="Normal 9 4 2 2 2 5" xfId="8796"/>
    <cellStyle name="Normal 9 4 2 2 2 5 2" xfId="31383"/>
    <cellStyle name="Normal 9 4 2 2 2 6" xfId="24943"/>
    <cellStyle name="Normal 9 4 2 2 3" xfId="4268"/>
    <cellStyle name="Normal 9 4 2 2 3 2" xfId="20368"/>
    <cellStyle name="Normal 9 4 2 2 3 2 2" xfId="42955"/>
    <cellStyle name="Normal 9 4 2 2 3 3" xfId="10708"/>
    <cellStyle name="Normal 9 4 2 2 3 3 2" xfId="33295"/>
    <cellStyle name="Normal 9 4 2 2 3 4" xfId="26855"/>
    <cellStyle name="Normal 9 4 2 2 4" xfId="17148"/>
    <cellStyle name="Normal 9 4 2 2 4 2" xfId="39735"/>
    <cellStyle name="Normal 9 4 2 2 5" xfId="13928"/>
    <cellStyle name="Normal 9 4 2 2 5 2" xfId="36515"/>
    <cellStyle name="Normal 9 4 2 2 6" xfId="7488"/>
    <cellStyle name="Normal 9 4 2 2 6 2" xfId="30075"/>
    <cellStyle name="Normal 9 4 2 2 7" xfId="23635"/>
    <cellStyle name="Normal 9 4 2 3" xfId="1388"/>
    <cellStyle name="Normal 9 4 2 3 2" xfId="2702"/>
    <cellStyle name="Normal 9 4 2 3 2 2" xfId="5923"/>
    <cellStyle name="Normal 9 4 2 3 2 2 2" xfId="22023"/>
    <cellStyle name="Normal 9 4 2 3 2 2 2 2" xfId="44610"/>
    <cellStyle name="Normal 9 4 2 3 2 2 3" xfId="12363"/>
    <cellStyle name="Normal 9 4 2 3 2 2 3 2" xfId="34950"/>
    <cellStyle name="Normal 9 4 2 3 2 2 4" xfId="28510"/>
    <cellStyle name="Normal 9 4 2 3 2 3" xfId="18803"/>
    <cellStyle name="Normal 9 4 2 3 2 3 2" xfId="41390"/>
    <cellStyle name="Normal 9 4 2 3 2 4" xfId="15583"/>
    <cellStyle name="Normal 9 4 2 3 2 4 2" xfId="38170"/>
    <cellStyle name="Normal 9 4 2 3 2 5" xfId="9143"/>
    <cellStyle name="Normal 9 4 2 3 2 5 2" xfId="31730"/>
    <cellStyle name="Normal 9 4 2 3 2 6" xfId="25290"/>
    <cellStyle name="Normal 9 4 2 3 3" xfId="4615"/>
    <cellStyle name="Normal 9 4 2 3 3 2" xfId="20715"/>
    <cellStyle name="Normal 9 4 2 3 3 2 2" xfId="43302"/>
    <cellStyle name="Normal 9 4 2 3 3 3" xfId="11055"/>
    <cellStyle name="Normal 9 4 2 3 3 3 2" xfId="33642"/>
    <cellStyle name="Normal 9 4 2 3 3 4" xfId="27202"/>
    <cellStyle name="Normal 9 4 2 3 4" xfId="17495"/>
    <cellStyle name="Normal 9 4 2 3 4 2" xfId="40082"/>
    <cellStyle name="Normal 9 4 2 3 5" xfId="14275"/>
    <cellStyle name="Normal 9 4 2 3 5 2" xfId="36862"/>
    <cellStyle name="Normal 9 4 2 3 6" xfId="7835"/>
    <cellStyle name="Normal 9 4 2 3 6 2" xfId="30422"/>
    <cellStyle name="Normal 9 4 2 3 7" xfId="23982"/>
    <cellStyle name="Normal 9 4 2 4" xfId="1755"/>
    <cellStyle name="Normal 9 4 2 4 2" xfId="4978"/>
    <cellStyle name="Normal 9 4 2 4 2 2" xfId="21078"/>
    <cellStyle name="Normal 9 4 2 4 2 2 2" xfId="43665"/>
    <cellStyle name="Normal 9 4 2 4 2 3" xfId="11418"/>
    <cellStyle name="Normal 9 4 2 4 2 3 2" xfId="34005"/>
    <cellStyle name="Normal 9 4 2 4 2 4" xfId="27565"/>
    <cellStyle name="Normal 9 4 2 4 3" xfId="17858"/>
    <cellStyle name="Normal 9 4 2 4 3 2" xfId="40445"/>
    <cellStyle name="Normal 9 4 2 4 4" xfId="14638"/>
    <cellStyle name="Normal 9 4 2 4 4 2" xfId="37225"/>
    <cellStyle name="Normal 9 4 2 4 5" xfId="8198"/>
    <cellStyle name="Normal 9 4 2 4 5 2" xfId="30785"/>
    <cellStyle name="Normal 9 4 2 4 6" xfId="24345"/>
    <cellStyle name="Normal 9 4 2 5" xfId="2007"/>
    <cellStyle name="Normal 9 4 2 5 2" xfId="5229"/>
    <cellStyle name="Normal 9 4 2 5 2 2" xfId="21329"/>
    <cellStyle name="Normal 9 4 2 5 2 2 2" xfId="43916"/>
    <cellStyle name="Normal 9 4 2 5 2 3" xfId="11669"/>
    <cellStyle name="Normal 9 4 2 5 2 3 2" xfId="34256"/>
    <cellStyle name="Normal 9 4 2 5 2 4" xfId="27816"/>
    <cellStyle name="Normal 9 4 2 5 3" xfId="18109"/>
    <cellStyle name="Normal 9 4 2 5 3 2" xfId="40696"/>
    <cellStyle name="Normal 9 4 2 5 4" xfId="14889"/>
    <cellStyle name="Normal 9 4 2 5 4 2" xfId="37476"/>
    <cellStyle name="Normal 9 4 2 5 5" xfId="8449"/>
    <cellStyle name="Normal 9 4 2 5 5 2" xfId="31036"/>
    <cellStyle name="Normal 9 4 2 5 6" xfId="24596"/>
    <cellStyle name="Normal 9 4 2 6" xfId="3036"/>
    <cellStyle name="Normal 9 4 2 6 2" xfId="6256"/>
    <cellStyle name="Normal 9 4 2 6 2 2" xfId="22356"/>
    <cellStyle name="Normal 9 4 2 6 2 2 2" xfId="44943"/>
    <cellStyle name="Normal 9 4 2 6 2 3" xfId="12696"/>
    <cellStyle name="Normal 9 4 2 6 2 3 2" xfId="35283"/>
    <cellStyle name="Normal 9 4 2 6 2 4" xfId="28843"/>
    <cellStyle name="Normal 9 4 2 6 3" xfId="19136"/>
    <cellStyle name="Normal 9 4 2 6 3 2" xfId="41723"/>
    <cellStyle name="Normal 9 4 2 6 4" xfId="15916"/>
    <cellStyle name="Normal 9 4 2 6 4 2" xfId="38503"/>
    <cellStyle name="Normal 9 4 2 6 5" xfId="9476"/>
    <cellStyle name="Normal 9 4 2 6 5 2" xfId="32063"/>
    <cellStyle name="Normal 9 4 2 6 6" xfId="25623"/>
    <cellStyle name="Normal 9 4 2 7" xfId="3326"/>
    <cellStyle name="Normal 9 4 2 7 2" xfId="6546"/>
    <cellStyle name="Normal 9 4 2 7 2 2" xfId="22646"/>
    <cellStyle name="Normal 9 4 2 7 2 2 2" xfId="45233"/>
    <cellStyle name="Normal 9 4 2 7 2 3" xfId="12986"/>
    <cellStyle name="Normal 9 4 2 7 2 3 2" xfId="35573"/>
    <cellStyle name="Normal 9 4 2 7 2 4" xfId="29133"/>
    <cellStyle name="Normal 9 4 2 7 3" xfId="19426"/>
    <cellStyle name="Normal 9 4 2 7 3 2" xfId="42013"/>
    <cellStyle name="Normal 9 4 2 7 4" xfId="16206"/>
    <cellStyle name="Normal 9 4 2 7 4 2" xfId="38793"/>
    <cellStyle name="Normal 9 4 2 7 5" xfId="9766"/>
    <cellStyle name="Normal 9 4 2 7 5 2" xfId="32353"/>
    <cellStyle name="Normal 9 4 2 7 6" xfId="25913"/>
    <cellStyle name="Normal 9 4 2 8" xfId="677"/>
    <cellStyle name="Normal 9 4 2 8 2" xfId="3921"/>
    <cellStyle name="Normal 9 4 2 8 2 2" xfId="20021"/>
    <cellStyle name="Normal 9 4 2 8 2 2 2" xfId="42608"/>
    <cellStyle name="Normal 9 4 2 8 2 3" xfId="10361"/>
    <cellStyle name="Normal 9 4 2 8 2 3 2" xfId="32948"/>
    <cellStyle name="Normal 9 4 2 8 2 4" xfId="26508"/>
    <cellStyle name="Normal 9 4 2 8 3" xfId="16801"/>
    <cellStyle name="Normal 9 4 2 8 3 2" xfId="39388"/>
    <cellStyle name="Normal 9 4 2 8 4" xfId="13581"/>
    <cellStyle name="Normal 9 4 2 8 4 2" xfId="36168"/>
    <cellStyle name="Normal 9 4 2 8 5" xfId="7141"/>
    <cellStyle name="Normal 9 4 2 8 5 2" xfId="29728"/>
    <cellStyle name="Normal 9 4 2 8 6" xfId="23288"/>
    <cellStyle name="Normal 9 4 2 9" xfId="3616"/>
    <cellStyle name="Normal 9 4 2 9 2" xfId="19716"/>
    <cellStyle name="Normal 9 4 2 9 2 2" xfId="42303"/>
    <cellStyle name="Normal 9 4 2 9 3" xfId="10056"/>
    <cellStyle name="Normal 9 4 2 9 3 2" xfId="32643"/>
    <cellStyle name="Normal 9 4 2 9 4" xfId="26203"/>
    <cellStyle name="Normal 9 4 3" xfId="425"/>
    <cellStyle name="Normal 9 4 3 10" xfId="16592"/>
    <cellStyle name="Normal 9 4 3 10 2" xfId="39179"/>
    <cellStyle name="Normal 9 4 3 11" xfId="13372"/>
    <cellStyle name="Normal 9 4 3 11 2" xfId="35959"/>
    <cellStyle name="Normal 9 4 3 12" xfId="6932"/>
    <cellStyle name="Normal 9 4 3 12 2" xfId="29519"/>
    <cellStyle name="Normal 9 4 3 13" xfId="23079"/>
    <cellStyle name="Normal 9 4 3 2" xfId="1125"/>
    <cellStyle name="Normal 9 4 3 2 2" xfId="2439"/>
    <cellStyle name="Normal 9 4 3 2 2 2" xfId="5660"/>
    <cellStyle name="Normal 9 4 3 2 2 2 2" xfId="21760"/>
    <cellStyle name="Normal 9 4 3 2 2 2 2 2" xfId="44347"/>
    <cellStyle name="Normal 9 4 3 2 2 2 3" xfId="12100"/>
    <cellStyle name="Normal 9 4 3 2 2 2 3 2" xfId="34687"/>
    <cellStyle name="Normal 9 4 3 2 2 2 4" xfId="28247"/>
    <cellStyle name="Normal 9 4 3 2 2 3" xfId="18540"/>
    <cellStyle name="Normal 9 4 3 2 2 3 2" xfId="41127"/>
    <cellStyle name="Normal 9 4 3 2 2 4" xfId="15320"/>
    <cellStyle name="Normal 9 4 3 2 2 4 2" xfId="37907"/>
    <cellStyle name="Normal 9 4 3 2 2 5" xfId="8880"/>
    <cellStyle name="Normal 9 4 3 2 2 5 2" xfId="31467"/>
    <cellStyle name="Normal 9 4 3 2 2 6" xfId="25027"/>
    <cellStyle name="Normal 9 4 3 2 3" xfId="4352"/>
    <cellStyle name="Normal 9 4 3 2 3 2" xfId="20452"/>
    <cellStyle name="Normal 9 4 3 2 3 2 2" xfId="43039"/>
    <cellStyle name="Normal 9 4 3 2 3 3" xfId="10792"/>
    <cellStyle name="Normal 9 4 3 2 3 3 2" xfId="33379"/>
    <cellStyle name="Normal 9 4 3 2 3 4" xfId="26939"/>
    <cellStyle name="Normal 9 4 3 2 4" xfId="17232"/>
    <cellStyle name="Normal 9 4 3 2 4 2" xfId="39819"/>
    <cellStyle name="Normal 9 4 3 2 5" xfId="14012"/>
    <cellStyle name="Normal 9 4 3 2 5 2" xfId="36599"/>
    <cellStyle name="Normal 9 4 3 2 6" xfId="7572"/>
    <cellStyle name="Normal 9 4 3 2 6 2" xfId="30159"/>
    <cellStyle name="Normal 9 4 3 2 7" xfId="23719"/>
    <cellStyle name="Normal 9 4 3 3" xfId="1472"/>
    <cellStyle name="Normal 9 4 3 3 2" xfId="2786"/>
    <cellStyle name="Normal 9 4 3 3 2 2" xfId="6007"/>
    <cellStyle name="Normal 9 4 3 3 2 2 2" xfId="22107"/>
    <cellStyle name="Normal 9 4 3 3 2 2 2 2" xfId="44694"/>
    <cellStyle name="Normal 9 4 3 3 2 2 3" xfId="12447"/>
    <cellStyle name="Normal 9 4 3 3 2 2 3 2" xfId="35034"/>
    <cellStyle name="Normal 9 4 3 3 2 2 4" xfId="28594"/>
    <cellStyle name="Normal 9 4 3 3 2 3" xfId="18887"/>
    <cellStyle name="Normal 9 4 3 3 2 3 2" xfId="41474"/>
    <cellStyle name="Normal 9 4 3 3 2 4" xfId="15667"/>
    <cellStyle name="Normal 9 4 3 3 2 4 2" xfId="38254"/>
    <cellStyle name="Normal 9 4 3 3 2 5" xfId="9227"/>
    <cellStyle name="Normal 9 4 3 3 2 5 2" xfId="31814"/>
    <cellStyle name="Normal 9 4 3 3 2 6" xfId="25374"/>
    <cellStyle name="Normal 9 4 3 3 3" xfId="4699"/>
    <cellStyle name="Normal 9 4 3 3 3 2" xfId="20799"/>
    <cellStyle name="Normal 9 4 3 3 3 2 2" xfId="43386"/>
    <cellStyle name="Normal 9 4 3 3 3 3" xfId="11139"/>
    <cellStyle name="Normal 9 4 3 3 3 3 2" xfId="33726"/>
    <cellStyle name="Normal 9 4 3 3 3 4" xfId="27286"/>
    <cellStyle name="Normal 9 4 3 3 4" xfId="17579"/>
    <cellStyle name="Normal 9 4 3 3 4 2" xfId="40166"/>
    <cellStyle name="Normal 9 4 3 3 5" xfId="14359"/>
    <cellStyle name="Normal 9 4 3 3 5 2" xfId="36946"/>
    <cellStyle name="Normal 9 4 3 3 6" xfId="7919"/>
    <cellStyle name="Normal 9 4 3 3 6 2" xfId="30506"/>
    <cellStyle name="Normal 9 4 3 3 7" xfId="24066"/>
    <cellStyle name="Normal 9 4 3 4" xfId="1756"/>
    <cellStyle name="Normal 9 4 3 4 2" xfId="4979"/>
    <cellStyle name="Normal 9 4 3 4 2 2" xfId="21079"/>
    <cellStyle name="Normal 9 4 3 4 2 2 2" xfId="43666"/>
    <cellStyle name="Normal 9 4 3 4 2 3" xfId="11419"/>
    <cellStyle name="Normal 9 4 3 4 2 3 2" xfId="34006"/>
    <cellStyle name="Normal 9 4 3 4 2 4" xfId="27566"/>
    <cellStyle name="Normal 9 4 3 4 3" xfId="17859"/>
    <cellStyle name="Normal 9 4 3 4 3 2" xfId="40446"/>
    <cellStyle name="Normal 9 4 3 4 4" xfId="14639"/>
    <cellStyle name="Normal 9 4 3 4 4 2" xfId="37226"/>
    <cellStyle name="Normal 9 4 3 4 5" xfId="8199"/>
    <cellStyle name="Normal 9 4 3 4 5 2" xfId="30786"/>
    <cellStyle name="Normal 9 4 3 4 6" xfId="24346"/>
    <cellStyle name="Normal 9 4 3 5" xfId="2092"/>
    <cellStyle name="Normal 9 4 3 5 2" xfId="5313"/>
    <cellStyle name="Normal 9 4 3 5 2 2" xfId="21413"/>
    <cellStyle name="Normal 9 4 3 5 2 2 2" xfId="44000"/>
    <cellStyle name="Normal 9 4 3 5 2 3" xfId="11753"/>
    <cellStyle name="Normal 9 4 3 5 2 3 2" xfId="34340"/>
    <cellStyle name="Normal 9 4 3 5 2 4" xfId="27900"/>
    <cellStyle name="Normal 9 4 3 5 3" xfId="18193"/>
    <cellStyle name="Normal 9 4 3 5 3 2" xfId="40780"/>
    <cellStyle name="Normal 9 4 3 5 4" xfId="14973"/>
    <cellStyle name="Normal 9 4 3 5 4 2" xfId="37560"/>
    <cellStyle name="Normal 9 4 3 5 5" xfId="8533"/>
    <cellStyle name="Normal 9 4 3 5 5 2" xfId="31120"/>
    <cellStyle name="Normal 9 4 3 5 6" xfId="24680"/>
    <cellStyle name="Normal 9 4 3 6" xfId="3132"/>
    <cellStyle name="Normal 9 4 3 6 2" xfId="6352"/>
    <cellStyle name="Normal 9 4 3 6 2 2" xfId="22452"/>
    <cellStyle name="Normal 9 4 3 6 2 2 2" xfId="45039"/>
    <cellStyle name="Normal 9 4 3 6 2 3" xfId="12792"/>
    <cellStyle name="Normal 9 4 3 6 2 3 2" xfId="35379"/>
    <cellStyle name="Normal 9 4 3 6 2 4" xfId="28939"/>
    <cellStyle name="Normal 9 4 3 6 3" xfId="19232"/>
    <cellStyle name="Normal 9 4 3 6 3 2" xfId="41819"/>
    <cellStyle name="Normal 9 4 3 6 4" xfId="16012"/>
    <cellStyle name="Normal 9 4 3 6 4 2" xfId="38599"/>
    <cellStyle name="Normal 9 4 3 6 5" xfId="9572"/>
    <cellStyle name="Normal 9 4 3 6 5 2" xfId="32159"/>
    <cellStyle name="Normal 9 4 3 6 6" xfId="25719"/>
    <cellStyle name="Normal 9 4 3 7" xfId="3422"/>
    <cellStyle name="Normal 9 4 3 7 2" xfId="6642"/>
    <cellStyle name="Normal 9 4 3 7 2 2" xfId="22742"/>
    <cellStyle name="Normal 9 4 3 7 2 2 2" xfId="45329"/>
    <cellStyle name="Normal 9 4 3 7 2 3" xfId="13082"/>
    <cellStyle name="Normal 9 4 3 7 2 3 2" xfId="35669"/>
    <cellStyle name="Normal 9 4 3 7 2 4" xfId="29229"/>
    <cellStyle name="Normal 9 4 3 7 3" xfId="19522"/>
    <cellStyle name="Normal 9 4 3 7 3 2" xfId="42109"/>
    <cellStyle name="Normal 9 4 3 7 4" xfId="16302"/>
    <cellStyle name="Normal 9 4 3 7 4 2" xfId="38889"/>
    <cellStyle name="Normal 9 4 3 7 5" xfId="9862"/>
    <cellStyle name="Normal 9 4 3 7 5 2" xfId="32449"/>
    <cellStyle name="Normal 9 4 3 7 6" xfId="26009"/>
    <cellStyle name="Normal 9 4 3 8" xfId="773"/>
    <cellStyle name="Normal 9 4 3 8 2" xfId="4005"/>
    <cellStyle name="Normal 9 4 3 8 2 2" xfId="20105"/>
    <cellStyle name="Normal 9 4 3 8 2 2 2" xfId="42692"/>
    <cellStyle name="Normal 9 4 3 8 2 3" xfId="10445"/>
    <cellStyle name="Normal 9 4 3 8 2 3 2" xfId="33032"/>
    <cellStyle name="Normal 9 4 3 8 2 4" xfId="26592"/>
    <cellStyle name="Normal 9 4 3 8 3" xfId="16885"/>
    <cellStyle name="Normal 9 4 3 8 3 2" xfId="39472"/>
    <cellStyle name="Normal 9 4 3 8 4" xfId="13665"/>
    <cellStyle name="Normal 9 4 3 8 4 2" xfId="36252"/>
    <cellStyle name="Normal 9 4 3 8 5" xfId="7225"/>
    <cellStyle name="Normal 9 4 3 8 5 2" xfId="29812"/>
    <cellStyle name="Normal 9 4 3 8 6" xfId="23372"/>
    <cellStyle name="Normal 9 4 3 9" xfId="3712"/>
    <cellStyle name="Normal 9 4 3 9 2" xfId="19812"/>
    <cellStyle name="Normal 9 4 3 9 2 2" xfId="42399"/>
    <cellStyle name="Normal 9 4 3 9 3" xfId="10152"/>
    <cellStyle name="Normal 9 4 3 9 3 2" xfId="32739"/>
    <cellStyle name="Normal 9 4 3 9 4" xfId="26299"/>
    <cellStyle name="Normal 9 4 4" xfId="920"/>
    <cellStyle name="Normal 9 4 4 2" xfId="2239"/>
    <cellStyle name="Normal 9 4 4 2 2" xfId="5460"/>
    <cellStyle name="Normal 9 4 4 2 2 2" xfId="21560"/>
    <cellStyle name="Normal 9 4 4 2 2 2 2" xfId="44147"/>
    <cellStyle name="Normal 9 4 4 2 2 3" xfId="11900"/>
    <cellStyle name="Normal 9 4 4 2 2 3 2" xfId="34487"/>
    <cellStyle name="Normal 9 4 4 2 2 4" xfId="28047"/>
    <cellStyle name="Normal 9 4 4 2 3" xfId="18340"/>
    <cellStyle name="Normal 9 4 4 2 3 2" xfId="40927"/>
    <cellStyle name="Normal 9 4 4 2 4" xfId="15120"/>
    <cellStyle name="Normal 9 4 4 2 4 2" xfId="37707"/>
    <cellStyle name="Normal 9 4 4 2 5" xfId="8680"/>
    <cellStyle name="Normal 9 4 4 2 5 2" xfId="31267"/>
    <cellStyle name="Normal 9 4 4 2 6" xfId="24827"/>
    <cellStyle name="Normal 9 4 4 3" xfId="4152"/>
    <cellStyle name="Normal 9 4 4 3 2" xfId="20252"/>
    <cellStyle name="Normal 9 4 4 3 2 2" xfId="42839"/>
    <cellStyle name="Normal 9 4 4 3 3" xfId="10592"/>
    <cellStyle name="Normal 9 4 4 3 3 2" xfId="33179"/>
    <cellStyle name="Normal 9 4 4 3 4" xfId="26739"/>
    <cellStyle name="Normal 9 4 4 4" xfId="17032"/>
    <cellStyle name="Normal 9 4 4 4 2" xfId="39619"/>
    <cellStyle name="Normal 9 4 4 5" xfId="13812"/>
    <cellStyle name="Normal 9 4 4 5 2" xfId="36399"/>
    <cellStyle name="Normal 9 4 4 6" xfId="7372"/>
    <cellStyle name="Normal 9 4 4 6 2" xfId="29959"/>
    <cellStyle name="Normal 9 4 4 7" xfId="23519"/>
    <cellStyle name="Normal 9 4 5" xfId="1272"/>
    <cellStyle name="Normal 9 4 5 2" xfId="2586"/>
    <cellStyle name="Normal 9 4 5 2 2" xfId="5807"/>
    <cellStyle name="Normal 9 4 5 2 2 2" xfId="21907"/>
    <cellStyle name="Normal 9 4 5 2 2 2 2" xfId="44494"/>
    <cellStyle name="Normal 9 4 5 2 2 3" xfId="12247"/>
    <cellStyle name="Normal 9 4 5 2 2 3 2" xfId="34834"/>
    <cellStyle name="Normal 9 4 5 2 2 4" xfId="28394"/>
    <cellStyle name="Normal 9 4 5 2 3" xfId="18687"/>
    <cellStyle name="Normal 9 4 5 2 3 2" xfId="41274"/>
    <cellStyle name="Normal 9 4 5 2 4" xfId="15467"/>
    <cellStyle name="Normal 9 4 5 2 4 2" xfId="38054"/>
    <cellStyle name="Normal 9 4 5 2 5" xfId="9027"/>
    <cellStyle name="Normal 9 4 5 2 5 2" xfId="31614"/>
    <cellStyle name="Normal 9 4 5 2 6" xfId="25174"/>
    <cellStyle name="Normal 9 4 5 3" xfId="4499"/>
    <cellStyle name="Normal 9 4 5 3 2" xfId="20599"/>
    <cellStyle name="Normal 9 4 5 3 2 2" xfId="43186"/>
    <cellStyle name="Normal 9 4 5 3 3" xfId="10939"/>
    <cellStyle name="Normal 9 4 5 3 3 2" xfId="33526"/>
    <cellStyle name="Normal 9 4 5 3 4" xfId="27086"/>
    <cellStyle name="Normal 9 4 5 4" xfId="17379"/>
    <cellStyle name="Normal 9 4 5 4 2" xfId="39966"/>
    <cellStyle name="Normal 9 4 5 5" xfId="14159"/>
    <cellStyle name="Normal 9 4 5 5 2" xfId="36746"/>
    <cellStyle name="Normal 9 4 5 6" xfId="7719"/>
    <cellStyle name="Normal 9 4 5 6 2" xfId="30306"/>
    <cellStyle name="Normal 9 4 5 7" xfId="23866"/>
    <cellStyle name="Normal 9 4 6" xfId="1757"/>
    <cellStyle name="Normal 9 4 6 2" xfId="4980"/>
    <cellStyle name="Normal 9 4 6 2 2" xfId="21080"/>
    <cellStyle name="Normal 9 4 6 2 2 2" xfId="43667"/>
    <cellStyle name="Normal 9 4 6 2 3" xfId="11420"/>
    <cellStyle name="Normal 9 4 6 2 3 2" xfId="34007"/>
    <cellStyle name="Normal 9 4 6 2 4" xfId="27567"/>
    <cellStyle name="Normal 9 4 6 3" xfId="17860"/>
    <cellStyle name="Normal 9 4 6 3 2" xfId="40447"/>
    <cellStyle name="Normal 9 4 6 4" xfId="14640"/>
    <cellStyle name="Normal 9 4 6 4 2" xfId="37227"/>
    <cellStyle name="Normal 9 4 6 5" xfId="8200"/>
    <cellStyle name="Normal 9 4 6 5 2" xfId="30787"/>
    <cellStyle name="Normal 9 4 6 6" xfId="24347"/>
    <cellStyle name="Normal 9 4 7" xfId="1891"/>
    <cellStyle name="Normal 9 4 7 2" xfId="5113"/>
    <cellStyle name="Normal 9 4 7 2 2" xfId="21213"/>
    <cellStyle name="Normal 9 4 7 2 2 2" xfId="43800"/>
    <cellStyle name="Normal 9 4 7 2 3" xfId="11553"/>
    <cellStyle name="Normal 9 4 7 2 3 2" xfId="34140"/>
    <cellStyle name="Normal 9 4 7 2 4" xfId="27700"/>
    <cellStyle name="Normal 9 4 7 3" xfId="17993"/>
    <cellStyle name="Normal 9 4 7 3 2" xfId="40580"/>
    <cellStyle name="Normal 9 4 7 4" xfId="14773"/>
    <cellStyle name="Normal 9 4 7 4 2" xfId="37360"/>
    <cellStyle name="Normal 9 4 7 5" xfId="8333"/>
    <cellStyle name="Normal 9 4 7 5 2" xfId="30920"/>
    <cellStyle name="Normal 9 4 7 6" xfId="24480"/>
    <cellStyle name="Normal 9 4 8" xfId="2938"/>
    <cellStyle name="Normal 9 4 8 2" xfId="6159"/>
    <cellStyle name="Normal 9 4 8 2 2" xfId="22259"/>
    <cellStyle name="Normal 9 4 8 2 2 2" xfId="44846"/>
    <cellStyle name="Normal 9 4 8 2 3" xfId="12599"/>
    <cellStyle name="Normal 9 4 8 2 3 2" xfId="35186"/>
    <cellStyle name="Normal 9 4 8 2 4" xfId="28746"/>
    <cellStyle name="Normal 9 4 8 3" xfId="19039"/>
    <cellStyle name="Normal 9 4 8 3 2" xfId="41626"/>
    <cellStyle name="Normal 9 4 8 4" xfId="15819"/>
    <cellStyle name="Normal 9 4 8 4 2" xfId="38406"/>
    <cellStyle name="Normal 9 4 8 5" xfId="9379"/>
    <cellStyle name="Normal 9 4 8 5 2" xfId="31966"/>
    <cellStyle name="Normal 9 4 8 6" xfId="25526"/>
    <cellStyle name="Normal 9 4 9" xfId="3229"/>
    <cellStyle name="Normal 9 4 9 2" xfId="6449"/>
    <cellStyle name="Normal 9 4 9 2 2" xfId="22549"/>
    <cellStyle name="Normal 9 4 9 2 2 2" xfId="45136"/>
    <cellStyle name="Normal 9 4 9 2 3" xfId="12889"/>
    <cellStyle name="Normal 9 4 9 2 3 2" xfId="35476"/>
    <cellStyle name="Normal 9 4 9 2 4" xfId="29036"/>
    <cellStyle name="Normal 9 4 9 3" xfId="19329"/>
    <cellStyle name="Normal 9 4 9 3 2" xfId="41916"/>
    <cellStyle name="Normal 9 4 9 4" xfId="16109"/>
    <cellStyle name="Normal 9 4 9 4 2" xfId="38696"/>
    <cellStyle name="Normal 9 4 9 5" xfId="9669"/>
    <cellStyle name="Normal 9 4 9 5 2" xfId="32256"/>
    <cellStyle name="Normal 9 4 9 6" xfId="25816"/>
    <cellStyle name="Normal 9 5" xfId="264"/>
    <cellStyle name="Normal 9 5 10" xfId="16431"/>
    <cellStyle name="Normal 9 5 10 2" xfId="39018"/>
    <cellStyle name="Normal 9 5 11" xfId="13211"/>
    <cellStyle name="Normal 9 5 11 2" xfId="35798"/>
    <cellStyle name="Normal 9 5 12" xfId="6771"/>
    <cellStyle name="Normal 9 5 12 2" xfId="29358"/>
    <cellStyle name="Normal 9 5 13" xfId="22918"/>
    <cellStyle name="Normal 9 5 2" xfId="970"/>
    <cellStyle name="Normal 9 5 2 2" xfId="1758"/>
    <cellStyle name="Normal 9 5 2 2 2" xfId="4981"/>
    <cellStyle name="Normal 9 5 2 2 2 2" xfId="21081"/>
    <cellStyle name="Normal 9 5 2 2 2 2 2" xfId="43668"/>
    <cellStyle name="Normal 9 5 2 2 2 3" xfId="11421"/>
    <cellStyle name="Normal 9 5 2 2 2 3 2" xfId="34008"/>
    <cellStyle name="Normal 9 5 2 2 2 4" xfId="27568"/>
    <cellStyle name="Normal 9 5 2 2 3" xfId="17861"/>
    <cellStyle name="Normal 9 5 2 2 3 2" xfId="40448"/>
    <cellStyle name="Normal 9 5 2 2 4" xfId="14641"/>
    <cellStyle name="Normal 9 5 2 2 4 2" xfId="37228"/>
    <cellStyle name="Normal 9 5 2 2 5" xfId="8201"/>
    <cellStyle name="Normal 9 5 2 2 5 2" xfId="30788"/>
    <cellStyle name="Normal 9 5 2 2 6" xfId="24348"/>
    <cellStyle name="Normal 9 5 2 3" xfId="2288"/>
    <cellStyle name="Normal 9 5 2 3 2" xfId="5509"/>
    <cellStyle name="Normal 9 5 2 3 2 2" xfId="21609"/>
    <cellStyle name="Normal 9 5 2 3 2 2 2" xfId="44196"/>
    <cellStyle name="Normal 9 5 2 3 2 3" xfId="11949"/>
    <cellStyle name="Normal 9 5 2 3 2 3 2" xfId="34536"/>
    <cellStyle name="Normal 9 5 2 3 2 4" xfId="28096"/>
    <cellStyle name="Normal 9 5 2 3 3" xfId="18389"/>
    <cellStyle name="Normal 9 5 2 3 3 2" xfId="40976"/>
    <cellStyle name="Normal 9 5 2 3 4" xfId="15169"/>
    <cellStyle name="Normal 9 5 2 3 4 2" xfId="37756"/>
    <cellStyle name="Normal 9 5 2 3 5" xfId="8729"/>
    <cellStyle name="Normal 9 5 2 3 5 2" xfId="31316"/>
    <cellStyle name="Normal 9 5 2 3 6" xfId="24876"/>
    <cellStyle name="Normal 9 5 2 4" xfId="4201"/>
    <cellStyle name="Normal 9 5 2 4 2" xfId="20301"/>
    <cellStyle name="Normal 9 5 2 4 2 2" xfId="42888"/>
    <cellStyle name="Normal 9 5 2 4 3" xfId="10641"/>
    <cellStyle name="Normal 9 5 2 4 3 2" xfId="33228"/>
    <cellStyle name="Normal 9 5 2 4 4" xfId="26788"/>
    <cellStyle name="Normal 9 5 2 5" xfId="17081"/>
    <cellStyle name="Normal 9 5 2 5 2" xfId="39668"/>
    <cellStyle name="Normal 9 5 2 6" xfId="13861"/>
    <cellStyle name="Normal 9 5 2 6 2" xfId="36448"/>
    <cellStyle name="Normal 9 5 2 7" xfId="7421"/>
    <cellStyle name="Normal 9 5 2 7 2" xfId="30008"/>
    <cellStyle name="Normal 9 5 2 8" xfId="23568"/>
    <cellStyle name="Normal 9 5 3" xfId="1321"/>
    <cellStyle name="Normal 9 5 3 2" xfId="2635"/>
    <cellStyle name="Normal 9 5 3 2 2" xfId="5856"/>
    <cellStyle name="Normal 9 5 3 2 2 2" xfId="21956"/>
    <cellStyle name="Normal 9 5 3 2 2 2 2" xfId="44543"/>
    <cellStyle name="Normal 9 5 3 2 2 3" xfId="12296"/>
    <cellStyle name="Normal 9 5 3 2 2 3 2" xfId="34883"/>
    <cellStyle name="Normal 9 5 3 2 2 4" xfId="28443"/>
    <cellStyle name="Normal 9 5 3 2 3" xfId="18736"/>
    <cellStyle name="Normal 9 5 3 2 3 2" xfId="41323"/>
    <cellStyle name="Normal 9 5 3 2 4" xfId="15516"/>
    <cellStyle name="Normal 9 5 3 2 4 2" xfId="38103"/>
    <cellStyle name="Normal 9 5 3 2 5" xfId="9076"/>
    <cellStyle name="Normal 9 5 3 2 5 2" xfId="31663"/>
    <cellStyle name="Normal 9 5 3 2 6" xfId="25223"/>
    <cellStyle name="Normal 9 5 3 3" xfId="4548"/>
    <cellStyle name="Normal 9 5 3 3 2" xfId="20648"/>
    <cellStyle name="Normal 9 5 3 3 2 2" xfId="43235"/>
    <cellStyle name="Normal 9 5 3 3 3" xfId="10988"/>
    <cellStyle name="Normal 9 5 3 3 3 2" xfId="33575"/>
    <cellStyle name="Normal 9 5 3 3 4" xfId="27135"/>
    <cellStyle name="Normal 9 5 3 4" xfId="17428"/>
    <cellStyle name="Normal 9 5 3 4 2" xfId="40015"/>
    <cellStyle name="Normal 9 5 3 5" xfId="14208"/>
    <cellStyle name="Normal 9 5 3 5 2" xfId="36795"/>
    <cellStyle name="Normal 9 5 3 6" xfId="7768"/>
    <cellStyle name="Normal 9 5 3 6 2" xfId="30355"/>
    <cellStyle name="Normal 9 5 3 7" xfId="23915"/>
    <cellStyle name="Normal 9 5 4" xfId="1759"/>
    <cellStyle name="Normal 9 5 4 2" xfId="4982"/>
    <cellStyle name="Normal 9 5 4 2 2" xfId="21082"/>
    <cellStyle name="Normal 9 5 4 2 2 2" xfId="43669"/>
    <cellStyle name="Normal 9 5 4 2 3" xfId="11422"/>
    <cellStyle name="Normal 9 5 4 2 3 2" xfId="34009"/>
    <cellStyle name="Normal 9 5 4 2 4" xfId="27569"/>
    <cellStyle name="Normal 9 5 4 3" xfId="17862"/>
    <cellStyle name="Normal 9 5 4 3 2" xfId="40449"/>
    <cellStyle name="Normal 9 5 4 4" xfId="14642"/>
    <cellStyle name="Normal 9 5 4 4 2" xfId="37229"/>
    <cellStyle name="Normal 9 5 4 5" xfId="8202"/>
    <cellStyle name="Normal 9 5 4 5 2" xfId="30789"/>
    <cellStyle name="Normal 9 5 4 6" xfId="24349"/>
    <cellStyle name="Normal 9 5 5" xfId="1940"/>
    <cellStyle name="Normal 9 5 5 2" xfId="5162"/>
    <cellStyle name="Normal 9 5 5 2 2" xfId="21262"/>
    <cellStyle name="Normal 9 5 5 2 2 2" xfId="43849"/>
    <cellStyle name="Normal 9 5 5 2 3" xfId="11602"/>
    <cellStyle name="Normal 9 5 5 2 3 2" xfId="34189"/>
    <cellStyle name="Normal 9 5 5 2 4" xfId="27749"/>
    <cellStyle name="Normal 9 5 5 3" xfId="18042"/>
    <cellStyle name="Normal 9 5 5 3 2" xfId="40629"/>
    <cellStyle name="Normal 9 5 5 4" xfId="14822"/>
    <cellStyle name="Normal 9 5 5 4 2" xfId="37409"/>
    <cellStyle name="Normal 9 5 5 5" xfId="8382"/>
    <cellStyle name="Normal 9 5 5 5 2" xfId="30969"/>
    <cellStyle name="Normal 9 5 5 6" xfId="24529"/>
    <cellStyle name="Normal 9 5 6" xfId="2971"/>
    <cellStyle name="Normal 9 5 6 2" xfId="6191"/>
    <cellStyle name="Normal 9 5 6 2 2" xfId="22291"/>
    <cellStyle name="Normal 9 5 6 2 2 2" xfId="44878"/>
    <cellStyle name="Normal 9 5 6 2 3" xfId="12631"/>
    <cellStyle name="Normal 9 5 6 2 3 2" xfId="35218"/>
    <cellStyle name="Normal 9 5 6 2 4" xfId="28778"/>
    <cellStyle name="Normal 9 5 6 3" xfId="19071"/>
    <cellStyle name="Normal 9 5 6 3 2" xfId="41658"/>
    <cellStyle name="Normal 9 5 6 4" xfId="15851"/>
    <cellStyle name="Normal 9 5 6 4 2" xfId="38438"/>
    <cellStyle name="Normal 9 5 6 5" xfId="9411"/>
    <cellStyle name="Normal 9 5 6 5 2" xfId="31998"/>
    <cellStyle name="Normal 9 5 6 6" xfId="25558"/>
    <cellStyle name="Normal 9 5 7" xfId="3261"/>
    <cellStyle name="Normal 9 5 7 2" xfId="6481"/>
    <cellStyle name="Normal 9 5 7 2 2" xfId="22581"/>
    <cellStyle name="Normal 9 5 7 2 2 2" xfId="45168"/>
    <cellStyle name="Normal 9 5 7 2 3" xfId="12921"/>
    <cellStyle name="Normal 9 5 7 2 3 2" xfId="35508"/>
    <cellStyle name="Normal 9 5 7 2 4" xfId="29068"/>
    <cellStyle name="Normal 9 5 7 3" xfId="19361"/>
    <cellStyle name="Normal 9 5 7 3 2" xfId="41948"/>
    <cellStyle name="Normal 9 5 7 4" xfId="16141"/>
    <cellStyle name="Normal 9 5 7 4 2" xfId="38728"/>
    <cellStyle name="Normal 9 5 7 5" xfId="9701"/>
    <cellStyle name="Normal 9 5 7 5 2" xfId="32288"/>
    <cellStyle name="Normal 9 5 7 6" xfId="25848"/>
    <cellStyle name="Normal 9 5 8" xfId="585"/>
    <cellStyle name="Normal 9 5 8 2" xfId="3854"/>
    <cellStyle name="Normal 9 5 8 2 2" xfId="19954"/>
    <cellStyle name="Normal 9 5 8 2 2 2" xfId="42541"/>
    <cellStyle name="Normal 9 5 8 2 3" xfId="10294"/>
    <cellStyle name="Normal 9 5 8 2 3 2" xfId="32881"/>
    <cellStyle name="Normal 9 5 8 2 4" xfId="26441"/>
    <cellStyle name="Normal 9 5 8 3" xfId="16734"/>
    <cellStyle name="Normal 9 5 8 3 2" xfId="39321"/>
    <cellStyle name="Normal 9 5 8 4" xfId="13514"/>
    <cellStyle name="Normal 9 5 8 4 2" xfId="36101"/>
    <cellStyle name="Normal 9 5 8 5" xfId="7074"/>
    <cellStyle name="Normal 9 5 8 5 2" xfId="29661"/>
    <cellStyle name="Normal 9 5 8 6" xfId="23221"/>
    <cellStyle name="Normal 9 5 9" xfId="3551"/>
    <cellStyle name="Normal 9 5 9 2" xfId="19651"/>
    <cellStyle name="Normal 9 5 9 2 2" xfId="42238"/>
    <cellStyle name="Normal 9 5 9 3" xfId="9991"/>
    <cellStyle name="Normal 9 5 9 3 2" xfId="32578"/>
    <cellStyle name="Normal 9 5 9 4" xfId="26138"/>
    <cellStyle name="Normal 9 6" xfId="348"/>
    <cellStyle name="Normal 9 6 10" xfId="16515"/>
    <cellStyle name="Normal 9 6 10 2" xfId="39102"/>
    <cellStyle name="Normal 9 6 11" xfId="13295"/>
    <cellStyle name="Normal 9 6 11 2" xfId="35882"/>
    <cellStyle name="Normal 9 6 12" xfId="6855"/>
    <cellStyle name="Normal 9 6 12 2" xfId="29442"/>
    <cellStyle name="Normal 9 6 13" xfId="23002"/>
    <cellStyle name="Normal 9 6 2" xfId="1086"/>
    <cellStyle name="Normal 9 6 2 2" xfId="2400"/>
    <cellStyle name="Normal 9 6 2 2 2" xfId="5621"/>
    <cellStyle name="Normal 9 6 2 2 2 2" xfId="21721"/>
    <cellStyle name="Normal 9 6 2 2 2 2 2" xfId="44308"/>
    <cellStyle name="Normal 9 6 2 2 2 3" xfId="12061"/>
    <cellStyle name="Normal 9 6 2 2 2 3 2" xfId="34648"/>
    <cellStyle name="Normal 9 6 2 2 2 4" xfId="28208"/>
    <cellStyle name="Normal 9 6 2 2 3" xfId="18501"/>
    <cellStyle name="Normal 9 6 2 2 3 2" xfId="41088"/>
    <cellStyle name="Normal 9 6 2 2 4" xfId="15281"/>
    <cellStyle name="Normal 9 6 2 2 4 2" xfId="37868"/>
    <cellStyle name="Normal 9 6 2 2 5" xfId="8841"/>
    <cellStyle name="Normal 9 6 2 2 5 2" xfId="31428"/>
    <cellStyle name="Normal 9 6 2 2 6" xfId="24988"/>
    <cellStyle name="Normal 9 6 2 3" xfId="4313"/>
    <cellStyle name="Normal 9 6 2 3 2" xfId="20413"/>
    <cellStyle name="Normal 9 6 2 3 2 2" xfId="43000"/>
    <cellStyle name="Normal 9 6 2 3 3" xfId="10753"/>
    <cellStyle name="Normal 9 6 2 3 3 2" xfId="33340"/>
    <cellStyle name="Normal 9 6 2 3 4" xfId="26900"/>
    <cellStyle name="Normal 9 6 2 4" xfId="17193"/>
    <cellStyle name="Normal 9 6 2 4 2" xfId="39780"/>
    <cellStyle name="Normal 9 6 2 5" xfId="13973"/>
    <cellStyle name="Normal 9 6 2 5 2" xfId="36560"/>
    <cellStyle name="Normal 9 6 2 6" xfId="7533"/>
    <cellStyle name="Normal 9 6 2 6 2" xfId="30120"/>
    <cellStyle name="Normal 9 6 2 7" xfId="23680"/>
    <cellStyle name="Normal 9 6 3" xfId="1433"/>
    <cellStyle name="Normal 9 6 3 2" xfId="2747"/>
    <cellStyle name="Normal 9 6 3 2 2" xfId="5968"/>
    <cellStyle name="Normal 9 6 3 2 2 2" xfId="22068"/>
    <cellStyle name="Normal 9 6 3 2 2 2 2" xfId="44655"/>
    <cellStyle name="Normal 9 6 3 2 2 3" xfId="12408"/>
    <cellStyle name="Normal 9 6 3 2 2 3 2" xfId="34995"/>
    <cellStyle name="Normal 9 6 3 2 2 4" xfId="28555"/>
    <cellStyle name="Normal 9 6 3 2 3" xfId="18848"/>
    <cellStyle name="Normal 9 6 3 2 3 2" xfId="41435"/>
    <cellStyle name="Normal 9 6 3 2 4" xfId="15628"/>
    <cellStyle name="Normal 9 6 3 2 4 2" xfId="38215"/>
    <cellStyle name="Normal 9 6 3 2 5" xfId="9188"/>
    <cellStyle name="Normal 9 6 3 2 5 2" xfId="31775"/>
    <cellStyle name="Normal 9 6 3 2 6" xfId="25335"/>
    <cellStyle name="Normal 9 6 3 3" xfId="4660"/>
    <cellStyle name="Normal 9 6 3 3 2" xfId="20760"/>
    <cellStyle name="Normal 9 6 3 3 2 2" xfId="43347"/>
    <cellStyle name="Normal 9 6 3 3 3" xfId="11100"/>
    <cellStyle name="Normal 9 6 3 3 3 2" xfId="33687"/>
    <cellStyle name="Normal 9 6 3 3 4" xfId="27247"/>
    <cellStyle name="Normal 9 6 3 4" xfId="17540"/>
    <cellStyle name="Normal 9 6 3 4 2" xfId="40127"/>
    <cellStyle name="Normal 9 6 3 5" xfId="14320"/>
    <cellStyle name="Normal 9 6 3 5 2" xfId="36907"/>
    <cellStyle name="Normal 9 6 3 6" xfId="7880"/>
    <cellStyle name="Normal 9 6 3 6 2" xfId="30467"/>
    <cellStyle name="Normal 9 6 3 7" xfId="24027"/>
    <cellStyle name="Normal 9 6 4" xfId="1760"/>
    <cellStyle name="Normal 9 6 4 2" xfId="4983"/>
    <cellStyle name="Normal 9 6 4 2 2" xfId="21083"/>
    <cellStyle name="Normal 9 6 4 2 2 2" xfId="43670"/>
    <cellStyle name="Normal 9 6 4 2 3" xfId="11423"/>
    <cellStyle name="Normal 9 6 4 2 3 2" xfId="34010"/>
    <cellStyle name="Normal 9 6 4 2 4" xfId="27570"/>
    <cellStyle name="Normal 9 6 4 3" xfId="17863"/>
    <cellStyle name="Normal 9 6 4 3 2" xfId="40450"/>
    <cellStyle name="Normal 9 6 4 4" xfId="14643"/>
    <cellStyle name="Normal 9 6 4 4 2" xfId="37230"/>
    <cellStyle name="Normal 9 6 4 5" xfId="8203"/>
    <cellStyle name="Normal 9 6 4 5 2" xfId="30790"/>
    <cellStyle name="Normal 9 6 4 6" xfId="24350"/>
    <cellStyle name="Normal 9 6 5" xfId="2053"/>
    <cellStyle name="Normal 9 6 5 2" xfId="5274"/>
    <cellStyle name="Normal 9 6 5 2 2" xfId="21374"/>
    <cellStyle name="Normal 9 6 5 2 2 2" xfId="43961"/>
    <cellStyle name="Normal 9 6 5 2 3" xfId="11714"/>
    <cellStyle name="Normal 9 6 5 2 3 2" xfId="34301"/>
    <cellStyle name="Normal 9 6 5 2 4" xfId="27861"/>
    <cellStyle name="Normal 9 6 5 3" xfId="18154"/>
    <cellStyle name="Normal 9 6 5 3 2" xfId="40741"/>
    <cellStyle name="Normal 9 6 5 4" xfId="14934"/>
    <cellStyle name="Normal 9 6 5 4 2" xfId="37521"/>
    <cellStyle name="Normal 9 6 5 5" xfId="8494"/>
    <cellStyle name="Normal 9 6 5 5 2" xfId="31081"/>
    <cellStyle name="Normal 9 6 5 6" xfId="24641"/>
    <cellStyle name="Normal 9 6 6" xfId="3055"/>
    <cellStyle name="Normal 9 6 6 2" xfId="6275"/>
    <cellStyle name="Normal 9 6 6 2 2" xfId="22375"/>
    <cellStyle name="Normal 9 6 6 2 2 2" xfId="44962"/>
    <cellStyle name="Normal 9 6 6 2 3" xfId="12715"/>
    <cellStyle name="Normal 9 6 6 2 3 2" xfId="35302"/>
    <cellStyle name="Normal 9 6 6 2 4" xfId="28862"/>
    <cellStyle name="Normal 9 6 6 3" xfId="19155"/>
    <cellStyle name="Normal 9 6 6 3 2" xfId="41742"/>
    <cellStyle name="Normal 9 6 6 4" xfId="15935"/>
    <cellStyle name="Normal 9 6 6 4 2" xfId="38522"/>
    <cellStyle name="Normal 9 6 6 5" xfId="9495"/>
    <cellStyle name="Normal 9 6 6 5 2" xfId="32082"/>
    <cellStyle name="Normal 9 6 6 6" xfId="25642"/>
    <cellStyle name="Normal 9 6 7" xfId="3345"/>
    <cellStyle name="Normal 9 6 7 2" xfId="6565"/>
    <cellStyle name="Normal 9 6 7 2 2" xfId="22665"/>
    <cellStyle name="Normal 9 6 7 2 2 2" xfId="45252"/>
    <cellStyle name="Normal 9 6 7 2 3" xfId="13005"/>
    <cellStyle name="Normal 9 6 7 2 3 2" xfId="35592"/>
    <cellStyle name="Normal 9 6 7 2 4" xfId="29152"/>
    <cellStyle name="Normal 9 6 7 3" xfId="19445"/>
    <cellStyle name="Normal 9 6 7 3 2" xfId="42032"/>
    <cellStyle name="Normal 9 6 7 4" xfId="16225"/>
    <cellStyle name="Normal 9 6 7 4 2" xfId="38812"/>
    <cellStyle name="Normal 9 6 7 5" xfId="9785"/>
    <cellStyle name="Normal 9 6 7 5 2" xfId="32372"/>
    <cellStyle name="Normal 9 6 7 6" xfId="25932"/>
    <cellStyle name="Normal 9 6 8" xfId="734"/>
    <cellStyle name="Normal 9 6 8 2" xfId="3966"/>
    <cellStyle name="Normal 9 6 8 2 2" xfId="20066"/>
    <cellStyle name="Normal 9 6 8 2 2 2" xfId="42653"/>
    <cellStyle name="Normal 9 6 8 2 3" xfId="10406"/>
    <cellStyle name="Normal 9 6 8 2 3 2" xfId="32993"/>
    <cellStyle name="Normal 9 6 8 2 4" xfId="26553"/>
    <cellStyle name="Normal 9 6 8 3" xfId="16846"/>
    <cellStyle name="Normal 9 6 8 3 2" xfId="39433"/>
    <cellStyle name="Normal 9 6 8 4" xfId="13626"/>
    <cellStyle name="Normal 9 6 8 4 2" xfId="36213"/>
    <cellStyle name="Normal 9 6 8 5" xfId="7186"/>
    <cellStyle name="Normal 9 6 8 5 2" xfId="29773"/>
    <cellStyle name="Normal 9 6 8 6" xfId="23333"/>
    <cellStyle name="Normal 9 6 9" xfId="3635"/>
    <cellStyle name="Normal 9 6 9 2" xfId="19735"/>
    <cellStyle name="Normal 9 6 9 2 2" xfId="42322"/>
    <cellStyle name="Normal 9 6 9 3" xfId="10075"/>
    <cellStyle name="Normal 9 6 9 3 2" xfId="32662"/>
    <cellStyle name="Normal 9 6 9 4" xfId="26222"/>
    <cellStyle name="Normal 9 7" xfId="753"/>
    <cellStyle name="Normal 9 7 10" xfId="23352"/>
    <cellStyle name="Normal 9 7 2" xfId="1105"/>
    <cellStyle name="Normal 9 7 2 2" xfId="2419"/>
    <cellStyle name="Normal 9 7 2 2 2" xfId="5640"/>
    <cellStyle name="Normal 9 7 2 2 2 2" xfId="21740"/>
    <cellStyle name="Normal 9 7 2 2 2 2 2" xfId="44327"/>
    <cellStyle name="Normal 9 7 2 2 2 3" xfId="12080"/>
    <cellStyle name="Normal 9 7 2 2 2 3 2" xfId="34667"/>
    <cellStyle name="Normal 9 7 2 2 2 4" xfId="28227"/>
    <cellStyle name="Normal 9 7 2 2 3" xfId="18520"/>
    <cellStyle name="Normal 9 7 2 2 3 2" xfId="41107"/>
    <cellStyle name="Normal 9 7 2 2 4" xfId="15300"/>
    <cellStyle name="Normal 9 7 2 2 4 2" xfId="37887"/>
    <cellStyle name="Normal 9 7 2 2 5" xfId="8860"/>
    <cellStyle name="Normal 9 7 2 2 5 2" xfId="31447"/>
    <cellStyle name="Normal 9 7 2 2 6" xfId="25007"/>
    <cellStyle name="Normal 9 7 2 3" xfId="4332"/>
    <cellStyle name="Normal 9 7 2 3 2" xfId="20432"/>
    <cellStyle name="Normal 9 7 2 3 2 2" xfId="43019"/>
    <cellStyle name="Normal 9 7 2 3 3" xfId="10772"/>
    <cellStyle name="Normal 9 7 2 3 3 2" xfId="33359"/>
    <cellStyle name="Normal 9 7 2 3 4" xfId="26919"/>
    <cellStyle name="Normal 9 7 2 4" xfId="17212"/>
    <cellStyle name="Normal 9 7 2 4 2" xfId="39799"/>
    <cellStyle name="Normal 9 7 2 5" xfId="13992"/>
    <cellStyle name="Normal 9 7 2 5 2" xfId="36579"/>
    <cellStyle name="Normal 9 7 2 6" xfId="7552"/>
    <cellStyle name="Normal 9 7 2 6 2" xfId="30139"/>
    <cellStyle name="Normal 9 7 2 7" xfId="23699"/>
    <cellStyle name="Normal 9 7 3" xfId="1452"/>
    <cellStyle name="Normal 9 7 3 2" xfId="2766"/>
    <cellStyle name="Normal 9 7 3 2 2" xfId="5987"/>
    <cellStyle name="Normal 9 7 3 2 2 2" xfId="22087"/>
    <cellStyle name="Normal 9 7 3 2 2 2 2" xfId="44674"/>
    <cellStyle name="Normal 9 7 3 2 2 3" xfId="12427"/>
    <cellStyle name="Normal 9 7 3 2 2 3 2" xfId="35014"/>
    <cellStyle name="Normal 9 7 3 2 2 4" xfId="28574"/>
    <cellStyle name="Normal 9 7 3 2 3" xfId="18867"/>
    <cellStyle name="Normal 9 7 3 2 3 2" xfId="41454"/>
    <cellStyle name="Normal 9 7 3 2 4" xfId="15647"/>
    <cellStyle name="Normal 9 7 3 2 4 2" xfId="38234"/>
    <cellStyle name="Normal 9 7 3 2 5" xfId="9207"/>
    <cellStyle name="Normal 9 7 3 2 5 2" xfId="31794"/>
    <cellStyle name="Normal 9 7 3 2 6" xfId="25354"/>
    <cellStyle name="Normal 9 7 3 3" xfId="4679"/>
    <cellStyle name="Normal 9 7 3 3 2" xfId="20779"/>
    <cellStyle name="Normal 9 7 3 3 2 2" xfId="43366"/>
    <cellStyle name="Normal 9 7 3 3 3" xfId="11119"/>
    <cellStyle name="Normal 9 7 3 3 3 2" xfId="33706"/>
    <cellStyle name="Normal 9 7 3 3 4" xfId="27266"/>
    <cellStyle name="Normal 9 7 3 4" xfId="17559"/>
    <cellStyle name="Normal 9 7 3 4 2" xfId="40146"/>
    <cellStyle name="Normal 9 7 3 5" xfId="14339"/>
    <cellStyle name="Normal 9 7 3 5 2" xfId="36926"/>
    <cellStyle name="Normal 9 7 3 6" xfId="7899"/>
    <cellStyle name="Normal 9 7 3 6 2" xfId="30486"/>
    <cellStyle name="Normal 9 7 3 7" xfId="24046"/>
    <cellStyle name="Normal 9 7 4" xfId="1761"/>
    <cellStyle name="Normal 9 7 4 2" xfId="4984"/>
    <cellStyle name="Normal 9 7 4 2 2" xfId="21084"/>
    <cellStyle name="Normal 9 7 4 2 2 2" xfId="43671"/>
    <cellStyle name="Normal 9 7 4 2 3" xfId="11424"/>
    <cellStyle name="Normal 9 7 4 2 3 2" xfId="34011"/>
    <cellStyle name="Normal 9 7 4 2 4" xfId="27571"/>
    <cellStyle name="Normal 9 7 4 3" xfId="17864"/>
    <cellStyle name="Normal 9 7 4 3 2" xfId="40451"/>
    <cellStyle name="Normal 9 7 4 4" xfId="14644"/>
    <cellStyle name="Normal 9 7 4 4 2" xfId="37231"/>
    <cellStyle name="Normal 9 7 4 5" xfId="8204"/>
    <cellStyle name="Normal 9 7 4 5 2" xfId="30791"/>
    <cellStyle name="Normal 9 7 4 6" xfId="24351"/>
    <cellStyle name="Normal 9 7 5" xfId="2072"/>
    <cellStyle name="Normal 9 7 5 2" xfId="5293"/>
    <cellStyle name="Normal 9 7 5 2 2" xfId="21393"/>
    <cellStyle name="Normal 9 7 5 2 2 2" xfId="43980"/>
    <cellStyle name="Normal 9 7 5 2 3" xfId="11733"/>
    <cellStyle name="Normal 9 7 5 2 3 2" xfId="34320"/>
    <cellStyle name="Normal 9 7 5 2 4" xfId="27880"/>
    <cellStyle name="Normal 9 7 5 3" xfId="18173"/>
    <cellStyle name="Normal 9 7 5 3 2" xfId="40760"/>
    <cellStyle name="Normal 9 7 5 4" xfId="14953"/>
    <cellStyle name="Normal 9 7 5 4 2" xfId="37540"/>
    <cellStyle name="Normal 9 7 5 5" xfId="8513"/>
    <cellStyle name="Normal 9 7 5 5 2" xfId="31100"/>
    <cellStyle name="Normal 9 7 5 6" xfId="24660"/>
    <cellStyle name="Normal 9 7 6" xfId="3985"/>
    <cellStyle name="Normal 9 7 6 2" xfId="20085"/>
    <cellStyle name="Normal 9 7 6 2 2" xfId="42672"/>
    <cellStyle name="Normal 9 7 6 3" xfId="10425"/>
    <cellStyle name="Normal 9 7 6 3 2" xfId="33012"/>
    <cellStyle name="Normal 9 7 6 4" xfId="26572"/>
    <cellStyle name="Normal 9 7 7" xfId="16865"/>
    <cellStyle name="Normal 9 7 7 2" xfId="39452"/>
    <cellStyle name="Normal 9 7 8" xfId="13645"/>
    <cellStyle name="Normal 9 7 8 2" xfId="36232"/>
    <cellStyle name="Normal 9 7 9" xfId="7205"/>
    <cellStyle name="Normal 9 7 9 2" xfId="29792"/>
    <cellStyle name="Normal 9 8" xfId="847"/>
    <cellStyle name="Normal 9 8 2" xfId="2166"/>
    <cellStyle name="Normal 9 8 2 2" xfId="5387"/>
    <cellStyle name="Normal 9 8 2 2 2" xfId="21487"/>
    <cellStyle name="Normal 9 8 2 2 2 2" xfId="44074"/>
    <cellStyle name="Normal 9 8 2 2 3" xfId="11827"/>
    <cellStyle name="Normal 9 8 2 2 3 2" xfId="34414"/>
    <cellStyle name="Normal 9 8 2 2 4" xfId="27974"/>
    <cellStyle name="Normal 9 8 2 3" xfId="18267"/>
    <cellStyle name="Normal 9 8 2 3 2" xfId="40854"/>
    <cellStyle name="Normal 9 8 2 4" xfId="15047"/>
    <cellStyle name="Normal 9 8 2 4 2" xfId="37634"/>
    <cellStyle name="Normal 9 8 2 5" xfId="8607"/>
    <cellStyle name="Normal 9 8 2 5 2" xfId="31194"/>
    <cellStyle name="Normal 9 8 2 6" xfId="24754"/>
    <cellStyle name="Normal 9 8 3" xfId="4079"/>
    <cellStyle name="Normal 9 8 3 2" xfId="20179"/>
    <cellStyle name="Normal 9 8 3 2 2" xfId="42766"/>
    <cellStyle name="Normal 9 8 3 3" xfId="10519"/>
    <cellStyle name="Normal 9 8 3 3 2" xfId="33106"/>
    <cellStyle name="Normal 9 8 3 4" xfId="26666"/>
    <cellStyle name="Normal 9 8 4" xfId="16959"/>
    <cellStyle name="Normal 9 8 4 2" xfId="39546"/>
    <cellStyle name="Normal 9 8 5" xfId="13739"/>
    <cellStyle name="Normal 9 8 5 2" xfId="36326"/>
    <cellStyle name="Normal 9 8 6" xfId="7299"/>
    <cellStyle name="Normal 9 8 6 2" xfId="29886"/>
    <cellStyle name="Normal 9 8 7" xfId="23446"/>
    <cellStyle name="Normal 9 9" xfId="1199"/>
    <cellStyle name="Normal 9 9 2" xfId="2513"/>
    <cellStyle name="Normal 9 9 2 2" xfId="5734"/>
    <cellStyle name="Normal 9 9 2 2 2" xfId="21834"/>
    <cellStyle name="Normal 9 9 2 2 2 2" xfId="44421"/>
    <cellStyle name="Normal 9 9 2 2 3" xfId="12174"/>
    <cellStyle name="Normal 9 9 2 2 3 2" xfId="34761"/>
    <cellStyle name="Normal 9 9 2 2 4" xfId="28321"/>
    <cellStyle name="Normal 9 9 2 3" xfId="18614"/>
    <cellStyle name="Normal 9 9 2 3 2" xfId="41201"/>
    <cellStyle name="Normal 9 9 2 4" xfId="15394"/>
    <cellStyle name="Normal 9 9 2 4 2" xfId="37981"/>
    <cellStyle name="Normal 9 9 2 5" xfId="8954"/>
    <cellStyle name="Normal 9 9 2 5 2" xfId="31541"/>
    <cellStyle name="Normal 9 9 2 6" xfId="25101"/>
    <cellStyle name="Normal 9 9 3" xfId="4426"/>
    <cellStyle name="Normal 9 9 3 2" xfId="20526"/>
    <cellStyle name="Normal 9 9 3 2 2" xfId="43113"/>
    <cellStyle name="Normal 9 9 3 3" xfId="10866"/>
    <cellStyle name="Normal 9 9 3 3 2" xfId="33453"/>
    <cellStyle name="Normal 9 9 3 4" xfId="27013"/>
    <cellStyle name="Normal 9 9 4" xfId="17306"/>
    <cellStyle name="Normal 9 9 4 2" xfId="39893"/>
    <cellStyle name="Normal 9 9 5" xfId="14086"/>
    <cellStyle name="Normal 9 9 5 2" xfId="36673"/>
    <cellStyle name="Normal 9 9 6" xfId="7646"/>
    <cellStyle name="Normal 9 9 6 2" xfId="30233"/>
    <cellStyle name="Normal 9 9 7" xfId="23793"/>
    <cellStyle name="Note" xfId="37" builtinId="10" customBuiltin="1"/>
    <cellStyle name="Note 14" xfId="94"/>
    <cellStyle name="Note 14 10" xfId="841"/>
    <cellStyle name="Note 14 10 2" xfId="2160"/>
    <cellStyle name="Note 14 10 2 2" xfId="5381"/>
    <cellStyle name="Note 14 10 2 2 2" xfId="21481"/>
    <cellStyle name="Note 14 10 2 2 2 2" xfId="44068"/>
    <cellStyle name="Note 14 10 2 2 3" xfId="11821"/>
    <cellStyle name="Note 14 10 2 2 3 2" xfId="34408"/>
    <cellStyle name="Note 14 10 2 2 4" xfId="27968"/>
    <cellStyle name="Note 14 10 2 3" xfId="18261"/>
    <cellStyle name="Note 14 10 2 3 2" xfId="40848"/>
    <cellStyle name="Note 14 10 2 4" xfId="15041"/>
    <cellStyle name="Note 14 10 2 4 2" xfId="37628"/>
    <cellStyle name="Note 14 10 2 5" xfId="8601"/>
    <cellStyle name="Note 14 10 2 5 2" xfId="31188"/>
    <cellStyle name="Note 14 10 2 6" xfId="24748"/>
    <cellStyle name="Note 14 10 3" xfId="4073"/>
    <cellStyle name="Note 14 10 3 2" xfId="20173"/>
    <cellStyle name="Note 14 10 3 2 2" xfId="42760"/>
    <cellStyle name="Note 14 10 3 3" xfId="10513"/>
    <cellStyle name="Note 14 10 3 3 2" xfId="33100"/>
    <cellStyle name="Note 14 10 3 4" xfId="26660"/>
    <cellStyle name="Note 14 10 4" xfId="16953"/>
    <cellStyle name="Note 14 10 4 2" xfId="39540"/>
    <cellStyle name="Note 14 10 5" xfId="13733"/>
    <cellStyle name="Note 14 10 5 2" xfId="36320"/>
    <cellStyle name="Note 14 10 6" xfId="7293"/>
    <cellStyle name="Note 14 10 6 2" xfId="29880"/>
    <cellStyle name="Note 14 10 7" xfId="23440"/>
    <cellStyle name="Note 14 11" xfId="1193"/>
    <cellStyle name="Note 14 11 2" xfId="2507"/>
    <cellStyle name="Note 14 11 2 2" xfId="5728"/>
    <cellStyle name="Note 14 11 2 2 2" xfId="21828"/>
    <cellStyle name="Note 14 11 2 2 2 2" xfId="44415"/>
    <cellStyle name="Note 14 11 2 2 3" xfId="12168"/>
    <cellStyle name="Note 14 11 2 2 3 2" xfId="34755"/>
    <cellStyle name="Note 14 11 2 2 4" xfId="28315"/>
    <cellStyle name="Note 14 11 2 3" xfId="18608"/>
    <cellStyle name="Note 14 11 2 3 2" xfId="41195"/>
    <cellStyle name="Note 14 11 2 4" xfId="15388"/>
    <cellStyle name="Note 14 11 2 4 2" xfId="37975"/>
    <cellStyle name="Note 14 11 2 5" xfId="8948"/>
    <cellStyle name="Note 14 11 2 5 2" xfId="31535"/>
    <cellStyle name="Note 14 11 2 6" xfId="25095"/>
    <cellStyle name="Note 14 11 3" xfId="4420"/>
    <cellStyle name="Note 14 11 3 2" xfId="20520"/>
    <cellStyle name="Note 14 11 3 2 2" xfId="43107"/>
    <cellStyle name="Note 14 11 3 3" xfId="10860"/>
    <cellStyle name="Note 14 11 3 3 2" xfId="33447"/>
    <cellStyle name="Note 14 11 3 4" xfId="27007"/>
    <cellStyle name="Note 14 11 4" xfId="17300"/>
    <cellStyle name="Note 14 11 4 2" xfId="39887"/>
    <cellStyle name="Note 14 11 5" xfId="14080"/>
    <cellStyle name="Note 14 11 5 2" xfId="36667"/>
    <cellStyle name="Note 14 11 6" xfId="7640"/>
    <cellStyle name="Note 14 11 6 2" xfId="30227"/>
    <cellStyle name="Note 14 11 7" xfId="23787"/>
    <cellStyle name="Note 14 12" xfId="1762"/>
    <cellStyle name="Note 14 12 2" xfId="4985"/>
    <cellStyle name="Note 14 12 2 2" xfId="21085"/>
    <cellStyle name="Note 14 12 2 2 2" xfId="43672"/>
    <cellStyle name="Note 14 12 2 3" xfId="11425"/>
    <cellStyle name="Note 14 12 2 3 2" xfId="34012"/>
    <cellStyle name="Note 14 12 2 4" xfId="27572"/>
    <cellStyle name="Note 14 12 3" xfId="17865"/>
    <cellStyle name="Note 14 12 3 2" xfId="40452"/>
    <cellStyle name="Note 14 12 4" xfId="14645"/>
    <cellStyle name="Note 14 12 4 2" xfId="37232"/>
    <cellStyle name="Note 14 12 5" xfId="8205"/>
    <cellStyle name="Note 14 12 5 2" xfId="30792"/>
    <cellStyle name="Note 14 12 6" xfId="24352"/>
    <cellStyle name="Note 14 13" xfId="1812"/>
    <cellStyle name="Note 14 13 2" xfId="5034"/>
    <cellStyle name="Note 14 13 2 2" xfId="21134"/>
    <cellStyle name="Note 14 13 2 2 2" xfId="43721"/>
    <cellStyle name="Note 14 13 2 3" xfId="11474"/>
    <cellStyle name="Note 14 13 2 3 2" xfId="34061"/>
    <cellStyle name="Note 14 13 2 4" xfId="27621"/>
    <cellStyle name="Note 14 13 3" xfId="17914"/>
    <cellStyle name="Note 14 13 3 2" xfId="40501"/>
    <cellStyle name="Note 14 13 4" xfId="14694"/>
    <cellStyle name="Note 14 13 4 2" xfId="37281"/>
    <cellStyle name="Note 14 13 5" xfId="8254"/>
    <cellStyle name="Note 14 13 5 2" xfId="30841"/>
    <cellStyle name="Note 14 13 6" xfId="24401"/>
    <cellStyle name="Note 14 14" xfId="2855"/>
    <cellStyle name="Note 14 14 2" xfId="6076"/>
    <cellStyle name="Note 14 14 2 2" xfId="22176"/>
    <cellStyle name="Note 14 14 2 2 2" xfId="44763"/>
    <cellStyle name="Note 14 14 2 3" xfId="12516"/>
    <cellStyle name="Note 14 14 2 3 2" xfId="35103"/>
    <cellStyle name="Note 14 14 2 4" xfId="28663"/>
    <cellStyle name="Note 14 14 3" xfId="18956"/>
    <cellStyle name="Note 14 14 3 2" xfId="41543"/>
    <cellStyle name="Note 14 14 4" xfId="15736"/>
    <cellStyle name="Note 14 14 4 2" xfId="38323"/>
    <cellStyle name="Note 14 14 5" xfId="9296"/>
    <cellStyle name="Note 14 14 5 2" xfId="31883"/>
    <cellStyle name="Note 14 14 6" xfId="25443"/>
    <cellStyle name="Note 14 15" xfId="3146"/>
    <cellStyle name="Note 14 15 2" xfId="6366"/>
    <cellStyle name="Note 14 15 2 2" xfId="22466"/>
    <cellStyle name="Note 14 15 2 2 2" xfId="45053"/>
    <cellStyle name="Note 14 15 2 3" xfId="12806"/>
    <cellStyle name="Note 14 15 2 3 2" xfId="35393"/>
    <cellStyle name="Note 14 15 2 4" xfId="28953"/>
    <cellStyle name="Note 14 15 3" xfId="19246"/>
    <cellStyle name="Note 14 15 3 2" xfId="41833"/>
    <cellStyle name="Note 14 15 4" xfId="16026"/>
    <cellStyle name="Note 14 15 4 2" xfId="38613"/>
    <cellStyle name="Note 14 15 5" xfId="9586"/>
    <cellStyle name="Note 14 15 5 2" xfId="32173"/>
    <cellStyle name="Note 14 15 6" xfId="25733"/>
    <cellStyle name="Note 14 16" xfId="439"/>
    <cellStyle name="Note 14 16 2" xfId="3726"/>
    <cellStyle name="Note 14 16 2 2" xfId="19826"/>
    <cellStyle name="Note 14 16 2 2 2" xfId="42413"/>
    <cellStyle name="Note 14 16 2 3" xfId="10166"/>
    <cellStyle name="Note 14 16 2 3 2" xfId="32753"/>
    <cellStyle name="Note 14 16 2 4" xfId="26313"/>
    <cellStyle name="Note 14 16 3" xfId="16606"/>
    <cellStyle name="Note 14 16 3 2" xfId="39193"/>
    <cellStyle name="Note 14 16 4" xfId="13386"/>
    <cellStyle name="Note 14 16 4 2" xfId="35973"/>
    <cellStyle name="Note 14 16 5" xfId="6946"/>
    <cellStyle name="Note 14 16 5 2" xfId="29533"/>
    <cellStyle name="Note 14 16 6" xfId="23093"/>
    <cellStyle name="Note 14 17" xfId="3436"/>
    <cellStyle name="Note 14 17 2" xfId="19536"/>
    <cellStyle name="Note 14 17 2 2" xfId="42123"/>
    <cellStyle name="Note 14 17 3" xfId="9876"/>
    <cellStyle name="Note 14 17 3 2" xfId="32463"/>
    <cellStyle name="Note 14 17 4" xfId="26023"/>
    <cellStyle name="Note 14 18" xfId="16316"/>
    <cellStyle name="Note 14 18 2" xfId="38903"/>
    <cellStyle name="Note 14 19" xfId="13096"/>
    <cellStyle name="Note 14 19 2" xfId="35683"/>
    <cellStyle name="Note 14 2" xfId="101"/>
    <cellStyle name="Note 14 2 10" xfId="1763"/>
    <cellStyle name="Note 14 2 10 2" xfId="4986"/>
    <cellStyle name="Note 14 2 10 2 2" xfId="21086"/>
    <cellStyle name="Note 14 2 10 2 2 2" xfId="43673"/>
    <cellStyle name="Note 14 2 10 2 3" xfId="11426"/>
    <cellStyle name="Note 14 2 10 2 3 2" xfId="34013"/>
    <cellStyle name="Note 14 2 10 2 4" xfId="27573"/>
    <cellStyle name="Note 14 2 10 3" xfId="17866"/>
    <cellStyle name="Note 14 2 10 3 2" xfId="40453"/>
    <cellStyle name="Note 14 2 10 4" xfId="14646"/>
    <cellStyle name="Note 14 2 10 4 2" xfId="37233"/>
    <cellStyle name="Note 14 2 10 5" xfId="8206"/>
    <cellStyle name="Note 14 2 10 5 2" xfId="30793"/>
    <cellStyle name="Note 14 2 10 6" xfId="24353"/>
    <cellStyle name="Note 14 2 11" xfId="1817"/>
    <cellStyle name="Note 14 2 11 2" xfId="5039"/>
    <cellStyle name="Note 14 2 11 2 2" xfId="21139"/>
    <cellStyle name="Note 14 2 11 2 2 2" xfId="43726"/>
    <cellStyle name="Note 14 2 11 2 3" xfId="11479"/>
    <cellStyle name="Note 14 2 11 2 3 2" xfId="34066"/>
    <cellStyle name="Note 14 2 11 2 4" xfId="27626"/>
    <cellStyle name="Note 14 2 11 3" xfId="17919"/>
    <cellStyle name="Note 14 2 11 3 2" xfId="40506"/>
    <cellStyle name="Note 14 2 11 4" xfId="14699"/>
    <cellStyle name="Note 14 2 11 4 2" xfId="37286"/>
    <cellStyle name="Note 14 2 11 5" xfId="8259"/>
    <cellStyle name="Note 14 2 11 5 2" xfId="30846"/>
    <cellStyle name="Note 14 2 11 6" xfId="24406"/>
    <cellStyle name="Note 14 2 12" xfId="2860"/>
    <cellStyle name="Note 14 2 12 2" xfId="6081"/>
    <cellStyle name="Note 14 2 12 2 2" xfId="22181"/>
    <cellStyle name="Note 14 2 12 2 2 2" xfId="44768"/>
    <cellStyle name="Note 14 2 12 2 3" xfId="12521"/>
    <cellStyle name="Note 14 2 12 2 3 2" xfId="35108"/>
    <cellStyle name="Note 14 2 12 2 4" xfId="28668"/>
    <cellStyle name="Note 14 2 12 3" xfId="18961"/>
    <cellStyle name="Note 14 2 12 3 2" xfId="41548"/>
    <cellStyle name="Note 14 2 12 4" xfId="15741"/>
    <cellStyle name="Note 14 2 12 4 2" xfId="38328"/>
    <cellStyle name="Note 14 2 12 5" xfId="9301"/>
    <cellStyle name="Note 14 2 12 5 2" xfId="31888"/>
    <cellStyle name="Note 14 2 12 6" xfId="25448"/>
    <cellStyle name="Note 14 2 13" xfId="3151"/>
    <cellStyle name="Note 14 2 13 2" xfId="6371"/>
    <cellStyle name="Note 14 2 13 2 2" xfId="22471"/>
    <cellStyle name="Note 14 2 13 2 2 2" xfId="45058"/>
    <cellStyle name="Note 14 2 13 2 3" xfId="12811"/>
    <cellStyle name="Note 14 2 13 2 3 2" xfId="35398"/>
    <cellStyle name="Note 14 2 13 2 4" xfId="28958"/>
    <cellStyle name="Note 14 2 13 3" xfId="19251"/>
    <cellStyle name="Note 14 2 13 3 2" xfId="41838"/>
    <cellStyle name="Note 14 2 13 4" xfId="16031"/>
    <cellStyle name="Note 14 2 13 4 2" xfId="38618"/>
    <cellStyle name="Note 14 2 13 5" xfId="9591"/>
    <cellStyle name="Note 14 2 13 5 2" xfId="32178"/>
    <cellStyle name="Note 14 2 13 6" xfId="25738"/>
    <cellStyle name="Note 14 2 14" xfId="444"/>
    <cellStyle name="Note 14 2 14 2" xfId="3731"/>
    <cellStyle name="Note 14 2 14 2 2" xfId="19831"/>
    <cellStyle name="Note 14 2 14 2 2 2" xfId="42418"/>
    <cellStyle name="Note 14 2 14 2 3" xfId="10171"/>
    <cellStyle name="Note 14 2 14 2 3 2" xfId="32758"/>
    <cellStyle name="Note 14 2 14 2 4" xfId="26318"/>
    <cellStyle name="Note 14 2 14 3" xfId="16611"/>
    <cellStyle name="Note 14 2 14 3 2" xfId="39198"/>
    <cellStyle name="Note 14 2 14 4" xfId="13391"/>
    <cellStyle name="Note 14 2 14 4 2" xfId="35978"/>
    <cellStyle name="Note 14 2 14 5" xfId="6951"/>
    <cellStyle name="Note 14 2 14 5 2" xfId="29538"/>
    <cellStyle name="Note 14 2 14 6" xfId="23098"/>
    <cellStyle name="Note 14 2 15" xfId="3441"/>
    <cellStyle name="Note 14 2 15 2" xfId="19541"/>
    <cellStyle name="Note 14 2 15 2 2" xfId="42128"/>
    <cellStyle name="Note 14 2 15 3" xfId="9881"/>
    <cellStyle name="Note 14 2 15 3 2" xfId="32468"/>
    <cellStyle name="Note 14 2 15 4" xfId="26028"/>
    <cellStyle name="Note 14 2 16" xfId="16321"/>
    <cellStyle name="Note 14 2 16 2" xfId="38908"/>
    <cellStyle name="Note 14 2 17" xfId="13101"/>
    <cellStyle name="Note 14 2 17 2" xfId="35688"/>
    <cellStyle name="Note 14 2 18" xfId="6661"/>
    <cellStyle name="Note 14 2 18 2" xfId="29248"/>
    <cellStyle name="Note 14 2 19" xfId="22808"/>
    <cellStyle name="Note 14 2 2" xfId="120"/>
    <cellStyle name="Note 14 2 2 10" xfId="2876"/>
    <cellStyle name="Note 14 2 2 10 2" xfId="6097"/>
    <cellStyle name="Note 14 2 2 10 2 2" xfId="22197"/>
    <cellStyle name="Note 14 2 2 10 2 2 2" xfId="44784"/>
    <cellStyle name="Note 14 2 2 10 2 3" xfId="12537"/>
    <cellStyle name="Note 14 2 2 10 2 3 2" xfId="35124"/>
    <cellStyle name="Note 14 2 2 10 2 4" xfId="28684"/>
    <cellStyle name="Note 14 2 2 10 3" xfId="18977"/>
    <cellStyle name="Note 14 2 2 10 3 2" xfId="41564"/>
    <cellStyle name="Note 14 2 2 10 4" xfId="15757"/>
    <cellStyle name="Note 14 2 2 10 4 2" xfId="38344"/>
    <cellStyle name="Note 14 2 2 10 5" xfId="9317"/>
    <cellStyle name="Note 14 2 2 10 5 2" xfId="31904"/>
    <cellStyle name="Note 14 2 2 10 6" xfId="25464"/>
    <cellStyle name="Note 14 2 2 11" xfId="3167"/>
    <cellStyle name="Note 14 2 2 11 2" xfId="6387"/>
    <cellStyle name="Note 14 2 2 11 2 2" xfId="22487"/>
    <cellStyle name="Note 14 2 2 11 2 2 2" xfId="45074"/>
    <cellStyle name="Note 14 2 2 11 2 3" xfId="12827"/>
    <cellStyle name="Note 14 2 2 11 2 3 2" xfId="35414"/>
    <cellStyle name="Note 14 2 2 11 2 4" xfId="28974"/>
    <cellStyle name="Note 14 2 2 11 3" xfId="19267"/>
    <cellStyle name="Note 14 2 2 11 3 2" xfId="41854"/>
    <cellStyle name="Note 14 2 2 11 4" xfId="16047"/>
    <cellStyle name="Note 14 2 2 11 4 2" xfId="38634"/>
    <cellStyle name="Note 14 2 2 11 5" xfId="9607"/>
    <cellStyle name="Note 14 2 2 11 5 2" xfId="32194"/>
    <cellStyle name="Note 14 2 2 11 6" xfId="25754"/>
    <cellStyle name="Note 14 2 2 12" xfId="460"/>
    <cellStyle name="Note 14 2 2 12 2" xfId="3747"/>
    <cellStyle name="Note 14 2 2 12 2 2" xfId="19847"/>
    <cellStyle name="Note 14 2 2 12 2 2 2" xfId="42434"/>
    <cellStyle name="Note 14 2 2 12 2 3" xfId="10187"/>
    <cellStyle name="Note 14 2 2 12 2 3 2" xfId="32774"/>
    <cellStyle name="Note 14 2 2 12 2 4" xfId="26334"/>
    <cellStyle name="Note 14 2 2 12 3" xfId="16627"/>
    <cellStyle name="Note 14 2 2 12 3 2" xfId="39214"/>
    <cellStyle name="Note 14 2 2 12 4" xfId="13407"/>
    <cellStyle name="Note 14 2 2 12 4 2" xfId="35994"/>
    <cellStyle name="Note 14 2 2 12 5" xfId="6967"/>
    <cellStyle name="Note 14 2 2 12 5 2" xfId="29554"/>
    <cellStyle name="Note 14 2 2 12 6" xfId="23114"/>
    <cellStyle name="Note 14 2 2 13" xfId="3457"/>
    <cellStyle name="Note 14 2 2 13 2" xfId="19557"/>
    <cellStyle name="Note 14 2 2 13 2 2" xfId="42144"/>
    <cellStyle name="Note 14 2 2 13 3" xfId="9897"/>
    <cellStyle name="Note 14 2 2 13 3 2" xfId="32484"/>
    <cellStyle name="Note 14 2 2 13 4" xfId="26044"/>
    <cellStyle name="Note 14 2 2 14" xfId="16337"/>
    <cellStyle name="Note 14 2 2 14 2" xfId="38924"/>
    <cellStyle name="Note 14 2 2 15" xfId="13117"/>
    <cellStyle name="Note 14 2 2 15 2" xfId="35704"/>
    <cellStyle name="Note 14 2 2 16" xfId="6677"/>
    <cellStyle name="Note 14 2 2 16 2" xfId="29264"/>
    <cellStyle name="Note 14 2 2 17" xfId="22824"/>
    <cellStyle name="Note 14 2 2 2" xfId="205"/>
    <cellStyle name="Note 14 2 2 2 10" xfId="497"/>
    <cellStyle name="Note 14 2 2 2 10 2" xfId="3784"/>
    <cellStyle name="Note 14 2 2 2 10 2 2" xfId="19884"/>
    <cellStyle name="Note 14 2 2 2 10 2 2 2" xfId="42471"/>
    <cellStyle name="Note 14 2 2 2 10 2 3" xfId="10224"/>
    <cellStyle name="Note 14 2 2 2 10 2 3 2" xfId="32811"/>
    <cellStyle name="Note 14 2 2 2 10 2 4" xfId="26371"/>
    <cellStyle name="Note 14 2 2 2 10 3" xfId="16664"/>
    <cellStyle name="Note 14 2 2 2 10 3 2" xfId="39251"/>
    <cellStyle name="Note 14 2 2 2 10 4" xfId="13444"/>
    <cellStyle name="Note 14 2 2 2 10 4 2" xfId="36031"/>
    <cellStyle name="Note 14 2 2 2 10 5" xfId="7004"/>
    <cellStyle name="Note 14 2 2 2 10 5 2" xfId="29591"/>
    <cellStyle name="Note 14 2 2 2 10 6" xfId="23151"/>
    <cellStyle name="Note 14 2 2 2 11" xfId="3494"/>
    <cellStyle name="Note 14 2 2 2 11 2" xfId="19594"/>
    <cellStyle name="Note 14 2 2 2 11 2 2" xfId="42181"/>
    <cellStyle name="Note 14 2 2 2 11 3" xfId="9934"/>
    <cellStyle name="Note 14 2 2 2 11 3 2" xfId="32521"/>
    <cellStyle name="Note 14 2 2 2 11 4" xfId="26081"/>
    <cellStyle name="Note 14 2 2 2 12" xfId="16374"/>
    <cellStyle name="Note 14 2 2 2 12 2" xfId="38961"/>
    <cellStyle name="Note 14 2 2 2 13" xfId="13154"/>
    <cellStyle name="Note 14 2 2 2 13 2" xfId="35741"/>
    <cellStyle name="Note 14 2 2 2 14" xfId="6714"/>
    <cellStyle name="Note 14 2 2 2 14 2" xfId="29301"/>
    <cellStyle name="Note 14 2 2 2 15" xfId="22861"/>
    <cellStyle name="Note 14 2 2 2 2" xfId="304"/>
    <cellStyle name="Note 14 2 2 2 2 10" xfId="16471"/>
    <cellStyle name="Note 14 2 2 2 2 10 2" xfId="39058"/>
    <cellStyle name="Note 14 2 2 2 2 11" xfId="13251"/>
    <cellStyle name="Note 14 2 2 2 2 11 2" xfId="35838"/>
    <cellStyle name="Note 14 2 2 2 2 12" xfId="6811"/>
    <cellStyle name="Note 14 2 2 2 2 12 2" xfId="29398"/>
    <cellStyle name="Note 14 2 2 2 2 13" xfId="22958"/>
    <cellStyle name="Note 14 2 2 2 2 2" xfId="1023"/>
    <cellStyle name="Note 14 2 2 2 2 2 2" xfId="2337"/>
    <cellStyle name="Note 14 2 2 2 2 2 2 2" xfId="5558"/>
    <cellStyle name="Note 14 2 2 2 2 2 2 2 2" xfId="21658"/>
    <cellStyle name="Note 14 2 2 2 2 2 2 2 2 2" xfId="44245"/>
    <cellStyle name="Note 14 2 2 2 2 2 2 2 3" xfId="11998"/>
    <cellStyle name="Note 14 2 2 2 2 2 2 2 3 2" xfId="34585"/>
    <cellStyle name="Note 14 2 2 2 2 2 2 2 4" xfId="28145"/>
    <cellStyle name="Note 14 2 2 2 2 2 2 3" xfId="18438"/>
    <cellStyle name="Note 14 2 2 2 2 2 2 3 2" xfId="41025"/>
    <cellStyle name="Note 14 2 2 2 2 2 2 4" xfId="15218"/>
    <cellStyle name="Note 14 2 2 2 2 2 2 4 2" xfId="37805"/>
    <cellStyle name="Note 14 2 2 2 2 2 2 5" xfId="8778"/>
    <cellStyle name="Note 14 2 2 2 2 2 2 5 2" xfId="31365"/>
    <cellStyle name="Note 14 2 2 2 2 2 2 6" xfId="24925"/>
    <cellStyle name="Note 14 2 2 2 2 2 3" xfId="4250"/>
    <cellStyle name="Note 14 2 2 2 2 2 3 2" xfId="20350"/>
    <cellStyle name="Note 14 2 2 2 2 2 3 2 2" xfId="42937"/>
    <cellStyle name="Note 14 2 2 2 2 2 3 3" xfId="10690"/>
    <cellStyle name="Note 14 2 2 2 2 2 3 3 2" xfId="33277"/>
    <cellStyle name="Note 14 2 2 2 2 2 3 4" xfId="26837"/>
    <cellStyle name="Note 14 2 2 2 2 2 4" xfId="17130"/>
    <cellStyle name="Note 14 2 2 2 2 2 4 2" xfId="39717"/>
    <cellStyle name="Note 14 2 2 2 2 2 5" xfId="13910"/>
    <cellStyle name="Note 14 2 2 2 2 2 5 2" xfId="36497"/>
    <cellStyle name="Note 14 2 2 2 2 2 6" xfId="7470"/>
    <cellStyle name="Note 14 2 2 2 2 2 6 2" xfId="30057"/>
    <cellStyle name="Note 14 2 2 2 2 2 7" xfId="23617"/>
    <cellStyle name="Note 14 2 2 2 2 3" xfId="1370"/>
    <cellStyle name="Note 14 2 2 2 2 3 2" xfId="2684"/>
    <cellStyle name="Note 14 2 2 2 2 3 2 2" xfId="5905"/>
    <cellStyle name="Note 14 2 2 2 2 3 2 2 2" xfId="22005"/>
    <cellStyle name="Note 14 2 2 2 2 3 2 2 2 2" xfId="44592"/>
    <cellStyle name="Note 14 2 2 2 2 3 2 2 3" xfId="12345"/>
    <cellStyle name="Note 14 2 2 2 2 3 2 2 3 2" xfId="34932"/>
    <cellStyle name="Note 14 2 2 2 2 3 2 2 4" xfId="28492"/>
    <cellStyle name="Note 14 2 2 2 2 3 2 3" xfId="18785"/>
    <cellStyle name="Note 14 2 2 2 2 3 2 3 2" xfId="41372"/>
    <cellStyle name="Note 14 2 2 2 2 3 2 4" xfId="15565"/>
    <cellStyle name="Note 14 2 2 2 2 3 2 4 2" xfId="38152"/>
    <cellStyle name="Note 14 2 2 2 2 3 2 5" xfId="9125"/>
    <cellStyle name="Note 14 2 2 2 2 3 2 5 2" xfId="31712"/>
    <cellStyle name="Note 14 2 2 2 2 3 2 6" xfId="25272"/>
    <cellStyle name="Note 14 2 2 2 2 3 3" xfId="4597"/>
    <cellStyle name="Note 14 2 2 2 2 3 3 2" xfId="20697"/>
    <cellStyle name="Note 14 2 2 2 2 3 3 2 2" xfId="43284"/>
    <cellStyle name="Note 14 2 2 2 2 3 3 3" xfId="11037"/>
    <cellStyle name="Note 14 2 2 2 2 3 3 3 2" xfId="33624"/>
    <cellStyle name="Note 14 2 2 2 2 3 3 4" xfId="27184"/>
    <cellStyle name="Note 14 2 2 2 2 3 4" xfId="17477"/>
    <cellStyle name="Note 14 2 2 2 2 3 4 2" xfId="40064"/>
    <cellStyle name="Note 14 2 2 2 2 3 5" xfId="14257"/>
    <cellStyle name="Note 14 2 2 2 2 3 5 2" xfId="36844"/>
    <cellStyle name="Note 14 2 2 2 2 3 6" xfId="7817"/>
    <cellStyle name="Note 14 2 2 2 2 3 6 2" xfId="30404"/>
    <cellStyle name="Note 14 2 2 2 2 3 7" xfId="23964"/>
    <cellStyle name="Note 14 2 2 2 2 4" xfId="1764"/>
    <cellStyle name="Note 14 2 2 2 2 4 2" xfId="4987"/>
    <cellStyle name="Note 14 2 2 2 2 4 2 2" xfId="21087"/>
    <cellStyle name="Note 14 2 2 2 2 4 2 2 2" xfId="43674"/>
    <cellStyle name="Note 14 2 2 2 2 4 2 3" xfId="11427"/>
    <cellStyle name="Note 14 2 2 2 2 4 2 3 2" xfId="34014"/>
    <cellStyle name="Note 14 2 2 2 2 4 2 4" xfId="27574"/>
    <cellStyle name="Note 14 2 2 2 2 4 3" xfId="17867"/>
    <cellStyle name="Note 14 2 2 2 2 4 3 2" xfId="40454"/>
    <cellStyle name="Note 14 2 2 2 2 4 4" xfId="14647"/>
    <cellStyle name="Note 14 2 2 2 2 4 4 2" xfId="37234"/>
    <cellStyle name="Note 14 2 2 2 2 4 5" xfId="8207"/>
    <cellStyle name="Note 14 2 2 2 2 4 5 2" xfId="30794"/>
    <cellStyle name="Note 14 2 2 2 2 4 6" xfId="24354"/>
    <cellStyle name="Note 14 2 2 2 2 5" xfId="1989"/>
    <cellStyle name="Note 14 2 2 2 2 5 2" xfId="5211"/>
    <cellStyle name="Note 14 2 2 2 2 5 2 2" xfId="21311"/>
    <cellStyle name="Note 14 2 2 2 2 5 2 2 2" xfId="43898"/>
    <cellStyle name="Note 14 2 2 2 2 5 2 3" xfId="11651"/>
    <cellStyle name="Note 14 2 2 2 2 5 2 3 2" xfId="34238"/>
    <cellStyle name="Note 14 2 2 2 2 5 2 4" xfId="27798"/>
    <cellStyle name="Note 14 2 2 2 2 5 3" xfId="18091"/>
    <cellStyle name="Note 14 2 2 2 2 5 3 2" xfId="40678"/>
    <cellStyle name="Note 14 2 2 2 2 5 4" xfId="14871"/>
    <cellStyle name="Note 14 2 2 2 2 5 4 2" xfId="37458"/>
    <cellStyle name="Note 14 2 2 2 2 5 5" xfId="8431"/>
    <cellStyle name="Note 14 2 2 2 2 5 5 2" xfId="31018"/>
    <cellStyle name="Note 14 2 2 2 2 5 6" xfId="24578"/>
    <cellStyle name="Note 14 2 2 2 2 6" xfId="3011"/>
    <cellStyle name="Note 14 2 2 2 2 6 2" xfId="6231"/>
    <cellStyle name="Note 14 2 2 2 2 6 2 2" xfId="22331"/>
    <cellStyle name="Note 14 2 2 2 2 6 2 2 2" xfId="44918"/>
    <cellStyle name="Note 14 2 2 2 2 6 2 3" xfId="12671"/>
    <cellStyle name="Note 14 2 2 2 2 6 2 3 2" xfId="35258"/>
    <cellStyle name="Note 14 2 2 2 2 6 2 4" xfId="28818"/>
    <cellStyle name="Note 14 2 2 2 2 6 3" xfId="19111"/>
    <cellStyle name="Note 14 2 2 2 2 6 3 2" xfId="41698"/>
    <cellStyle name="Note 14 2 2 2 2 6 4" xfId="15891"/>
    <cellStyle name="Note 14 2 2 2 2 6 4 2" xfId="38478"/>
    <cellStyle name="Note 14 2 2 2 2 6 5" xfId="9451"/>
    <cellStyle name="Note 14 2 2 2 2 6 5 2" xfId="32038"/>
    <cellStyle name="Note 14 2 2 2 2 6 6" xfId="25598"/>
    <cellStyle name="Note 14 2 2 2 2 7" xfId="3301"/>
    <cellStyle name="Note 14 2 2 2 2 7 2" xfId="6521"/>
    <cellStyle name="Note 14 2 2 2 2 7 2 2" xfId="22621"/>
    <cellStyle name="Note 14 2 2 2 2 7 2 2 2" xfId="45208"/>
    <cellStyle name="Note 14 2 2 2 2 7 2 3" xfId="12961"/>
    <cellStyle name="Note 14 2 2 2 2 7 2 3 2" xfId="35548"/>
    <cellStyle name="Note 14 2 2 2 2 7 2 4" xfId="29108"/>
    <cellStyle name="Note 14 2 2 2 2 7 3" xfId="19401"/>
    <cellStyle name="Note 14 2 2 2 2 7 3 2" xfId="41988"/>
    <cellStyle name="Note 14 2 2 2 2 7 4" xfId="16181"/>
    <cellStyle name="Note 14 2 2 2 2 7 4 2" xfId="38768"/>
    <cellStyle name="Note 14 2 2 2 2 7 5" xfId="9741"/>
    <cellStyle name="Note 14 2 2 2 2 7 5 2" xfId="32328"/>
    <cellStyle name="Note 14 2 2 2 2 7 6" xfId="25888"/>
    <cellStyle name="Note 14 2 2 2 2 8" xfId="659"/>
    <cellStyle name="Note 14 2 2 2 2 8 2" xfId="3903"/>
    <cellStyle name="Note 14 2 2 2 2 8 2 2" xfId="20003"/>
    <cellStyle name="Note 14 2 2 2 2 8 2 2 2" xfId="42590"/>
    <cellStyle name="Note 14 2 2 2 2 8 2 3" xfId="10343"/>
    <cellStyle name="Note 14 2 2 2 2 8 2 3 2" xfId="32930"/>
    <cellStyle name="Note 14 2 2 2 2 8 2 4" xfId="26490"/>
    <cellStyle name="Note 14 2 2 2 2 8 3" xfId="16783"/>
    <cellStyle name="Note 14 2 2 2 2 8 3 2" xfId="39370"/>
    <cellStyle name="Note 14 2 2 2 2 8 4" xfId="13563"/>
    <cellStyle name="Note 14 2 2 2 2 8 4 2" xfId="36150"/>
    <cellStyle name="Note 14 2 2 2 2 8 5" xfId="7123"/>
    <cellStyle name="Note 14 2 2 2 2 8 5 2" xfId="29710"/>
    <cellStyle name="Note 14 2 2 2 2 8 6" xfId="23270"/>
    <cellStyle name="Note 14 2 2 2 2 9" xfId="3591"/>
    <cellStyle name="Note 14 2 2 2 2 9 2" xfId="19691"/>
    <cellStyle name="Note 14 2 2 2 2 9 2 2" xfId="42278"/>
    <cellStyle name="Note 14 2 2 2 2 9 3" xfId="10031"/>
    <cellStyle name="Note 14 2 2 2 2 9 3 2" xfId="32618"/>
    <cellStyle name="Note 14 2 2 2 2 9 4" xfId="26178"/>
    <cellStyle name="Note 14 2 2 2 3" xfId="400"/>
    <cellStyle name="Note 14 2 2 2 3 10" xfId="16567"/>
    <cellStyle name="Note 14 2 2 2 3 10 2" xfId="39154"/>
    <cellStyle name="Note 14 2 2 2 3 11" xfId="13347"/>
    <cellStyle name="Note 14 2 2 2 3 11 2" xfId="35934"/>
    <cellStyle name="Note 14 2 2 2 3 12" xfId="6907"/>
    <cellStyle name="Note 14 2 2 2 3 12 2" xfId="29494"/>
    <cellStyle name="Note 14 2 2 2 3 13" xfId="23054"/>
    <cellStyle name="Note 14 2 2 2 3 2" xfId="1182"/>
    <cellStyle name="Note 14 2 2 2 3 2 2" xfId="2496"/>
    <cellStyle name="Note 14 2 2 2 3 2 2 2" xfId="5717"/>
    <cellStyle name="Note 14 2 2 2 3 2 2 2 2" xfId="21817"/>
    <cellStyle name="Note 14 2 2 2 3 2 2 2 2 2" xfId="44404"/>
    <cellStyle name="Note 14 2 2 2 3 2 2 2 3" xfId="12157"/>
    <cellStyle name="Note 14 2 2 2 3 2 2 2 3 2" xfId="34744"/>
    <cellStyle name="Note 14 2 2 2 3 2 2 2 4" xfId="28304"/>
    <cellStyle name="Note 14 2 2 2 3 2 2 3" xfId="18597"/>
    <cellStyle name="Note 14 2 2 2 3 2 2 3 2" xfId="41184"/>
    <cellStyle name="Note 14 2 2 2 3 2 2 4" xfId="15377"/>
    <cellStyle name="Note 14 2 2 2 3 2 2 4 2" xfId="37964"/>
    <cellStyle name="Note 14 2 2 2 3 2 2 5" xfId="8937"/>
    <cellStyle name="Note 14 2 2 2 3 2 2 5 2" xfId="31524"/>
    <cellStyle name="Note 14 2 2 2 3 2 2 6" xfId="25084"/>
    <cellStyle name="Note 14 2 2 2 3 2 3" xfId="4409"/>
    <cellStyle name="Note 14 2 2 2 3 2 3 2" xfId="20509"/>
    <cellStyle name="Note 14 2 2 2 3 2 3 2 2" xfId="43096"/>
    <cellStyle name="Note 14 2 2 2 3 2 3 3" xfId="10849"/>
    <cellStyle name="Note 14 2 2 2 3 2 3 3 2" xfId="33436"/>
    <cellStyle name="Note 14 2 2 2 3 2 3 4" xfId="26996"/>
    <cellStyle name="Note 14 2 2 2 3 2 4" xfId="17289"/>
    <cellStyle name="Note 14 2 2 2 3 2 4 2" xfId="39876"/>
    <cellStyle name="Note 14 2 2 2 3 2 5" xfId="14069"/>
    <cellStyle name="Note 14 2 2 2 3 2 5 2" xfId="36656"/>
    <cellStyle name="Note 14 2 2 2 3 2 6" xfId="7629"/>
    <cellStyle name="Note 14 2 2 2 3 2 6 2" xfId="30216"/>
    <cellStyle name="Note 14 2 2 2 3 2 7" xfId="23776"/>
    <cellStyle name="Note 14 2 2 2 3 3" xfId="1529"/>
    <cellStyle name="Note 14 2 2 2 3 3 2" xfId="2843"/>
    <cellStyle name="Note 14 2 2 2 3 3 2 2" xfId="6064"/>
    <cellStyle name="Note 14 2 2 2 3 3 2 2 2" xfId="22164"/>
    <cellStyle name="Note 14 2 2 2 3 3 2 2 2 2" xfId="44751"/>
    <cellStyle name="Note 14 2 2 2 3 3 2 2 3" xfId="12504"/>
    <cellStyle name="Note 14 2 2 2 3 3 2 2 3 2" xfId="35091"/>
    <cellStyle name="Note 14 2 2 2 3 3 2 2 4" xfId="28651"/>
    <cellStyle name="Note 14 2 2 2 3 3 2 3" xfId="18944"/>
    <cellStyle name="Note 14 2 2 2 3 3 2 3 2" xfId="41531"/>
    <cellStyle name="Note 14 2 2 2 3 3 2 4" xfId="15724"/>
    <cellStyle name="Note 14 2 2 2 3 3 2 4 2" xfId="38311"/>
    <cellStyle name="Note 14 2 2 2 3 3 2 5" xfId="9284"/>
    <cellStyle name="Note 14 2 2 2 3 3 2 5 2" xfId="31871"/>
    <cellStyle name="Note 14 2 2 2 3 3 2 6" xfId="25431"/>
    <cellStyle name="Note 14 2 2 2 3 3 3" xfId="4756"/>
    <cellStyle name="Note 14 2 2 2 3 3 3 2" xfId="20856"/>
    <cellStyle name="Note 14 2 2 2 3 3 3 2 2" xfId="43443"/>
    <cellStyle name="Note 14 2 2 2 3 3 3 3" xfId="11196"/>
    <cellStyle name="Note 14 2 2 2 3 3 3 3 2" xfId="33783"/>
    <cellStyle name="Note 14 2 2 2 3 3 3 4" xfId="27343"/>
    <cellStyle name="Note 14 2 2 2 3 3 4" xfId="17636"/>
    <cellStyle name="Note 14 2 2 2 3 3 4 2" xfId="40223"/>
    <cellStyle name="Note 14 2 2 2 3 3 5" xfId="14416"/>
    <cellStyle name="Note 14 2 2 2 3 3 5 2" xfId="37003"/>
    <cellStyle name="Note 14 2 2 2 3 3 6" xfId="7976"/>
    <cellStyle name="Note 14 2 2 2 3 3 6 2" xfId="30563"/>
    <cellStyle name="Note 14 2 2 2 3 3 7" xfId="24123"/>
    <cellStyle name="Note 14 2 2 2 3 4" xfId="1765"/>
    <cellStyle name="Note 14 2 2 2 3 4 2" xfId="4988"/>
    <cellStyle name="Note 14 2 2 2 3 4 2 2" xfId="21088"/>
    <cellStyle name="Note 14 2 2 2 3 4 2 2 2" xfId="43675"/>
    <cellStyle name="Note 14 2 2 2 3 4 2 3" xfId="11428"/>
    <cellStyle name="Note 14 2 2 2 3 4 2 3 2" xfId="34015"/>
    <cellStyle name="Note 14 2 2 2 3 4 2 4" xfId="27575"/>
    <cellStyle name="Note 14 2 2 2 3 4 3" xfId="17868"/>
    <cellStyle name="Note 14 2 2 2 3 4 3 2" xfId="40455"/>
    <cellStyle name="Note 14 2 2 2 3 4 4" xfId="14648"/>
    <cellStyle name="Note 14 2 2 2 3 4 4 2" xfId="37235"/>
    <cellStyle name="Note 14 2 2 2 3 4 5" xfId="8208"/>
    <cellStyle name="Note 14 2 2 2 3 4 5 2" xfId="30795"/>
    <cellStyle name="Note 14 2 2 2 3 4 6" xfId="24355"/>
    <cellStyle name="Note 14 2 2 2 3 5" xfId="2149"/>
    <cellStyle name="Note 14 2 2 2 3 5 2" xfId="5370"/>
    <cellStyle name="Note 14 2 2 2 3 5 2 2" xfId="21470"/>
    <cellStyle name="Note 14 2 2 2 3 5 2 2 2" xfId="44057"/>
    <cellStyle name="Note 14 2 2 2 3 5 2 3" xfId="11810"/>
    <cellStyle name="Note 14 2 2 2 3 5 2 3 2" xfId="34397"/>
    <cellStyle name="Note 14 2 2 2 3 5 2 4" xfId="27957"/>
    <cellStyle name="Note 14 2 2 2 3 5 3" xfId="18250"/>
    <cellStyle name="Note 14 2 2 2 3 5 3 2" xfId="40837"/>
    <cellStyle name="Note 14 2 2 2 3 5 4" xfId="15030"/>
    <cellStyle name="Note 14 2 2 2 3 5 4 2" xfId="37617"/>
    <cellStyle name="Note 14 2 2 2 3 5 5" xfId="8590"/>
    <cellStyle name="Note 14 2 2 2 3 5 5 2" xfId="31177"/>
    <cellStyle name="Note 14 2 2 2 3 5 6" xfId="24737"/>
    <cellStyle name="Note 14 2 2 2 3 6" xfId="3107"/>
    <cellStyle name="Note 14 2 2 2 3 6 2" xfId="6327"/>
    <cellStyle name="Note 14 2 2 2 3 6 2 2" xfId="22427"/>
    <cellStyle name="Note 14 2 2 2 3 6 2 2 2" xfId="45014"/>
    <cellStyle name="Note 14 2 2 2 3 6 2 3" xfId="12767"/>
    <cellStyle name="Note 14 2 2 2 3 6 2 3 2" xfId="35354"/>
    <cellStyle name="Note 14 2 2 2 3 6 2 4" xfId="28914"/>
    <cellStyle name="Note 14 2 2 2 3 6 3" xfId="19207"/>
    <cellStyle name="Note 14 2 2 2 3 6 3 2" xfId="41794"/>
    <cellStyle name="Note 14 2 2 2 3 6 4" xfId="15987"/>
    <cellStyle name="Note 14 2 2 2 3 6 4 2" xfId="38574"/>
    <cellStyle name="Note 14 2 2 2 3 6 5" xfId="9547"/>
    <cellStyle name="Note 14 2 2 2 3 6 5 2" xfId="32134"/>
    <cellStyle name="Note 14 2 2 2 3 6 6" xfId="25694"/>
    <cellStyle name="Note 14 2 2 2 3 7" xfId="3397"/>
    <cellStyle name="Note 14 2 2 2 3 7 2" xfId="6617"/>
    <cellStyle name="Note 14 2 2 2 3 7 2 2" xfId="22717"/>
    <cellStyle name="Note 14 2 2 2 3 7 2 2 2" xfId="45304"/>
    <cellStyle name="Note 14 2 2 2 3 7 2 3" xfId="13057"/>
    <cellStyle name="Note 14 2 2 2 3 7 2 3 2" xfId="35644"/>
    <cellStyle name="Note 14 2 2 2 3 7 2 4" xfId="29204"/>
    <cellStyle name="Note 14 2 2 2 3 7 3" xfId="19497"/>
    <cellStyle name="Note 14 2 2 2 3 7 3 2" xfId="42084"/>
    <cellStyle name="Note 14 2 2 2 3 7 4" xfId="16277"/>
    <cellStyle name="Note 14 2 2 2 3 7 4 2" xfId="38864"/>
    <cellStyle name="Note 14 2 2 2 3 7 5" xfId="9837"/>
    <cellStyle name="Note 14 2 2 2 3 7 5 2" xfId="32424"/>
    <cellStyle name="Note 14 2 2 2 3 7 6" xfId="25984"/>
    <cellStyle name="Note 14 2 2 2 3 8" xfId="830"/>
    <cellStyle name="Note 14 2 2 2 3 8 2" xfId="4062"/>
    <cellStyle name="Note 14 2 2 2 3 8 2 2" xfId="20162"/>
    <cellStyle name="Note 14 2 2 2 3 8 2 2 2" xfId="42749"/>
    <cellStyle name="Note 14 2 2 2 3 8 2 3" xfId="10502"/>
    <cellStyle name="Note 14 2 2 2 3 8 2 3 2" xfId="33089"/>
    <cellStyle name="Note 14 2 2 2 3 8 2 4" xfId="26649"/>
    <cellStyle name="Note 14 2 2 2 3 8 3" xfId="16942"/>
    <cellStyle name="Note 14 2 2 2 3 8 3 2" xfId="39529"/>
    <cellStyle name="Note 14 2 2 2 3 8 4" xfId="13722"/>
    <cellStyle name="Note 14 2 2 2 3 8 4 2" xfId="36309"/>
    <cellStyle name="Note 14 2 2 2 3 8 5" xfId="7282"/>
    <cellStyle name="Note 14 2 2 2 3 8 5 2" xfId="29869"/>
    <cellStyle name="Note 14 2 2 2 3 8 6" xfId="23429"/>
    <cellStyle name="Note 14 2 2 2 3 9" xfId="3687"/>
    <cellStyle name="Note 14 2 2 2 3 9 2" xfId="19787"/>
    <cellStyle name="Note 14 2 2 2 3 9 2 2" xfId="42374"/>
    <cellStyle name="Note 14 2 2 2 3 9 3" xfId="10127"/>
    <cellStyle name="Note 14 2 2 2 3 9 3 2" xfId="32714"/>
    <cellStyle name="Note 14 2 2 2 3 9 4" xfId="26274"/>
    <cellStyle name="Note 14 2 2 2 4" xfId="899"/>
    <cellStyle name="Note 14 2 2 2 4 2" xfId="2218"/>
    <cellStyle name="Note 14 2 2 2 4 2 2" xfId="5439"/>
    <cellStyle name="Note 14 2 2 2 4 2 2 2" xfId="21539"/>
    <cellStyle name="Note 14 2 2 2 4 2 2 2 2" xfId="44126"/>
    <cellStyle name="Note 14 2 2 2 4 2 2 3" xfId="11879"/>
    <cellStyle name="Note 14 2 2 2 4 2 2 3 2" xfId="34466"/>
    <cellStyle name="Note 14 2 2 2 4 2 2 4" xfId="28026"/>
    <cellStyle name="Note 14 2 2 2 4 2 3" xfId="18319"/>
    <cellStyle name="Note 14 2 2 2 4 2 3 2" xfId="40906"/>
    <cellStyle name="Note 14 2 2 2 4 2 4" xfId="15099"/>
    <cellStyle name="Note 14 2 2 2 4 2 4 2" xfId="37686"/>
    <cellStyle name="Note 14 2 2 2 4 2 5" xfId="8659"/>
    <cellStyle name="Note 14 2 2 2 4 2 5 2" xfId="31246"/>
    <cellStyle name="Note 14 2 2 2 4 2 6" xfId="24806"/>
    <cellStyle name="Note 14 2 2 2 4 3" xfId="4131"/>
    <cellStyle name="Note 14 2 2 2 4 3 2" xfId="20231"/>
    <cellStyle name="Note 14 2 2 2 4 3 2 2" xfId="42818"/>
    <cellStyle name="Note 14 2 2 2 4 3 3" xfId="10571"/>
    <cellStyle name="Note 14 2 2 2 4 3 3 2" xfId="33158"/>
    <cellStyle name="Note 14 2 2 2 4 3 4" xfId="26718"/>
    <cellStyle name="Note 14 2 2 2 4 4" xfId="17011"/>
    <cellStyle name="Note 14 2 2 2 4 4 2" xfId="39598"/>
    <cellStyle name="Note 14 2 2 2 4 5" xfId="13791"/>
    <cellStyle name="Note 14 2 2 2 4 5 2" xfId="36378"/>
    <cellStyle name="Note 14 2 2 2 4 6" xfId="7351"/>
    <cellStyle name="Note 14 2 2 2 4 6 2" xfId="29938"/>
    <cellStyle name="Note 14 2 2 2 4 7" xfId="23498"/>
    <cellStyle name="Note 14 2 2 2 5" xfId="1251"/>
    <cellStyle name="Note 14 2 2 2 5 2" xfId="2565"/>
    <cellStyle name="Note 14 2 2 2 5 2 2" xfId="5786"/>
    <cellStyle name="Note 14 2 2 2 5 2 2 2" xfId="21886"/>
    <cellStyle name="Note 14 2 2 2 5 2 2 2 2" xfId="44473"/>
    <cellStyle name="Note 14 2 2 2 5 2 2 3" xfId="12226"/>
    <cellStyle name="Note 14 2 2 2 5 2 2 3 2" xfId="34813"/>
    <cellStyle name="Note 14 2 2 2 5 2 2 4" xfId="28373"/>
    <cellStyle name="Note 14 2 2 2 5 2 3" xfId="18666"/>
    <cellStyle name="Note 14 2 2 2 5 2 3 2" xfId="41253"/>
    <cellStyle name="Note 14 2 2 2 5 2 4" xfId="15446"/>
    <cellStyle name="Note 14 2 2 2 5 2 4 2" xfId="38033"/>
    <cellStyle name="Note 14 2 2 2 5 2 5" xfId="9006"/>
    <cellStyle name="Note 14 2 2 2 5 2 5 2" xfId="31593"/>
    <cellStyle name="Note 14 2 2 2 5 2 6" xfId="25153"/>
    <cellStyle name="Note 14 2 2 2 5 3" xfId="4478"/>
    <cellStyle name="Note 14 2 2 2 5 3 2" xfId="20578"/>
    <cellStyle name="Note 14 2 2 2 5 3 2 2" xfId="43165"/>
    <cellStyle name="Note 14 2 2 2 5 3 3" xfId="10918"/>
    <cellStyle name="Note 14 2 2 2 5 3 3 2" xfId="33505"/>
    <cellStyle name="Note 14 2 2 2 5 3 4" xfId="27065"/>
    <cellStyle name="Note 14 2 2 2 5 4" xfId="17358"/>
    <cellStyle name="Note 14 2 2 2 5 4 2" xfId="39945"/>
    <cellStyle name="Note 14 2 2 2 5 5" xfId="14138"/>
    <cellStyle name="Note 14 2 2 2 5 5 2" xfId="36725"/>
    <cellStyle name="Note 14 2 2 2 5 6" xfId="7698"/>
    <cellStyle name="Note 14 2 2 2 5 6 2" xfId="30285"/>
    <cellStyle name="Note 14 2 2 2 5 7" xfId="23845"/>
    <cellStyle name="Note 14 2 2 2 6" xfId="1766"/>
    <cellStyle name="Note 14 2 2 2 6 2" xfId="4989"/>
    <cellStyle name="Note 14 2 2 2 6 2 2" xfId="21089"/>
    <cellStyle name="Note 14 2 2 2 6 2 2 2" xfId="43676"/>
    <cellStyle name="Note 14 2 2 2 6 2 3" xfId="11429"/>
    <cellStyle name="Note 14 2 2 2 6 2 3 2" xfId="34016"/>
    <cellStyle name="Note 14 2 2 2 6 2 4" xfId="27576"/>
    <cellStyle name="Note 14 2 2 2 6 3" xfId="17869"/>
    <cellStyle name="Note 14 2 2 2 6 3 2" xfId="40456"/>
    <cellStyle name="Note 14 2 2 2 6 4" xfId="14649"/>
    <cellStyle name="Note 14 2 2 2 6 4 2" xfId="37236"/>
    <cellStyle name="Note 14 2 2 2 6 5" xfId="8209"/>
    <cellStyle name="Note 14 2 2 2 6 5 2" xfId="30796"/>
    <cellStyle name="Note 14 2 2 2 6 6" xfId="24356"/>
    <cellStyle name="Note 14 2 2 2 7" xfId="1870"/>
    <cellStyle name="Note 14 2 2 2 7 2" xfId="5092"/>
    <cellStyle name="Note 14 2 2 2 7 2 2" xfId="21192"/>
    <cellStyle name="Note 14 2 2 2 7 2 2 2" xfId="43779"/>
    <cellStyle name="Note 14 2 2 2 7 2 3" xfId="11532"/>
    <cellStyle name="Note 14 2 2 2 7 2 3 2" xfId="34119"/>
    <cellStyle name="Note 14 2 2 2 7 2 4" xfId="27679"/>
    <cellStyle name="Note 14 2 2 2 7 3" xfId="17972"/>
    <cellStyle name="Note 14 2 2 2 7 3 2" xfId="40559"/>
    <cellStyle name="Note 14 2 2 2 7 4" xfId="14752"/>
    <cellStyle name="Note 14 2 2 2 7 4 2" xfId="37339"/>
    <cellStyle name="Note 14 2 2 2 7 5" xfId="8312"/>
    <cellStyle name="Note 14 2 2 2 7 5 2" xfId="30899"/>
    <cellStyle name="Note 14 2 2 2 7 6" xfId="24459"/>
    <cellStyle name="Note 14 2 2 2 8" xfId="2913"/>
    <cellStyle name="Note 14 2 2 2 8 2" xfId="6134"/>
    <cellStyle name="Note 14 2 2 2 8 2 2" xfId="22234"/>
    <cellStyle name="Note 14 2 2 2 8 2 2 2" xfId="44821"/>
    <cellStyle name="Note 14 2 2 2 8 2 3" xfId="12574"/>
    <cellStyle name="Note 14 2 2 2 8 2 3 2" xfId="35161"/>
    <cellStyle name="Note 14 2 2 2 8 2 4" xfId="28721"/>
    <cellStyle name="Note 14 2 2 2 8 3" xfId="19014"/>
    <cellStyle name="Note 14 2 2 2 8 3 2" xfId="41601"/>
    <cellStyle name="Note 14 2 2 2 8 4" xfId="15794"/>
    <cellStyle name="Note 14 2 2 2 8 4 2" xfId="38381"/>
    <cellStyle name="Note 14 2 2 2 8 5" xfId="9354"/>
    <cellStyle name="Note 14 2 2 2 8 5 2" xfId="31941"/>
    <cellStyle name="Note 14 2 2 2 8 6" xfId="25501"/>
    <cellStyle name="Note 14 2 2 2 9" xfId="3204"/>
    <cellStyle name="Note 14 2 2 2 9 2" xfId="6424"/>
    <cellStyle name="Note 14 2 2 2 9 2 2" xfId="22524"/>
    <cellStyle name="Note 14 2 2 2 9 2 2 2" xfId="45111"/>
    <cellStyle name="Note 14 2 2 2 9 2 3" xfId="12864"/>
    <cellStyle name="Note 14 2 2 2 9 2 3 2" xfId="35451"/>
    <cellStyle name="Note 14 2 2 2 9 2 4" xfId="29011"/>
    <cellStyle name="Note 14 2 2 2 9 3" xfId="19304"/>
    <cellStyle name="Note 14 2 2 2 9 3 2" xfId="41891"/>
    <cellStyle name="Note 14 2 2 2 9 4" xfId="16084"/>
    <cellStyle name="Note 14 2 2 2 9 4 2" xfId="38671"/>
    <cellStyle name="Note 14 2 2 2 9 5" xfId="9644"/>
    <cellStyle name="Note 14 2 2 2 9 5 2" xfId="32231"/>
    <cellStyle name="Note 14 2 2 2 9 6" xfId="25791"/>
    <cellStyle name="Note 14 2 2 3" xfId="263"/>
    <cellStyle name="Note 14 2 2 3 10" xfId="3550"/>
    <cellStyle name="Note 14 2 2 3 10 2" xfId="19650"/>
    <cellStyle name="Note 14 2 2 3 10 2 2" xfId="42237"/>
    <cellStyle name="Note 14 2 2 3 10 3" xfId="9990"/>
    <cellStyle name="Note 14 2 2 3 10 3 2" xfId="32577"/>
    <cellStyle name="Note 14 2 2 3 10 4" xfId="26137"/>
    <cellStyle name="Note 14 2 2 3 11" xfId="16430"/>
    <cellStyle name="Note 14 2 2 3 11 2" xfId="39017"/>
    <cellStyle name="Note 14 2 2 3 12" xfId="13210"/>
    <cellStyle name="Note 14 2 2 3 12 2" xfId="35797"/>
    <cellStyle name="Note 14 2 2 3 13" xfId="6770"/>
    <cellStyle name="Note 14 2 2 3 13 2" xfId="29357"/>
    <cellStyle name="Note 14 2 2 3 14" xfId="22917"/>
    <cellStyle name="Note 14 2 2 3 2" xfId="696"/>
    <cellStyle name="Note 14 2 2 3 2 10" xfId="23307"/>
    <cellStyle name="Note 14 2 2 3 2 2" xfId="1060"/>
    <cellStyle name="Note 14 2 2 3 2 2 2" xfId="2374"/>
    <cellStyle name="Note 14 2 2 3 2 2 2 2" xfId="5595"/>
    <cellStyle name="Note 14 2 2 3 2 2 2 2 2" xfId="21695"/>
    <cellStyle name="Note 14 2 2 3 2 2 2 2 2 2" xfId="44282"/>
    <cellStyle name="Note 14 2 2 3 2 2 2 2 3" xfId="12035"/>
    <cellStyle name="Note 14 2 2 3 2 2 2 2 3 2" xfId="34622"/>
    <cellStyle name="Note 14 2 2 3 2 2 2 2 4" xfId="28182"/>
    <cellStyle name="Note 14 2 2 3 2 2 2 3" xfId="18475"/>
    <cellStyle name="Note 14 2 2 3 2 2 2 3 2" xfId="41062"/>
    <cellStyle name="Note 14 2 2 3 2 2 2 4" xfId="15255"/>
    <cellStyle name="Note 14 2 2 3 2 2 2 4 2" xfId="37842"/>
    <cellStyle name="Note 14 2 2 3 2 2 2 5" xfId="8815"/>
    <cellStyle name="Note 14 2 2 3 2 2 2 5 2" xfId="31402"/>
    <cellStyle name="Note 14 2 2 3 2 2 2 6" xfId="24962"/>
    <cellStyle name="Note 14 2 2 3 2 2 3" xfId="4287"/>
    <cellStyle name="Note 14 2 2 3 2 2 3 2" xfId="20387"/>
    <cellStyle name="Note 14 2 2 3 2 2 3 2 2" xfId="42974"/>
    <cellStyle name="Note 14 2 2 3 2 2 3 3" xfId="10727"/>
    <cellStyle name="Note 14 2 2 3 2 2 3 3 2" xfId="33314"/>
    <cellStyle name="Note 14 2 2 3 2 2 3 4" xfId="26874"/>
    <cellStyle name="Note 14 2 2 3 2 2 4" xfId="17167"/>
    <cellStyle name="Note 14 2 2 3 2 2 4 2" xfId="39754"/>
    <cellStyle name="Note 14 2 2 3 2 2 5" xfId="13947"/>
    <cellStyle name="Note 14 2 2 3 2 2 5 2" xfId="36534"/>
    <cellStyle name="Note 14 2 2 3 2 2 6" xfId="7507"/>
    <cellStyle name="Note 14 2 2 3 2 2 6 2" xfId="30094"/>
    <cellStyle name="Note 14 2 2 3 2 2 7" xfId="23654"/>
    <cellStyle name="Note 14 2 2 3 2 3" xfId="1407"/>
    <cellStyle name="Note 14 2 2 3 2 3 2" xfId="2721"/>
    <cellStyle name="Note 14 2 2 3 2 3 2 2" xfId="5942"/>
    <cellStyle name="Note 14 2 2 3 2 3 2 2 2" xfId="22042"/>
    <cellStyle name="Note 14 2 2 3 2 3 2 2 2 2" xfId="44629"/>
    <cellStyle name="Note 14 2 2 3 2 3 2 2 3" xfId="12382"/>
    <cellStyle name="Note 14 2 2 3 2 3 2 2 3 2" xfId="34969"/>
    <cellStyle name="Note 14 2 2 3 2 3 2 2 4" xfId="28529"/>
    <cellStyle name="Note 14 2 2 3 2 3 2 3" xfId="18822"/>
    <cellStyle name="Note 14 2 2 3 2 3 2 3 2" xfId="41409"/>
    <cellStyle name="Note 14 2 2 3 2 3 2 4" xfId="15602"/>
    <cellStyle name="Note 14 2 2 3 2 3 2 4 2" xfId="38189"/>
    <cellStyle name="Note 14 2 2 3 2 3 2 5" xfId="9162"/>
    <cellStyle name="Note 14 2 2 3 2 3 2 5 2" xfId="31749"/>
    <cellStyle name="Note 14 2 2 3 2 3 2 6" xfId="25309"/>
    <cellStyle name="Note 14 2 2 3 2 3 3" xfId="4634"/>
    <cellStyle name="Note 14 2 2 3 2 3 3 2" xfId="20734"/>
    <cellStyle name="Note 14 2 2 3 2 3 3 2 2" xfId="43321"/>
    <cellStyle name="Note 14 2 2 3 2 3 3 3" xfId="11074"/>
    <cellStyle name="Note 14 2 2 3 2 3 3 3 2" xfId="33661"/>
    <cellStyle name="Note 14 2 2 3 2 3 3 4" xfId="27221"/>
    <cellStyle name="Note 14 2 2 3 2 3 4" xfId="17514"/>
    <cellStyle name="Note 14 2 2 3 2 3 4 2" xfId="40101"/>
    <cellStyle name="Note 14 2 2 3 2 3 5" xfId="14294"/>
    <cellStyle name="Note 14 2 2 3 2 3 5 2" xfId="36881"/>
    <cellStyle name="Note 14 2 2 3 2 3 6" xfId="7854"/>
    <cellStyle name="Note 14 2 2 3 2 3 6 2" xfId="30441"/>
    <cellStyle name="Note 14 2 2 3 2 3 7" xfId="24001"/>
    <cellStyle name="Note 14 2 2 3 2 4" xfId="1767"/>
    <cellStyle name="Note 14 2 2 3 2 4 2" xfId="4990"/>
    <cellStyle name="Note 14 2 2 3 2 4 2 2" xfId="21090"/>
    <cellStyle name="Note 14 2 2 3 2 4 2 2 2" xfId="43677"/>
    <cellStyle name="Note 14 2 2 3 2 4 2 3" xfId="11430"/>
    <cellStyle name="Note 14 2 2 3 2 4 2 3 2" xfId="34017"/>
    <cellStyle name="Note 14 2 2 3 2 4 2 4" xfId="27577"/>
    <cellStyle name="Note 14 2 2 3 2 4 3" xfId="17870"/>
    <cellStyle name="Note 14 2 2 3 2 4 3 2" xfId="40457"/>
    <cellStyle name="Note 14 2 2 3 2 4 4" xfId="14650"/>
    <cellStyle name="Note 14 2 2 3 2 4 4 2" xfId="37237"/>
    <cellStyle name="Note 14 2 2 3 2 4 5" xfId="8210"/>
    <cellStyle name="Note 14 2 2 3 2 4 5 2" xfId="30797"/>
    <cellStyle name="Note 14 2 2 3 2 4 6" xfId="24357"/>
    <cellStyle name="Note 14 2 2 3 2 5" xfId="2026"/>
    <cellStyle name="Note 14 2 2 3 2 5 2" xfId="5248"/>
    <cellStyle name="Note 14 2 2 3 2 5 2 2" xfId="21348"/>
    <cellStyle name="Note 14 2 2 3 2 5 2 2 2" xfId="43935"/>
    <cellStyle name="Note 14 2 2 3 2 5 2 3" xfId="11688"/>
    <cellStyle name="Note 14 2 2 3 2 5 2 3 2" xfId="34275"/>
    <cellStyle name="Note 14 2 2 3 2 5 2 4" xfId="27835"/>
    <cellStyle name="Note 14 2 2 3 2 5 3" xfId="18128"/>
    <cellStyle name="Note 14 2 2 3 2 5 3 2" xfId="40715"/>
    <cellStyle name="Note 14 2 2 3 2 5 4" xfId="14908"/>
    <cellStyle name="Note 14 2 2 3 2 5 4 2" xfId="37495"/>
    <cellStyle name="Note 14 2 2 3 2 5 5" xfId="8468"/>
    <cellStyle name="Note 14 2 2 3 2 5 5 2" xfId="31055"/>
    <cellStyle name="Note 14 2 2 3 2 5 6" xfId="24615"/>
    <cellStyle name="Note 14 2 2 3 2 6" xfId="3940"/>
    <cellStyle name="Note 14 2 2 3 2 6 2" xfId="20040"/>
    <cellStyle name="Note 14 2 2 3 2 6 2 2" xfId="42627"/>
    <cellStyle name="Note 14 2 2 3 2 6 3" xfId="10380"/>
    <cellStyle name="Note 14 2 2 3 2 6 3 2" xfId="32967"/>
    <cellStyle name="Note 14 2 2 3 2 6 4" xfId="26527"/>
    <cellStyle name="Note 14 2 2 3 2 7" xfId="16820"/>
    <cellStyle name="Note 14 2 2 3 2 7 2" xfId="39407"/>
    <cellStyle name="Note 14 2 2 3 2 8" xfId="13600"/>
    <cellStyle name="Note 14 2 2 3 2 8 2" xfId="36187"/>
    <cellStyle name="Note 14 2 2 3 2 9" xfId="7160"/>
    <cellStyle name="Note 14 2 2 3 2 9 2" xfId="29747"/>
    <cellStyle name="Note 14 2 2 3 3" xfId="939"/>
    <cellStyle name="Note 14 2 2 3 3 2" xfId="2258"/>
    <cellStyle name="Note 14 2 2 3 3 2 2" xfId="5479"/>
    <cellStyle name="Note 14 2 2 3 3 2 2 2" xfId="21579"/>
    <cellStyle name="Note 14 2 2 3 3 2 2 2 2" xfId="44166"/>
    <cellStyle name="Note 14 2 2 3 3 2 2 3" xfId="11919"/>
    <cellStyle name="Note 14 2 2 3 3 2 2 3 2" xfId="34506"/>
    <cellStyle name="Note 14 2 2 3 3 2 2 4" xfId="28066"/>
    <cellStyle name="Note 14 2 2 3 3 2 3" xfId="18359"/>
    <cellStyle name="Note 14 2 2 3 3 2 3 2" xfId="40946"/>
    <cellStyle name="Note 14 2 2 3 3 2 4" xfId="15139"/>
    <cellStyle name="Note 14 2 2 3 3 2 4 2" xfId="37726"/>
    <cellStyle name="Note 14 2 2 3 3 2 5" xfId="8699"/>
    <cellStyle name="Note 14 2 2 3 3 2 5 2" xfId="31286"/>
    <cellStyle name="Note 14 2 2 3 3 2 6" xfId="24846"/>
    <cellStyle name="Note 14 2 2 3 3 3" xfId="4171"/>
    <cellStyle name="Note 14 2 2 3 3 3 2" xfId="20271"/>
    <cellStyle name="Note 14 2 2 3 3 3 2 2" xfId="42858"/>
    <cellStyle name="Note 14 2 2 3 3 3 3" xfId="10611"/>
    <cellStyle name="Note 14 2 2 3 3 3 3 2" xfId="33198"/>
    <cellStyle name="Note 14 2 2 3 3 3 4" xfId="26758"/>
    <cellStyle name="Note 14 2 2 3 3 4" xfId="17051"/>
    <cellStyle name="Note 14 2 2 3 3 4 2" xfId="39638"/>
    <cellStyle name="Note 14 2 2 3 3 5" xfId="13831"/>
    <cellStyle name="Note 14 2 2 3 3 5 2" xfId="36418"/>
    <cellStyle name="Note 14 2 2 3 3 6" xfId="7391"/>
    <cellStyle name="Note 14 2 2 3 3 6 2" xfId="29978"/>
    <cellStyle name="Note 14 2 2 3 3 7" xfId="23538"/>
    <cellStyle name="Note 14 2 2 3 4" xfId="1291"/>
    <cellStyle name="Note 14 2 2 3 4 2" xfId="2605"/>
    <cellStyle name="Note 14 2 2 3 4 2 2" xfId="5826"/>
    <cellStyle name="Note 14 2 2 3 4 2 2 2" xfId="21926"/>
    <cellStyle name="Note 14 2 2 3 4 2 2 2 2" xfId="44513"/>
    <cellStyle name="Note 14 2 2 3 4 2 2 3" xfId="12266"/>
    <cellStyle name="Note 14 2 2 3 4 2 2 3 2" xfId="34853"/>
    <cellStyle name="Note 14 2 2 3 4 2 2 4" xfId="28413"/>
    <cellStyle name="Note 14 2 2 3 4 2 3" xfId="18706"/>
    <cellStyle name="Note 14 2 2 3 4 2 3 2" xfId="41293"/>
    <cellStyle name="Note 14 2 2 3 4 2 4" xfId="15486"/>
    <cellStyle name="Note 14 2 2 3 4 2 4 2" xfId="38073"/>
    <cellStyle name="Note 14 2 2 3 4 2 5" xfId="9046"/>
    <cellStyle name="Note 14 2 2 3 4 2 5 2" xfId="31633"/>
    <cellStyle name="Note 14 2 2 3 4 2 6" xfId="25193"/>
    <cellStyle name="Note 14 2 2 3 4 3" xfId="4518"/>
    <cellStyle name="Note 14 2 2 3 4 3 2" xfId="20618"/>
    <cellStyle name="Note 14 2 2 3 4 3 2 2" xfId="43205"/>
    <cellStyle name="Note 14 2 2 3 4 3 3" xfId="10958"/>
    <cellStyle name="Note 14 2 2 3 4 3 3 2" xfId="33545"/>
    <cellStyle name="Note 14 2 2 3 4 3 4" xfId="27105"/>
    <cellStyle name="Note 14 2 2 3 4 4" xfId="17398"/>
    <cellStyle name="Note 14 2 2 3 4 4 2" xfId="39985"/>
    <cellStyle name="Note 14 2 2 3 4 5" xfId="14178"/>
    <cellStyle name="Note 14 2 2 3 4 5 2" xfId="36765"/>
    <cellStyle name="Note 14 2 2 3 4 6" xfId="7738"/>
    <cellStyle name="Note 14 2 2 3 4 6 2" xfId="30325"/>
    <cellStyle name="Note 14 2 2 3 4 7" xfId="23885"/>
    <cellStyle name="Note 14 2 2 3 5" xfId="1768"/>
    <cellStyle name="Note 14 2 2 3 5 2" xfId="4991"/>
    <cellStyle name="Note 14 2 2 3 5 2 2" xfId="21091"/>
    <cellStyle name="Note 14 2 2 3 5 2 2 2" xfId="43678"/>
    <cellStyle name="Note 14 2 2 3 5 2 3" xfId="11431"/>
    <cellStyle name="Note 14 2 2 3 5 2 3 2" xfId="34018"/>
    <cellStyle name="Note 14 2 2 3 5 2 4" xfId="27578"/>
    <cellStyle name="Note 14 2 2 3 5 3" xfId="17871"/>
    <cellStyle name="Note 14 2 2 3 5 3 2" xfId="40458"/>
    <cellStyle name="Note 14 2 2 3 5 4" xfId="14651"/>
    <cellStyle name="Note 14 2 2 3 5 4 2" xfId="37238"/>
    <cellStyle name="Note 14 2 2 3 5 5" xfId="8211"/>
    <cellStyle name="Note 14 2 2 3 5 5 2" xfId="30798"/>
    <cellStyle name="Note 14 2 2 3 5 6" xfId="24358"/>
    <cellStyle name="Note 14 2 2 3 6" xfId="1910"/>
    <cellStyle name="Note 14 2 2 3 6 2" xfId="5132"/>
    <cellStyle name="Note 14 2 2 3 6 2 2" xfId="21232"/>
    <cellStyle name="Note 14 2 2 3 6 2 2 2" xfId="43819"/>
    <cellStyle name="Note 14 2 2 3 6 2 3" xfId="11572"/>
    <cellStyle name="Note 14 2 2 3 6 2 3 2" xfId="34159"/>
    <cellStyle name="Note 14 2 2 3 6 2 4" xfId="27719"/>
    <cellStyle name="Note 14 2 2 3 6 3" xfId="18012"/>
    <cellStyle name="Note 14 2 2 3 6 3 2" xfId="40599"/>
    <cellStyle name="Note 14 2 2 3 6 4" xfId="14792"/>
    <cellStyle name="Note 14 2 2 3 6 4 2" xfId="37379"/>
    <cellStyle name="Note 14 2 2 3 6 5" xfId="8352"/>
    <cellStyle name="Note 14 2 2 3 6 5 2" xfId="30939"/>
    <cellStyle name="Note 14 2 2 3 6 6" xfId="24499"/>
    <cellStyle name="Note 14 2 2 3 7" xfId="2970"/>
    <cellStyle name="Note 14 2 2 3 7 2" xfId="6190"/>
    <cellStyle name="Note 14 2 2 3 7 2 2" xfId="22290"/>
    <cellStyle name="Note 14 2 2 3 7 2 2 2" xfId="44877"/>
    <cellStyle name="Note 14 2 2 3 7 2 3" xfId="12630"/>
    <cellStyle name="Note 14 2 2 3 7 2 3 2" xfId="35217"/>
    <cellStyle name="Note 14 2 2 3 7 2 4" xfId="28777"/>
    <cellStyle name="Note 14 2 2 3 7 3" xfId="19070"/>
    <cellStyle name="Note 14 2 2 3 7 3 2" xfId="41657"/>
    <cellStyle name="Note 14 2 2 3 7 4" xfId="15850"/>
    <cellStyle name="Note 14 2 2 3 7 4 2" xfId="38437"/>
    <cellStyle name="Note 14 2 2 3 7 5" xfId="9410"/>
    <cellStyle name="Note 14 2 2 3 7 5 2" xfId="31997"/>
    <cellStyle name="Note 14 2 2 3 7 6" xfId="25557"/>
    <cellStyle name="Note 14 2 2 3 8" xfId="3260"/>
    <cellStyle name="Note 14 2 2 3 8 2" xfId="6480"/>
    <cellStyle name="Note 14 2 2 3 8 2 2" xfId="22580"/>
    <cellStyle name="Note 14 2 2 3 8 2 2 2" xfId="45167"/>
    <cellStyle name="Note 14 2 2 3 8 2 3" xfId="12920"/>
    <cellStyle name="Note 14 2 2 3 8 2 3 2" xfId="35507"/>
    <cellStyle name="Note 14 2 2 3 8 2 4" xfId="29067"/>
    <cellStyle name="Note 14 2 2 3 8 3" xfId="19360"/>
    <cellStyle name="Note 14 2 2 3 8 3 2" xfId="41947"/>
    <cellStyle name="Note 14 2 2 3 8 4" xfId="16140"/>
    <cellStyle name="Note 14 2 2 3 8 4 2" xfId="38727"/>
    <cellStyle name="Note 14 2 2 3 8 5" xfId="9700"/>
    <cellStyle name="Note 14 2 2 3 8 5 2" xfId="32287"/>
    <cellStyle name="Note 14 2 2 3 8 6" xfId="25847"/>
    <cellStyle name="Note 14 2 2 3 9" xfId="537"/>
    <cellStyle name="Note 14 2 2 3 9 2" xfId="3824"/>
    <cellStyle name="Note 14 2 2 3 9 2 2" xfId="19924"/>
    <cellStyle name="Note 14 2 2 3 9 2 2 2" xfId="42511"/>
    <cellStyle name="Note 14 2 2 3 9 2 3" xfId="10264"/>
    <cellStyle name="Note 14 2 2 3 9 2 3 2" xfId="32851"/>
    <cellStyle name="Note 14 2 2 3 9 2 4" xfId="26411"/>
    <cellStyle name="Note 14 2 2 3 9 3" xfId="16704"/>
    <cellStyle name="Note 14 2 2 3 9 3 2" xfId="39291"/>
    <cellStyle name="Note 14 2 2 3 9 4" xfId="13484"/>
    <cellStyle name="Note 14 2 2 3 9 4 2" xfId="36071"/>
    <cellStyle name="Note 14 2 2 3 9 5" xfId="7044"/>
    <cellStyle name="Note 14 2 2 3 9 5 2" xfId="29631"/>
    <cellStyle name="Note 14 2 2 3 9 6" xfId="23191"/>
    <cellStyle name="Note 14 2 2 4" xfId="363"/>
    <cellStyle name="Note 14 2 2 4 10" xfId="16530"/>
    <cellStyle name="Note 14 2 2 4 10 2" xfId="39117"/>
    <cellStyle name="Note 14 2 2 4 11" xfId="13310"/>
    <cellStyle name="Note 14 2 2 4 11 2" xfId="35897"/>
    <cellStyle name="Note 14 2 2 4 12" xfId="6870"/>
    <cellStyle name="Note 14 2 2 4 12 2" xfId="29457"/>
    <cellStyle name="Note 14 2 2 4 13" xfId="23017"/>
    <cellStyle name="Note 14 2 2 4 2" xfId="986"/>
    <cellStyle name="Note 14 2 2 4 2 2" xfId="2300"/>
    <cellStyle name="Note 14 2 2 4 2 2 2" xfId="5521"/>
    <cellStyle name="Note 14 2 2 4 2 2 2 2" xfId="21621"/>
    <cellStyle name="Note 14 2 2 4 2 2 2 2 2" xfId="44208"/>
    <cellStyle name="Note 14 2 2 4 2 2 2 3" xfId="11961"/>
    <cellStyle name="Note 14 2 2 4 2 2 2 3 2" xfId="34548"/>
    <cellStyle name="Note 14 2 2 4 2 2 2 4" xfId="28108"/>
    <cellStyle name="Note 14 2 2 4 2 2 3" xfId="18401"/>
    <cellStyle name="Note 14 2 2 4 2 2 3 2" xfId="40988"/>
    <cellStyle name="Note 14 2 2 4 2 2 4" xfId="15181"/>
    <cellStyle name="Note 14 2 2 4 2 2 4 2" xfId="37768"/>
    <cellStyle name="Note 14 2 2 4 2 2 5" xfId="8741"/>
    <cellStyle name="Note 14 2 2 4 2 2 5 2" xfId="31328"/>
    <cellStyle name="Note 14 2 2 4 2 2 6" xfId="24888"/>
    <cellStyle name="Note 14 2 2 4 2 3" xfId="4213"/>
    <cellStyle name="Note 14 2 2 4 2 3 2" xfId="20313"/>
    <cellStyle name="Note 14 2 2 4 2 3 2 2" xfId="42900"/>
    <cellStyle name="Note 14 2 2 4 2 3 3" xfId="10653"/>
    <cellStyle name="Note 14 2 2 4 2 3 3 2" xfId="33240"/>
    <cellStyle name="Note 14 2 2 4 2 3 4" xfId="26800"/>
    <cellStyle name="Note 14 2 2 4 2 4" xfId="17093"/>
    <cellStyle name="Note 14 2 2 4 2 4 2" xfId="39680"/>
    <cellStyle name="Note 14 2 2 4 2 5" xfId="13873"/>
    <cellStyle name="Note 14 2 2 4 2 5 2" xfId="36460"/>
    <cellStyle name="Note 14 2 2 4 2 6" xfId="7433"/>
    <cellStyle name="Note 14 2 2 4 2 6 2" xfId="30020"/>
    <cellStyle name="Note 14 2 2 4 2 7" xfId="23580"/>
    <cellStyle name="Note 14 2 2 4 3" xfId="1333"/>
    <cellStyle name="Note 14 2 2 4 3 2" xfId="2647"/>
    <cellStyle name="Note 14 2 2 4 3 2 2" xfId="5868"/>
    <cellStyle name="Note 14 2 2 4 3 2 2 2" xfId="21968"/>
    <cellStyle name="Note 14 2 2 4 3 2 2 2 2" xfId="44555"/>
    <cellStyle name="Note 14 2 2 4 3 2 2 3" xfId="12308"/>
    <cellStyle name="Note 14 2 2 4 3 2 2 3 2" xfId="34895"/>
    <cellStyle name="Note 14 2 2 4 3 2 2 4" xfId="28455"/>
    <cellStyle name="Note 14 2 2 4 3 2 3" xfId="18748"/>
    <cellStyle name="Note 14 2 2 4 3 2 3 2" xfId="41335"/>
    <cellStyle name="Note 14 2 2 4 3 2 4" xfId="15528"/>
    <cellStyle name="Note 14 2 2 4 3 2 4 2" xfId="38115"/>
    <cellStyle name="Note 14 2 2 4 3 2 5" xfId="9088"/>
    <cellStyle name="Note 14 2 2 4 3 2 5 2" xfId="31675"/>
    <cellStyle name="Note 14 2 2 4 3 2 6" xfId="25235"/>
    <cellStyle name="Note 14 2 2 4 3 3" xfId="4560"/>
    <cellStyle name="Note 14 2 2 4 3 3 2" xfId="20660"/>
    <cellStyle name="Note 14 2 2 4 3 3 2 2" xfId="43247"/>
    <cellStyle name="Note 14 2 2 4 3 3 3" xfId="11000"/>
    <cellStyle name="Note 14 2 2 4 3 3 3 2" xfId="33587"/>
    <cellStyle name="Note 14 2 2 4 3 3 4" xfId="27147"/>
    <cellStyle name="Note 14 2 2 4 3 4" xfId="17440"/>
    <cellStyle name="Note 14 2 2 4 3 4 2" xfId="40027"/>
    <cellStyle name="Note 14 2 2 4 3 5" xfId="14220"/>
    <cellStyle name="Note 14 2 2 4 3 5 2" xfId="36807"/>
    <cellStyle name="Note 14 2 2 4 3 6" xfId="7780"/>
    <cellStyle name="Note 14 2 2 4 3 6 2" xfId="30367"/>
    <cellStyle name="Note 14 2 2 4 3 7" xfId="23927"/>
    <cellStyle name="Note 14 2 2 4 4" xfId="1769"/>
    <cellStyle name="Note 14 2 2 4 4 2" xfId="4992"/>
    <cellStyle name="Note 14 2 2 4 4 2 2" xfId="21092"/>
    <cellStyle name="Note 14 2 2 4 4 2 2 2" xfId="43679"/>
    <cellStyle name="Note 14 2 2 4 4 2 3" xfId="11432"/>
    <cellStyle name="Note 14 2 2 4 4 2 3 2" xfId="34019"/>
    <cellStyle name="Note 14 2 2 4 4 2 4" xfId="27579"/>
    <cellStyle name="Note 14 2 2 4 4 3" xfId="17872"/>
    <cellStyle name="Note 14 2 2 4 4 3 2" xfId="40459"/>
    <cellStyle name="Note 14 2 2 4 4 4" xfId="14652"/>
    <cellStyle name="Note 14 2 2 4 4 4 2" xfId="37239"/>
    <cellStyle name="Note 14 2 2 4 4 5" xfId="8212"/>
    <cellStyle name="Note 14 2 2 4 4 5 2" xfId="30799"/>
    <cellStyle name="Note 14 2 2 4 4 6" xfId="24359"/>
    <cellStyle name="Note 14 2 2 4 5" xfId="1952"/>
    <cellStyle name="Note 14 2 2 4 5 2" xfId="5174"/>
    <cellStyle name="Note 14 2 2 4 5 2 2" xfId="21274"/>
    <cellStyle name="Note 14 2 2 4 5 2 2 2" xfId="43861"/>
    <cellStyle name="Note 14 2 2 4 5 2 3" xfId="11614"/>
    <cellStyle name="Note 14 2 2 4 5 2 3 2" xfId="34201"/>
    <cellStyle name="Note 14 2 2 4 5 2 4" xfId="27761"/>
    <cellStyle name="Note 14 2 2 4 5 3" xfId="18054"/>
    <cellStyle name="Note 14 2 2 4 5 3 2" xfId="40641"/>
    <cellStyle name="Note 14 2 2 4 5 4" xfId="14834"/>
    <cellStyle name="Note 14 2 2 4 5 4 2" xfId="37421"/>
    <cellStyle name="Note 14 2 2 4 5 5" xfId="8394"/>
    <cellStyle name="Note 14 2 2 4 5 5 2" xfId="30981"/>
    <cellStyle name="Note 14 2 2 4 5 6" xfId="24541"/>
    <cellStyle name="Note 14 2 2 4 6" xfId="3070"/>
    <cellStyle name="Note 14 2 2 4 6 2" xfId="6290"/>
    <cellStyle name="Note 14 2 2 4 6 2 2" xfId="22390"/>
    <cellStyle name="Note 14 2 2 4 6 2 2 2" xfId="44977"/>
    <cellStyle name="Note 14 2 2 4 6 2 3" xfId="12730"/>
    <cellStyle name="Note 14 2 2 4 6 2 3 2" xfId="35317"/>
    <cellStyle name="Note 14 2 2 4 6 2 4" xfId="28877"/>
    <cellStyle name="Note 14 2 2 4 6 3" xfId="19170"/>
    <cellStyle name="Note 14 2 2 4 6 3 2" xfId="41757"/>
    <cellStyle name="Note 14 2 2 4 6 4" xfId="15950"/>
    <cellStyle name="Note 14 2 2 4 6 4 2" xfId="38537"/>
    <cellStyle name="Note 14 2 2 4 6 5" xfId="9510"/>
    <cellStyle name="Note 14 2 2 4 6 5 2" xfId="32097"/>
    <cellStyle name="Note 14 2 2 4 6 6" xfId="25657"/>
    <cellStyle name="Note 14 2 2 4 7" xfId="3360"/>
    <cellStyle name="Note 14 2 2 4 7 2" xfId="6580"/>
    <cellStyle name="Note 14 2 2 4 7 2 2" xfId="22680"/>
    <cellStyle name="Note 14 2 2 4 7 2 2 2" xfId="45267"/>
    <cellStyle name="Note 14 2 2 4 7 2 3" xfId="13020"/>
    <cellStyle name="Note 14 2 2 4 7 2 3 2" xfId="35607"/>
    <cellStyle name="Note 14 2 2 4 7 2 4" xfId="29167"/>
    <cellStyle name="Note 14 2 2 4 7 3" xfId="19460"/>
    <cellStyle name="Note 14 2 2 4 7 3 2" xfId="42047"/>
    <cellStyle name="Note 14 2 2 4 7 4" xfId="16240"/>
    <cellStyle name="Note 14 2 2 4 7 4 2" xfId="38827"/>
    <cellStyle name="Note 14 2 2 4 7 5" xfId="9800"/>
    <cellStyle name="Note 14 2 2 4 7 5 2" xfId="32387"/>
    <cellStyle name="Note 14 2 2 4 7 6" xfId="25947"/>
    <cellStyle name="Note 14 2 2 4 8" xfId="622"/>
    <cellStyle name="Note 14 2 2 4 8 2" xfId="3866"/>
    <cellStyle name="Note 14 2 2 4 8 2 2" xfId="19966"/>
    <cellStyle name="Note 14 2 2 4 8 2 2 2" xfId="42553"/>
    <cellStyle name="Note 14 2 2 4 8 2 3" xfId="10306"/>
    <cellStyle name="Note 14 2 2 4 8 2 3 2" xfId="32893"/>
    <cellStyle name="Note 14 2 2 4 8 2 4" xfId="26453"/>
    <cellStyle name="Note 14 2 2 4 8 3" xfId="16746"/>
    <cellStyle name="Note 14 2 2 4 8 3 2" xfId="39333"/>
    <cellStyle name="Note 14 2 2 4 8 4" xfId="13526"/>
    <cellStyle name="Note 14 2 2 4 8 4 2" xfId="36113"/>
    <cellStyle name="Note 14 2 2 4 8 5" xfId="7086"/>
    <cellStyle name="Note 14 2 2 4 8 5 2" xfId="29673"/>
    <cellStyle name="Note 14 2 2 4 8 6" xfId="23233"/>
    <cellStyle name="Note 14 2 2 4 9" xfId="3650"/>
    <cellStyle name="Note 14 2 2 4 9 2" xfId="19750"/>
    <cellStyle name="Note 14 2 2 4 9 2 2" xfId="42337"/>
    <cellStyle name="Note 14 2 2 4 9 3" xfId="10090"/>
    <cellStyle name="Note 14 2 2 4 9 3 2" xfId="32677"/>
    <cellStyle name="Note 14 2 2 4 9 4" xfId="26237"/>
    <cellStyle name="Note 14 2 2 5" xfId="792"/>
    <cellStyle name="Note 14 2 2 5 2" xfId="1144"/>
    <cellStyle name="Note 14 2 2 5 2 2" xfId="2458"/>
    <cellStyle name="Note 14 2 2 5 2 2 2" xfId="5679"/>
    <cellStyle name="Note 14 2 2 5 2 2 2 2" xfId="21779"/>
    <cellStyle name="Note 14 2 2 5 2 2 2 2 2" xfId="44366"/>
    <cellStyle name="Note 14 2 2 5 2 2 2 3" xfId="12119"/>
    <cellStyle name="Note 14 2 2 5 2 2 2 3 2" xfId="34706"/>
    <cellStyle name="Note 14 2 2 5 2 2 2 4" xfId="28266"/>
    <cellStyle name="Note 14 2 2 5 2 2 3" xfId="18559"/>
    <cellStyle name="Note 14 2 2 5 2 2 3 2" xfId="41146"/>
    <cellStyle name="Note 14 2 2 5 2 2 4" xfId="15339"/>
    <cellStyle name="Note 14 2 2 5 2 2 4 2" xfId="37926"/>
    <cellStyle name="Note 14 2 2 5 2 2 5" xfId="8899"/>
    <cellStyle name="Note 14 2 2 5 2 2 5 2" xfId="31486"/>
    <cellStyle name="Note 14 2 2 5 2 2 6" xfId="25046"/>
    <cellStyle name="Note 14 2 2 5 2 3" xfId="4371"/>
    <cellStyle name="Note 14 2 2 5 2 3 2" xfId="20471"/>
    <cellStyle name="Note 14 2 2 5 2 3 2 2" xfId="43058"/>
    <cellStyle name="Note 14 2 2 5 2 3 3" xfId="10811"/>
    <cellStyle name="Note 14 2 2 5 2 3 3 2" xfId="33398"/>
    <cellStyle name="Note 14 2 2 5 2 3 4" xfId="26958"/>
    <cellStyle name="Note 14 2 2 5 2 4" xfId="17251"/>
    <cellStyle name="Note 14 2 2 5 2 4 2" xfId="39838"/>
    <cellStyle name="Note 14 2 2 5 2 5" xfId="14031"/>
    <cellStyle name="Note 14 2 2 5 2 5 2" xfId="36618"/>
    <cellStyle name="Note 14 2 2 5 2 6" xfId="7591"/>
    <cellStyle name="Note 14 2 2 5 2 6 2" xfId="30178"/>
    <cellStyle name="Note 14 2 2 5 2 7" xfId="23738"/>
    <cellStyle name="Note 14 2 2 5 3" xfId="1491"/>
    <cellStyle name="Note 14 2 2 5 3 2" xfId="2805"/>
    <cellStyle name="Note 14 2 2 5 3 2 2" xfId="6026"/>
    <cellStyle name="Note 14 2 2 5 3 2 2 2" xfId="22126"/>
    <cellStyle name="Note 14 2 2 5 3 2 2 2 2" xfId="44713"/>
    <cellStyle name="Note 14 2 2 5 3 2 2 3" xfId="12466"/>
    <cellStyle name="Note 14 2 2 5 3 2 2 3 2" xfId="35053"/>
    <cellStyle name="Note 14 2 2 5 3 2 2 4" xfId="28613"/>
    <cellStyle name="Note 14 2 2 5 3 2 3" xfId="18906"/>
    <cellStyle name="Note 14 2 2 5 3 2 3 2" xfId="41493"/>
    <cellStyle name="Note 14 2 2 5 3 2 4" xfId="15686"/>
    <cellStyle name="Note 14 2 2 5 3 2 4 2" xfId="38273"/>
    <cellStyle name="Note 14 2 2 5 3 2 5" xfId="9246"/>
    <cellStyle name="Note 14 2 2 5 3 2 5 2" xfId="31833"/>
    <cellStyle name="Note 14 2 2 5 3 2 6" xfId="25393"/>
    <cellStyle name="Note 14 2 2 5 3 3" xfId="4718"/>
    <cellStyle name="Note 14 2 2 5 3 3 2" xfId="20818"/>
    <cellStyle name="Note 14 2 2 5 3 3 2 2" xfId="43405"/>
    <cellStyle name="Note 14 2 2 5 3 3 3" xfId="11158"/>
    <cellStyle name="Note 14 2 2 5 3 3 3 2" xfId="33745"/>
    <cellStyle name="Note 14 2 2 5 3 3 4" xfId="27305"/>
    <cellStyle name="Note 14 2 2 5 3 4" xfId="17598"/>
    <cellStyle name="Note 14 2 2 5 3 4 2" xfId="40185"/>
    <cellStyle name="Note 14 2 2 5 3 5" xfId="14378"/>
    <cellStyle name="Note 14 2 2 5 3 5 2" xfId="36965"/>
    <cellStyle name="Note 14 2 2 5 3 6" xfId="7938"/>
    <cellStyle name="Note 14 2 2 5 3 6 2" xfId="30525"/>
    <cellStyle name="Note 14 2 2 5 3 7" xfId="24085"/>
    <cellStyle name="Note 14 2 2 5 4" xfId="2111"/>
    <cellStyle name="Note 14 2 2 5 4 2" xfId="5332"/>
    <cellStyle name="Note 14 2 2 5 4 2 2" xfId="21432"/>
    <cellStyle name="Note 14 2 2 5 4 2 2 2" xfId="44019"/>
    <cellStyle name="Note 14 2 2 5 4 2 3" xfId="11772"/>
    <cellStyle name="Note 14 2 2 5 4 2 3 2" xfId="34359"/>
    <cellStyle name="Note 14 2 2 5 4 2 4" xfId="27919"/>
    <cellStyle name="Note 14 2 2 5 4 3" xfId="18212"/>
    <cellStyle name="Note 14 2 2 5 4 3 2" xfId="40799"/>
    <cellStyle name="Note 14 2 2 5 4 4" xfId="14992"/>
    <cellStyle name="Note 14 2 2 5 4 4 2" xfId="37579"/>
    <cellStyle name="Note 14 2 2 5 4 5" xfId="8552"/>
    <cellStyle name="Note 14 2 2 5 4 5 2" xfId="31139"/>
    <cellStyle name="Note 14 2 2 5 4 6" xfId="24699"/>
    <cellStyle name="Note 14 2 2 5 5" xfId="4024"/>
    <cellStyle name="Note 14 2 2 5 5 2" xfId="20124"/>
    <cellStyle name="Note 14 2 2 5 5 2 2" xfId="42711"/>
    <cellStyle name="Note 14 2 2 5 5 3" xfId="10464"/>
    <cellStyle name="Note 14 2 2 5 5 3 2" xfId="33051"/>
    <cellStyle name="Note 14 2 2 5 5 4" xfId="26611"/>
    <cellStyle name="Note 14 2 2 5 6" xfId="16904"/>
    <cellStyle name="Note 14 2 2 5 6 2" xfId="39491"/>
    <cellStyle name="Note 14 2 2 5 7" xfId="13684"/>
    <cellStyle name="Note 14 2 2 5 7 2" xfId="36271"/>
    <cellStyle name="Note 14 2 2 5 8" xfId="7244"/>
    <cellStyle name="Note 14 2 2 5 8 2" xfId="29831"/>
    <cellStyle name="Note 14 2 2 5 9" xfId="23391"/>
    <cellStyle name="Note 14 2 2 6" xfId="862"/>
    <cellStyle name="Note 14 2 2 6 2" xfId="2181"/>
    <cellStyle name="Note 14 2 2 6 2 2" xfId="5402"/>
    <cellStyle name="Note 14 2 2 6 2 2 2" xfId="21502"/>
    <cellStyle name="Note 14 2 2 6 2 2 2 2" xfId="44089"/>
    <cellStyle name="Note 14 2 2 6 2 2 3" xfId="11842"/>
    <cellStyle name="Note 14 2 2 6 2 2 3 2" xfId="34429"/>
    <cellStyle name="Note 14 2 2 6 2 2 4" xfId="27989"/>
    <cellStyle name="Note 14 2 2 6 2 3" xfId="18282"/>
    <cellStyle name="Note 14 2 2 6 2 3 2" xfId="40869"/>
    <cellStyle name="Note 14 2 2 6 2 4" xfId="15062"/>
    <cellStyle name="Note 14 2 2 6 2 4 2" xfId="37649"/>
    <cellStyle name="Note 14 2 2 6 2 5" xfId="8622"/>
    <cellStyle name="Note 14 2 2 6 2 5 2" xfId="31209"/>
    <cellStyle name="Note 14 2 2 6 2 6" xfId="24769"/>
    <cellStyle name="Note 14 2 2 6 3" xfId="4094"/>
    <cellStyle name="Note 14 2 2 6 3 2" xfId="20194"/>
    <cellStyle name="Note 14 2 2 6 3 2 2" xfId="42781"/>
    <cellStyle name="Note 14 2 2 6 3 3" xfId="10534"/>
    <cellStyle name="Note 14 2 2 6 3 3 2" xfId="33121"/>
    <cellStyle name="Note 14 2 2 6 3 4" xfId="26681"/>
    <cellStyle name="Note 14 2 2 6 4" xfId="16974"/>
    <cellStyle name="Note 14 2 2 6 4 2" xfId="39561"/>
    <cellStyle name="Note 14 2 2 6 5" xfId="13754"/>
    <cellStyle name="Note 14 2 2 6 5 2" xfId="36341"/>
    <cellStyle name="Note 14 2 2 6 6" xfId="7314"/>
    <cellStyle name="Note 14 2 2 6 6 2" xfId="29901"/>
    <cellStyle name="Note 14 2 2 6 7" xfId="23461"/>
    <cellStyle name="Note 14 2 2 7" xfId="1214"/>
    <cellStyle name="Note 14 2 2 7 2" xfId="2528"/>
    <cellStyle name="Note 14 2 2 7 2 2" xfId="5749"/>
    <cellStyle name="Note 14 2 2 7 2 2 2" xfId="21849"/>
    <cellStyle name="Note 14 2 2 7 2 2 2 2" xfId="44436"/>
    <cellStyle name="Note 14 2 2 7 2 2 3" xfId="12189"/>
    <cellStyle name="Note 14 2 2 7 2 2 3 2" xfId="34776"/>
    <cellStyle name="Note 14 2 2 7 2 2 4" xfId="28336"/>
    <cellStyle name="Note 14 2 2 7 2 3" xfId="18629"/>
    <cellStyle name="Note 14 2 2 7 2 3 2" xfId="41216"/>
    <cellStyle name="Note 14 2 2 7 2 4" xfId="15409"/>
    <cellStyle name="Note 14 2 2 7 2 4 2" xfId="37996"/>
    <cellStyle name="Note 14 2 2 7 2 5" xfId="8969"/>
    <cellStyle name="Note 14 2 2 7 2 5 2" xfId="31556"/>
    <cellStyle name="Note 14 2 2 7 2 6" xfId="25116"/>
    <cellStyle name="Note 14 2 2 7 3" xfId="4441"/>
    <cellStyle name="Note 14 2 2 7 3 2" xfId="20541"/>
    <cellStyle name="Note 14 2 2 7 3 2 2" xfId="43128"/>
    <cellStyle name="Note 14 2 2 7 3 3" xfId="10881"/>
    <cellStyle name="Note 14 2 2 7 3 3 2" xfId="33468"/>
    <cellStyle name="Note 14 2 2 7 3 4" xfId="27028"/>
    <cellStyle name="Note 14 2 2 7 4" xfId="17321"/>
    <cellStyle name="Note 14 2 2 7 4 2" xfId="39908"/>
    <cellStyle name="Note 14 2 2 7 5" xfId="14101"/>
    <cellStyle name="Note 14 2 2 7 5 2" xfId="36688"/>
    <cellStyle name="Note 14 2 2 7 6" xfId="7661"/>
    <cellStyle name="Note 14 2 2 7 6 2" xfId="30248"/>
    <cellStyle name="Note 14 2 2 7 7" xfId="23808"/>
    <cellStyle name="Note 14 2 2 8" xfId="1770"/>
    <cellStyle name="Note 14 2 2 8 2" xfId="4993"/>
    <cellStyle name="Note 14 2 2 8 2 2" xfId="21093"/>
    <cellStyle name="Note 14 2 2 8 2 2 2" xfId="43680"/>
    <cellStyle name="Note 14 2 2 8 2 3" xfId="11433"/>
    <cellStyle name="Note 14 2 2 8 2 3 2" xfId="34020"/>
    <cellStyle name="Note 14 2 2 8 2 4" xfId="27580"/>
    <cellStyle name="Note 14 2 2 8 3" xfId="17873"/>
    <cellStyle name="Note 14 2 2 8 3 2" xfId="40460"/>
    <cellStyle name="Note 14 2 2 8 4" xfId="14653"/>
    <cellStyle name="Note 14 2 2 8 4 2" xfId="37240"/>
    <cellStyle name="Note 14 2 2 8 5" xfId="8213"/>
    <cellStyle name="Note 14 2 2 8 5 2" xfId="30800"/>
    <cellStyle name="Note 14 2 2 8 6" xfId="24360"/>
    <cellStyle name="Note 14 2 2 9" xfId="1833"/>
    <cellStyle name="Note 14 2 2 9 2" xfId="5055"/>
    <cellStyle name="Note 14 2 2 9 2 2" xfId="21155"/>
    <cellStyle name="Note 14 2 2 9 2 2 2" xfId="43742"/>
    <cellStyle name="Note 14 2 2 9 2 3" xfId="11495"/>
    <cellStyle name="Note 14 2 2 9 2 3 2" xfId="34082"/>
    <cellStyle name="Note 14 2 2 9 2 4" xfId="27642"/>
    <cellStyle name="Note 14 2 2 9 3" xfId="17935"/>
    <cellStyle name="Note 14 2 2 9 3 2" xfId="40522"/>
    <cellStyle name="Note 14 2 2 9 4" xfId="14715"/>
    <cellStyle name="Note 14 2 2 9 4 2" xfId="37302"/>
    <cellStyle name="Note 14 2 2 9 5" xfId="8275"/>
    <cellStyle name="Note 14 2 2 9 5 2" xfId="30862"/>
    <cellStyle name="Note 14 2 2 9 6" xfId="24422"/>
    <cellStyle name="Note 14 2 3" xfId="139"/>
    <cellStyle name="Note 14 2 3 10" xfId="477"/>
    <cellStyle name="Note 14 2 3 10 2" xfId="3764"/>
    <cellStyle name="Note 14 2 3 10 2 2" xfId="19864"/>
    <cellStyle name="Note 14 2 3 10 2 2 2" xfId="42451"/>
    <cellStyle name="Note 14 2 3 10 2 3" xfId="10204"/>
    <cellStyle name="Note 14 2 3 10 2 3 2" xfId="32791"/>
    <cellStyle name="Note 14 2 3 10 2 4" xfId="26351"/>
    <cellStyle name="Note 14 2 3 10 3" xfId="16644"/>
    <cellStyle name="Note 14 2 3 10 3 2" xfId="39231"/>
    <cellStyle name="Note 14 2 3 10 4" xfId="13424"/>
    <cellStyle name="Note 14 2 3 10 4 2" xfId="36011"/>
    <cellStyle name="Note 14 2 3 10 5" xfId="6984"/>
    <cellStyle name="Note 14 2 3 10 5 2" xfId="29571"/>
    <cellStyle name="Note 14 2 3 10 6" xfId="23131"/>
    <cellStyle name="Note 14 2 3 11" xfId="3474"/>
    <cellStyle name="Note 14 2 3 11 2" xfId="19574"/>
    <cellStyle name="Note 14 2 3 11 2 2" xfId="42161"/>
    <cellStyle name="Note 14 2 3 11 3" xfId="9914"/>
    <cellStyle name="Note 14 2 3 11 3 2" xfId="32501"/>
    <cellStyle name="Note 14 2 3 11 4" xfId="26061"/>
    <cellStyle name="Note 14 2 3 12" xfId="16354"/>
    <cellStyle name="Note 14 2 3 12 2" xfId="38941"/>
    <cellStyle name="Note 14 2 3 13" xfId="13134"/>
    <cellStyle name="Note 14 2 3 13 2" xfId="35721"/>
    <cellStyle name="Note 14 2 3 14" xfId="6694"/>
    <cellStyle name="Note 14 2 3 14 2" xfId="29281"/>
    <cellStyle name="Note 14 2 3 15" xfId="22841"/>
    <cellStyle name="Note 14 2 3 2" xfId="285"/>
    <cellStyle name="Note 14 2 3 2 10" xfId="16452"/>
    <cellStyle name="Note 14 2 3 2 10 2" xfId="39039"/>
    <cellStyle name="Note 14 2 3 2 11" xfId="13232"/>
    <cellStyle name="Note 14 2 3 2 11 2" xfId="35819"/>
    <cellStyle name="Note 14 2 3 2 12" xfId="6792"/>
    <cellStyle name="Note 14 2 3 2 12 2" xfId="29379"/>
    <cellStyle name="Note 14 2 3 2 13" xfId="22939"/>
    <cellStyle name="Note 14 2 3 2 2" xfId="1003"/>
    <cellStyle name="Note 14 2 3 2 2 2" xfId="2317"/>
    <cellStyle name="Note 14 2 3 2 2 2 2" xfId="5538"/>
    <cellStyle name="Note 14 2 3 2 2 2 2 2" xfId="21638"/>
    <cellStyle name="Note 14 2 3 2 2 2 2 2 2" xfId="44225"/>
    <cellStyle name="Note 14 2 3 2 2 2 2 3" xfId="11978"/>
    <cellStyle name="Note 14 2 3 2 2 2 2 3 2" xfId="34565"/>
    <cellStyle name="Note 14 2 3 2 2 2 2 4" xfId="28125"/>
    <cellStyle name="Note 14 2 3 2 2 2 3" xfId="18418"/>
    <cellStyle name="Note 14 2 3 2 2 2 3 2" xfId="41005"/>
    <cellStyle name="Note 14 2 3 2 2 2 4" xfId="15198"/>
    <cellStyle name="Note 14 2 3 2 2 2 4 2" xfId="37785"/>
    <cellStyle name="Note 14 2 3 2 2 2 5" xfId="8758"/>
    <cellStyle name="Note 14 2 3 2 2 2 5 2" xfId="31345"/>
    <cellStyle name="Note 14 2 3 2 2 2 6" xfId="24905"/>
    <cellStyle name="Note 14 2 3 2 2 3" xfId="4230"/>
    <cellStyle name="Note 14 2 3 2 2 3 2" xfId="20330"/>
    <cellStyle name="Note 14 2 3 2 2 3 2 2" xfId="42917"/>
    <cellStyle name="Note 14 2 3 2 2 3 3" xfId="10670"/>
    <cellStyle name="Note 14 2 3 2 2 3 3 2" xfId="33257"/>
    <cellStyle name="Note 14 2 3 2 2 3 4" xfId="26817"/>
    <cellStyle name="Note 14 2 3 2 2 4" xfId="17110"/>
    <cellStyle name="Note 14 2 3 2 2 4 2" xfId="39697"/>
    <cellStyle name="Note 14 2 3 2 2 5" xfId="13890"/>
    <cellStyle name="Note 14 2 3 2 2 5 2" xfId="36477"/>
    <cellStyle name="Note 14 2 3 2 2 6" xfId="7450"/>
    <cellStyle name="Note 14 2 3 2 2 6 2" xfId="30037"/>
    <cellStyle name="Note 14 2 3 2 2 7" xfId="23597"/>
    <cellStyle name="Note 14 2 3 2 3" xfId="1350"/>
    <cellStyle name="Note 14 2 3 2 3 2" xfId="2664"/>
    <cellStyle name="Note 14 2 3 2 3 2 2" xfId="5885"/>
    <cellStyle name="Note 14 2 3 2 3 2 2 2" xfId="21985"/>
    <cellStyle name="Note 14 2 3 2 3 2 2 2 2" xfId="44572"/>
    <cellStyle name="Note 14 2 3 2 3 2 2 3" xfId="12325"/>
    <cellStyle name="Note 14 2 3 2 3 2 2 3 2" xfId="34912"/>
    <cellStyle name="Note 14 2 3 2 3 2 2 4" xfId="28472"/>
    <cellStyle name="Note 14 2 3 2 3 2 3" xfId="18765"/>
    <cellStyle name="Note 14 2 3 2 3 2 3 2" xfId="41352"/>
    <cellStyle name="Note 14 2 3 2 3 2 4" xfId="15545"/>
    <cellStyle name="Note 14 2 3 2 3 2 4 2" xfId="38132"/>
    <cellStyle name="Note 14 2 3 2 3 2 5" xfId="9105"/>
    <cellStyle name="Note 14 2 3 2 3 2 5 2" xfId="31692"/>
    <cellStyle name="Note 14 2 3 2 3 2 6" xfId="25252"/>
    <cellStyle name="Note 14 2 3 2 3 3" xfId="4577"/>
    <cellStyle name="Note 14 2 3 2 3 3 2" xfId="20677"/>
    <cellStyle name="Note 14 2 3 2 3 3 2 2" xfId="43264"/>
    <cellStyle name="Note 14 2 3 2 3 3 3" xfId="11017"/>
    <cellStyle name="Note 14 2 3 2 3 3 3 2" xfId="33604"/>
    <cellStyle name="Note 14 2 3 2 3 3 4" xfId="27164"/>
    <cellStyle name="Note 14 2 3 2 3 4" xfId="17457"/>
    <cellStyle name="Note 14 2 3 2 3 4 2" xfId="40044"/>
    <cellStyle name="Note 14 2 3 2 3 5" xfId="14237"/>
    <cellStyle name="Note 14 2 3 2 3 5 2" xfId="36824"/>
    <cellStyle name="Note 14 2 3 2 3 6" xfId="7797"/>
    <cellStyle name="Note 14 2 3 2 3 6 2" xfId="30384"/>
    <cellStyle name="Note 14 2 3 2 3 7" xfId="23944"/>
    <cellStyle name="Note 14 2 3 2 4" xfId="1771"/>
    <cellStyle name="Note 14 2 3 2 4 2" xfId="4994"/>
    <cellStyle name="Note 14 2 3 2 4 2 2" xfId="21094"/>
    <cellStyle name="Note 14 2 3 2 4 2 2 2" xfId="43681"/>
    <cellStyle name="Note 14 2 3 2 4 2 3" xfId="11434"/>
    <cellStyle name="Note 14 2 3 2 4 2 3 2" xfId="34021"/>
    <cellStyle name="Note 14 2 3 2 4 2 4" xfId="27581"/>
    <cellStyle name="Note 14 2 3 2 4 3" xfId="17874"/>
    <cellStyle name="Note 14 2 3 2 4 3 2" xfId="40461"/>
    <cellStyle name="Note 14 2 3 2 4 4" xfId="14654"/>
    <cellStyle name="Note 14 2 3 2 4 4 2" xfId="37241"/>
    <cellStyle name="Note 14 2 3 2 4 5" xfId="8214"/>
    <cellStyle name="Note 14 2 3 2 4 5 2" xfId="30801"/>
    <cellStyle name="Note 14 2 3 2 4 6" xfId="24361"/>
    <cellStyle name="Note 14 2 3 2 5" xfId="1969"/>
    <cellStyle name="Note 14 2 3 2 5 2" xfId="5191"/>
    <cellStyle name="Note 14 2 3 2 5 2 2" xfId="21291"/>
    <cellStyle name="Note 14 2 3 2 5 2 2 2" xfId="43878"/>
    <cellStyle name="Note 14 2 3 2 5 2 3" xfId="11631"/>
    <cellStyle name="Note 14 2 3 2 5 2 3 2" xfId="34218"/>
    <cellStyle name="Note 14 2 3 2 5 2 4" xfId="27778"/>
    <cellStyle name="Note 14 2 3 2 5 3" xfId="18071"/>
    <cellStyle name="Note 14 2 3 2 5 3 2" xfId="40658"/>
    <cellStyle name="Note 14 2 3 2 5 4" xfId="14851"/>
    <cellStyle name="Note 14 2 3 2 5 4 2" xfId="37438"/>
    <cellStyle name="Note 14 2 3 2 5 5" xfId="8411"/>
    <cellStyle name="Note 14 2 3 2 5 5 2" xfId="30998"/>
    <cellStyle name="Note 14 2 3 2 5 6" xfId="24558"/>
    <cellStyle name="Note 14 2 3 2 6" xfId="2992"/>
    <cellStyle name="Note 14 2 3 2 6 2" xfId="6212"/>
    <cellStyle name="Note 14 2 3 2 6 2 2" xfId="22312"/>
    <cellStyle name="Note 14 2 3 2 6 2 2 2" xfId="44899"/>
    <cellStyle name="Note 14 2 3 2 6 2 3" xfId="12652"/>
    <cellStyle name="Note 14 2 3 2 6 2 3 2" xfId="35239"/>
    <cellStyle name="Note 14 2 3 2 6 2 4" xfId="28799"/>
    <cellStyle name="Note 14 2 3 2 6 3" xfId="19092"/>
    <cellStyle name="Note 14 2 3 2 6 3 2" xfId="41679"/>
    <cellStyle name="Note 14 2 3 2 6 4" xfId="15872"/>
    <cellStyle name="Note 14 2 3 2 6 4 2" xfId="38459"/>
    <cellStyle name="Note 14 2 3 2 6 5" xfId="9432"/>
    <cellStyle name="Note 14 2 3 2 6 5 2" xfId="32019"/>
    <cellStyle name="Note 14 2 3 2 6 6" xfId="25579"/>
    <cellStyle name="Note 14 2 3 2 7" xfId="3282"/>
    <cellStyle name="Note 14 2 3 2 7 2" xfId="6502"/>
    <cellStyle name="Note 14 2 3 2 7 2 2" xfId="22602"/>
    <cellStyle name="Note 14 2 3 2 7 2 2 2" xfId="45189"/>
    <cellStyle name="Note 14 2 3 2 7 2 3" xfId="12942"/>
    <cellStyle name="Note 14 2 3 2 7 2 3 2" xfId="35529"/>
    <cellStyle name="Note 14 2 3 2 7 2 4" xfId="29089"/>
    <cellStyle name="Note 14 2 3 2 7 3" xfId="19382"/>
    <cellStyle name="Note 14 2 3 2 7 3 2" xfId="41969"/>
    <cellStyle name="Note 14 2 3 2 7 4" xfId="16162"/>
    <cellStyle name="Note 14 2 3 2 7 4 2" xfId="38749"/>
    <cellStyle name="Note 14 2 3 2 7 5" xfId="9722"/>
    <cellStyle name="Note 14 2 3 2 7 5 2" xfId="32309"/>
    <cellStyle name="Note 14 2 3 2 7 6" xfId="25869"/>
    <cellStyle name="Note 14 2 3 2 8" xfId="639"/>
    <cellStyle name="Note 14 2 3 2 8 2" xfId="3883"/>
    <cellStyle name="Note 14 2 3 2 8 2 2" xfId="19983"/>
    <cellStyle name="Note 14 2 3 2 8 2 2 2" xfId="42570"/>
    <cellStyle name="Note 14 2 3 2 8 2 3" xfId="10323"/>
    <cellStyle name="Note 14 2 3 2 8 2 3 2" xfId="32910"/>
    <cellStyle name="Note 14 2 3 2 8 2 4" xfId="26470"/>
    <cellStyle name="Note 14 2 3 2 8 3" xfId="16763"/>
    <cellStyle name="Note 14 2 3 2 8 3 2" xfId="39350"/>
    <cellStyle name="Note 14 2 3 2 8 4" xfId="13543"/>
    <cellStyle name="Note 14 2 3 2 8 4 2" xfId="36130"/>
    <cellStyle name="Note 14 2 3 2 8 5" xfId="7103"/>
    <cellStyle name="Note 14 2 3 2 8 5 2" xfId="29690"/>
    <cellStyle name="Note 14 2 3 2 8 6" xfId="23250"/>
    <cellStyle name="Note 14 2 3 2 9" xfId="3572"/>
    <cellStyle name="Note 14 2 3 2 9 2" xfId="19672"/>
    <cellStyle name="Note 14 2 3 2 9 2 2" xfId="42259"/>
    <cellStyle name="Note 14 2 3 2 9 3" xfId="10012"/>
    <cellStyle name="Note 14 2 3 2 9 3 2" xfId="32599"/>
    <cellStyle name="Note 14 2 3 2 9 4" xfId="26159"/>
    <cellStyle name="Note 14 2 3 3" xfId="380"/>
    <cellStyle name="Note 14 2 3 3 10" xfId="16547"/>
    <cellStyle name="Note 14 2 3 3 10 2" xfId="39134"/>
    <cellStyle name="Note 14 2 3 3 11" xfId="13327"/>
    <cellStyle name="Note 14 2 3 3 11 2" xfId="35914"/>
    <cellStyle name="Note 14 2 3 3 12" xfId="6887"/>
    <cellStyle name="Note 14 2 3 3 12 2" xfId="29474"/>
    <cellStyle name="Note 14 2 3 3 13" xfId="23034"/>
    <cellStyle name="Note 14 2 3 3 2" xfId="1164"/>
    <cellStyle name="Note 14 2 3 3 2 2" xfId="2478"/>
    <cellStyle name="Note 14 2 3 3 2 2 2" xfId="5699"/>
    <cellStyle name="Note 14 2 3 3 2 2 2 2" xfId="21799"/>
    <cellStyle name="Note 14 2 3 3 2 2 2 2 2" xfId="44386"/>
    <cellStyle name="Note 14 2 3 3 2 2 2 3" xfId="12139"/>
    <cellStyle name="Note 14 2 3 3 2 2 2 3 2" xfId="34726"/>
    <cellStyle name="Note 14 2 3 3 2 2 2 4" xfId="28286"/>
    <cellStyle name="Note 14 2 3 3 2 2 3" xfId="18579"/>
    <cellStyle name="Note 14 2 3 3 2 2 3 2" xfId="41166"/>
    <cellStyle name="Note 14 2 3 3 2 2 4" xfId="15359"/>
    <cellStyle name="Note 14 2 3 3 2 2 4 2" xfId="37946"/>
    <cellStyle name="Note 14 2 3 3 2 2 5" xfId="8919"/>
    <cellStyle name="Note 14 2 3 3 2 2 5 2" xfId="31506"/>
    <cellStyle name="Note 14 2 3 3 2 2 6" xfId="25066"/>
    <cellStyle name="Note 14 2 3 3 2 3" xfId="4391"/>
    <cellStyle name="Note 14 2 3 3 2 3 2" xfId="20491"/>
    <cellStyle name="Note 14 2 3 3 2 3 2 2" xfId="43078"/>
    <cellStyle name="Note 14 2 3 3 2 3 3" xfId="10831"/>
    <cellStyle name="Note 14 2 3 3 2 3 3 2" xfId="33418"/>
    <cellStyle name="Note 14 2 3 3 2 3 4" xfId="26978"/>
    <cellStyle name="Note 14 2 3 3 2 4" xfId="17271"/>
    <cellStyle name="Note 14 2 3 3 2 4 2" xfId="39858"/>
    <cellStyle name="Note 14 2 3 3 2 5" xfId="14051"/>
    <cellStyle name="Note 14 2 3 3 2 5 2" xfId="36638"/>
    <cellStyle name="Note 14 2 3 3 2 6" xfId="7611"/>
    <cellStyle name="Note 14 2 3 3 2 6 2" xfId="30198"/>
    <cellStyle name="Note 14 2 3 3 2 7" xfId="23758"/>
    <cellStyle name="Note 14 2 3 3 3" xfId="1511"/>
    <cellStyle name="Note 14 2 3 3 3 2" xfId="2825"/>
    <cellStyle name="Note 14 2 3 3 3 2 2" xfId="6046"/>
    <cellStyle name="Note 14 2 3 3 3 2 2 2" xfId="22146"/>
    <cellStyle name="Note 14 2 3 3 3 2 2 2 2" xfId="44733"/>
    <cellStyle name="Note 14 2 3 3 3 2 2 3" xfId="12486"/>
    <cellStyle name="Note 14 2 3 3 3 2 2 3 2" xfId="35073"/>
    <cellStyle name="Note 14 2 3 3 3 2 2 4" xfId="28633"/>
    <cellStyle name="Note 14 2 3 3 3 2 3" xfId="18926"/>
    <cellStyle name="Note 14 2 3 3 3 2 3 2" xfId="41513"/>
    <cellStyle name="Note 14 2 3 3 3 2 4" xfId="15706"/>
    <cellStyle name="Note 14 2 3 3 3 2 4 2" xfId="38293"/>
    <cellStyle name="Note 14 2 3 3 3 2 5" xfId="9266"/>
    <cellStyle name="Note 14 2 3 3 3 2 5 2" xfId="31853"/>
    <cellStyle name="Note 14 2 3 3 3 2 6" xfId="25413"/>
    <cellStyle name="Note 14 2 3 3 3 3" xfId="4738"/>
    <cellStyle name="Note 14 2 3 3 3 3 2" xfId="20838"/>
    <cellStyle name="Note 14 2 3 3 3 3 2 2" xfId="43425"/>
    <cellStyle name="Note 14 2 3 3 3 3 3" xfId="11178"/>
    <cellStyle name="Note 14 2 3 3 3 3 3 2" xfId="33765"/>
    <cellStyle name="Note 14 2 3 3 3 3 4" xfId="27325"/>
    <cellStyle name="Note 14 2 3 3 3 4" xfId="17618"/>
    <cellStyle name="Note 14 2 3 3 3 4 2" xfId="40205"/>
    <cellStyle name="Note 14 2 3 3 3 5" xfId="14398"/>
    <cellStyle name="Note 14 2 3 3 3 5 2" xfId="36985"/>
    <cellStyle name="Note 14 2 3 3 3 6" xfId="7958"/>
    <cellStyle name="Note 14 2 3 3 3 6 2" xfId="30545"/>
    <cellStyle name="Note 14 2 3 3 3 7" xfId="24105"/>
    <cellStyle name="Note 14 2 3 3 4" xfId="1772"/>
    <cellStyle name="Note 14 2 3 3 4 2" xfId="4995"/>
    <cellStyle name="Note 14 2 3 3 4 2 2" xfId="21095"/>
    <cellStyle name="Note 14 2 3 3 4 2 2 2" xfId="43682"/>
    <cellStyle name="Note 14 2 3 3 4 2 3" xfId="11435"/>
    <cellStyle name="Note 14 2 3 3 4 2 3 2" xfId="34022"/>
    <cellStyle name="Note 14 2 3 3 4 2 4" xfId="27582"/>
    <cellStyle name="Note 14 2 3 3 4 3" xfId="17875"/>
    <cellStyle name="Note 14 2 3 3 4 3 2" xfId="40462"/>
    <cellStyle name="Note 14 2 3 3 4 4" xfId="14655"/>
    <cellStyle name="Note 14 2 3 3 4 4 2" xfId="37242"/>
    <cellStyle name="Note 14 2 3 3 4 5" xfId="8215"/>
    <cellStyle name="Note 14 2 3 3 4 5 2" xfId="30802"/>
    <cellStyle name="Note 14 2 3 3 4 6" xfId="24362"/>
    <cellStyle name="Note 14 2 3 3 5" xfId="2131"/>
    <cellStyle name="Note 14 2 3 3 5 2" xfId="5352"/>
    <cellStyle name="Note 14 2 3 3 5 2 2" xfId="21452"/>
    <cellStyle name="Note 14 2 3 3 5 2 2 2" xfId="44039"/>
    <cellStyle name="Note 14 2 3 3 5 2 3" xfId="11792"/>
    <cellStyle name="Note 14 2 3 3 5 2 3 2" xfId="34379"/>
    <cellStyle name="Note 14 2 3 3 5 2 4" xfId="27939"/>
    <cellStyle name="Note 14 2 3 3 5 3" xfId="18232"/>
    <cellStyle name="Note 14 2 3 3 5 3 2" xfId="40819"/>
    <cellStyle name="Note 14 2 3 3 5 4" xfId="15012"/>
    <cellStyle name="Note 14 2 3 3 5 4 2" xfId="37599"/>
    <cellStyle name="Note 14 2 3 3 5 5" xfId="8572"/>
    <cellStyle name="Note 14 2 3 3 5 5 2" xfId="31159"/>
    <cellStyle name="Note 14 2 3 3 5 6" xfId="24719"/>
    <cellStyle name="Note 14 2 3 3 6" xfId="3087"/>
    <cellStyle name="Note 14 2 3 3 6 2" xfId="6307"/>
    <cellStyle name="Note 14 2 3 3 6 2 2" xfId="22407"/>
    <cellStyle name="Note 14 2 3 3 6 2 2 2" xfId="44994"/>
    <cellStyle name="Note 14 2 3 3 6 2 3" xfId="12747"/>
    <cellStyle name="Note 14 2 3 3 6 2 3 2" xfId="35334"/>
    <cellStyle name="Note 14 2 3 3 6 2 4" xfId="28894"/>
    <cellStyle name="Note 14 2 3 3 6 3" xfId="19187"/>
    <cellStyle name="Note 14 2 3 3 6 3 2" xfId="41774"/>
    <cellStyle name="Note 14 2 3 3 6 4" xfId="15967"/>
    <cellStyle name="Note 14 2 3 3 6 4 2" xfId="38554"/>
    <cellStyle name="Note 14 2 3 3 6 5" xfId="9527"/>
    <cellStyle name="Note 14 2 3 3 6 5 2" xfId="32114"/>
    <cellStyle name="Note 14 2 3 3 6 6" xfId="25674"/>
    <cellStyle name="Note 14 2 3 3 7" xfId="3377"/>
    <cellStyle name="Note 14 2 3 3 7 2" xfId="6597"/>
    <cellStyle name="Note 14 2 3 3 7 2 2" xfId="22697"/>
    <cellStyle name="Note 14 2 3 3 7 2 2 2" xfId="45284"/>
    <cellStyle name="Note 14 2 3 3 7 2 3" xfId="13037"/>
    <cellStyle name="Note 14 2 3 3 7 2 3 2" xfId="35624"/>
    <cellStyle name="Note 14 2 3 3 7 2 4" xfId="29184"/>
    <cellStyle name="Note 14 2 3 3 7 3" xfId="19477"/>
    <cellStyle name="Note 14 2 3 3 7 3 2" xfId="42064"/>
    <cellStyle name="Note 14 2 3 3 7 4" xfId="16257"/>
    <cellStyle name="Note 14 2 3 3 7 4 2" xfId="38844"/>
    <cellStyle name="Note 14 2 3 3 7 5" xfId="9817"/>
    <cellStyle name="Note 14 2 3 3 7 5 2" xfId="32404"/>
    <cellStyle name="Note 14 2 3 3 7 6" xfId="25964"/>
    <cellStyle name="Note 14 2 3 3 8" xfId="812"/>
    <cellStyle name="Note 14 2 3 3 8 2" xfId="4044"/>
    <cellStyle name="Note 14 2 3 3 8 2 2" xfId="20144"/>
    <cellStyle name="Note 14 2 3 3 8 2 2 2" xfId="42731"/>
    <cellStyle name="Note 14 2 3 3 8 2 3" xfId="10484"/>
    <cellStyle name="Note 14 2 3 3 8 2 3 2" xfId="33071"/>
    <cellStyle name="Note 14 2 3 3 8 2 4" xfId="26631"/>
    <cellStyle name="Note 14 2 3 3 8 3" xfId="16924"/>
    <cellStyle name="Note 14 2 3 3 8 3 2" xfId="39511"/>
    <cellStyle name="Note 14 2 3 3 8 4" xfId="13704"/>
    <cellStyle name="Note 14 2 3 3 8 4 2" xfId="36291"/>
    <cellStyle name="Note 14 2 3 3 8 5" xfId="7264"/>
    <cellStyle name="Note 14 2 3 3 8 5 2" xfId="29851"/>
    <cellStyle name="Note 14 2 3 3 8 6" xfId="23411"/>
    <cellStyle name="Note 14 2 3 3 9" xfId="3667"/>
    <cellStyle name="Note 14 2 3 3 9 2" xfId="19767"/>
    <cellStyle name="Note 14 2 3 3 9 2 2" xfId="42354"/>
    <cellStyle name="Note 14 2 3 3 9 3" xfId="10107"/>
    <cellStyle name="Note 14 2 3 3 9 3 2" xfId="32694"/>
    <cellStyle name="Note 14 2 3 3 9 4" xfId="26254"/>
    <cellStyle name="Note 14 2 3 4" xfId="879"/>
    <cellStyle name="Note 14 2 3 4 2" xfId="2198"/>
    <cellStyle name="Note 14 2 3 4 2 2" xfId="5419"/>
    <cellStyle name="Note 14 2 3 4 2 2 2" xfId="21519"/>
    <cellStyle name="Note 14 2 3 4 2 2 2 2" xfId="44106"/>
    <cellStyle name="Note 14 2 3 4 2 2 3" xfId="11859"/>
    <cellStyle name="Note 14 2 3 4 2 2 3 2" xfId="34446"/>
    <cellStyle name="Note 14 2 3 4 2 2 4" xfId="28006"/>
    <cellStyle name="Note 14 2 3 4 2 3" xfId="18299"/>
    <cellStyle name="Note 14 2 3 4 2 3 2" xfId="40886"/>
    <cellStyle name="Note 14 2 3 4 2 4" xfId="15079"/>
    <cellStyle name="Note 14 2 3 4 2 4 2" xfId="37666"/>
    <cellStyle name="Note 14 2 3 4 2 5" xfId="8639"/>
    <cellStyle name="Note 14 2 3 4 2 5 2" xfId="31226"/>
    <cellStyle name="Note 14 2 3 4 2 6" xfId="24786"/>
    <cellStyle name="Note 14 2 3 4 3" xfId="4111"/>
    <cellStyle name="Note 14 2 3 4 3 2" xfId="20211"/>
    <cellStyle name="Note 14 2 3 4 3 2 2" xfId="42798"/>
    <cellStyle name="Note 14 2 3 4 3 3" xfId="10551"/>
    <cellStyle name="Note 14 2 3 4 3 3 2" xfId="33138"/>
    <cellStyle name="Note 14 2 3 4 3 4" xfId="26698"/>
    <cellStyle name="Note 14 2 3 4 4" xfId="16991"/>
    <cellStyle name="Note 14 2 3 4 4 2" xfId="39578"/>
    <cellStyle name="Note 14 2 3 4 5" xfId="13771"/>
    <cellStyle name="Note 14 2 3 4 5 2" xfId="36358"/>
    <cellStyle name="Note 14 2 3 4 6" xfId="7331"/>
    <cellStyle name="Note 14 2 3 4 6 2" xfId="29918"/>
    <cellStyle name="Note 14 2 3 4 7" xfId="23478"/>
    <cellStyle name="Note 14 2 3 5" xfId="1231"/>
    <cellStyle name="Note 14 2 3 5 2" xfId="2545"/>
    <cellStyle name="Note 14 2 3 5 2 2" xfId="5766"/>
    <cellStyle name="Note 14 2 3 5 2 2 2" xfId="21866"/>
    <cellStyle name="Note 14 2 3 5 2 2 2 2" xfId="44453"/>
    <cellStyle name="Note 14 2 3 5 2 2 3" xfId="12206"/>
    <cellStyle name="Note 14 2 3 5 2 2 3 2" xfId="34793"/>
    <cellStyle name="Note 14 2 3 5 2 2 4" xfId="28353"/>
    <cellStyle name="Note 14 2 3 5 2 3" xfId="18646"/>
    <cellStyle name="Note 14 2 3 5 2 3 2" xfId="41233"/>
    <cellStyle name="Note 14 2 3 5 2 4" xfId="15426"/>
    <cellStyle name="Note 14 2 3 5 2 4 2" xfId="38013"/>
    <cellStyle name="Note 14 2 3 5 2 5" xfId="8986"/>
    <cellStyle name="Note 14 2 3 5 2 5 2" xfId="31573"/>
    <cellStyle name="Note 14 2 3 5 2 6" xfId="25133"/>
    <cellStyle name="Note 14 2 3 5 3" xfId="4458"/>
    <cellStyle name="Note 14 2 3 5 3 2" xfId="20558"/>
    <cellStyle name="Note 14 2 3 5 3 2 2" xfId="43145"/>
    <cellStyle name="Note 14 2 3 5 3 3" xfId="10898"/>
    <cellStyle name="Note 14 2 3 5 3 3 2" xfId="33485"/>
    <cellStyle name="Note 14 2 3 5 3 4" xfId="27045"/>
    <cellStyle name="Note 14 2 3 5 4" xfId="17338"/>
    <cellStyle name="Note 14 2 3 5 4 2" xfId="39925"/>
    <cellStyle name="Note 14 2 3 5 5" xfId="14118"/>
    <cellStyle name="Note 14 2 3 5 5 2" xfId="36705"/>
    <cellStyle name="Note 14 2 3 5 6" xfId="7678"/>
    <cellStyle name="Note 14 2 3 5 6 2" xfId="30265"/>
    <cellStyle name="Note 14 2 3 5 7" xfId="23825"/>
    <cellStyle name="Note 14 2 3 6" xfId="1773"/>
    <cellStyle name="Note 14 2 3 6 2" xfId="4996"/>
    <cellStyle name="Note 14 2 3 6 2 2" xfId="21096"/>
    <cellStyle name="Note 14 2 3 6 2 2 2" xfId="43683"/>
    <cellStyle name="Note 14 2 3 6 2 3" xfId="11436"/>
    <cellStyle name="Note 14 2 3 6 2 3 2" xfId="34023"/>
    <cellStyle name="Note 14 2 3 6 2 4" xfId="27583"/>
    <cellStyle name="Note 14 2 3 6 3" xfId="17876"/>
    <cellStyle name="Note 14 2 3 6 3 2" xfId="40463"/>
    <cellStyle name="Note 14 2 3 6 4" xfId="14656"/>
    <cellStyle name="Note 14 2 3 6 4 2" xfId="37243"/>
    <cellStyle name="Note 14 2 3 6 5" xfId="8216"/>
    <cellStyle name="Note 14 2 3 6 5 2" xfId="30803"/>
    <cellStyle name="Note 14 2 3 6 6" xfId="24363"/>
    <cellStyle name="Note 14 2 3 7" xfId="1850"/>
    <cellStyle name="Note 14 2 3 7 2" xfId="5072"/>
    <cellStyle name="Note 14 2 3 7 2 2" xfId="21172"/>
    <cellStyle name="Note 14 2 3 7 2 2 2" xfId="43759"/>
    <cellStyle name="Note 14 2 3 7 2 3" xfId="11512"/>
    <cellStyle name="Note 14 2 3 7 2 3 2" xfId="34099"/>
    <cellStyle name="Note 14 2 3 7 2 4" xfId="27659"/>
    <cellStyle name="Note 14 2 3 7 3" xfId="17952"/>
    <cellStyle name="Note 14 2 3 7 3 2" xfId="40539"/>
    <cellStyle name="Note 14 2 3 7 4" xfId="14732"/>
    <cellStyle name="Note 14 2 3 7 4 2" xfId="37319"/>
    <cellStyle name="Note 14 2 3 7 5" xfId="8292"/>
    <cellStyle name="Note 14 2 3 7 5 2" xfId="30879"/>
    <cellStyle name="Note 14 2 3 7 6" xfId="24439"/>
    <cellStyle name="Note 14 2 3 8" xfId="2893"/>
    <cellStyle name="Note 14 2 3 8 2" xfId="6114"/>
    <cellStyle name="Note 14 2 3 8 2 2" xfId="22214"/>
    <cellStyle name="Note 14 2 3 8 2 2 2" xfId="44801"/>
    <cellStyle name="Note 14 2 3 8 2 3" xfId="12554"/>
    <cellStyle name="Note 14 2 3 8 2 3 2" xfId="35141"/>
    <cellStyle name="Note 14 2 3 8 2 4" xfId="28701"/>
    <cellStyle name="Note 14 2 3 8 3" xfId="18994"/>
    <cellStyle name="Note 14 2 3 8 3 2" xfId="41581"/>
    <cellStyle name="Note 14 2 3 8 4" xfId="15774"/>
    <cellStyle name="Note 14 2 3 8 4 2" xfId="38361"/>
    <cellStyle name="Note 14 2 3 8 5" xfId="9334"/>
    <cellStyle name="Note 14 2 3 8 5 2" xfId="31921"/>
    <cellStyle name="Note 14 2 3 8 6" xfId="25481"/>
    <cellStyle name="Note 14 2 3 9" xfId="3184"/>
    <cellStyle name="Note 14 2 3 9 2" xfId="6404"/>
    <cellStyle name="Note 14 2 3 9 2 2" xfId="22504"/>
    <cellStyle name="Note 14 2 3 9 2 2 2" xfId="45091"/>
    <cellStyle name="Note 14 2 3 9 2 3" xfId="12844"/>
    <cellStyle name="Note 14 2 3 9 2 3 2" xfId="35431"/>
    <cellStyle name="Note 14 2 3 9 2 4" xfId="28991"/>
    <cellStyle name="Note 14 2 3 9 3" xfId="19284"/>
    <cellStyle name="Note 14 2 3 9 3 2" xfId="41871"/>
    <cellStyle name="Note 14 2 3 9 4" xfId="16064"/>
    <cellStyle name="Note 14 2 3 9 4 2" xfId="38651"/>
    <cellStyle name="Note 14 2 3 9 5" xfId="9624"/>
    <cellStyle name="Note 14 2 3 9 5 2" xfId="32211"/>
    <cellStyle name="Note 14 2 3 9 6" xfId="25771"/>
    <cellStyle name="Note 14 2 4" xfId="230"/>
    <cellStyle name="Note 14 2 4 10" xfId="517"/>
    <cellStyle name="Note 14 2 4 10 2" xfId="3804"/>
    <cellStyle name="Note 14 2 4 10 2 2" xfId="19904"/>
    <cellStyle name="Note 14 2 4 10 2 2 2" xfId="42491"/>
    <cellStyle name="Note 14 2 4 10 2 3" xfId="10244"/>
    <cellStyle name="Note 14 2 4 10 2 3 2" xfId="32831"/>
    <cellStyle name="Note 14 2 4 10 2 4" xfId="26391"/>
    <cellStyle name="Note 14 2 4 10 3" xfId="16684"/>
    <cellStyle name="Note 14 2 4 10 3 2" xfId="39271"/>
    <cellStyle name="Note 14 2 4 10 4" xfId="13464"/>
    <cellStyle name="Note 14 2 4 10 4 2" xfId="36051"/>
    <cellStyle name="Note 14 2 4 10 5" xfId="7024"/>
    <cellStyle name="Note 14 2 4 10 5 2" xfId="29611"/>
    <cellStyle name="Note 14 2 4 10 6" xfId="23171"/>
    <cellStyle name="Note 14 2 4 11" xfId="3518"/>
    <cellStyle name="Note 14 2 4 11 2" xfId="19618"/>
    <cellStyle name="Note 14 2 4 11 2 2" xfId="42205"/>
    <cellStyle name="Note 14 2 4 11 3" xfId="9958"/>
    <cellStyle name="Note 14 2 4 11 3 2" xfId="32545"/>
    <cellStyle name="Note 14 2 4 11 4" xfId="26105"/>
    <cellStyle name="Note 14 2 4 12" xfId="16398"/>
    <cellStyle name="Note 14 2 4 12 2" xfId="38985"/>
    <cellStyle name="Note 14 2 4 13" xfId="13178"/>
    <cellStyle name="Note 14 2 4 13 2" xfId="35765"/>
    <cellStyle name="Note 14 2 4 14" xfId="6738"/>
    <cellStyle name="Note 14 2 4 14 2" xfId="29325"/>
    <cellStyle name="Note 14 2 4 15" xfId="22885"/>
    <cellStyle name="Note 14 2 4 2" xfId="328"/>
    <cellStyle name="Note 14 2 4 2 10" xfId="16495"/>
    <cellStyle name="Note 14 2 4 2 10 2" xfId="39082"/>
    <cellStyle name="Note 14 2 4 2 11" xfId="13275"/>
    <cellStyle name="Note 14 2 4 2 11 2" xfId="35862"/>
    <cellStyle name="Note 14 2 4 2 12" xfId="6835"/>
    <cellStyle name="Note 14 2 4 2 12 2" xfId="29422"/>
    <cellStyle name="Note 14 2 4 2 13" xfId="22982"/>
    <cellStyle name="Note 14 2 4 2 2" xfId="1040"/>
    <cellStyle name="Note 14 2 4 2 2 2" xfId="2354"/>
    <cellStyle name="Note 14 2 4 2 2 2 2" xfId="5575"/>
    <cellStyle name="Note 14 2 4 2 2 2 2 2" xfId="21675"/>
    <cellStyle name="Note 14 2 4 2 2 2 2 2 2" xfId="44262"/>
    <cellStyle name="Note 14 2 4 2 2 2 2 3" xfId="12015"/>
    <cellStyle name="Note 14 2 4 2 2 2 2 3 2" xfId="34602"/>
    <cellStyle name="Note 14 2 4 2 2 2 2 4" xfId="28162"/>
    <cellStyle name="Note 14 2 4 2 2 2 3" xfId="18455"/>
    <cellStyle name="Note 14 2 4 2 2 2 3 2" xfId="41042"/>
    <cellStyle name="Note 14 2 4 2 2 2 4" xfId="15235"/>
    <cellStyle name="Note 14 2 4 2 2 2 4 2" xfId="37822"/>
    <cellStyle name="Note 14 2 4 2 2 2 5" xfId="8795"/>
    <cellStyle name="Note 14 2 4 2 2 2 5 2" xfId="31382"/>
    <cellStyle name="Note 14 2 4 2 2 2 6" xfId="24942"/>
    <cellStyle name="Note 14 2 4 2 2 3" xfId="4267"/>
    <cellStyle name="Note 14 2 4 2 2 3 2" xfId="20367"/>
    <cellStyle name="Note 14 2 4 2 2 3 2 2" xfId="42954"/>
    <cellStyle name="Note 14 2 4 2 2 3 3" xfId="10707"/>
    <cellStyle name="Note 14 2 4 2 2 3 3 2" xfId="33294"/>
    <cellStyle name="Note 14 2 4 2 2 3 4" xfId="26854"/>
    <cellStyle name="Note 14 2 4 2 2 4" xfId="17147"/>
    <cellStyle name="Note 14 2 4 2 2 4 2" xfId="39734"/>
    <cellStyle name="Note 14 2 4 2 2 5" xfId="13927"/>
    <cellStyle name="Note 14 2 4 2 2 5 2" xfId="36514"/>
    <cellStyle name="Note 14 2 4 2 2 6" xfId="7487"/>
    <cellStyle name="Note 14 2 4 2 2 6 2" xfId="30074"/>
    <cellStyle name="Note 14 2 4 2 2 7" xfId="23634"/>
    <cellStyle name="Note 14 2 4 2 3" xfId="1387"/>
    <cellStyle name="Note 14 2 4 2 3 2" xfId="2701"/>
    <cellStyle name="Note 14 2 4 2 3 2 2" xfId="5922"/>
    <cellStyle name="Note 14 2 4 2 3 2 2 2" xfId="22022"/>
    <cellStyle name="Note 14 2 4 2 3 2 2 2 2" xfId="44609"/>
    <cellStyle name="Note 14 2 4 2 3 2 2 3" xfId="12362"/>
    <cellStyle name="Note 14 2 4 2 3 2 2 3 2" xfId="34949"/>
    <cellStyle name="Note 14 2 4 2 3 2 2 4" xfId="28509"/>
    <cellStyle name="Note 14 2 4 2 3 2 3" xfId="18802"/>
    <cellStyle name="Note 14 2 4 2 3 2 3 2" xfId="41389"/>
    <cellStyle name="Note 14 2 4 2 3 2 4" xfId="15582"/>
    <cellStyle name="Note 14 2 4 2 3 2 4 2" xfId="38169"/>
    <cellStyle name="Note 14 2 4 2 3 2 5" xfId="9142"/>
    <cellStyle name="Note 14 2 4 2 3 2 5 2" xfId="31729"/>
    <cellStyle name="Note 14 2 4 2 3 2 6" xfId="25289"/>
    <cellStyle name="Note 14 2 4 2 3 3" xfId="4614"/>
    <cellStyle name="Note 14 2 4 2 3 3 2" xfId="20714"/>
    <cellStyle name="Note 14 2 4 2 3 3 2 2" xfId="43301"/>
    <cellStyle name="Note 14 2 4 2 3 3 3" xfId="11054"/>
    <cellStyle name="Note 14 2 4 2 3 3 3 2" xfId="33641"/>
    <cellStyle name="Note 14 2 4 2 3 3 4" xfId="27201"/>
    <cellStyle name="Note 14 2 4 2 3 4" xfId="17494"/>
    <cellStyle name="Note 14 2 4 2 3 4 2" xfId="40081"/>
    <cellStyle name="Note 14 2 4 2 3 5" xfId="14274"/>
    <cellStyle name="Note 14 2 4 2 3 5 2" xfId="36861"/>
    <cellStyle name="Note 14 2 4 2 3 6" xfId="7834"/>
    <cellStyle name="Note 14 2 4 2 3 6 2" xfId="30421"/>
    <cellStyle name="Note 14 2 4 2 3 7" xfId="23981"/>
    <cellStyle name="Note 14 2 4 2 4" xfId="1774"/>
    <cellStyle name="Note 14 2 4 2 4 2" xfId="4997"/>
    <cellStyle name="Note 14 2 4 2 4 2 2" xfId="21097"/>
    <cellStyle name="Note 14 2 4 2 4 2 2 2" xfId="43684"/>
    <cellStyle name="Note 14 2 4 2 4 2 3" xfId="11437"/>
    <cellStyle name="Note 14 2 4 2 4 2 3 2" xfId="34024"/>
    <cellStyle name="Note 14 2 4 2 4 2 4" xfId="27584"/>
    <cellStyle name="Note 14 2 4 2 4 3" xfId="17877"/>
    <cellStyle name="Note 14 2 4 2 4 3 2" xfId="40464"/>
    <cellStyle name="Note 14 2 4 2 4 4" xfId="14657"/>
    <cellStyle name="Note 14 2 4 2 4 4 2" xfId="37244"/>
    <cellStyle name="Note 14 2 4 2 4 5" xfId="8217"/>
    <cellStyle name="Note 14 2 4 2 4 5 2" xfId="30804"/>
    <cellStyle name="Note 14 2 4 2 4 6" xfId="24364"/>
    <cellStyle name="Note 14 2 4 2 5" xfId="2006"/>
    <cellStyle name="Note 14 2 4 2 5 2" xfId="5228"/>
    <cellStyle name="Note 14 2 4 2 5 2 2" xfId="21328"/>
    <cellStyle name="Note 14 2 4 2 5 2 2 2" xfId="43915"/>
    <cellStyle name="Note 14 2 4 2 5 2 3" xfId="11668"/>
    <cellStyle name="Note 14 2 4 2 5 2 3 2" xfId="34255"/>
    <cellStyle name="Note 14 2 4 2 5 2 4" xfId="27815"/>
    <cellStyle name="Note 14 2 4 2 5 3" xfId="18108"/>
    <cellStyle name="Note 14 2 4 2 5 3 2" xfId="40695"/>
    <cellStyle name="Note 14 2 4 2 5 4" xfId="14888"/>
    <cellStyle name="Note 14 2 4 2 5 4 2" xfId="37475"/>
    <cellStyle name="Note 14 2 4 2 5 5" xfId="8448"/>
    <cellStyle name="Note 14 2 4 2 5 5 2" xfId="31035"/>
    <cellStyle name="Note 14 2 4 2 5 6" xfId="24595"/>
    <cellStyle name="Note 14 2 4 2 6" xfId="3035"/>
    <cellStyle name="Note 14 2 4 2 6 2" xfId="6255"/>
    <cellStyle name="Note 14 2 4 2 6 2 2" xfId="22355"/>
    <cellStyle name="Note 14 2 4 2 6 2 2 2" xfId="44942"/>
    <cellStyle name="Note 14 2 4 2 6 2 3" xfId="12695"/>
    <cellStyle name="Note 14 2 4 2 6 2 3 2" xfId="35282"/>
    <cellStyle name="Note 14 2 4 2 6 2 4" xfId="28842"/>
    <cellStyle name="Note 14 2 4 2 6 3" xfId="19135"/>
    <cellStyle name="Note 14 2 4 2 6 3 2" xfId="41722"/>
    <cellStyle name="Note 14 2 4 2 6 4" xfId="15915"/>
    <cellStyle name="Note 14 2 4 2 6 4 2" xfId="38502"/>
    <cellStyle name="Note 14 2 4 2 6 5" xfId="9475"/>
    <cellStyle name="Note 14 2 4 2 6 5 2" xfId="32062"/>
    <cellStyle name="Note 14 2 4 2 6 6" xfId="25622"/>
    <cellStyle name="Note 14 2 4 2 7" xfId="3325"/>
    <cellStyle name="Note 14 2 4 2 7 2" xfId="6545"/>
    <cellStyle name="Note 14 2 4 2 7 2 2" xfId="22645"/>
    <cellStyle name="Note 14 2 4 2 7 2 2 2" xfId="45232"/>
    <cellStyle name="Note 14 2 4 2 7 2 3" xfId="12985"/>
    <cellStyle name="Note 14 2 4 2 7 2 3 2" xfId="35572"/>
    <cellStyle name="Note 14 2 4 2 7 2 4" xfId="29132"/>
    <cellStyle name="Note 14 2 4 2 7 3" xfId="19425"/>
    <cellStyle name="Note 14 2 4 2 7 3 2" xfId="42012"/>
    <cellStyle name="Note 14 2 4 2 7 4" xfId="16205"/>
    <cellStyle name="Note 14 2 4 2 7 4 2" xfId="38792"/>
    <cellStyle name="Note 14 2 4 2 7 5" xfId="9765"/>
    <cellStyle name="Note 14 2 4 2 7 5 2" xfId="32352"/>
    <cellStyle name="Note 14 2 4 2 7 6" xfId="25912"/>
    <cellStyle name="Note 14 2 4 2 8" xfId="676"/>
    <cellStyle name="Note 14 2 4 2 8 2" xfId="3920"/>
    <cellStyle name="Note 14 2 4 2 8 2 2" xfId="20020"/>
    <cellStyle name="Note 14 2 4 2 8 2 2 2" xfId="42607"/>
    <cellStyle name="Note 14 2 4 2 8 2 3" xfId="10360"/>
    <cellStyle name="Note 14 2 4 2 8 2 3 2" xfId="32947"/>
    <cellStyle name="Note 14 2 4 2 8 2 4" xfId="26507"/>
    <cellStyle name="Note 14 2 4 2 8 3" xfId="16800"/>
    <cellStyle name="Note 14 2 4 2 8 3 2" xfId="39387"/>
    <cellStyle name="Note 14 2 4 2 8 4" xfId="13580"/>
    <cellStyle name="Note 14 2 4 2 8 4 2" xfId="36167"/>
    <cellStyle name="Note 14 2 4 2 8 5" xfId="7140"/>
    <cellStyle name="Note 14 2 4 2 8 5 2" xfId="29727"/>
    <cellStyle name="Note 14 2 4 2 8 6" xfId="23287"/>
    <cellStyle name="Note 14 2 4 2 9" xfId="3615"/>
    <cellStyle name="Note 14 2 4 2 9 2" xfId="19715"/>
    <cellStyle name="Note 14 2 4 2 9 2 2" xfId="42302"/>
    <cellStyle name="Note 14 2 4 2 9 3" xfId="10055"/>
    <cellStyle name="Note 14 2 4 2 9 3 2" xfId="32642"/>
    <cellStyle name="Note 14 2 4 2 9 4" xfId="26202"/>
    <cellStyle name="Note 14 2 4 3" xfId="424"/>
    <cellStyle name="Note 14 2 4 3 10" xfId="16591"/>
    <cellStyle name="Note 14 2 4 3 10 2" xfId="39178"/>
    <cellStyle name="Note 14 2 4 3 11" xfId="13371"/>
    <cellStyle name="Note 14 2 4 3 11 2" xfId="35958"/>
    <cellStyle name="Note 14 2 4 3 12" xfId="6931"/>
    <cellStyle name="Note 14 2 4 3 12 2" xfId="29518"/>
    <cellStyle name="Note 14 2 4 3 13" xfId="23078"/>
    <cellStyle name="Note 14 2 4 3 2" xfId="1124"/>
    <cellStyle name="Note 14 2 4 3 2 2" xfId="2438"/>
    <cellStyle name="Note 14 2 4 3 2 2 2" xfId="5659"/>
    <cellStyle name="Note 14 2 4 3 2 2 2 2" xfId="21759"/>
    <cellStyle name="Note 14 2 4 3 2 2 2 2 2" xfId="44346"/>
    <cellStyle name="Note 14 2 4 3 2 2 2 3" xfId="12099"/>
    <cellStyle name="Note 14 2 4 3 2 2 2 3 2" xfId="34686"/>
    <cellStyle name="Note 14 2 4 3 2 2 2 4" xfId="28246"/>
    <cellStyle name="Note 14 2 4 3 2 2 3" xfId="18539"/>
    <cellStyle name="Note 14 2 4 3 2 2 3 2" xfId="41126"/>
    <cellStyle name="Note 14 2 4 3 2 2 4" xfId="15319"/>
    <cellStyle name="Note 14 2 4 3 2 2 4 2" xfId="37906"/>
    <cellStyle name="Note 14 2 4 3 2 2 5" xfId="8879"/>
    <cellStyle name="Note 14 2 4 3 2 2 5 2" xfId="31466"/>
    <cellStyle name="Note 14 2 4 3 2 2 6" xfId="25026"/>
    <cellStyle name="Note 14 2 4 3 2 3" xfId="4351"/>
    <cellStyle name="Note 14 2 4 3 2 3 2" xfId="20451"/>
    <cellStyle name="Note 14 2 4 3 2 3 2 2" xfId="43038"/>
    <cellStyle name="Note 14 2 4 3 2 3 3" xfId="10791"/>
    <cellStyle name="Note 14 2 4 3 2 3 3 2" xfId="33378"/>
    <cellStyle name="Note 14 2 4 3 2 3 4" xfId="26938"/>
    <cellStyle name="Note 14 2 4 3 2 4" xfId="17231"/>
    <cellStyle name="Note 14 2 4 3 2 4 2" xfId="39818"/>
    <cellStyle name="Note 14 2 4 3 2 5" xfId="14011"/>
    <cellStyle name="Note 14 2 4 3 2 5 2" xfId="36598"/>
    <cellStyle name="Note 14 2 4 3 2 6" xfId="7571"/>
    <cellStyle name="Note 14 2 4 3 2 6 2" xfId="30158"/>
    <cellStyle name="Note 14 2 4 3 2 7" xfId="23718"/>
    <cellStyle name="Note 14 2 4 3 3" xfId="1471"/>
    <cellStyle name="Note 14 2 4 3 3 2" xfId="2785"/>
    <cellStyle name="Note 14 2 4 3 3 2 2" xfId="6006"/>
    <cellStyle name="Note 14 2 4 3 3 2 2 2" xfId="22106"/>
    <cellStyle name="Note 14 2 4 3 3 2 2 2 2" xfId="44693"/>
    <cellStyle name="Note 14 2 4 3 3 2 2 3" xfId="12446"/>
    <cellStyle name="Note 14 2 4 3 3 2 2 3 2" xfId="35033"/>
    <cellStyle name="Note 14 2 4 3 3 2 2 4" xfId="28593"/>
    <cellStyle name="Note 14 2 4 3 3 2 3" xfId="18886"/>
    <cellStyle name="Note 14 2 4 3 3 2 3 2" xfId="41473"/>
    <cellStyle name="Note 14 2 4 3 3 2 4" xfId="15666"/>
    <cellStyle name="Note 14 2 4 3 3 2 4 2" xfId="38253"/>
    <cellStyle name="Note 14 2 4 3 3 2 5" xfId="9226"/>
    <cellStyle name="Note 14 2 4 3 3 2 5 2" xfId="31813"/>
    <cellStyle name="Note 14 2 4 3 3 2 6" xfId="25373"/>
    <cellStyle name="Note 14 2 4 3 3 3" xfId="4698"/>
    <cellStyle name="Note 14 2 4 3 3 3 2" xfId="20798"/>
    <cellStyle name="Note 14 2 4 3 3 3 2 2" xfId="43385"/>
    <cellStyle name="Note 14 2 4 3 3 3 3" xfId="11138"/>
    <cellStyle name="Note 14 2 4 3 3 3 3 2" xfId="33725"/>
    <cellStyle name="Note 14 2 4 3 3 3 4" xfId="27285"/>
    <cellStyle name="Note 14 2 4 3 3 4" xfId="17578"/>
    <cellStyle name="Note 14 2 4 3 3 4 2" xfId="40165"/>
    <cellStyle name="Note 14 2 4 3 3 5" xfId="14358"/>
    <cellStyle name="Note 14 2 4 3 3 5 2" xfId="36945"/>
    <cellStyle name="Note 14 2 4 3 3 6" xfId="7918"/>
    <cellStyle name="Note 14 2 4 3 3 6 2" xfId="30505"/>
    <cellStyle name="Note 14 2 4 3 3 7" xfId="24065"/>
    <cellStyle name="Note 14 2 4 3 4" xfId="1775"/>
    <cellStyle name="Note 14 2 4 3 4 2" xfId="4998"/>
    <cellStyle name="Note 14 2 4 3 4 2 2" xfId="21098"/>
    <cellStyle name="Note 14 2 4 3 4 2 2 2" xfId="43685"/>
    <cellStyle name="Note 14 2 4 3 4 2 3" xfId="11438"/>
    <cellStyle name="Note 14 2 4 3 4 2 3 2" xfId="34025"/>
    <cellStyle name="Note 14 2 4 3 4 2 4" xfId="27585"/>
    <cellStyle name="Note 14 2 4 3 4 3" xfId="17878"/>
    <cellStyle name="Note 14 2 4 3 4 3 2" xfId="40465"/>
    <cellStyle name="Note 14 2 4 3 4 4" xfId="14658"/>
    <cellStyle name="Note 14 2 4 3 4 4 2" xfId="37245"/>
    <cellStyle name="Note 14 2 4 3 4 5" xfId="8218"/>
    <cellStyle name="Note 14 2 4 3 4 5 2" xfId="30805"/>
    <cellStyle name="Note 14 2 4 3 4 6" xfId="24365"/>
    <cellStyle name="Note 14 2 4 3 5" xfId="2091"/>
    <cellStyle name="Note 14 2 4 3 5 2" xfId="5312"/>
    <cellStyle name="Note 14 2 4 3 5 2 2" xfId="21412"/>
    <cellStyle name="Note 14 2 4 3 5 2 2 2" xfId="43999"/>
    <cellStyle name="Note 14 2 4 3 5 2 3" xfId="11752"/>
    <cellStyle name="Note 14 2 4 3 5 2 3 2" xfId="34339"/>
    <cellStyle name="Note 14 2 4 3 5 2 4" xfId="27899"/>
    <cellStyle name="Note 14 2 4 3 5 3" xfId="18192"/>
    <cellStyle name="Note 14 2 4 3 5 3 2" xfId="40779"/>
    <cellStyle name="Note 14 2 4 3 5 4" xfId="14972"/>
    <cellStyle name="Note 14 2 4 3 5 4 2" xfId="37559"/>
    <cellStyle name="Note 14 2 4 3 5 5" xfId="8532"/>
    <cellStyle name="Note 14 2 4 3 5 5 2" xfId="31119"/>
    <cellStyle name="Note 14 2 4 3 5 6" xfId="24679"/>
    <cellStyle name="Note 14 2 4 3 6" xfId="3131"/>
    <cellStyle name="Note 14 2 4 3 6 2" xfId="6351"/>
    <cellStyle name="Note 14 2 4 3 6 2 2" xfId="22451"/>
    <cellStyle name="Note 14 2 4 3 6 2 2 2" xfId="45038"/>
    <cellStyle name="Note 14 2 4 3 6 2 3" xfId="12791"/>
    <cellStyle name="Note 14 2 4 3 6 2 3 2" xfId="35378"/>
    <cellStyle name="Note 14 2 4 3 6 2 4" xfId="28938"/>
    <cellStyle name="Note 14 2 4 3 6 3" xfId="19231"/>
    <cellStyle name="Note 14 2 4 3 6 3 2" xfId="41818"/>
    <cellStyle name="Note 14 2 4 3 6 4" xfId="16011"/>
    <cellStyle name="Note 14 2 4 3 6 4 2" xfId="38598"/>
    <cellStyle name="Note 14 2 4 3 6 5" xfId="9571"/>
    <cellStyle name="Note 14 2 4 3 6 5 2" xfId="32158"/>
    <cellStyle name="Note 14 2 4 3 6 6" xfId="25718"/>
    <cellStyle name="Note 14 2 4 3 7" xfId="3421"/>
    <cellStyle name="Note 14 2 4 3 7 2" xfId="6641"/>
    <cellStyle name="Note 14 2 4 3 7 2 2" xfId="22741"/>
    <cellStyle name="Note 14 2 4 3 7 2 2 2" xfId="45328"/>
    <cellStyle name="Note 14 2 4 3 7 2 3" xfId="13081"/>
    <cellStyle name="Note 14 2 4 3 7 2 3 2" xfId="35668"/>
    <cellStyle name="Note 14 2 4 3 7 2 4" xfId="29228"/>
    <cellStyle name="Note 14 2 4 3 7 3" xfId="19521"/>
    <cellStyle name="Note 14 2 4 3 7 3 2" xfId="42108"/>
    <cellStyle name="Note 14 2 4 3 7 4" xfId="16301"/>
    <cellStyle name="Note 14 2 4 3 7 4 2" xfId="38888"/>
    <cellStyle name="Note 14 2 4 3 7 5" xfId="9861"/>
    <cellStyle name="Note 14 2 4 3 7 5 2" xfId="32448"/>
    <cellStyle name="Note 14 2 4 3 7 6" xfId="26008"/>
    <cellStyle name="Note 14 2 4 3 8" xfId="772"/>
    <cellStyle name="Note 14 2 4 3 8 2" xfId="4004"/>
    <cellStyle name="Note 14 2 4 3 8 2 2" xfId="20104"/>
    <cellStyle name="Note 14 2 4 3 8 2 2 2" xfId="42691"/>
    <cellStyle name="Note 14 2 4 3 8 2 3" xfId="10444"/>
    <cellStyle name="Note 14 2 4 3 8 2 3 2" xfId="33031"/>
    <cellStyle name="Note 14 2 4 3 8 2 4" xfId="26591"/>
    <cellStyle name="Note 14 2 4 3 8 3" xfId="16884"/>
    <cellStyle name="Note 14 2 4 3 8 3 2" xfId="39471"/>
    <cellStyle name="Note 14 2 4 3 8 4" xfId="13664"/>
    <cellStyle name="Note 14 2 4 3 8 4 2" xfId="36251"/>
    <cellStyle name="Note 14 2 4 3 8 5" xfId="7224"/>
    <cellStyle name="Note 14 2 4 3 8 5 2" xfId="29811"/>
    <cellStyle name="Note 14 2 4 3 8 6" xfId="23371"/>
    <cellStyle name="Note 14 2 4 3 9" xfId="3711"/>
    <cellStyle name="Note 14 2 4 3 9 2" xfId="19811"/>
    <cellStyle name="Note 14 2 4 3 9 2 2" xfId="42398"/>
    <cellStyle name="Note 14 2 4 3 9 3" xfId="10151"/>
    <cellStyle name="Note 14 2 4 3 9 3 2" xfId="32738"/>
    <cellStyle name="Note 14 2 4 3 9 4" xfId="26298"/>
    <cellStyle name="Note 14 2 4 4" xfId="919"/>
    <cellStyle name="Note 14 2 4 4 2" xfId="2238"/>
    <cellStyle name="Note 14 2 4 4 2 2" xfId="5459"/>
    <cellStyle name="Note 14 2 4 4 2 2 2" xfId="21559"/>
    <cellStyle name="Note 14 2 4 4 2 2 2 2" xfId="44146"/>
    <cellStyle name="Note 14 2 4 4 2 2 3" xfId="11899"/>
    <cellStyle name="Note 14 2 4 4 2 2 3 2" xfId="34486"/>
    <cellStyle name="Note 14 2 4 4 2 2 4" xfId="28046"/>
    <cellStyle name="Note 14 2 4 4 2 3" xfId="18339"/>
    <cellStyle name="Note 14 2 4 4 2 3 2" xfId="40926"/>
    <cellStyle name="Note 14 2 4 4 2 4" xfId="15119"/>
    <cellStyle name="Note 14 2 4 4 2 4 2" xfId="37706"/>
    <cellStyle name="Note 14 2 4 4 2 5" xfId="8679"/>
    <cellStyle name="Note 14 2 4 4 2 5 2" xfId="31266"/>
    <cellStyle name="Note 14 2 4 4 2 6" xfId="24826"/>
    <cellStyle name="Note 14 2 4 4 3" xfId="4151"/>
    <cellStyle name="Note 14 2 4 4 3 2" xfId="20251"/>
    <cellStyle name="Note 14 2 4 4 3 2 2" xfId="42838"/>
    <cellStyle name="Note 14 2 4 4 3 3" xfId="10591"/>
    <cellStyle name="Note 14 2 4 4 3 3 2" xfId="33178"/>
    <cellStyle name="Note 14 2 4 4 3 4" xfId="26738"/>
    <cellStyle name="Note 14 2 4 4 4" xfId="17031"/>
    <cellStyle name="Note 14 2 4 4 4 2" xfId="39618"/>
    <cellStyle name="Note 14 2 4 4 5" xfId="13811"/>
    <cellStyle name="Note 14 2 4 4 5 2" xfId="36398"/>
    <cellStyle name="Note 14 2 4 4 6" xfId="7371"/>
    <cellStyle name="Note 14 2 4 4 6 2" xfId="29958"/>
    <cellStyle name="Note 14 2 4 4 7" xfId="23518"/>
    <cellStyle name="Note 14 2 4 5" xfId="1271"/>
    <cellStyle name="Note 14 2 4 5 2" xfId="2585"/>
    <cellStyle name="Note 14 2 4 5 2 2" xfId="5806"/>
    <cellStyle name="Note 14 2 4 5 2 2 2" xfId="21906"/>
    <cellStyle name="Note 14 2 4 5 2 2 2 2" xfId="44493"/>
    <cellStyle name="Note 14 2 4 5 2 2 3" xfId="12246"/>
    <cellStyle name="Note 14 2 4 5 2 2 3 2" xfId="34833"/>
    <cellStyle name="Note 14 2 4 5 2 2 4" xfId="28393"/>
    <cellStyle name="Note 14 2 4 5 2 3" xfId="18686"/>
    <cellStyle name="Note 14 2 4 5 2 3 2" xfId="41273"/>
    <cellStyle name="Note 14 2 4 5 2 4" xfId="15466"/>
    <cellStyle name="Note 14 2 4 5 2 4 2" xfId="38053"/>
    <cellStyle name="Note 14 2 4 5 2 5" xfId="9026"/>
    <cellStyle name="Note 14 2 4 5 2 5 2" xfId="31613"/>
    <cellStyle name="Note 14 2 4 5 2 6" xfId="25173"/>
    <cellStyle name="Note 14 2 4 5 3" xfId="4498"/>
    <cellStyle name="Note 14 2 4 5 3 2" xfId="20598"/>
    <cellStyle name="Note 14 2 4 5 3 2 2" xfId="43185"/>
    <cellStyle name="Note 14 2 4 5 3 3" xfId="10938"/>
    <cellStyle name="Note 14 2 4 5 3 3 2" xfId="33525"/>
    <cellStyle name="Note 14 2 4 5 3 4" xfId="27085"/>
    <cellStyle name="Note 14 2 4 5 4" xfId="17378"/>
    <cellStyle name="Note 14 2 4 5 4 2" xfId="39965"/>
    <cellStyle name="Note 14 2 4 5 5" xfId="14158"/>
    <cellStyle name="Note 14 2 4 5 5 2" xfId="36745"/>
    <cellStyle name="Note 14 2 4 5 6" xfId="7718"/>
    <cellStyle name="Note 14 2 4 5 6 2" xfId="30305"/>
    <cellStyle name="Note 14 2 4 5 7" xfId="23865"/>
    <cellStyle name="Note 14 2 4 6" xfId="1776"/>
    <cellStyle name="Note 14 2 4 6 2" xfId="4999"/>
    <cellStyle name="Note 14 2 4 6 2 2" xfId="21099"/>
    <cellStyle name="Note 14 2 4 6 2 2 2" xfId="43686"/>
    <cellStyle name="Note 14 2 4 6 2 3" xfId="11439"/>
    <cellStyle name="Note 14 2 4 6 2 3 2" xfId="34026"/>
    <cellStyle name="Note 14 2 4 6 2 4" xfId="27586"/>
    <cellStyle name="Note 14 2 4 6 3" xfId="17879"/>
    <cellStyle name="Note 14 2 4 6 3 2" xfId="40466"/>
    <cellStyle name="Note 14 2 4 6 4" xfId="14659"/>
    <cellStyle name="Note 14 2 4 6 4 2" xfId="37246"/>
    <cellStyle name="Note 14 2 4 6 5" xfId="8219"/>
    <cellStyle name="Note 14 2 4 6 5 2" xfId="30806"/>
    <cellStyle name="Note 14 2 4 6 6" xfId="24366"/>
    <cellStyle name="Note 14 2 4 7" xfId="1890"/>
    <cellStyle name="Note 14 2 4 7 2" xfId="5112"/>
    <cellStyle name="Note 14 2 4 7 2 2" xfId="21212"/>
    <cellStyle name="Note 14 2 4 7 2 2 2" xfId="43799"/>
    <cellStyle name="Note 14 2 4 7 2 3" xfId="11552"/>
    <cellStyle name="Note 14 2 4 7 2 3 2" xfId="34139"/>
    <cellStyle name="Note 14 2 4 7 2 4" xfId="27699"/>
    <cellStyle name="Note 14 2 4 7 3" xfId="17992"/>
    <cellStyle name="Note 14 2 4 7 3 2" xfId="40579"/>
    <cellStyle name="Note 14 2 4 7 4" xfId="14772"/>
    <cellStyle name="Note 14 2 4 7 4 2" xfId="37359"/>
    <cellStyle name="Note 14 2 4 7 5" xfId="8332"/>
    <cellStyle name="Note 14 2 4 7 5 2" xfId="30919"/>
    <cellStyle name="Note 14 2 4 7 6" xfId="24479"/>
    <cellStyle name="Note 14 2 4 8" xfId="2937"/>
    <cellStyle name="Note 14 2 4 8 2" xfId="6158"/>
    <cellStyle name="Note 14 2 4 8 2 2" xfId="22258"/>
    <cellStyle name="Note 14 2 4 8 2 2 2" xfId="44845"/>
    <cellStyle name="Note 14 2 4 8 2 3" xfId="12598"/>
    <cellStyle name="Note 14 2 4 8 2 3 2" xfId="35185"/>
    <cellStyle name="Note 14 2 4 8 2 4" xfId="28745"/>
    <cellStyle name="Note 14 2 4 8 3" xfId="19038"/>
    <cellStyle name="Note 14 2 4 8 3 2" xfId="41625"/>
    <cellStyle name="Note 14 2 4 8 4" xfId="15818"/>
    <cellStyle name="Note 14 2 4 8 4 2" xfId="38405"/>
    <cellStyle name="Note 14 2 4 8 5" xfId="9378"/>
    <cellStyle name="Note 14 2 4 8 5 2" xfId="31965"/>
    <cellStyle name="Note 14 2 4 8 6" xfId="25525"/>
    <cellStyle name="Note 14 2 4 9" xfId="3228"/>
    <cellStyle name="Note 14 2 4 9 2" xfId="6448"/>
    <cellStyle name="Note 14 2 4 9 2 2" xfId="22548"/>
    <cellStyle name="Note 14 2 4 9 2 2 2" xfId="45135"/>
    <cellStyle name="Note 14 2 4 9 2 3" xfId="12888"/>
    <cellStyle name="Note 14 2 4 9 2 3 2" xfId="35475"/>
    <cellStyle name="Note 14 2 4 9 2 4" xfId="29035"/>
    <cellStyle name="Note 14 2 4 9 3" xfId="19328"/>
    <cellStyle name="Note 14 2 4 9 3 2" xfId="41915"/>
    <cellStyle name="Note 14 2 4 9 4" xfId="16108"/>
    <cellStyle name="Note 14 2 4 9 4 2" xfId="38695"/>
    <cellStyle name="Note 14 2 4 9 5" xfId="9668"/>
    <cellStyle name="Note 14 2 4 9 5 2" xfId="32255"/>
    <cellStyle name="Note 14 2 4 9 6" xfId="25815"/>
    <cellStyle name="Note 14 2 5" xfId="253"/>
    <cellStyle name="Note 14 2 5 10" xfId="16421"/>
    <cellStyle name="Note 14 2 5 10 2" xfId="39008"/>
    <cellStyle name="Note 14 2 5 11" xfId="13201"/>
    <cellStyle name="Note 14 2 5 11 2" xfId="35788"/>
    <cellStyle name="Note 14 2 5 12" xfId="6761"/>
    <cellStyle name="Note 14 2 5 12 2" xfId="29348"/>
    <cellStyle name="Note 14 2 5 13" xfId="22908"/>
    <cellStyle name="Note 14 2 5 2" xfId="969"/>
    <cellStyle name="Note 14 2 5 2 2" xfId="1777"/>
    <cellStyle name="Note 14 2 5 2 2 2" xfId="5000"/>
    <cellStyle name="Note 14 2 5 2 2 2 2" xfId="21100"/>
    <cellStyle name="Note 14 2 5 2 2 2 2 2" xfId="43687"/>
    <cellStyle name="Note 14 2 5 2 2 2 3" xfId="11440"/>
    <cellStyle name="Note 14 2 5 2 2 2 3 2" xfId="34027"/>
    <cellStyle name="Note 14 2 5 2 2 2 4" xfId="27587"/>
    <cellStyle name="Note 14 2 5 2 2 3" xfId="17880"/>
    <cellStyle name="Note 14 2 5 2 2 3 2" xfId="40467"/>
    <cellStyle name="Note 14 2 5 2 2 4" xfId="14660"/>
    <cellStyle name="Note 14 2 5 2 2 4 2" xfId="37247"/>
    <cellStyle name="Note 14 2 5 2 2 5" xfId="8220"/>
    <cellStyle name="Note 14 2 5 2 2 5 2" xfId="30807"/>
    <cellStyle name="Note 14 2 5 2 2 6" xfId="24367"/>
    <cellStyle name="Note 14 2 5 2 3" xfId="2287"/>
    <cellStyle name="Note 14 2 5 2 3 2" xfId="5508"/>
    <cellStyle name="Note 14 2 5 2 3 2 2" xfId="21608"/>
    <cellStyle name="Note 14 2 5 2 3 2 2 2" xfId="44195"/>
    <cellStyle name="Note 14 2 5 2 3 2 3" xfId="11948"/>
    <cellStyle name="Note 14 2 5 2 3 2 3 2" xfId="34535"/>
    <cellStyle name="Note 14 2 5 2 3 2 4" xfId="28095"/>
    <cellStyle name="Note 14 2 5 2 3 3" xfId="18388"/>
    <cellStyle name="Note 14 2 5 2 3 3 2" xfId="40975"/>
    <cellStyle name="Note 14 2 5 2 3 4" xfId="15168"/>
    <cellStyle name="Note 14 2 5 2 3 4 2" xfId="37755"/>
    <cellStyle name="Note 14 2 5 2 3 5" xfId="8728"/>
    <cellStyle name="Note 14 2 5 2 3 5 2" xfId="31315"/>
    <cellStyle name="Note 14 2 5 2 3 6" xfId="24875"/>
    <cellStyle name="Note 14 2 5 2 4" xfId="4200"/>
    <cellStyle name="Note 14 2 5 2 4 2" xfId="20300"/>
    <cellStyle name="Note 14 2 5 2 4 2 2" xfId="42887"/>
    <cellStyle name="Note 14 2 5 2 4 3" xfId="10640"/>
    <cellStyle name="Note 14 2 5 2 4 3 2" xfId="33227"/>
    <cellStyle name="Note 14 2 5 2 4 4" xfId="26787"/>
    <cellStyle name="Note 14 2 5 2 5" xfId="17080"/>
    <cellStyle name="Note 14 2 5 2 5 2" xfId="39667"/>
    <cellStyle name="Note 14 2 5 2 6" xfId="13860"/>
    <cellStyle name="Note 14 2 5 2 6 2" xfId="36447"/>
    <cellStyle name="Note 14 2 5 2 7" xfId="7420"/>
    <cellStyle name="Note 14 2 5 2 7 2" xfId="30007"/>
    <cellStyle name="Note 14 2 5 2 8" xfId="23567"/>
    <cellStyle name="Note 14 2 5 3" xfId="1320"/>
    <cellStyle name="Note 14 2 5 3 2" xfId="2634"/>
    <cellStyle name="Note 14 2 5 3 2 2" xfId="5855"/>
    <cellStyle name="Note 14 2 5 3 2 2 2" xfId="21955"/>
    <cellStyle name="Note 14 2 5 3 2 2 2 2" xfId="44542"/>
    <cellStyle name="Note 14 2 5 3 2 2 3" xfId="12295"/>
    <cellStyle name="Note 14 2 5 3 2 2 3 2" xfId="34882"/>
    <cellStyle name="Note 14 2 5 3 2 2 4" xfId="28442"/>
    <cellStyle name="Note 14 2 5 3 2 3" xfId="18735"/>
    <cellStyle name="Note 14 2 5 3 2 3 2" xfId="41322"/>
    <cellStyle name="Note 14 2 5 3 2 4" xfId="15515"/>
    <cellStyle name="Note 14 2 5 3 2 4 2" xfId="38102"/>
    <cellStyle name="Note 14 2 5 3 2 5" xfId="9075"/>
    <cellStyle name="Note 14 2 5 3 2 5 2" xfId="31662"/>
    <cellStyle name="Note 14 2 5 3 2 6" xfId="25222"/>
    <cellStyle name="Note 14 2 5 3 3" xfId="4547"/>
    <cellStyle name="Note 14 2 5 3 3 2" xfId="20647"/>
    <cellStyle name="Note 14 2 5 3 3 2 2" xfId="43234"/>
    <cellStyle name="Note 14 2 5 3 3 3" xfId="10987"/>
    <cellStyle name="Note 14 2 5 3 3 3 2" xfId="33574"/>
    <cellStyle name="Note 14 2 5 3 3 4" xfId="27134"/>
    <cellStyle name="Note 14 2 5 3 4" xfId="17427"/>
    <cellStyle name="Note 14 2 5 3 4 2" xfId="40014"/>
    <cellStyle name="Note 14 2 5 3 5" xfId="14207"/>
    <cellStyle name="Note 14 2 5 3 5 2" xfId="36794"/>
    <cellStyle name="Note 14 2 5 3 6" xfId="7767"/>
    <cellStyle name="Note 14 2 5 3 6 2" xfId="30354"/>
    <cellStyle name="Note 14 2 5 3 7" xfId="23914"/>
    <cellStyle name="Note 14 2 5 4" xfId="1778"/>
    <cellStyle name="Note 14 2 5 4 2" xfId="5001"/>
    <cellStyle name="Note 14 2 5 4 2 2" xfId="21101"/>
    <cellStyle name="Note 14 2 5 4 2 2 2" xfId="43688"/>
    <cellStyle name="Note 14 2 5 4 2 3" xfId="11441"/>
    <cellStyle name="Note 14 2 5 4 2 3 2" xfId="34028"/>
    <cellStyle name="Note 14 2 5 4 2 4" xfId="27588"/>
    <cellStyle name="Note 14 2 5 4 3" xfId="17881"/>
    <cellStyle name="Note 14 2 5 4 3 2" xfId="40468"/>
    <cellStyle name="Note 14 2 5 4 4" xfId="14661"/>
    <cellStyle name="Note 14 2 5 4 4 2" xfId="37248"/>
    <cellStyle name="Note 14 2 5 4 5" xfId="8221"/>
    <cellStyle name="Note 14 2 5 4 5 2" xfId="30808"/>
    <cellStyle name="Note 14 2 5 4 6" xfId="24368"/>
    <cellStyle name="Note 14 2 5 5" xfId="1939"/>
    <cellStyle name="Note 14 2 5 5 2" xfId="5161"/>
    <cellStyle name="Note 14 2 5 5 2 2" xfId="21261"/>
    <cellStyle name="Note 14 2 5 5 2 2 2" xfId="43848"/>
    <cellStyle name="Note 14 2 5 5 2 3" xfId="11601"/>
    <cellStyle name="Note 14 2 5 5 2 3 2" xfId="34188"/>
    <cellStyle name="Note 14 2 5 5 2 4" xfId="27748"/>
    <cellStyle name="Note 14 2 5 5 3" xfId="18041"/>
    <cellStyle name="Note 14 2 5 5 3 2" xfId="40628"/>
    <cellStyle name="Note 14 2 5 5 4" xfId="14821"/>
    <cellStyle name="Note 14 2 5 5 4 2" xfId="37408"/>
    <cellStyle name="Note 14 2 5 5 5" xfId="8381"/>
    <cellStyle name="Note 14 2 5 5 5 2" xfId="30968"/>
    <cellStyle name="Note 14 2 5 5 6" xfId="24528"/>
    <cellStyle name="Note 14 2 5 6" xfId="2960"/>
    <cellStyle name="Note 14 2 5 6 2" xfId="6181"/>
    <cellStyle name="Note 14 2 5 6 2 2" xfId="22281"/>
    <cellStyle name="Note 14 2 5 6 2 2 2" xfId="44868"/>
    <cellStyle name="Note 14 2 5 6 2 3" xfId="12621"/>
    <cellStyle name="Note 14 2 5 6 2 3 2" xfId="35208"/>
    <cellStyle name="Note 14 2 5 6 2 4" xfId="28768"/>
    <cellStyle name="Note 14 2 5 6 3" xfId="19061"/>
    <cellStyle name="Note 14 2 5 6 3 2" xfId="41648"/>
    <cellStyle name="Note 14 2 5 6 4" xfId="15841"/>
    <cellStyle name="Note 14 2 5 6 4 2" xfId="38428"/>
    <cellStyle name="Note 14 2 5 6 5" xfId="9401"/>
    <cellStyle name="Note 14 2 5 6 5 2" xfId="31988"/>
    <cellStyle name="Note 14 2 5 6 6" xfId="25548"/>
    <cellStyle name="Note 14 2 5 7" xfId="3251"/>
    <cellStyle name="Note 14 2 5 7 2" xfId="6471"/>
    <cellStyle name="Note 14 2 5 7 2 2" xfId="22571"/>
    <cellStyle name="Note 14 2 5 7 2 2 2" xfId="45158"/>
    <cellStyle name="Note 14 2 5 7 2 3" xfId="12911"/>
    <cellStyle name="Note 14 2 5 7 2 3 2" xfId="35498"/>
    <cellStyle name="Note 14 2 5 7 2 4" xfId="29058"/>
    <cellStyle name="Note 14 2 5 7 3" xfId="19351"/>
    <cellStyle name="Note 14 2 5 7 3 2" xfId="41938"/>
    <cellStyle name="Note 14 2 5 7 4" xfId="16131"/>
    <cellStyle name="Note 14 2 5 7 4 2" xfId="38718"/>
    <cellStyle name="Note 14 2 5 7 5" xfId="9691"/>
    <cellStyle name="Note 14 2 5 7 5 2" xfId="32278"/>
    <cellStyle name="Note 14 2 5 7 6" xfId="25838"/>
    <cellStyle name="Note 14 2 5 8" xfId="583"/>
    <cellStyle name="Note 14 2 5 8 2" xfId="3853"/>
    <cellStyle name="Note 14 2 5 8 2 2" xfId="19953"/>
    <cellStyle name="Note 14 2 5 8 2 2 2" xfId="42540"/>
    <cellStyle name="Note 14 2 5 8 2 3" xfId="10293"/>
    <cellStyle name="Note 14 2 5 8 2 3 2" xfId="32880"/>
    <cellStyle name="Note 14 2 5 8 2 4" xfId="26440"/>
    <cellStyle name="Note 14 2 5 8 3" xfId="16733"/>
    <cellStyle name="Note 14 2 5 8 3 2" xfId="39320"/>
    <cellStyle name="Note 14 2 5 8 4" xfId="13513"/>
    <cellStyle name="Note 14 2 5 8 4 2" xfId="36100"/>
    <cellStyle name="Note 14 2 5 8 5" xfId="7073"/>
    <cellStyle name="Note 14 2 5 8 5 2" xfId="29660"/>
    <cellStyle name="Note 14 2 5 8 6" xfId="23220"/>
    <cellStyle name="Note 14 2 5 9" xfId="3541"/>
    <cellStyle name="Note 14 2 5 9 2" xfId="19641"/>
    <cellStyle name="Note 14 2 5 9 2 2" xfId="42228"/>
    <cellStyle name="Note 14 2 5 9 3" xfId="9981"/>
    <cellStyle name="Note 14 2 5 9 3 2" xfId="32568"/>
    <cellStyle name="Note 14 2 5 9 4" xfId="26128"/>
    <cellStyle name="Note 14 2 6" xfId="347"/>
    <cellStyle name="Note 14 2 6 10" xfId="16514"/>
    <cellStyle name="Note 14 2 6 10 2" xfId="39101"/>
    <cellStyle name="Note 14 2 6 11" xfId="13294"/>
    <cellStyle name="Note 14 2 6 11 2" xfId="35881"/>
    <cellStyle name="Note 14 2 6 12" xfId="6854"/>
    <cellStyle name="Note 14 2 6 12 2" xfId="29441"/>
    <cellStyle name="Note 14 2 6 13" xfId="23001"/>
    <cellStyle name="Note 14 2 6 2" xfId="1085"/>
    <cellStyle name="Note 14 2 6 2 2" xfId="2399"/>
    <cellStyle name="Note 14 2 6 2 2 2" xfId="5620"/>
    <cellStyle name="Note 14 2 6 2 2 2 2" xfId="21720"/>
    <cellStyle name="Note 14 2 6 2 2 2 2 2" xfId="44307"/>
    <cellStyle name="Note 14 2 6 2 2 2 3" xfId="12060"/>
    <cellStyle name="Note 14 2 6 2 2 2 3 2" xfId="34647"/>
    <cellStyle name="Note 14 2 6 2 2 2 4" xfId="28207"/>
    <cellStyle name="Note 14 2 6 2 2 3" xfId="18500"/>
    <cellStyle name="Note 14 2 6 2 2 3 2" xfId="41087"/>
    <cellStyle name="Note 14 2 6 2 2 4" xfId="15280"/>
    <cellStyle name="Note 14 2 6 2 2 4 2" xfId="37867"/>
    <cellStyle name="Note 14 2 6 2 2 5" xfId="8840"/>
    <cellStyle name="Note 14 2 6 2 2 5 2" xfId="31427"/>
    <cellStyle name="Note 14 2 6 2 2 6" xfId="24987"/>
    <cellStyle name="Note 14 2 6 2 3" xfId="4312"/>
    <cellStyle name="Note 14 2 6 2 3 2" xfId="20412"/>
    <cellStyle name="Note 14 2 6 2 3 2 2" xfId="42999"/>
    <cellStyle name="Note 14 2 6 2 3 3" xfId="10752"/>
    <cellStyle name="Note 14 2 6 2 3 3 2" xfId="33339"/>
    <cellStyle name="Note 14 2 6 2 3 4" xfId="26899"/>
    <cellStyle name="Note 14 2 6 2 4" xfId="17192"/>
    <cellStyle name="Note 14 2 6 2 4 2" xfId="39779"/>
    <cellStyle name="Note 14 2 6 2 5" xfId="13972"/>
    <cellStyle name="Note 14 2 6 2 5 2" xfId="36559"/>
    <cellStyle name="Note 14 2 6 2 6" xfId="7532"/>
    <cellStyle name="Note 14 2 6 2 6 2" xfId="30119"/>
    <cellStyle name="Note 14 2 6 2 7" xfId="23679"/>
    <cellStyle name="Note 14 2 6 3" xfId="1432"/>
    <cellStyle name="Note 14 2 6 3 2" xfId="2746"/>
    <cellStyle name="Note 14 2 6 3 2 2" xfId="5967"/>
    <cellStyle name="Note 14 2 6 3 2 2 2" xfId="22067"/>
    <cellStyle name="Note 14 2 6 3 2 2 2 2" xfId="44654"/>
    <cellStyle name="Note 14 2 6 3 2 2 3" xfId="12407"/>
    <cellStyle name="Note 14 2 6 3 2 2 3 2" xfId="34994"/>
    <cellStyle name="Note 14 2 6 3 2 2 4" xfId="28554"/>
    <cellStyle name="Note 14 2 6 3 2 3" xfId="18847"/>
    <cellStyle name="Note 14 2 6 3 2 3 2" xfId="41434"/>
    <cellStyle name="Note 14 2 6 3 2 4" xfId="15627"/>
    <cellStyle name="Note 14 2 6 3 2 4 2" xfId="38214"/>
    <cellStyle name="Note 14 2 6 3 2 5" xfId="9187"/>
    <cellStyle name="Note 14 2 6 3 2 5 2" xfId="31774"/>
    <cellStyle name="Note 14 2 6 3 2 6" xfId="25334"/>
    <cellStyle name="Note 14 2 6 3 3" xfId="4659"/>
    <cellStyle name="Note 14 2 6 3 3 2" xfId="20759"/>
    <cellStyle name="Note 14 2 6 3 3 2 2" xfId="43346"/>
    <cellStyle name="Note 14 2 6 3 3 3" xfId="11099"/>
    <cellStyle name="Note 14 2 6 3 3 3 2" xfId="33686"/>
    <cellStyle name="Note 14 2 6 3 3 4" xfId="27246"/>
    <cellStyle name="Note 14 2 6 3 4" xfId="17539"/>
    <cellStyle name="Note 14 2 6 3 4 2" xfId="40126"/>
    <cellStyle name="Note 14 2 6 3 5" xfId="14319"/>
    <cellStyle name="Note 14 2 6 3 5 2" xfId="36906"/>
    <cellStyle name="Note 14 2 6 3 6" xfId="7879"/>
    <cellStyle name="Note 14 2 6 3 6 2" xfId="30466"/>
    <cellStyle name="Note 14 2 6 3 7" xfId="24026"/>
    <cellStyle name="Note 14 2 6 4" xfId="1779"/>
    <cellStyle name="Note 14 2 6 4 2" xfId="5002"/>
    <cellStyle name="Note 14 2 6 4 2 2" xfId="21102"/>
    <cellStyle name="Note 14 2 6 4 2 2 2" xfId="43689"/>
    <cellStyle name="Note 14 2 6 4 2 3" xfId="11442"/>
    <cellStyle name="Note 14 2 6 4 2 3 2" xfId="34029"/>
    <cellStyle name="Note 14 2 6 4 2 4" xfId="27589"/>
    <cellStyle name="Note 14 2 6 4 3" xfId="17882"/>
    <cellStyle name="Note 14 2 6 4 3 2" xfId="40469"/>
    <cellStyle name="Note 14 2 6 4 4" xfId="14662"/>
    <cellStyle name="Note 14 2 6 4 4 2" xfId="37249"/>
    <cellStyle name="Note 14 2 6 4 5" xfId="8222"/>
    <cellStyle name="Note 14 2 6 4 5 2" xfId="30809"/>
    <cellStyle name="Note 14 2 6 4 6" xfId="24369"/>
    <cellStyle name="Note 14 2 6 5" xfId="2052"/>
    <cellStyle name="Note 14 2 6 5 2" xfId="5273"/>
    <cellStyle name="Note 14 2 6 5 2 2" xfId="21373"/>
    <cellStyle name="Note 14 2 6 5 2 2 2" xfId="43960"/>
    <cellStyle name="Note 14 2 6 5 2 3" xfId="11713"/>
    <cellStyle name="Note 14 2 6 5 2 3 2" xfId="34300"/>
    <cellStyle name="Note 14 2 6 5 2 4" xfId="27860"/>
    <cellStyle name="Note 14 2 6 5 3" xfId="18153"/>
    <cellStyle name="Note 14 2 6 5 3 2" xfId="40740"/>
    <cellStyle name="Note 14 2 6 5 4" xfId="14933"/>
    <cellStyle name="Note 14 2 6 5 4 2" xfId="37520"/>
    <cellStyle name="Note 14 2 6 5 5" xfId="8493"/>
    <cellStyle name="Note 14 2 6 5 5 2" xfId="31080"/>
    <cellStyle name="Note 14 2 6 5 6" xfId="24640"/>
    <cellStyle name="Note 14 2 6 6" xfId="3054"/>
    <cellStyle name="Note 14 2 6 6 2" xfId="6274"/>
    <cellStyle name="Note 14 2 6 6 2 2" xfId="22374"/>
    <cellStyle name="Note 14 2 6 6 2 2 2" xfId="44961"/>
    <cellStyle name="Note 14 2 6 6 2 3" xfId="12714"/>
    <cellStyle name="Note 14 2 6 6 2 3 2" xfId="35301"/>
    <cellStyle name="Note 14 2 6 6 2 4" xfId="28861"/>
    <cellStyle name="Note 14 2 6 6 3" xfId="19154"/>
    <cellStyle name="Note 14 2 6 6 3 2" xfId="41741"/>
    <cellStyle name="Note 14 2 6 6 4" xfId="15934"/>
    <cellStyle name="Note 14 2 6 6 4 2" xfId="38521"/>
    <cellStyle name="Note 14 2 6 6 5" xfId="9494"/>
    <cellStyle name="Note 14 2 6 6 5 2" xfId="32081"/>
    <cellStyle name="Note 14 2 6 6 6" xfId="25641"/>
    <cellStyle name="Note 14 2 6 7" xfId="3344"/>
    <cellStyle name="Note 14 2 6 7 2" xfId="6564"/>
    <cellStyle name="Note 14 2 6 7 2 2" xfId="22664"/>
    <cellStyle name="Note 14 2 6 7 2 2 2" xfId="45251"/>
    <cellStyle name="Note 14 2 6 7 2 3" xfId="13004"/>
    <cellStyle name="Note 14 2 6 7 2 3 2" xfId="35591"/>
    <cellStyle name="Note 14 2 6 7 2 4" xfId="29151"/>
    <cellStyle name="Note 14 2 6 7 3" xfId="19444"/>
    <cellStyle name="Note 14 2 6 7 3 2" xfId="42031"/>
    <cellStyle name="Note 14 2 6 7 4" xfId="16224"/>
    <cellStyle name="Note 14 2 6 7 4 2" xfId="38811"/>
    <cellStyle name="Note 14 2 6 7 5" xfId="9784"/>
    <cellStyle name="Note 14 2 6 7 5 2" xfId="32371"/>
    <cellStyle name="Note 14 2 6 7 6" xfId="25931"/>
    <cellStyle name="Note 14 2 6 8" xfId="733"/>
    <cellStyle name="Note 14 2 6 8 2" xfId="3965"/>
    <cellStyle name="Note 14 2 6 8 2 2" xfId="20065"/>
    <cellStyle name="Note 14 2 6 8 2 2 2" xfId="42652"/>
    <cellStyle name="Note 14 2 6 8 2 3" xfId="10405"/>
    <cellStyle name="Note 14 2 6 8 2 3 2" xfId="32992"/>
    <cellStyle name="Note 14 2 6 8 2 4" xfId="26552"/>
    <cellStyle name="Note 14 2 6 8 3" xfId="16845"/>
    <cellStyle name="Note 14 2 6 8 3 2" xfId="39432"/>
    <cellStyle name="Note 14 2 6 8 4" xfId="13625"/>
    <cellStyle name="Note 14 2 6 8 4 2" xfId="36212"/>
    <cellStyle name="Note 14 2 6 8 5" xfId="7185"/>
    <cellStyle name="Note 14 2 6 8 5 2" xfId="29772"/>
    <cellStyle name="Note 14 2 6 8 6" xfId="23332"/>
    <cellStyle name="Note 14 2 6 9" xfId="3634"/>
    <cellStyle name="Note 14 2 6 9 2" xfId="19734"/>
    <cellStyle name="Note 14 2 6 9 2 2" xfId="42321"/>
    <cellStyle name="Note 14 2 6 9 3" xfId="10074"/>
    <cellStyle name="Note 14 2 6 9 3 2" xfId="32661"/>
    <cellStyle name="Note 14 2 6 9 4" xfId="26221"/>
    <cellStyle name="Note 14 2 7" xfId="752"/>
    <cellStyle name="Note 14 2 7 10" xfId="23351"/>
    <cellStyle name="Note 14 2 7 2" xfId="1104"/>
    <cellStyle name="Note 14 2 7 2 2" xfId="2418"/>
    <cellStyle name="Note 14 2 7 2 2 2" xfId="5639"/>
    <cellStyle name="Note 14 2 7 2 2 2 2" xfId="21739"/>
    <cellStyle name="Note 14 2 7 2 2 2 2 2" xfId="44326"/>
    <cellStyle name="Note 14 2 7 2 2 2 3" xfId="12079"/>
    <cellStyle name="Note 14 2 7 2 2 2 3 2" xfId="34666"/>
    <cellStyle name="Note 14 2 7 2 2 2 4" xfId="28226"/>
    <cellStyle name="Note 14 2 7 2 2 3" xfId="18519"/>
    <cellStyle name="Note 14 2 7 2 2 3 2" xfId="41106"/>
    <cellStyle name="Note 14 2 7 2 2 4" xfId="15299"/>
    <cellStyle name="Note 14 2 7 2 2 4 2" xfId="37886"/>
    <cellStyle name="Note 14 2 7 2 2 5" xfId="8859"/>
    <cellStyle name="Note 14 2 7 2 2 5 2" xfId="31446"/>
    <cellStyle name="Note 14 2 7 2 2 6" xfId="25006"/>
    <cellStyle name="Note 14 2 7 2 3" xfId="4331"/>
    <cellStyle name="Note 14 2 7 2 3 2" xfId="20431"/>
    <cellStyle name="Note 14 2 7 2 3 2 2" xfId="43018"/>
    <cellStyle name="Note 14 2 7 2 3 3" xfId="10771"/>
    <cellStyle name="Note 14 2 7 2 3 3 2" xfId="33358"/>
    <cellStyle name="Note 14 2 7 2 3 4" xfId="26918"/>
    <cellStyle name="Note 14 2 7 2 4" xfId="17211"/>
    <cellStyle name="Note 14 2 7 2 4 2" xfId="39798"/>
    <cellStyle name="Note 14 2 7 2 5" xfId="13991"/>
    <cellStyle name="Note 14 2 7 2 5 2" xfId="36578"/>
    <cellStyle name="Note 14 2 7 2 6" xfId="7551"/>
    <cellStyle name="Note 14 2 7 2 6 2" xfId="30138"/>
    <cellStyle name="Note 14 2 7 2 7" xfId="23698"/>
    <cellStyle name="Note 14 2 7 3" xfId="1451"/>
    <cellStyle name="Note 14 2 7 3 2" xfId="2765"/>
    <cellStyle name="Note 14 2 7 3 2 2" xfId="5986"/>
    <cellStyle name="Note 14 2 7 3 2 2 2" xfId="22086"/>
    <cellStyle name="Note 14 2 7 3 2 2 2 2" xfId="44673"/>
    <cellStyle name="Note 14 2 7 3 2 2 3" xfId="12426"/>
    <cellStyle name="Note 14 2 7 3 2 2 3 2" xfId="35013"/>
    <cellStyle name="Note 14 2 7 3 2 2 4" xfId="28573"/>
    <cellStyle name="Note 14 2 7 3 2 3" xfId="18866"/>
    <cellStyle name="Note 14 2 7 3 2 3 2" xfId="41453"/>
    <cellStyle name="Note 14 2 7 3 2 4" xfId="15646"/>
    <cellStyle name="Note 14 2 7 3 2 4 2" xfId="38233"/>
    <cellStyle name="Note 14 2 7 3 2 5" xfId="9206"/>
    <cellStyle name="Note 14 2 7 3 2 5 2" xfId="31793"/>
    <cellStyle name="Note 14 2 7 3 2 6" xfId="25353"/>
    <cellStyle name="Note 14 2 7 3 3" xfId="4678"/>
    <cellStyle name="Note 14 2 7 3 3 2" xfId="20778"/>
    <cellStyle name="Note 14 2 7 3 3 2 2" xfId="43365"/>
    <cellStyle name="Note 14 2 7 3 3 3" xfId="11118"/>
    <cellStyle name="Note 14 2 7 3 3 3 2" xfId="33705"/>
    <cellStyle name="Note 14 2 7 3 3 4" xfId="27265"/>
    <cellStyle name="Note 14 2 7 3 4" xfId="17558"/>
    <cellStyle name="Note 14 2 7 3 4 2" xfId="40145"/>
    <cellStyle name="Note 14 2 7 3 5" xfId="14338"/>
    <cellStyle name="Note 14 2 7 3 5 2" xfId="36925"/>
    <cellStyle name="Note 14 2 7 3 6" xfId="7898"/>
    <cellStyle name="Note 14 2 7 3 6 2" xfId="30485"/>
    <cellStyle name="Note 14 2 7 3 7" xfId="24045"/>
    <cellStyle name="Note 14 2 7 4" xfId="1780"/>
    <cellStyle name="Note 14 2 7 4 2" xfId="5003"/>
    <cellStyle name="Note 14 2 7 4 2 2" xfId="21103"/>
    <cellStyle name="Note 14 2 7 4 2 2 2" xfId="43690"/>
    <cellStyle name="Note 14 2 7 4 2 3" xfId="11443"/>
    <cellStyle name="Note 14 2 7 4 2 3 2" xfId="34030"/>
    <cellStyle name="Note 14 2 7 4 2 4" xfId="27590"/>
    <cellStyle name="Note 14 2 7 4 3" xfId="17883"/>
    <cellStyle name="Note 14 2 7 4 3 2" xfId="40470"/>
    <cellStyle name="Note 14 2 7 4 4" xfId="14663"/>
    <cellStyle name="Note 14 2 7 4 4 2" xfId="37250"/>
    <cellStyle name="Note 14 2 7 4 5" xfId="8223"/>
    <cellStyle name="Note 14 2 7 4 5 2" xfId="30810"/>
    <cellStyle name="Note 14 2 7 4 6" xfId="24370"/>
    <cellStyle name="Note 14 2 7 5" xfId="2071"/>
    <cellStyle name="Note 14 2 7 5 2" xfId="5292"/>
    <cellStyle name="Note 14 2 7 5 2 2" xfId="21392"/>
    <cellStyle name="Note 14 2 7 5 2 2 2" xfId="43979"/>
    <cellStyle name="Note 14 2 7 5 2 3" xfId="11732"/>
    <cellStyle name="Note 14 2 7 5 2 3 2" xfId="34319"/>
    <cellStyle name="Note 14 2 7 5 2 4" xfId="27879"/>
    <cellStyle name="Note 14 2 7 5 3" xfId="18172"/>
    <cellStyle name="Note 14 2 7 5 3 2" xfId="40759"/>
    <cellStyle name="Note 14 2 7 5 4" xfId="14952"/>
    <cellStyle name="Note 14 2 7 5 4 2" xfId="37539"/>
    <cellStyle name="Note 14 2 7 5 5" xfId="8512"/>
    <cellStyle name="Note 14 2 7 5 5 2" xfId="31099"/>
    <cellStyle name="Note 14 2 7 5 6" xfId="24659"/>
    <cellStyle name="Note 14 2 7 6" xfId="3984"/>
    <cellStyle name="Note 14 2 7 6 2" xfId="20084"/>
    <cellStyle name="Note 14 2 7 6 2 2" xfId="42671"/>
    <cellStyle name="Note 14 2 7 6 3" xfId="10424"/>
    <cellStyle name="Note 14 2 7 6 3 2" xfId="33011"/>
    <cellStyle name="Note 14 2 7 6 4" xfId="26571"/>
    <cellStyle name="Note 14 2 7 7" xfId="16864"/>
    <cellStyle name="Note 14 2 7 7 2" xfId="39451"/>
    <cellStyle name="Note 14 2 7 8" xfId="13644"/>
    <cellStyle name="Note 14 2 7 8 2" xfId="36231"/>
    <cellStyle name="Note 14 2 7 9" xfId="7204"/>
    <cellStyle name="Note 14 2 7 9 2" xfId="29791"/>
    <cellStyle name="Note 14 2 8" xfId="846"/>
    <cellStyle name="Note 14 2 8 2" xfId="2165"/>
    <cellStyle name="Note 14 2 8 2 2" xfId="5386"/>
    <cellStyle name="Note 14 2 8 2 2 2" xfId="21486"/>
    <cellStyle name="Note 14 2 8 2 2 2 2" xfId="44073"/>
    <cellStyle name="Note 14 2 8 2 2 3" xfId="11826"/>
    <cellStyle name="Note 14 2 8 2 2 3 2" xfId="34413"/>
    <cellStyle name="Note 14 2 8 2 2 4" xfId="27973"/>
    <cellStyle name="Note 14 2 8 2 3" xfId="18266"/>
    <cellStyle name="Note 14 2 8 2 3 2" xfId="40853"/>
    <cellStyle name="Note 14 2 8 2 4" xfId="15046"/>
    <cellStyle name="Note 14 2 8 2 4 2" xfId="37633"/>
    <cellStyle name="Note 14 2 8 2 5" xfId="8606"/>
    <cellStyle name="Note 14 2 8 2 5 2" xfId="31193"/>
    <cellStyle name="Note 14 2 8 2 6" xfId="24753"/>
    <cellStyle name="Note 14 2 8 3" xfId="4078"/>
    <cellStyle name="Note 14 2 8 3 2" xfId="20178"/>
    <cellStyle name="Note 14 2 8 3 2 2" xfId="42765"/>
    <cellStyle name="Note 14 2 8 3 3" xfId="10518"/>
    <cellStyle name="Note 14 2 8 3 3 2" xfId="33105"/>
    <cellStyle name="Note 14 2 8 3 4" xfId="26665"/>
    <cellStyle name="Note 14 2 8 4" xfId="16958"/>
    <cellStyle name="Note 14 2 8 4 2" xfId="39545"/>
    <cellStyle name="Note 14 2 8 5" xfId="13738"/>
    <cellStyle name="Note 14 2 8 5 2" xfId="36325"/>
    <cellStyle name="Note 14 2 8 6" xfId="7298"/>
    <cellStyle name="Note 14 2 8 6 2" xfId="29885"/>
    <cellStyle name="Note 14 2 8 7" xfId="23445"/>
    <cellStyle name="Note 14 2 9" xfId="1198"/>
    <cellStyle name="Note 14 2 9 2" xfId="2512"/>
    <cellStyle name="Note 14 2 9 2 2" xfId="5733"/>
    <cellStyle name="Note 14 2 9 2 2 2" xfId="21833"/>
    <cellStyle name="Note 14 2 9 2 2 2 2" xfId="44420"/>
    <cellStyle name="Note 14 2 9 2 2 3" xfId="12173"/>
    <cellStyle name="Note 14 2 9 2 2 3 2" xfId="34760"/>
    <cellStyle name="Note 14 2 9 2 2 4" xfId="28320"/>
    <cellStyle name="Note 14 2 9 2 3" xfId="18613"/>
    <cellStyle name="Note 14 2 9 2 3 2" xfId="41200"/>
    <cellStyle name="Note 14 2 9 2 4" xfId="15393"/>
    <cellStyle name="Note 14 2 9 2 4 2" xfId="37980"/>
    <cellStyle name="Note 14 2 9 2 5" xfId="8953"/>
    <cellStyle name="Note 14 2 9 2 5 2" xfId="31540"/>
    <cellStyle name="Note 14 2 9 2 6" xfId="25100"/>
    <cellStyle name="Note 14 2 9 3" xfId="4425"/>
    <cellStyle name="Note 14 2 9 3 2" xfId="20525"/>
    <cellStyle name="Note 14 2 9 3 2 2" xfId="43112"/>
    <cellStyle name="Note 14 2 9 3 3" xfId="10865"/>
    <cellStyle name="Note 14 2 9 3 3 2" xfId="33452"/>
    <cellStyle name="Note 14 2 9 3 4" xfId="27012"/>
    <cellStyle name="Note 14 2 9 4" xfId="17305"/>
    <cellStyle name="Note 14 2 9 4 2" xfId="39892"/>
    <cellStyle name="Note 14 2 9 5" xfId="14085"/>
    <cellStyle name="Note 14 2 9 5 2" xfId="36672"/>
    <cellStyle name="Note 14 2 9 6" xfId="7645"/>
    <cellStyle name="Note 14 2 9 6 2" xfId="30232"/>
    <cellStyle name="Note 14 2 9 7" xfId="23792"/>
    <cellStyle name="Note 14 20" xfId="6656"/>
    <cellStyle name="Note 14 20 2" xfId="29243"/>
    <cellStyle name="Note 14 21" xfId="22803"/>
    <cellStyle name="Note 14 3" xfId="107"/>
    <cellStyle name="Note 14 3 10" xfId="1781"/>
    <cellStyle name="Note 14 3 10 2" xfId="5004"/>
    <cellStyle name="Note 14 3 10 2 2" xfId="21104"/>
    <cellStyle name="Note 14 3 10 2 2 2" xfId="43691"/>
    <cellStyle name="Note 14 3 10 2 3" xfId="11444"/>
    <cellStyle name="Note 14 3 10 2 3 2" xfId="34031"/>
    <cellStyle name="Note 14 3 10 2 4" xfId="27591"/>
    <cellStyle name="Note 14 3 10 3" xfId="17884"/>
    <cellStyle name="Note 14 3 10 3 2" xfId="40471"/>
    <cellStyle name="Note 14 3 10 4" xfId="14664"/>
    <cellStyle name="Note 14 3 10 4 2" xfId="37251"/>
    <cellStyle name="Note 14 3 10 5" xfId="8224"/>
    <cellStyle name="Note 14 3 10 5 2" xfId="30811"/>
    <cellStyle name="Note 14 3 10 6" xfId="24371"/>
    <cellStyle name="Note 14 3 11" xfId="1822"/>
    <cellStyle name="Note 14 3 11 2" xfId="5044"/>
    <cellStyle name="Note 14 3 11 2 2" xfId="21144"/>
    <cellStyle name="Note 14 3 11 2 2 2" xfId="43731"/>
    <cellStyle name="Note 14 3 11 2 3" xfId="11484"/>
    <cellStyle name="Note 14 3 11 2 3 2" xfId="34071"/>
    <cellStyle name="Note 14 3 11 2 4" xfId="27631"/>
    <cellStyle name="Note 14 3 11 3" xfId="17924"/>
    <cellStyle name="Note 14 3 11 3 2" xfId="40511"/>
    <cellStyle name="Note 14 3 11 4" xfId="14704"/>
    <cellStyle name="Note 14 3 11 4 2" xfId="37291"/>
    <cellStyle name="Note 14 3 11 5" xfId="8264"/>
    <cellStyle name="Note 14 3 11 5 2" xfId="30851"/>
    <cellStyle name="Note 14 3 11 6" xfId="24411"/>
    <cellStyle name="Note 14 3 12" xfId="2865"/>
    <cellStyle name="Note 14 3 12 2" xfId="6086"/>
    <cellStyle name="Note 14 3 12 2 2" xfId="22186"/>
    <cellStyle name="Note 14 3 12 2 2 2" xfId="44773"/>
    <cellStyle name="Note 14 3 12 2 3" xfId="12526"/>
    <cellStyle name="Note 14 3 12 2 3 2" xfId="35113"/>
    <cellStyle name="Note 14 3 12 2 4" xfId="28673"/>
    <cellStyle name="Note 14 3 12 3" xfId="18966"/>
    <cellStyle name="Note 14 3 12 3 2" xfId="41553"/>
    <cellStyle name="Note 14 3 12 4" xfId="15746"/>
    <cellStyle name="Note 14 3 12 4 2" xfId="38333"/>
    <cellStyle name="Note 14 3 12 5" xfId="9306"/>
    <cellStyle name="Note 14 3 12 5 2" xfId="31893"/>
    <cellStyle name="Note 14 3 12 6" xfId="25453"/>
    <cellStyle name="Note 14 3 13" xfId="3156"/>
    <cellStyle name="Note 14 3 13 2" xfId="6376"/>
    <cellStyle name="Note 14 3 13 2 2" xfId="22476"/>
    <cellStyle name="Note 14 3 13 2 2 2" xfId="45063"/>
    <cellStyle name="Note 14 3 13 2 3" xfId="12816"/>
    <cellStyle name="Note 14 3 13 2 3 2" xfId="35403"/>
    <cellStyle name="Note 14 3 13 2 4" xfId="28963"/>
    <cellStyle name="Note 14 3 13 3" xfId="19256"/>
    <cellStyle name="Note 14 3 13 3 2" xfId="41843"/>
    <cellStyle name="Note 14 3 13 4" xfId="16036"/>
    <cellStyle name="Note 14 3 13 4 2" xfId="38623"/>
    <cellStyle name="Note 14 3 13 5" xfId="9596"/>
    <cellStyle name="Note 14 3 13 5 2" xfId="32183"/>
    <cellStyle name="Note 14 3 13 6" xfId="25743"/>
    <cellStyle name="Note 14 3 14" xfId="449"/>
    <cellStyle name="Note 14 3 14 2" xfId="3736"/>
    <cellStyle name="Note 14 3 14 2 2" xfId="19836"/>
    <cellStyle name="Note 14 3 14 2 2 2" xfId="42423"/>
    <cellStyle name="Note 14 3 14 2 3" xfId="10176"/>
    <cellStyle name="Note 14 3 14 2 3 2" xfId="32763"/>
    <cellStyle name="Note 14 3 14 2 4" xfId="26323"/>
    <cellStyle name="Note 14 3 14 3" xfId="16616"/>
    <cellStyle name="Note 14 3 14 3 2" xfId="39203"/>
    <cellStyle name="Note 14 3 14 4" xfId="13396"/>
    <cellStyle name="Note 14 3 14 4 2" xfId="35983"/>
    <cellStyle name="Note 14 3 14 5" xfId="6956"/>
    <cellStyle name="Note 14 3 14 5 2" xfId="29543"/>
    <cellStyle name="Note 14 3 14 6" xfId="23103"/>
    <cellStyle name="Note 14 3 15" xfId="3446"/>
    <cellStyle name="Note 14 3 15 2" xfId="19546"/>
    <cellStyle name="Note 14 3 15 2 2" xfId="42133"/>
    <cellStyle name="Note 14 3 15 3" xfId="9886"/>
    <cellStyle name="Note 14 3 15 3 2" xfId="32473"/>
    <cellStyle name="Note 14 3 15 4" xfId="26033"/>
    <cellStyle name="Note 14 3 16" xfId="16326"/>
    <cellStyle name="Note 14 3 16 2" xfId="38913"/>
    <cellStyle name="Note 14 3 17" xfId="13106"/>
    <cellStyle name="Note 14 3 17 2" xfId="35693"/>
    <cellStyle name="Note 14 3 18" xfId="6666"/>
    <cellStyle name="Note 14 3 18 2" xfId="29253"/>
    <cellStyle name="Note 14 3 19" xfId="22813"/>
    <cellStyle name="Note 14 3 2" xfId="125"/>
    <cellStyle name="Note 14 3 2 10" xfId="2881"/>
    <cellStyle name="Note 14 3 2 10 2" xfId="6102"/>
    <cellStyle name="Note 14 3 2 10 2 2" xfId="22202"/>
    <cellStyle name="Note 14 3 2 10 2 2 2" xfId="44789"/>
    <cellStyle name="Note 14 3 2 10 2 3" xfId="12542"/>
    <cellStyle name="Note 14 3 2 10 2 3 2" xfId="35129"/>
    <cellStyle name="Note 14 3 2 10 2 4" xfId="28689"/>
    <cellStyle name="Note 14 3 2 10 3" xfId="18982"/>
    <cellStyle name="Note 14 3 2 10 3 2" xfId="41569"/>
    <cellStyle name="Note 14 3 2 10 4" xfId="15762"/>
    <cellStyle name="Note 14 3 2 10 4 2" xfId="38349"/>
    <cellStyle name="Note 14 3 2 10 5" xfId="9322"/>
    <cellStyle name="Note 14 3 2 10 5 2" xfId="31909"/>
    <cellStyle name="Note 14 3 2 10 6" xfId="25469"/>
    <cellStyle name="Note 14 3 2 11" xfId="3172"/>
    <cellStyle name="Note 14 3 2 11 2" xfId="6392"/>
    <cellStyle name="Note 14 3 2 11 2 2" xfId="22492"/>
    <cellStyle name="Note 14 3 2 11 2 2 2" xfId="45079"/>
    <cellStyle name="Note 14 3 2 11 2 3" xfId="12832"/>
    <cellStyle name="Note 14 3 2 11 2 3 2" xfId="35419"/>
    <cellStyle name="Note 14 3 2 11 2 4" xfId="28979"/>
    <cellStyle name="Note 14 3 2 11 3" xfId="19272"/>
    <cellStyle name="Note 14 3 2 11 3 2" xfId="41859"/>
    <cellStyle name="Note 14 3 2 11 4" xfId="16052"/>
    <cellStyle name="Note 14 3 2 11 4 2" xfId="38639"/>
    <cellStyle name="Note 14 3 2 11 5" xfId="9612"/>
    <cellStyle name="Note 14 3 2 11 5 2" xfId="32199"/>
    <cellStyle name="Note 14 3 2 11 6" xfId="25759"/>
    <cellStyle name="Note 14 3 2 12" xfId="465"/>
    <cellStyle name="Note 14 3 2 12 2" xfId="3752"/>
    <cellStyle name="Note 14 3 2 12 2 2" xfId="19852"/>
    <cellStyle name="Note 14 3 2 12 2 2 2" xfId="42439"/>
    <cellStyle name="Note 14 3 2 12 2 3" xfId="10192"/>
    <cellStyle name="Note 14 3 2 12 2 3 2" xfId="32779"/>
    <cellStyle name="Note 14 3 2 12 2 4" xfId="26339"/>
    <cellStyle name="Note 14 3 2 12 3" xfId="16632"/>
    <cellStyle name="Note 14 3 2 12 3 2" xfId="39219"/>
    <cellStyle name="Note 14 3 2 12 4" xfId="13412"/>
    <cellStyle name="Note 14 3 2 12 4 2" xfId="35999"/>
    <cellStyle name="Note 14 3 2 12 5" xfId="6972"/>
    <cellStyle name="Note 14 3 2 12 5 2" xfId="29559"/>
    <cellStyle name="Note 14 3 2 12 6" xfId="23119"/>
    <cellStyle name="Note 14 3 2 13" xfId="3462"/>
    <cellStyle name="Note 14 3 2 13 2" xfId="19562"/>
    <cellStyle name="Note 14 3 2 13 2 2" xfId="42149"/>
    <cellStyle name="Note 14 3 2 13 3" xfId="9902"/>
    <cellStyle name="Note 14 3 2 13 3 2" xfId="32489"/>
    <cellStyle name="Note 14 3 2 13 4" xfId="26049"/>
    <cellStyle name="Note 14 3 2 14" xfId="16342"/>
    <cellStyle name="Note 14 3 2 14 2" xfId="38929"/>
    <cellStyle name="Note 14 3 2 15" xfId="13122"/>
    <cellStyle name="Note 14 3 2 15 2" xfId="35709"/>
    <cellStyle name="Note 14 3 2 16" xfId="6682"/>
    <cellStyle name="Note 14 3 2 16 2" xfId="29269"/>
    <cellStyle name="Note 14 3 2 17" xfId="22829"/>
    <cellStyle name="Note 14 3 2 2" xfId="210"/>
    <cellStyle name="Note 14 3 2 2 10" xfId="502"/>
    <cellStyle name="Note 14 3 2 2 10 2" xfId="3789"/>
    <cellStyle name="Note 14 3 2 2 10 2 2" xfId="19889"/>
    <cellStyle name="Note 14 3 2 2 10 2 2 2" xfId="42476"/>
    <cellStyle name="Note 14 3 2 2 10 2 3" xfId="10229"/>
    <cellStyle name="Note 14 3 2 2 10 2 3 2" xfId="32816"/>
    <cellStyle name="Note 14 3 2 2 10 2 4" xfId="26376"/>
    <cellStyle name="Note 14 3 2 2 10 3" xfId="16669"/>
    <cellStyle name="Note 14 3 2 2 10 3 2" xfId="39256"/>
    <cellStyle name="Note 14 3 2 2 10 4" xfId="13449"/>
    <cellStyle name="Note 14 3 2 2 10 4 2" xfId="36036"/>
    <cellStyle name="Note 14 3 2 2 10 5" xfId="7009"/>
    <cellStyle name="Note 14 3 2 2 10 5 2" xfId="29596"/>
    <cellStyle name="Note 14 3 2 2 10 6" xfId="23156"/>
    <cellStyle name="Note 14 3 2 2 11" xfId="3499"/>
    <cellStyle name="Note 14 3 2 2 11 2" xfId="19599"/>
    <cellStyle name="Note 14 3 2 2 11 2 2" xfId="42186"/>
    <cellStyle name="Note 14 3 2 2 11 3" xfId="9939"/>
    <cellStyle name="Note 14 3 2 2 11 3 2" xfId="32526"/>
    <cellStyle name="Note 14 3 2 2 11 4" xfId="26086"/>
    <cellStyle name="Note 14 3 2 2 12" xfId="16379"/>
    <cellStyle name="Note 14 3 2 2 12 2" xfId="38966"/>
    <cellStyle name="Note 14 3 2 2 13" xfId="13159"/>
    <cellStyle name="Note 14 3 2 2 13 2" xfId="35746"/>
    <cellStyle name="Note 14 3 2 2 14" xfId="6719"/>
    <cellStyle name="Note 14 3 2 2 14 2" xfId="29306"/>
    <cellStyle name="Note 14 3 2 2 15" xfId="22866"/>
    <cellStyle name="Note 14 3 2 2 2" xfId="309"/>
    <cellStyle name="Note 14 3 2 2 2 10" xfId="16476"/>
    <cellStyle name="Note 14 3 2 2 2 10 2" xfId="39063"/>
    <cellStyle name="Note 14 3 2 2 2 11" xfId="13256"/>
    <cellStyle name="Note 14 3 2 2 2 11 2" xfId="35843"/>
    <cellStyle name="Note 14 3 2 2 2 12" xfId="6816"/>
    <cellStyle name="Note 14 3 2 2 2 12 2" xfId="29403"/>
    <cellStyle name="Note 14 3 2 2 2 13" xfId="22963"/>
    <cellStyle name="Note 14 3 2 2 2 2" xfId="1028"/>
    <cellStyle name="Note 14 3 2 2 2 2 2" xfId="2342"/>
    <cellStyle name="Note 14 3 2 2 2 2 2 2" xfId="5563"/>
    <cellStyle name="Note 14 3 2 2 2 2 2 2 2" xfId="21663"/>
    <cellStyle name="Note 14 3 2 2 2 2 2 2 2 2" xfId="44250"/>
    <cellStyle name="Note 14 3 2 2 2 2 2 2 3" xfId="12003"/>
    <cellStyle name="Note 14 3 2 2 2 2 2 2 3 2" xfId="34590"/>
    <cellStyle name="Note 14 3 2 2 2 2 2 2 4" xfId="28150"/>
    <cellStyle name="Note 14 3 2 2 2 2 2 3" xfId="18443"/>
    <cellStyle name="Note 14 3 2 2 2 2 2 3 2" xfId="41030"/>
    <cellStyle name="Note 14 3 2 2 2 2 2 4" xfId="15223"/>
    <cellStyle name="Note 14 3 2 2 2 2 2 4 2" xfId="37810"/>
    <cellStyle name="Note 14 3 2 2 2 2 2 5" xfId="8783"/>
    <cellStyle name="Note 14 3 2 2 2 2 2 5 2" xfId="31370"/>
    <cellStyle name="Note 14 3 2 2 2 2 2 6" xfId="24930"/>
    <cellStyle name="Note 14 3 2 2 2 2 3" xfId="4255"/>
    <cellStyle name="Note 14 3 2 2 2 2 3 2" xfId="20355"/>
    <cellStyle name="Note 14 3 2 2 2 2 3 2 2" xfId="42942"/>
    <cellStyle name="Note 14 3 2 2 2 2 3 3" xfId="10695"/>
    <cellStyle name="Note 14 3 2 2 2 2 3 3 2" xfId="33282"/>
    <cellStyle name="Note 14 3 2 2 2 2 3 4" xfId="26842"/>
    <cellStyle name="Note 14 3 2 2 2 2 4" xfId="17135"/>
    <cellStyle name="Note 14 3 2 2 2 2 4 2" xfId="39722"/>
    <cellStyle name="Note 14 3 2 2 2 2 5" xfId="13915"/>
    <cellStyle name="Note 14 3 2 2 2 2 5 2" xfId="36502"/>
    <cellStyle name="Note 14 3 2 2 2 2 6" xfId="7475"/>
    <cellStyle name="Note 14 3 2 2 2 2 6 2" xfId="30062"/>
    <cellStyle name="Note 14 3 2 2 2 2 7" xfId="23622"/>
    <cellStyle name="Note 14 3 2 2 2 3" xfId="1375"/>
    <cellStyle name="Note 14 3 2 2 2 3 2" xfId="2689"/>
    <cellStyle name="Note 14 3 2 2 2 3 2 2" xfId="5910"/>
    <cellStyle name="Note 14 3 2 2 2 3 2 2 2" xfId="22010"/>
    <cellStyle name="Note 14 3 2 2 2 3 2 2 2 2" xfId="44597"/>
    <cellStyle name="Note 14 3 2 2 2 3 2 2 3" xfId="12350"/>
    <cellStyle name="Note 14 3 2 2 2 3 2 2 3 2" xfId="34937"/>
    <cellStyle name="Note 14 3 2 2 2 3 2 2 4" xfId="28497"/>
    <cellStyle name="Note 14 3 2 2 2 3 2 3" xfId="18790"/>
    <cellStyle name="Note 14 3 2 2 2 3 2 3 2" xfId="41377"/>
    <cellStyle name="Note 14 3 2 2 2 3 2 4" xfId="15570"/>
    <cellStyle name="Note 14 3 2 2 2 3 2 4 2" xfId="38157"/>
    <cellStyle name="Note 14 3 2 2 2 3 2 5" xfId="9130"/>
    <cellStyle name="Note 14 3 2 2 2 3 2 5 2" xfId="31717"/>
    <cellStyle name="Note 14 3 2 2 2 3 2 6" xfId="25277"/>
    <cellStyle name="Note 14 3 2 2 2 3 3" xfId="4602"/>
    <cellStyle name="Note 14 3 2 2 2 3 3 2" xfId="20702"/>
    <cellStyle name="Note 14 3 2 2 2 3 3 2 2" xfId="43289"/>
    <cellStyle name="Note 14 3 2 2 2 3 3 3" xfId="11042"/>
    <cellStyle name="Note 14 3 2 2 2 3 3 3 2" xfId="33629"/>
    <cellStyle name="Note 14 3 2 2 2 3 3 4" xfId="27189"/>
    <cellStyle name="Note 14 3 2 2 2 3 4" xfId="17482"/>
    <cellStyle name="Note 14 3 2 2 2 3 4 2" xfId="40069"/>
    <cellStyle name="Note 14 3 2 2 2 3 5" xfId="14262"/>
    <cellStyle name="Note 14 3 2 2 2 3 5 2" xfId="36849"/>
    <cellStyle name="Note 14 3 2 2 2 3 6" xfId="7822"/>
    <cellStyle name="Note 14 3 2 2 2 3 6 2" xfId="30409"/>
    <cellStyle name="Note 14 3 2 2 2 3 7" xfId="23969"/>
    <cellStyle name="Note 14 3 2 2 2 4" xfId="1782"/>
    <cellStyle name="Note 14 3 2 2 2 4 2" xfId="5005"/>
    <cellStyle name="Note 14 3 2 2 2 4 2 2" xfId="21105"/>
    <cellStyle name="Note 14 3 2 2 2 4 2 2 2" xfId="43692"/>
    <cellStyle name="Note 14 3 2 2 2 4 2 3" xfId="11445"/>
    <cellStyle name="Note 14 3 2 2 2 4 2 3 2" xfId="34032"/>
    <cellStyle name="Note 14 3 2 2 2 4 2 4" xfId="27592"/>
    <cellStyle name="Note 14 3 2 2 2 4 3" xfId="17885"/>
    <cellStyle name="Note 14 3 2 2 2 4 3 2" xfId="40472"/>
    <cellStyle name="Note 14 3 2 2 2 4 4" xfId="14665"/>
    <cellStyle name="Note 14 3 2 2 2 4 4 2" xfId="37252"/>
    <cellStyle name="Note 14 3 2 2 2 4 5" xfId="8225"/>
    <cellStyle name="Note 14 3 2 2 2 4 5 2" xfId="30812"/>
    <cellStyle name="Note 14 3 2 2 2 4 6" xfId="24372"/>
    <cellStyle name="Note 14 3 2 2 2 5" xfId="1994"/>
    <cellStyle name="Note 14 3 2 2 2 5 2" xfId="5216"/>
    <cellStyle name="Note 14 3 2 2 2 5 2 2" xfId="21316"/>
    <cellStyle name="Note 14 3 2 2 2 5 2 2 2" xfId="43903"/>
    <cellStyle name="Note 14 3 2 2 2 5 2 3" xfId="11656"/>
    <cellStyle name="Note 14 3 2 2 2 5 2 3 2" xfId="34243"/>
    <cellStyle name="Note 14 3 2 2 2 5 2 4" xfId="27803"/>
    <cellStyle name="Note 14 3 2 2 2 5 3" xfId="18096"/>
    <cellStyle name="Note 14 3 2 2 2 5 3 2" xfId="40683"/>
    <cellStyle name="Note 14 3 2 2 2 5 4" xfId="14876"/>
    <cellStyle name="Note 14 3 2 2 2 5 4 2" xfId="37463"/>
    <cellStyle name="Note 14 3 2 2 2 5 5" xfId="8436"/>
    <cellStyle name="Note 14 3 2 2 2 5 5 2" xfId="31023"/>
    <cellStyle name="Note 14 3 2 2 2 5 6" xfId="24583"/>
    <cellStyle name="Note 14 3 2 2 2 6" xfId="3016"/>
    <cellStyle name="Note 14 3 2 2 2 6 2" xfId="6236"/>
    <cellStyle name="Note 14 3 2 2 2 6 2 2" xfId="22336"/>
    <cellStyle name="Note 14 3 2 2 2 6 2 2 2" xfId="44923"/>
    <cellStyle name="Note 14 3 2 2 2 6 2 3" xfId="12676"/>
    <cellStyle name="Note 14 3 2 2 2 6 2 3 2" xfId="35263"/>
    <cellStyle name="Note 14 3 2 2 2 6 2 4" xfId="28823"/>
    <cellStyle name="Note 14 3 2 2 2 6 3" xfId="19116"/>
    <cellStyle name="Note 14 3 2 2 2 6 3 2" xfId="41703"/>
    <cellStyle name="Note 14 3 2 2 2 6 4" xfId="15896"/>
    <cellStyle name="Note 14 3 2 2 2 6 4 2" xfId="38483"/>
    <cellStyle name="Note 14 3 2 2 2 6 5" xfId="9456"/>
    <cellStyle name="Note 14 3 2 2 2 6 5 2" xfId="32043"/>
    <cellStyle name="Note 14 3 2 2 2 6 6" xfId="25603"/>
    <cellStyle name="Note 14 3 2 2 2 7" xfId="3306"/>
    <cellStyle name="Note 14 3 2 2 2 7 2" xfId="6526"/>
    <cellStyle name="Note 14 3 2 2 2 7 2 2" xfId="22626"/>
    <cellStyle name="Note 14 3 2 2 2 7 2 2 2" xfId="45213"/>
    <cellStyle name="Note 14 3 2 2 2 7 2 3" xfId="12966"/>
    <cellStyle name="Note 14 3 2 2 2 7 2 3 2" xfId="35553"/>
    <cellStyle name="Note 14 3 2 2 2 7 2 4" xfId="29113"/>
    <cellStyle name="Note 14 3 2 2 2 7 3" xfId="19406"/>
    <cellStyle name="Note 14 3 2 2 2 7 3 2" xfId="41993"/>
    <cellStyle name="Note 14 3 2 2 2 7 4" xfId="16186"/>
    <cellStyle name="Note 14 3 2 2 2 7 4 2" xfId="38773"/>
    <cellStyle name="Note 14 3 2 2 2 7 5" xfId="9746"/>
    <cellStyle name="Note 14 3 2 2 2 7 5 2" xfId="32333"/>
    <cellStyle name="Note 14 3 2 2 2 7 6" xfId="25893"/>
    <cellStyle name="Note 14 3 2 2 2 8" xfId="664"/>
    <cellStyle name="Note 14 3 2 2 2 8 2" xfId="3908"/>
    <cellStyle name="Note 14 3 2 2 2 8 2 2" xfId="20008"/>
    <cellStyle name="Note 14 3 2 2 2 8 2 2 2" xfId="42595"/>
    <cellStyle name="Note 14 3 2 2 2 8 2 3" xfId="10348"/>
    <cellStyle name="Note 14 3 2 2 2 8 2 3 2" xfId="32935"/>
    <cellStyle name="Note 14 3 2 2 2 8 2 4" xfId="26495"/>
    <cellStyle name="Note 14 3 2 2 2 8 3" xfId="16788"/>
    <cellStyle name="Note 14 3 2 2 2 8 3 2" xfId="39375"/>
    <cellStyle name="Note 14 3 2 2 2 8 4" xfId="13568"/>
    <cellStyle name="Note 14 3 2 2 2 8 4 2" xfId="36155"/>
    <cellStyle name="Note 14 3 2 2 2 8 5" xfId="7128"/>
    <cellStyle name="Note 14 3 2 2 2 8 5 2" xfId="29715"/>
    <cellStyle name="Note 14 3 2 2 2 8 6" xfId="23275"/>
    <cellStyle name="Note 14 3 2 2 2 9" xfId="3596"/>
    <cellStyle name="Note 14 3 2 2 2 9 2" xfId="19696"/>
    <cellStyle name="Note 14 3 2 2 2 9 2 2" xfId="42283"/>
    <cellStyle name="Note 14 3 2 2 2 9 3" xfId="10036"/>
    <cellStyle name="Note 14 3 2 2 2 9 3 2" xfId="32623"/>
    <cellStyle name="Note 14 3 2 2 2 9 4" xfId="26183"/>
    <cellStyle name="Note 14 3 2 2 3" xfId="405"/>
    <cellStyle name="Note 14 3 2 2 3 10" xfId="13352"/>
    <cellStyle name="Note 14 3 2 2 3 10 2" xfId="35939"/>
    <cellStyle name="Note 14 3 2 2 3 11" xfId="6912"/>
    <cellStyle name="Note 14 3 2 2 3 11 2" xfId="29499"/>
    <cellStyle name="Note 14 3 2 2 3 12" xfId="23059"/>
    <cellStyle name="Note 14 3 2 2 3 2" xfId="1187"/>
    <cellStyle name="Note 14 3 2 2 3 2 2" xfId="2501"/>
    <cellStyle name="Note 14 3 2 2 3 2 2 2" xfId="5722"/>
    <cellStyle name="Note 14 3 2 2 3 2 2 2 2" xfId="21822"/>
    <cellStyle name="Note 14 3 2 2 3 2 2 2 2 2" xfId="44409"/>
    <cellStyle name="Note 14 3 2 2 3 2 2 2 3" xfId="12162"/>
    <cellStyle name="Note 14 3 2 2 3 2 2 2 3 2" xfId="34749"/>
    <cellStyle name="Note 14 3 2 2 3 2 2 2 4" xfId="28309"/>
    <cellStyle name="Note 14 3 2 2 3 2 2 3" xfId="18602"/>
    <cellStyle name="Note 14 3 2 2 3 2 2 3 2" xfId="41189"/>
    <cellStyle name="Note 14 3 2 2 3 2 2 4" xfId="15382"/>
    <cellStyle name="Note 14 3 2 2 3 2 2 4 2" xfId="37969"/>
    <cellStyle name="Note 14 3 2 2 3 2 2 5" xfId="8942"/>
    <cellStyle name="Note 14 3 2 2 3 2 2 5 2" xfId="31529"/>
    <cellStyle name="Note 14 3 2 2 3 2 2 6" xfId="25089"/>
    <cellStyle name="Note 14 3 2 2 3 2 3" xfId="4414"/>
    <cellStyle name="Note 14 3 2 2 3 2 3 2" xfId="20514"/>
    <cellStyle name="Note 14 3 2 2 3 2 3 2 2" xfId="43101"/>
    <cellStyle name="Note 14 3 2 2 3 2 3 3" xfId="10854"/>
    <cellStyle name="Note 14 3 2 2 3 2 3 3 2" xfId="33441"/>
    <cellStyle name="Note 14 3 2 2 3 2 3 4" xfId="27001"/>
    <cellStyle name="Note 14 3 2 2 3 2 4" xfId="17294"/>
    <cellStyle name="Note 14 3 2 2 3 2 4 2" xfId="39881"/>
    <cellStyle name="Note 14 3 2 2 3 2 5" xfId="14074"/>
    <cellStyle name="Note 14 3 2 2 3 2 5 2" xfId="36661"/>
    <cellStyle name="Note 14 3 2 2 3 2 6" xfId="7634"/>
    <cellStyle name="Note 14 3 2 2 3 2 6 2" xfId="30221"/>
    <cellStyle name="Note 14 3 2 2 3 2 7" xfId="23781"/>
    <cellStyle name="Note 14 3 2 2 3 3" xfId="1534"/>
    <cellStyle name="Note 14 3 2 2 3 3 2" xfId="2848"/>
    <cellStyle name="Note 14 3 2 2 3 3 2 2" xfId="6069"/>
    <cellStyle name="Note 14 3 2 2 3 3 2 2 2" xfId="22169"/>
    <cellStyle name="Note 14 3 2 2 3 3 2 2 2 2" xfId="44756"/>
    <cellStyle name="Note 14 3 2 2 3 3 2 2 3" xfId="12509"/>
    <cellStyle name="Note 14 3 2 2 3 3 2 2 3 2" xfId="35096"/>
    <cellStyle name="Note 14 3 2 2 3 3 2 2 4" xfId="28656"/>
    <cellStyle name="Note 14 3 2 2 3 3 2 3" xfId="18949"/>
    <cellStyle name="Note 14 3 2 2 3 3 2 3 2" xfId="41536"/>
    <cellStyle name="Note 14 3 2 2 3 3 2 4" xfId="15729"/>
    <cellStyle name="Note 14 3 2 2 3 3 2 4 2" xfId="38316"/>
    <cellStyle name="Note 14 3 2 2 3 3 2 5" xfId="9289"/>
    <cellStyle name="Note 14 3 2 2 3 3 2 5 2" xfId="31876"/>
    <cellStyle name="Note 14 3 2 2 3 3 2 6" xfId="25436"/>
    <cellStyle name="Note 14 3 2 2 3 3 3" xfId="4761"/>
    <cellStyle name="Note 14 3 2 2 3 3 3 2" xfId="20861"/>
    <cellStyle name="Note 14 3 2 2 3 3 3 2 2" xfId="43448"/>
    <cellStyle name="Note 14 3 2 2 3 3 3 3" xfId="11201"/>
    <cellStyle name="Note 14 3 2 2 3 3 3 3 2" xfId="33788"/>
    <cellStyle name="Note 14 3 2 2 3 3 3 4" xfId="27348"/>
    <cellStyle name="Note 14 3 2 2 3 3 4" xfId="17641"/>
    <cellStyle name="Note 14 3 2 2 3 3 4 2" xfId="40228"/>
    <cellStyle name="Note 14 3 2 2 3 3 5" xfId="14421"/>
    <cellStyle name="Note 14 3 2 2 3 3 5 2" xfId="37008"/>
    <cellStyle name="Note 14 3 2 2 3 3 6" xfId="7981"/>
    <cellStyle name="Note 14 3 2 2 3 3 6 2" xfId="30568"/>
    <cellStyle name="Note 14 3 2 2 3 3 7" xfId="24128"/>
    <cellStyle name="Note 14 3 2 2 3 4" xfId="2154"/>
    <cellStyle name="Note 14 3 2 2 3 4 2" xfId="5375"/>
    <cellStyle name="Note 14 3 2 2 3 4 2 2" xfId="21475"/>
    <cellStyle name="Note 14 3 2 2 3 4 2 2 2" xfId="44062"/>
    <cellStyle name="Note 14 3 2 2 3 4 2 3" xfId="11815"/>
    <cellStyle name="Note 14 3 2 2 3 4 2 3 2" xfId="34402"/>
    <cellStyle name="Note 14 3 2 2 3 4 2 4" xfId="27962"/>
    <cellStyle name="Note 14 3 2 2 3 4 3" xfId="18255"/>
    <cellStyle name="Note 14 3 2 2 3 4 3 2" xfId="40842"/>
    <cellStyle name="Note 14 3 2 2 3 4 4" xfId="15035"/>
    <cellStyle name="Note 14 3 2 2 3 4 4 2" xfId="37622"/>
    <cellStyle name="Note 14 3 2 2 3 4 5" xfId="8595"/>
    <cellStyle name="Note 14 3 2 2 3 4 5 2" xfId="31182"/>
    <cellStyle name="Note 14 3 2 2 3 4 6" xfId="24742"/>
    <cellStyle name="Note 14 3 2 2 3 5" xfId="3112"/>
    <cellStyle name="Note 14 3 2 2 3 5 2" xfId="6332"/>
    <cellStyle name="Note 14 3 2 2 3 5 2 2" xfId="22432"/>
    <cellStyle name="Note 14 3 2 2 3 5 2 2 2" xfId="45019"/>
    <cellStyle name="Note 14 3 2 2 3 5 2 3" xfId="12772"/>
    <cellStyle name="Note 14 3 2 2 3 5 2 3 2" xfId="35359"/>
    <cellStyle name="Note 14 3 2 2 3 5 2 4" xfId="28919"/>
    <cellStyle name="Note 14 3 2 2 3 5 3" xfId="19212"/>
    <cellStyle name="Note 14 3 2 2 3 5 3 2" xfId="41799"/>
    <cellStyle name="Note 14 3 2 2 3 5 4" xfId="15992"/>
    <cellStyle name="Note 14 3 2 2 3 5 4 2" xfId="38579"/>
    <cellStyle name="Note 14 3 2 2 3 5 5" xfId="9552"/>
    <cellStyle name="Note 14 3 2 2 3 5 5 2" xfId="32139"/>
    <cellStyle name="Note 14 3 2 2 3 5 6" xfId="25699"/>
    <cellStyle name="Note 14 3 2 2 3 6" xfId="3402"/>
    <cellStyle name="Note 14 3 2 2 3 6 2" xfId="6622"/>
    <cellStyle name="Note 14 3 2 2 3 6 2 2" xfId="22722"/>
    <cellStyle name="Note 14 3 2 2 3 6 2 2 2" xfId="45309"/>
    <cellStyle name="Note 14 3 2 2 3 6 2 3" xfId="13062"/>
    <cellStyle name="Note 14 3 2 2 3 6 2 3 2" xfId="35649"/>
    <cellStyle name="Note 14 3 2 2 3 6 2 4" xfId="29209"/>
    <cellStyle name="Note 14 3 2 2 3 6 3" xfId="19502"/>
    <cellStyle name="Note 14 3 2 2 3 6 3 2" xfId="42089"/>
    <cellStyle name="Note 14 3 2 2 3 6 4" xfId="16282"/>
    <cellStyle name="Note 14 3 2 2 3 6 4 2" xfId="38869"/>
    <cellStyle name="Note 14 3 2 2 3 6 5" xfId="9842"/>
    <cellStyle name="Note 14 3 2 2 3 6 5 2" xfId="32429"/>
    <cellStyle name="Note 14 3 2 2 3 6 6" xfId="25989"/>
    <cellStyle name="Note 14 3 2 2 3 7" xfId="835"/>
    <cellStyle name="Note 14 3 2 2 3 7 2" xfId="4067"/>
    <cellStyle name="Note 14 3 2 2 3 7 2 2" xfId="20167"/>
    <cellStyle name="Note 14 3 2 2 3 7 2 2 2" xfId="42754"/>
    <cellStyle name="Note 14 3 2 2 3 7 2 3" xfId="10507"/>
    <cellStyle name="Note 14 3 2 2 3 7 2 3 2" xfId="33094"/>
    <cellStyle name="Note 14 3 2 2 3 7 2 4" xfId="26654"/>
    <cellStyle name="Note 14 3 2 2 3 7 3" xfId="16947"/>
    <cellStyle name="Note 14 3 2 2 3 7 3 2" xfId="39534"/>
    <cellStyle name="Note 14 3 2 2 3 7 4" xfId="13727"/>
    <cellStyle name="Note 14 3 2 2 3 7 4 2" xfId="36314"/>
    <cellStyle name="Note 14 3 2 2 3 7 5" xfId="7287"/>
    <cellStyle name="Note 14 3 2 2 3 7 5 2" xfId="29874"/>
    <cellStyle name="Note 14 3 2 2 3 7 6" xfId="23434"/>
    <cellStyle name="Note 14 3 2 2 3 8" xfId="3692"/>
    <cellStyle name="Note 14 3 2 2 3 8 2" xfId="19792"/>
    <cellStyle name="Note 14 3 2 2 3 8 2 2" xfId="42379"/>
    <cellStyle name="Note 14 3 2 2 3 8 3" xfId="10132"/>
    <cellStyle name="Note 14 3 2 2 3 8 3 2" xfId="32719"/>
    <cellStyle name="Note 14 3 2 2 3 8 4" xfId="26279"/>
    <cellStyle name="Note 14 3 2 2 3 9" xfId="16572"/>
    <cellStyle name="Note 14 3 2 2 3 9 2" xfId="39159"/>
    <cellStyle name="Note 14 3 2 2 4" xfId="904"/>
    <cellStyle name="Note 14 3 2 2 4 2" xfId="2223"/>
    <cellStyle name="Note 14 3 2 2 4 2 2" xfId="5444"/>
    <cellStyle name="Note 14 3 2 2 4 2 2 2" xfId="21544"/>
    <cellStyle name="Note 14 3 2 2 4 2 2 2 2" xfId="44131"/>
    <cellStyle name="Note 14 3 2 2 4 2 2 3" xfId="11884"/>
    <cellStyle name="Note 14 3 2 2 4 2 2 3 2" xfId="34471"/>
    <cellStyle name="Note 14 3 2 2 4 2 2 4" xfId="28031"/>
    <cellStyle name="Note 14 3 2 2 4 2 3" xfId="18324"/>
    <cellStyle name="Note 14 3 2 2 4 2 3 2" xfId="40911"/>
    <cellStyle name="Note 14 3 2 2 4 2 4" xfId="15104"/>
    <cellStyle name="Note 14 3 2 2 4 2 4 2" xfId="37691"/>
    <cellStyle name="Note 14 3 2 2 4 2 5" xfId="8664"/>
    <cellStyle name="Note 14 3 2 2 4 2 5 2" xfId="31251"/>
    <cellStyle name="Note 14 3 2 2 4 2 6" xfId="24811"/>
    <cellStyle name="Note 14 3 2 2 4 3" xfId="4136"/>
    <cellStyle name="Note 14 3 2 2 4 3 2" xfId="20236"/>
    <cellStyle name="Note 14 3 2 2 4 3 2 2" xfId="42823"/>
    <cellStyle name="Note 14 3 2 2 4 3 3" xfId="10576"/>
    <cellStyle name="Note 14 3 2 2 4 3 3 2" xfId="33163"/>
    <cellStyle name="Note 14 3 2 2 4 3 4" xfId="26723"/>
    <cellStyle name="Note 14 3 2 2 4 4" xfId="17016"/>
    <cellStyle name="Note 14 3 2 2 4 4 2" xfId="39603"/>
    <cellStyle name="Note 14 3 2 2 4 5" xfId="13796"/>
    <cellStyle name="Note 14 3 2 2 4 5 2" xfId="36383"/>
    <cellStyle name="Note 14 3 2 2 4 6" xfId="7356"/>
    <cellStyle name="Note 14 3 2 2 4 6 2" xfId="29943"/>
    <cellStyle name="Note 14 3 2 2 4 7" xfId="23503"/>
    <cellStyle name="Note 14 3 2 2 5" xfId="1256"/>
    <cellStyle name="Note 14 3 2 2 5 2" xfId="2570"/>
    <cellStyle name="Note 14 3 2 2 5 2 2" xfId="5791"/>
    <cellStyle name="Note 14 3 2 2 5 2 2 2" xfId="21891"/>
    <cellStyle name="Note 14 3 2 2 5 2 2 2 2" xfId="44478"/>
    <cellStyle name="Note 14 3 2 2 5 2 2 3" xfId="12231"/>
    <cellStyle name="Note 14 3 2 2 5 2 2 3 2" xfId="34818"/>
    <cellStyle name="Note 14 3 2 2 5 2 2 4" xfId="28378"/>
    <cellStyle name="Note 14 3 2 2 5 2 3" xfId="18671"/>
    <cellStyle name="Note 14 3 2 2 5 2 3 2" xfId="41258"/>
    <cellStyle name="Note 14 3 2 2 5 2 4" xfId="15451"/>
    <cellStyle name="Note 14 3 2 2 5 2 4 2" xfId="38038"/>
    <cellStyle name="Note 14 3 2 2 5 2 5" xfId="9011"/>
    <cellStyle name="Note 14 3 2 2 5 2 5 2" xfId="31598"/>
    <cellStyle name="Note 14 3 2 2 5 2 6" xfId="25158"/>
    <cellStyle name="Note 14 3 2 2 5 3" xfId="4483"/>
    <cellStyle name="Note 14 3 2 2 5 3 2" xfId="20583"/>
    <cellStyle name="Note 14 3 2 2 5 3 2 2" xfId="43170"/>
    <cellStyle name="Note 14 3 2 2 5 3 3" xfId="10923"/>
    <cellStyle name="Note 14 3 2 2 5 3 3 2" xfId="33510"/>
    <cellStyle name="Note 14 3 2 2 5 3 4" xfId="27070"/>
    <cellStyle name="Note 14 3 2 2 5 4" xfId="17363"/>
    <cellStyle name="Note 14 3 2 2 5 4 2" xfId="39950"/>
    <cellStyle name="Note 14 3 2 2 5 5" xfId="14143"/>
    <cellStyle name="Note 14 3 2 2 5 5 2" xfId="36730"/>
    <cellStyle name="Note 14 3 2 2 5 6" xfId="7703"/>
    <cellStyle name="Note 14 3 2 2 5 6 2" xfId="30290"/>
    <cellStyle name="Note 14 3 2 2 5 7" xfId="23850"/>
    <cellStyle name="Note 14 3 2 2 6" xfId="1783"/>
    <cellStyle name="Note 14 3 2 2 6 2" xfId="5006"/>
    <cellStyle name="Note 14 3 2 2 6 2 2" xfId="21106"/>
    <cellStyle name="Note 14 3 2 2 6 2 2 2" xfId="43693"/>
    <cellStyle name="Note 14 3 2 2 6 2 3" xfId="11446"/>
    <cellStyle name="Note 14 3 2 2 6 2 3 2" xfId="34033"/>
    <cellStyle name="Note 14 3 2 2 6 2 4" xfId="27593"/>
    <cellStyle name="Note 14 3 2 2 6 3" xfId="17886"/>
    <cellStyle name="Note 14 3 2 2 6 3 2" xfId="40473"/>
    <cellStyle name="Note 14 3 2 2 6 4" xfId="14666"/>
    <cellStyle name="Note 14 3 2 2 6 4 2" xfId="37253"/>
    <cellStyle name="Note 14 3 2 2 6 5" xfId="8226"/>
    <cellStyle name="Note 14 3 2 2 6 5 2" xfId="30813"/>
    <cellStyle name="Note 14 3 2 2 6 6" xfId="24373"/>
    <cellStyle name="Note 14 3 2 2 7" xfId="1875"/>
    <cellStyle name="Note 14 3 2 2 7 2" xfId="5097"/>
    <cellStyle name="Note 14 3 2 2 7 2 2" xfId="21197"/>
    <cellStyle name="Note 14 3 2 2 7 2 2 2" xfId="43784"/>
    <cellStyle name="Note 14 3 2 2 7 2 3" xfId="11537"/>
    <cellStyle name="Note 14 3 2 2 7 2 3 2" xfId="34124"/>
    <cellStyle name="Note 14 3 2 2 7 2 4" xfId="27684"/>
    <cellStyle name="Note 14 3 2 2 7 3" xfId="17977"/>
    <cellStyle name="Note 14 3 2 2 7 3 2" xfId="40564"/>
    <cellStyle name="Note 14 3 2 2 7 4" xfId="14757"/>
    <cellStyle name="Note 14 3 2 2 7 4 2" xfId="37344"/>
    <cellStyle name="Note 14 3 2 2 7 5" xfId="8317"/>
    <cellStyle name="Note 14 3 2 2 7 5 2" xfId="30904"/>
    <cellStyle name="Note 14 3 2 2 7 6" xfId="24464"/>
    <cellStyle name="Note 14 3 2 2 8" xfId="2918"/>
    <cellStyle name="Note 14 3 2 2 8 2" xfId="6139"/>
    <cellStyle name="Note 14 3 2 2 8 2 2" xfId="22239"/>
    <cellStyle name="Note 14 3 2 2 8 2 2 2" xfId="44826"/>
    <cellStyle name="Note 14 3 2 2 8 2 3" xfId="12579"/>
    <cellStyle name="Note 14 3 2 2 8 2 3 2" xfId="35166"/>
    <cellStyle name="Note 14 3 2 2 8 2 4" xfId="28726"/>
    <cellStyle name="Note 14 3 2 2 8 3" xfId="19019"/>
    <cellStyle name="Note 14 3 2 2 8 3 2" xfId="41606"/>
    <cellStyle name="Note 14 3 2 2 8 4" xfId="15799"/>
    <cellStyle name="Note 14 3 2 2 8 4 2" xfId="38386"/>
    <cellStyle name="Note 14 3 2 2 8 5" xfId="9359"/>
    <cellStyle name="Note 14 3 2 2 8 5 2" xfId="31946"/>
    <cellStyle name="Note 14 3 2 2 8 6" xfId="25506"/>
    <cellStyle name="Note 14 3 2 2 9" xfId="3209"/>
    <cellStyle name="Note 14 3 2 2 9 2" xfId="6429"/>
    <cellStyle name="Note 14 3 2 2 9 2 2" xfId="22529"/>
    <cellStyle name="Note 14 3 2 2 9 2 2 2" xfId="45116"/>
    <cellStyle name="Note 14 3 2 2 9 2 3" xfId="12869"/>
    <cellStyle name="Note 14 3 2 2 9 2 3 2" xfId="35456"/>
    <cellStyle name="Note 14 3 2 2 9 2 4" xfId="29016"/>
    <cellStyle name="Note 14 3 2 2 9 3" xfId="19309"/>
    <cellStyle name="Note 14 3 2 2 9 3 2" xfId="41896"/>
    <cellStyle name="Note 14 3 2 2 9 4" xfId="16089"/>
    <cellStyle name="Note 14 3 2 2 9 4 2" xfId="38676"/>
    <cellStyle name="Note 14 3 2 2 9 5" xfId="9649"/>
    <cellStyle name="Note 14 3 2 2 9 5 2" xfId="32236"/>
    <cellStyle name="Note 14 3 2 2 9 6" xfId="25796"/>
    <cellStyle name="Note 14 3 2 3" xfId="268"/>
    <cellStyle name="Note 14 3 2 3 10" xfId="3555"/>
    <cellStyle name="Note 14 3 2 3 10 2" xfId="19655"/>
    <cellStyle name="Note 14 3 2 3 10 2 2" xfId="42242"/>
    <cellStyle name="Note 14 3 2 3 10 3" xfId="9995"/>
    <cellStyle name="Note 14 3 2 3 10 3 2" xfId="32582"/>
    <cellStyle name="Note 14 3 2 3 10 4" xfId="26142"/>
    <cellStyle name="Note 14 3 2 3 11" xfId="16435"/>
    <cellStyle name="Note 14 3 2 3 11 2" xfId="39022"/>
    <cellStyle name="Note 14 3 2 3 12" xfId="13215"/>
    <cellStyle name="Note 14 3 2 3 12 2" xfId="35802"/>
    <cellStyle name="Note 14 3 2 3 13" xfId="6775"/>
    <cellStyle name="Note 14 3 2 3 13 2" xfId="29362"/>
    <cellStyle name="Note 14 3 2 3 14" xfId="22922"/>
    <cellStyle name="Note 14 3 2 3 2" xfId="701"/>
    <cellStyle name="Note 14 3 2 3 2 2" xfId="1065"/>
    <cellStyle name="Note 14 3 2 3 2 2 2" xfId="2379"/>
    <cellStyle name="Note 14 3 2 3 2 2 2 2" xfId="5600"/>
    <cellStyle name="Note 14 3 2 3 2 2 2 2 2" xfId="21700"/>
    <cellStyle name="Note 14 3 2 3 2 2 2 2 2 2" xfId="44287"/>
    <cellStyle name="Note 14 3 2 3 2 2 2 2 3" xfId="12040"/>
    <cellStyle name="Note 14 3 2 3 2 2 2 2 3 2" xfId="34627"/>
    <cellStyle name="Note 14 3 2 3 2 2 2 2 4" xfId="28187"/>
    <cellStyle name="Note 14 3 2 3 2 2 2 3" xfId="18480"/>
    <cellStyle name="Note 14 3 2 3 2 2 2 3 2" xfId="41067"/>
    <cellStyle name="Note 14 3 2 3 2 2 2 4" xfId="15260"/>
    <cellStyle name="Note 14 3 2 3 2 2 2 4 2" xfId="37847"/>
    <cellStyle name="Note 14 3 2 3 2 2 2 5" xfId="8820"/>
    <cellStyle name="Note 14 3 2 3 2 2 2 5 2" xfId="31407"/>
    <cellStyle name="Note 14 3 2 3 2 2 2 6" xfId="24967"/>
    <cellStyle name="Note 14 3 2 3 2 2 3" xfId="4292"/>
    <cellStyle name="Note 14 3 2 3 2 2 3 2" xfId="20392"/>
    <cellStyle name="Note 14 3 2 3 2 2 3 2 2" xfId="42979"/>
    <cellStyle name="Note 14 3 2 3 2 2 3 3" xfId="10732"/>
    <cellStyle name="Note 14 3 2 3 2 2 3 3 2" xfId="33319"/>
    <cellStyle name="Note 14 3 2 3 2 2 3 4" xfId="26879"/>
    <cellStyle name="Note 14 3 2 3 2 2 4" xfId="17172"/>
    <cellStyle name="Note 14 3 2 3 2 2 4 2" xfId="39759"/>
    <cellStyle name="Note 14 3 2 3 2 2 5" xfId="13952"/>
    <cellStyle name="Note 14 3 2 3 2 2 5 2" xfId="36539"/>
    <cellStyle name="Note 14 3 2 3 2 2 6" xfId="7512"/>
    <cellStyle name="Note 14 3 2 3 2 2 6 2" xfId="30099"/>
    <cellStyle name="Note 14 3 2 3 2 2 7" xfId="23659"/>
    <cellStyle name="Note 14 3 2 3 2 3" xfId="1412"/>
    <cellStyle name="Note 14 3 2 3 2 3 2" xfId="2726"/>
    <cellStyle name="Note 14 3 2 3 2 3 2 2" xfId="5947"/>
    <cellStyle name="Note 14 3 2 3 2 3 2 2 2" xfId="22047"/>
    <cellStyle name="Note 14 3 2 3 2 3 2 2 2 2" xfId="44634"/>
    <cellStyle name="Note 14 3 2 3 2 3 2 2 3" xfId="12387"/>
    <cellStyle name="Note 14 3 2 3 2 3 2 2 3 2" xfId="34974"/>
    <cellStyle name="Note 14 3 2 3 2 3 2 2 4" xfId="28534"/>
    <cellStyle name="Note 14 3 2 3 2 3 2 3" xfId="18827"/>
    <cellStyle name="Note 14 3 2 3 2 3 2 3 2" xfId="41414"/>
    <cellStyle name="Note 14 3 2 3 2 3 2 4" xfId="15607"/>
    <cellStyle name="Note 14 3 2 3 2 3 2 4 2" xfId="38194"/>
    <cellStyle name="Note 14 3 2 3 2 3 2 5" xfId="9167"/>
    <cellStyle name="Note 14 3 2 3 2 3 2 5 2" xfId="31754"/>
    <cellStyle name="Note 14 3 2 3 2 3 2 6" xfId="25314"/>
    <cellStyle name="Note 14 3 2 3 2 3 3" xfId="4639"/>
    <cellStyle name="Note 14 3 2 3 2 3 3 2" xfId="20739"/>
    <cellStyle name="Note 14 3 2 3 2 3 3 2 2" xfId="43326"/>
    <cellStyle name="Note 14 3 2 3 2 3 3 3" xfId="11079"/>
    <cellStyle name="Note 14 3 2 3 2 3 3 3 2" xfId="33666"/>
    <cellStyle name="Note 14 3 2 3 2 3 3 4" xfId="27226"/>
    <cellStyle name="Note 14 3 2 3 2 3 4" xfId="17519"/>
    <cellStyle name="Note 14 3 2 3 2 3 4 2" xfId="40106"/>
    <cellStyle name="Note 14 3 2 3 2 3 5" xfId="14299"/>
    <cellStyle name="Note 14 3 2 3 2 3 5 2" xfId="36886"/>
    <cellStyle name="Note 14 3 2 3 2 3 6" xfId="7859"/>
    <cellStyle name="Note 14 3 2 3 2 3 6 2" xfId="30446"/>
    <cellStyle name="Note 14 3 2 3 2 3 7" xfId="24006"/>
    <cellStyle name="Note 14 3 2 3 2 4" xfId="2031"/>
    <cellStyle name="Note 14 3 2 3 2 4 2" xfId="5253"/>
    <cellStyle name="Note 14 3 2 3 2 4 2 2" xfId="21353"/>
    <cellStyle name="Note 14 3 2 3 2 4 2 2 2" xfId="43940"/>
    <cellStyle name="Note 14 3 2 3 2 4 2 3" xfId="11693"/>
    <cellStyle name="Note 14 3 2 3 2 4 2 3 2" xfId="34280"/>
    <cellStyle name="Note 14 3 2 3 2 4 2 4" xfId="27840"/>
    <cellStyle name="Note 14 3 2 3 2 4 3" xfId="18133"/>
    <cellStyle name="Note 14 3 2 3 2 4 3 2" xfId="40720"/>
    <cellStyle name="Note 14 3 2 3 2 4 4" xfId="14913"/>
    <cellStyle name="Note 14 3 2 3 2 4 4 2" xfId="37500"/>
    <cellStyle name="Note 14 3 2 3 2 4 5" xfId="8473"/>
    <cellStyle name="Note 14 3 2 3 2 4 5 2" xfId="31060"/>
    <cellStyle name="Note 14 3 2 3 2 4 6" xfId="24620"/>
    <cellStyle name="Note 14 3 2 3 2 5" xfId="3945"/>
    <cellStyle name="Note 14 3 2 3 2 5 2" xfId="20045"/>
    <cellStyle name="Note 14 3 2 3 2 5 2 2" xfId="42632"/>
    <cellStyle name="Note 14 3 2 3 2 5 3" xfId="10385"/>
    <cellStyle name="Note 14 3 2 3 2 5 3 2" xfId="32972"/>
    <cellStyle name="Note 14 3 2 3 2 5 4" xfId="26532"/>
    <cellStyle name="Note 14 3 2 3 2 6" xfId="16825"/>
    <cellStyle name="Note 14 3 2 3 2 6 2" xfId="39412"/>
    <cellStyle name="Note 14 3 2 3 2 7" xfId="13605"/>
    <cellStyle name="Note 14 3 2 3 2 7 2" xfId="36192"/>
    <cellStyle name="Note 14 3 2 3 2 8" xfId="7165"/>
    <cellStyle name="Note 14 3 2 3 2 8 2" xfId="29752"/>
    <cellStyle name="Note 14 3 2 3 2 9" xfId="23312"/>
    <cellStyle name="Note 14 3 2 3 3" xfId="944"/>
    <cellStyle name="Note 14 3 2 3 3 2" xfId="2263"/>
    <cellStyle name="Note 14 3 2 3 3 2 2" xfId="5484"/>
    <cellStyle name="Note 14 3 2 3 3 2 2 2" xfId="21584"/>
    <cellStyle name="Note 14 3 2 3 3 2 2 2 2" xfId="44171"/>
    <cellStyle name="Note 14 3 2 3 3 2 2 3" xfId="11924"/>
    <cellStyle name="Note 14 3 2 3 3 2 2 3 2" xfId="34511"/>
    <cellStyle name="Note 14 3 2 3 3 2 2 4" xfId="28071"/>
    <cellStyle name="Note 14 3 2 3 3 2 3" xfId="18364"/>
    <cellStyle name="Note 14 3 2 3 3 2 3 2" xfId="40951"/>
    <cellStyle name="Note 14 3 2 3 3 2 4" xfId="15144"/>
    <cellStyle name="Note 14 3 2 3 3 2 4 2" xfId="37731"/>
    <cellStyle name="Note 14 3 2 3 3 2 5" xfId="8704"/>
    <cellStyle name="Note 14 3 2 3 3 2 5 2" xfId="31291"/>
    <cellStyle name="Note 14 3 2 3 3 2 6" xfId="24851"/>
    <cellStyle name="Note 14 3 2 3 3 3" xfId="4176"/>
    <cellStyle name="Note 14 3 2 3 3 3 2" xfId="20276"/>
    <cellStyle name="Note 14 3 2 3 3 3 2 2" xfId="42863"/>
    <cellStyle name="Note 14 3 2 3 3 3 3" xfId="10616"/>
    <cellStyle name="Note 14 3 2 3 3 3 3 2" xfId="33203"/>
    <cellStyle name="Note 14 3 2 3 3 3 4" xfId="26763"/>
    <cellStyle name="Note 14 3 2 3 3 4" xfId="17056"/>
    <cellStyle name="Note 14 3 2 3 3 4 2" xfId="39643"/>
    <cellStyle name="Note 14 3 2 3 3 5" xfId="13836"/>
    <cellStyle name="Note 14 3 2 3 3 5 2" xfId="36423"/>
    <cellStyle name="Note 14 3 2 3 3 6" xfId="7396"/>
    <cellStyle name="Note 14 3 2 3 3 6 2" xfId="29983"/>
    <cellStyle name="Note 14 3 2 3 3 7" xfId="23543"/>
    <cellStyle name="Note 14 3 2 3 4" xfId="1296"/>
    <cellStyle name="Note 14 3 2 3 4 2" xfId="2610"/>
    <cellStyle name="Note 14 3 2 3 4 2 2" xfId="5831"/>
    <cellStyle name="Note 14 3 2 3 4 2 2 2" xfId="21931"/>
    <cellStyle name="Note 14 3 2 3 4 2 2 2 2" xfId="44518"/>
    <cellStyle name="Note 14 3 2 3 4 2 2 3" xfId="12271"/>
    <cellStyle name="Note 14 3 2 3 4 2 2 3 2" xfId="34858"/>
    <cellStyle name="Note 14 3 2 3 4 2 2 4" xfId="28418"/>
    <cellStyle name="Note 14 3 2 3 4 2 3" xfId="18711"/>
    <cellStyle name="Note 14 3 2 3 4 2 3 2" xfId="41298"/>
    <cellStyle name="Note 14 3 2 3 4 2 4" xfId="15491"/>
    <cellStyle name="Note 14 3 2 3 4 2 4 2" xfId="38078"/>
    <cellStyle name="Note 14 3 2 3 4 2 5" xfId="9051"/>
    <cellStyle name="Note 14 3 2 3 4 2 5 2" xfId="31638"/>
    <cellStyle name="Note 14 3 2 3 4 2 6" xfId="25198"/>
    <cellStyle name="Note 14 3 2 3 4 3" xfId="4523"/>
    <cellStyle name="Note 14 3 2 3 4 3 2" xfId="20623"/>
    <cellStyle name="Note 14 3 2 3 4 3 2 2" xfId="43210"/>
    <cellStyle name="Note 14 3 2 3 4 3 3" xfId="10963"/>
    <cellStyle name="Note 14 3 2 3 4 3 3 2" xfId="33550"/>
    <cellStyle name="Note 14 3 2 3 4 3 4" xfId="27110"/>
    <cellStyle name="Note 14 3 2 3 4 4" xfId="17403"/>
    <cellStyle name="Note 14 3 2 3 4 4 2" xfId="39990"/>
    <cellStyle name="Note 14 3 2 3 4 5" xfId="14183"/>
    <cellStyle name="Note 14 3 2 3 4 5 2" xfId="36770"/>
    <cellStyle name="Note 14 3 2 3 4 6" xfId="7743"/>
    <cellStyle name="Note 14 3 2 3 4 6 2" xfId="30330"/>
    <cellStyle name="Note 14 3 2 3 4 7" xfId="23890"/>
    <cellStyle name="Note 14 3 2 3 5" xfId="1784"/>
    <cellStyle name="Note 14 3 2 3 5 2" xfId="5007"/>
    <cellStyle name="Note 14 3 2 3 5 2 2" xfId="21107"/>
    <cellStyle name="Note 14 3 2 3 5 2 2 2" xfId="43694"/>
    <cellStyle name="Note 14 3 2 3 5 2 3" xfId="11447"/>
    <cellStyle name="Note 14 3 2 3 5 2 3 2" xfId="34034"/>
    <cellStyle name="Note 14 3 2 3 5 2 4" xfId="27594"/>
    <cellStyle name="Note 14 3 2 3 5 3" xfId="17887"/>
    <cellStyle name="Note 14 3 2 3 5 3 2" xfId="40474"/>
    <cellStyle name="Note 14 3 2 3 5 4" xfId="14667"/>
    <cellStyle name="Note 14 3 2 3 5 4 2" xfId="37254"/>
    <cellStyle name="Note 14 3 2 3 5 5" xfId="8227"/>
    <cellStyle name="Note 14 3 2 3 5 5 2" xfId="30814"/>
    <cellStyle name="Note 14 3 2 3 5 6" xfId="24374"/>
    <cellStyle name="Note 14 3 2 3 6" xfId="1915"/>
    <cellStyle name="Note 14 3 2 3 6 2" xfId="5137"/>
    <cellStyle name="Note 14 3 2 3 6 2 2" xfId="21237"/>
    <cellStyle name="Note 14 3 2 3 6 2 2 2" xfId="43824"/>
    <cellStyle name="Note 14 3 2 3 6 2 3" xfId="11577"/>
    <cellStyle name="Note 14 3 2 3 6 2 3 2" xfId="34164"/>
    <cellStyle name="Note 14 3 2 3 6 2 4" xfId="27724"/>
    <cellStyle name="Note 14 3 2 3 6 3" xfId="18017"/>
    <cellStyle name="Note 14 3 2 3 6 3 2" xfId="40604"/>
    <cellStyle name="Note 14 3 2 3 6 4" xfId="14797"/>
    <cellStyle name="Note 14 3 2 3 6 4 2" xfId="37384"/>
    <cellStyle name="Note 14 3 2 3 6 5" xfId="8357"/>
    <cellStyle name="Note 14 3 2 3 6 5 2" xfId="30944"/>
    <cellStyle name="Note 14 3 2 3 6 6" xfId="24504"/>
    <cellStyle name="Note 14 3 2 3 7" xfId="2975"/>
    <cellStyle name="Note 14 3 2 3 7 2" xfId="6195"/>
    <cellStyle name="Note 14 3 2 3 7 2 2" xfId="22295"/>
    <cellStyle name="Note 14 3 2 3 7 2 2 2" xfId="44882"/>
    <cellStyle name="Note 14 3 2 3 7 2 3" xfId="12635"/>
    <cellStyle name="Note 14 3 2 3 7 2 3 2" xfId="35222"/>
    <cellStyle name="Note 14 3 2 3 7 2 4" xfId="28782"/>
    <cellStyle name="Note 14 3 2 3 7 3" xfId="19075"/>
    <cellStyle name="Note 14 3 2 3 7 3 2" xfId="41662"/>
    <cellStyle name="Note 14 3 2 3 7 4" xfId="15855"/>
    <cellStyle name="Note 14 3 2 3 7 4 2" xfId="38442"/>
    <cellStyle name="Note 14 3 2 3 7 5" xfId="9415"/>
    <cellStyle name="Note 14 3 2 3 7 5 2" xfId="32002"/>
    <cellStyle name="Note 14 3 2 3 7 6" xfId="25562"/>
    <cellStyle name="Note 14 3 2 3 8" xfId="3265"/>
    <cellStyle name="Note 14 3 2 3 8 2" xfId="6485"/>
    <cellStyle name="Note 14 3 2 3 8 2 2" xfId="22585"/>
    <cellStyle name="Note 14 3 2 3 8 2 2 2" xfId="45172"/>
    <cellStyle name="Note 14 3 2 3 8 2 3" xfId="12925"/>
    <cellStyle name="Note 14 3 2 3 8 2 3 2" xfId="35512"/>
    <cellStyle name="Note 14 3 2 3 8 2 4" xfId="29072"/>
    <cellStyle name="Note 14 3 2 3 8 3" xfId="19365"/>
    <cellStyle name="Note 14 3 2 3 8 3 2" xfId="41952"/>
    <cellStyle name="Note 14 3 2 3 8 4" xfId="16145"/>
    <cellStyle name="Note 14 3 2 3 8 4 2" xfId="38732"/>
    <cellStyle name="Note 14 3 2 3 8 5" xfId="9705"/>
    <cellStyle name="Note 14 3 2 3 8 5 2" xfId="32292"/>
    <cellStyle name="Note 14 3 2 3 8 6" xfId="25852"/>
    <cellStyle name="Note 14 3 2 3 9" xfId="542"/>
    <cellStyle name="Note 14 3 2 3 9 2" xfId="3829"/>
    <cellStyle name="Note 14 3 2 3 9 2 2" xfId="19929"/>
    <cellStyle name="Note 14 3 2 3 9 2 2 2" xfId="42516"/>
    <cellStyle name="Note 14 3 2 3 9 2 3" xfId="10269"/>
    <cellStyle name="Note 14 3 2 3 9 2 3 2" xfId="32856"/>
    <cellStyle name="Note 14 3 2 3 9 2 4" xfId="26416"/>
    <cellStyle name="Note 14 3 2 3 9 3" xfId="16709"/>
    <cellStyle name="Note 14 3 2 3 9 3 2" xfId="39296"/>
    <cellStyle name="Note 14 3 2 3 9 4" xfId="13489"/>
    <cellStyle name="Note 14 3 2 3 9 4 2" xfId="36076"/>
    <cellStyle name="Note 14 3 2 3 9 5" xfId="7049"/>
    <cellStyle name="Note 14 3 2 3 9 5 2" xfId="29636"/>
    <cellStyle name="Note 14 3 2 3 9 6" xfId="23196"/>
    <cellStyle name="Note 14 3 2 4" xfId="368"/>
    <cellStyle name="Note 14 3 2 4 10" xfId="16535"/>
    <cellStyle name="Note 14 3 2 4 10 2" xfId="39122"/>
    <cellStyle name="Note 14 3 2 4 11" xfId="13315"/>
    <cellStyle name="Note 14 3 2 4 11 2" xfId="35902"/>
    <cellStyle name="Note 14 3 2 4 12" xfId="6875"/>
    <cellStyle name="Note 14 3 2 4 12 2" xfId="29462"/>
    <cellStyle name="Note 14 3 2 4 13" xfId="23022"/>
    <cellStyle name="Note 14 3 2 4 2" xfId="991"/>
    <cellStyle name="Note 14 3 2 4 2 2" xfId="2305"/>
    <cellStyle name="Note 14 3 2 4 2 2 2" xfId="5526"/>
    <cellStyle name="Note 14 3 2 4 2 2 2 2" xfId="21626"/>
    <cellStyle name="Note 14 3 2 4 2 2 2 2 2" xfId="44213"/>
    <cellStyle name="Note 14 3 2 4 2 2 2 3" xfId="11966"/>
    <cellStyle name="Note 14 3 2 4 2 2 2 3 2" xfId="34553"/>
    <cellStyle name="Note 14 3 2 4 2 2 2 4" xfId="28113"/>
    <cellStyle name="Note 14 3 2 4 2 2 3" xfId="18406"/>
    <cellStyle name="Note 14 3 2 4 2 2 3 2" xfId="40993"/>
    <cellStyle name="Note 14 3 2 4 2 2 4" xfId="15186"/>
    <cellStyle name="Note 14 3 2 4 2 2 4 2" xfId="37773"/>
    <cellStyle name="Note 14 3 2 4 2 2 5" xfId="8746"/>
    <cellStyle name="Note 14 3 2 4 2 2 5 2" xfId="31333"/>
    <cellStyle name="Note 14 3 2 4 2 2 6" xfId="24893"/>
    <cellStyle name="Note 14 3 2 4 2 3" xfId="4218"/>
    <cellStyle name="Note 14 3 2 4 2 3 2" xfId="20318"/>
    <cellStyle name="Note 14 3 2 4 2 3 2 2" xfId="42905"/>
    <cellStyle name="Note 14 3 2 4 2 3 3" xfId="10658"/>
    <cellStyle name="Note 14 3 2 4 2 3 3 2" xfId="33245"/>
    <cellStyle name="Note 14 3 2 4 2 3 4" xfId="26805"/>
    <cellStyle name="Note 14 3 2 4 2 4" xfId="17098"/>
    <cellStyle name="Note 14 3 2 4 2 4 2" xfId="39685"/>
    <cellStyle name="Note 14 3 2 4 2 5" xfId="13878"/>
    <cellStyle name="Note 14 3 2 4 2 5 2" xfId="36465"/>
    <cellStyle name="Note 14 3 2 4 2 6" xfId="7438"/>
    <cellStyle name="Note 14 3 2 4 2 6 2" xfId="30025"/>
    <cellStyle name="Note 14 3 2 4 2 7" xfId="23585"/>
    <cellStyle name="Note 14 3 2 4 3" xfId="1338"/>
    <cellStyle name="Note 14 3 2 4 3 2" xfId="2652"/>
    <cellStyle name="Note 14 3 2 4 3 2 2" xfId="5873"/>
    <cellStyle name="Note 14 3 2 4 3 2 2 2" xfId="21973"/>
    <cellStyle name="Note 14 3 2 4 3 2 2 2 2" xfId="44560"/>
    <cellStyle name="Note 14 3 2 4 3 2 2 3" xfId="12313"/>
    <cellStyle name="Note 14 3 2 4 3 2 2 3 2" xfId="34900"/>
    <cellStyle name="Note 14 3 2 4 3 2 2 4" xfId="28460"/>
    <cellStyle name="Note 14 3 2 4 3 2 3" xfId="18753"/>
    <cellStyle name="Note 14 3 2 4 3 2 3 2" xfId="41340"/>
    <cellStyle name="Note 14 3 2 4 3 2 4" xfId="15533"/>
    <cellStyle name="Note 14 3 2 4 3 2 4 2" xfId="38120"/>
    <cellStyle name="Note 14 3 2 4 3 2 5" xfId="9093"/>
    <cellStyle name="Note 14 3 2 4 3 2 5 2" xfId="31680"/>
    <cellStyle name="Note 14 3 2 4 3 2 6" xfId="25240"/>
    <cellStyle name="Note 14 3 2 4 3 3" xfId="4565"/>
    <cellStyle name="Note 14 3 2 4 3 3 2" xfId="20665"/>
    <cellStyle name="Note 14 3 2 4 3 3 2 2" xfId="43252"/>
    <cellStyle name="Note 14 3 2 4 3 3 3" xfId="11005"/>
    <cellStyle name="Note 14 3 2 4 3 3 3 2" xfId="33592"/>
    <cellStyle name="Note 14 3 2 4 3 3 4" xfId="27152"/>
    <cellStyle name="Note 14 3 2 4 3 4" xfId="17445"/>
    <cellStyle name="Note 14 3 2 4 3 4 2" xfId="40032"/>
    <cellStyle name="Note 14 3 2 4 3 5" xfId="14225"/>
    <cellStyle name="Note 14 3 2 4 3 5 2" xfId="36812"/>
    <cellStyle name="Note 14 3 2 4 3 6" xfId="7785"/>
    <cellStyle name="Note 14 3 2 4 3 6 2" xfId="30372"/>
    <cellStyle name="Note 14 3 2 4 3 7" xfId="23932"/>
    <cellStyle name="Note 14 3 2 4 4" xfId="1785"/>
    <cellStyle name="Note 14 3 2 4 4 2" xfId="5008"/>
    <cellStyle name="Note 14 3 2 4 4 2 2" xfId="21108"/>
    <cellStyle name="Note 14 3 2 4 4 2 2 2" xfId="43695"/>
    <cellStyle name="Note 14 3 2 4 4 2 3" xfId="11448"/>
    <cellStyle name="Note 14 3 2 4 4 2 3 2" xfId="34035"/>
    <cellStyle name="Note 14 3 2 4 4 2 4" xfId="27595"/>
    <cellStyle name="Note 14 3 2 4 4 3" xfId="17888"/>
    <cellStyle name="Note 14 3 2 4 4 3 2" xfId="40475"/>
    <cellStyle name="Note 14 3 2 4 4 4" xfId="14668"/>
    <cellStyle name="Note 14 3 2 4 4 4 2" xfId="37255"/>
    <cellStyle name="Note 14 3 2 4 4 5" xfId="8228"/>
    <cellStyle name="Note 14 3 2 4 4 5 2" xfId="30815"/>
    <cellStyle name="Note 14 3 2 4 4 6" xfId="24375"/>
    <cellStyle name="Note 14 3 2 4 5" xfId="1957"/>
    <cellStyle name="Note 14 3 2 4 5 2" xfId="5179"/>
    <cellStyle name="Note 14 3 2 4 5 2 2" xfId="21279"/>
    <cellStyle name="Note 14 3 2 4 5 2 2 2" xfId="43866"/>
    <cellStyle name="Note 14 3 2 4 5 2 3" xfId="11619"/>
    <cellStyle name="Note 14 3 2 4 5 2 3 2" xfId="34206"/>
    <cellStyle name="Note 14 3 2 4 5 2 4" xfId="27766"/>
    <cellStyle name="Note 14 3 2 4 5 3" xfId="18059"/>
    <cellStyle name="Note 14 3 2 4 5 3 2" xfId="40646"/>
    <cellStyle name="Note 14 3 2 4 5 4" xfId="14839"/>
    <cellStyle name="Note 14 3 2 4 5 4 2" xfId="37426"/>
    <cellStyle name="Note 14 3 2 4 5 5" xfId="8399"/>
    <cellStyle name="Note 14 3 2 4 5 5 2" xfId="30986"/>
    <cellStyle name="Note 14 3 2 4 5 6" xfId="24546"/>
    <cellStyle name="Note 14 3 2 4 6" xfId="3075"/>
    <cellStyle name="Note 14 3 2 4 6 2" xfId="6295"/>
    <cellStyle name="Note 14 3 2 4 6 2 2" xfId="22395"/>
    <cellStyle name="Note 14 3 2 4 6 2 2 2" xfId="44982"/>
    <cellStyle name="Note 14 3 2 4 6 2 3" xfId="12735"/>
    <cellStyle name="Note 14 3 2 4 6 2 3 2" xfId="35322"/>
    <cellStyle name="Note 14 3 2 4 6 2 4" xfId="28882"/>
    <cellStyle name="Note 14 3 2 4 6 3" xfId="19175"/>
    <cellStyle name="Note 14 3 2 4 6 3 2" xfId="41762"/>
    <cellStyle name="Note 14 3 2 4 6 4" xfId="15955"/>
    <cellStyle name="Note 14 3 2 4 6 4 2" xfId="38542"/>
    <cellStyle name="Note 14 3 2 4 6 5" xfId="9515"/>
    <cellStyle name="Note 14 3 2 4 6 5 2" xfId="32102"/>
    <cellStyle name="Note 14 3 2 4 6 6" xfId="25662"/>
    <cellStyle name="Note 14 3 2 4 7" xfId="3365"/>
    <cellStyle name="Note 14 3 2 4 7 2" xfId="6585"/>
    <cellStyle name="Note 14 3 2 4 7 2 2" xfId="22685"/>
    <cellStyle name="Note 14 3 2 4 7 2 2 2" xfId="45272"/>
    <cellStyle name="Note 14 3 2 4 7 2 3" xfId="13025"/>
    <cellStyle name="Note 14 3 2 4 7 2 3 2" xfId="35612"/>
    <cellStyle name="Note 14 3 2 4 7 2 4" xfId="29172"/>
    <cellStyle name="Note 14 3 2 4 7 3" xfId="19465"/>
    <cellStyle name="Note 14 3 2 4 7 3 2" xfId="42052"/>
    <cellStyle name="Note 14 3 2 4 7 4" xfId="16245"/>
    <cellStyle name="Note 14 3 2 4 7 4 2" xfId="38832"/>
    <cellStyle name="Note 14 3 2 4 7 5" xfId="9805"/>
    <cellStyle name="Note 14 3 2 4 7 5 2" xfId="32392"/>
    <cellStyle name="Note 14 3 2 4 7 6" xfId="25952"/>
    <cellStyle name="Note 14 3 2 4 8" xfId="627"/>
    <cellStyle name="Note 14 3 2 4 8 2" xfId="3871"/>
    <cellStyle name="Note 14 3 2 4 8 2 2" xfId="19971"/>
    <cellStyle name="Note 14 3 2 4 8 2 2 2" xfId="42558"/>
    <cellStyle name="Note 14 3 2 4 8 2 3" xfId="10311"/>
    <cellStyle name="Note 14 3 2 4 8 2 3 2" xfId="32898"/>
    <cellStyle name="Note 14 3 2 4 8 2 4" xfId="26458"/>
    <cellStyle name="Note 14 3 2 4 8 3" xfId="16751"/>
    <cellStyle name="Note 14 3 2 4 8 3 2" xfId="39338"/>
    <cellStyle name="Note 14 3 2 4 8 4" xfId="13531"/>
    <cellStyle name="Note 14 3 2 4 8 4 2" xfId="36118"/>
    <cellStyle name="Note 14 3 2 4 8 5" xfId="7091"/>
    <cellStyle name="Note 14 3 2 4 8 5 2" xfId="29678"/>
    <cellStyle name="Note 14 3 2 4 8 6" xfId="23238"/>
    <cellStyle name="Note 14 3 2 4 9" xfId="3655"/>
    <cellStyle name="Note 14 3 2 4 9 2" xfId="19755"/>
    <cellStyle name="Note 14 3 2 4 9 2 2" xfId="42342"/>
    <cellStyle name="Note 14 3 2 4 9 3" xfId="10095"/>
    <cellStyle name="Note 14 3 2 4 9 3 2" xfId="32682"/>
    <cellStyle name="Note 14 3 2 4 9 4" xfId="26242"/>
    <cellStyle name="Note 14 3 2 5" xfId="797"/>
    <cellStyle name="Note 14 3 2 5 2" xfId="1149"/>
    <cellStyle name="Note 14 3 2 5 2 2" xfId="2463"/>
    <cellStyle name="Note 14 3 2 5 2 2 2" xfId="5684"/>
    <cellStyle name="Note 14 3 2 5 2 2 2 2" xfId="21784"/>
    <cellStyle name="Note 14 3 2 5 2 2 2 2 2" xfId="44371"/>
    <cellStyle name="Note 14 3 2 5 2 2 2 3" xfId="12124"/>
    <cellStyle name="Note 14 3 2 5 2 2 2 3 2" xfId="34711"/>
    <cellStyle name="Note 14 3 2 5 2 2 2 4" xfId="28271"/>
    <cellStyle name="Note 14 3 2 5 2 2 3" xfId="18564"/>
    <cellStyle name="Note 14 3 2 5 2 2 3 2" xfId="41151"/>
    <cellStyle name="Note 14 3 2 5 2 2 4" xfId="15344"/>
    <cellStyle name="Note 14 3 2 5 2 2 4 2" xfId="37931"/>
    <cellStyle name="Note 14 3 2 5 2 2 5" xfId="8904"/>
    <cellStyle name="Note 14 3 2 5 2 2 5 2" xfId="31491"/>
    <cellStyle name="Note 14 3 2 5 2 2 6" xfId="25051"/>
    <cellStyle name="Note 14 3 2 5 2 3" xfId="4376"/>
    <cellStyle name="Note 14 3 2 5 2 3 2" xfId="20476"/>
    <cellStyle name="Note 14 3 2 5 2 3 2 2" xfId="43063"/>
    <cellStyle name="Note 14 3 2 5 2 3 3" xfId="10816"/>
    <cellStyle name="Note 14 3 2 5 2 3 3 2" xfId="33403"/>
    <cellStyle name="Note 14 3 2 5 2 3 4" xfId="26963"/>
    <cellStyle name="Note 14 3 2 5 2 4" xfId="17256"/>
    <cellStyle name="Note 14 3 2 5 2 4 2" xfId="39843"/>
    <cellStyle name="Note 14 3 2 5 2 5" xfId="14036"/>
    <cellStyle name="Note 14 3 2 5 2 5 2" xfId="36623"/>
    <cellStyle name="Note 14 3 2 5 2 6" xfId="7596"/>
    <cellStyle name="Note 14 3 2 5 2 6 2" xfId="30183"/>
    <cellStyle name="Note 14 3 2 5 2 7" xfId="23743"/>
    <cellStyle name="Note 14 3 2 5 3" xfId="1496"/>
    <cellStyle name="Note 14 3 2 5 3 2" xfId="2810"/>
    <cellStyle name="Note 14 3 2 5 3 2 2" xfId="6031"/>
    <cellStyle name="Note 14 3 2 5 3 2 2 2" xfId="22131"/>
    <cellStyle name="Note 14 3 2 5 3 2 2 2 2" xfId="44718"/>
    <cellStyle name="Note 14 3 2 5 3 2 2 3" xfId="12471"/>
    <cellStyle name="Note 14 3 2 5 3 2 2 3 2" xfId="35058"/>
    <cellStyle name="Note 14 3 2 5 3 2 2 4" xfId="28618"/>
    <cellStyle name="Note 14 3 2 5 3 2 3" xfId="18911"/>
    <cellStyle name="Note 14 3 2 5 3 2 3 2" xfId="41498"/>
    <cellStyle name="Note 14 3 2 5 3 2 4" xfId="15691"/>
    <cellStyle name="Note 14 3 2 5 3 2 4 2" xfId="38278"/>
    <cellStyle name="Note 14 3 2 5 3 2 5" xfId="9251"/>
    <cellStyle name="Note 14 3 2 5 3 2 5 2" xfId="31838"/>
    <cellStyle name="Note 14 3 2 5 3 2 6" xfId="25398"/>
    <cellStyle name="Note 14 3 2 5 3 3" xfId="4723"/>
    <cellStyle name="Note 14 3 2 5 3 3 2" xfId="20823"/>
    <cellStyle name="Note 14 3 2 5 3 3 2 2" xfId="43410"/>
    <cellStyle name="Note 14 3 2 5 3 3 3" xfId="11163"/>
    <cellStyle name="Note 14 3 2 5 3 3 3 2" xfId="33750"/>
    <cellStyle name="Note 14 3 2 5 3 3 4" xfId="27310"/>
    <cellStyle name="Note 14 3 2 5 3 4" xfId="17603"/>
    <cellStyle name="Note 14 3 2 5 3 4 2" xfId="40190"/>
    <cellStyle name="Note 14 3 2 5 3 5" xfId="14383"/>
    <cellStyle name="Note 14 3 2 5 3 5 2" xfId="36970"/>
    <cellStyle name="Note 14 3 2 5 3 6" xfId="7943"/>
    <cellStyle name="Note 14 3 2 5 3 6 2" xfId="30530"/>
    <cellStyle name="Note 14 3 2 5 3 7" xfId="24090"/>
    <cellStyle name="Note 14 3 2 5 4" xfId="2116"/>
    <cellStyle name="Note 14 3 2 5 4 2" xfId="5337"/>
    <cellStyle name="Note 14 3 2 5 4 2 2" xfId="21437"/>
    <cellStyle name="Note 14 3 2 5 4 2 2 2" xfId="44024"/>
    <cellStyle name="Note 14 3 2 5 4 2 3" xfId="11777"/>
    <cellStyle name="Note 14 3 2 5 4 2 3 2" xfId="34364"/>
    <cellStyle name="Note 14 3 2 5 4 2 4" xfId="27924"/>
    <cellStyle name="Note 14 3 2 5 4 3" xfId="18217"/>
    <cellStyle name="Note 14 3 2 5 4 3 2" xfId="40804"/>
    <cellStyle name="Note 14 3 2 5 4 4" xfId="14997"/>
    <cellStyle name="Note 14 3 2 5 4 4 2" xfId="37584"/>
    <cellStyle name="Note 14 3 2 5 4 5" xfId="8557"/>
    <cellStyle name="Note 14 3 2 5 4 5 2" xfId="31144"/>
    <cellStyle name="Note 14 3 2 5 4 6" xfId="24704"/>
    <cellStyle name="Note 14 3 2 5 5" xfId="4029"/>
    <cellStyle name="Note 14 3 2 5 5 2" xfId="20129"/>
    <cellStyle name="Note 14 3 2 5 5 2 2" xfId="42716"/>
    <cellStyle name="Note 14 3 2 5 5 3" xfId="10469"/>
    <cellStyle name="Note 14 3 2 5 5 3 2" xfId="33056"/>
    <cellStyle name="Note 14 3 2 5 5 4" xfId="26616"/>
    <cellStyle name="Note 14 3 2 5 6" xfId="16909"/>
    <cellStyle name="Note 14 3 2 5 6 2" xfId="39496"/>
    <cellStyle name="Note 14 3 2 5 7" xfId="13689"/>
    <cellStyle name="Note 14 3 2 5 7 2" xfId="36276"/>
    <cellStyle name="Note 14 3 2 5 8" xfId="7249"/>
    <cellStyle name="Note 14 3 2 5 8 2" xfId="29836"/>
    <cellStyle name="Note 14 3 2 5 9" xfId="23396"/>
    <cellStyle name="Note 14 3 2 6" xfId="867"/>
    <cellStyle name="Note 14 3 2 6 2" xfId="2186"/>
    <cellStyle name="Note 14 3 2 6 2 2" xfId="5407"/>
    <cellStyle name="Note 14 3 2 6 2 2 2" xfId="21507"/>
    <cellStyle name="Note 14 3 2 6 2 2 2 2" xfId="44094"/>
    <cellStyle name="Note 14 3 2 6 2 2 3" xfId="11847"/>
    <cellStyle name="Note 14 3 2 6 2 2 3 2" xfId="34434"/>
    <cellStyle name="Note 14 3 2 6 2 2 4" xfId="27994"/>
    <cellStyle name="Note 14 3 2 6 2 3" xfId="18287"/>
    <cellStyle name="Note 14 3 2 6 2 3 2" xfId="40874"/>
    <cellStyle name="Note 14 3 2 6 2 4" xfId="15067"/>
    <cellStyle name="Note 14 3 2 6 2 4 2" xfId="37654"/>
    <cellStyle name="Note 14 3 2 6 2 5" xfId="8627"/>
    <cellStyle name="Note 14 3 2 6 2 5 2" xfId="31214"/>
    <cellStyle name="Note 14 3 2 6 2 6" xfId="24774"/>
    <cellStyle name="Note 14 3 2 6 3" xfId="4099"/>
    <cellStyle name="Note 14 3 2 6 3 2" xfId="20199"/>
    <cellStyle name="Note 14 3 2 6 3 2 2" xfId="42786"/>
    <cellStyle name="Note 14 3 2 6 3 3" xfId="10539"/>
    <cellStyle name="Note 14 3 2 6 3 3 2" xfId="33126"/>
    <cellStyle name="Note 14 3 2 6 3 4" xfId="26686"/>
    <cellStyle name="Note 14 3 2 6 4" xfId="16979"/>
    <cellStyle name="Note 14 3 2 6 4 2" xfId="39566"/>
    <cellStyle name="Note 14 3 2 6 5" xfId="13759"/>
    <cellStyle name="Note 14 3 2 6 5 2" xfId="36346"/>
    <cellStyle name="Note 14 3 2 6 6" xfId="7319"/>
    <cellStyle name="Note 14 3 2 6 6 2" xfId="29906"/>
    <cellStyle name="Note 14 3 2 6 7" xfId="23466"/>
    <cellStyle name="Note 14 3 2 7" xfId="1219"/>
    <cellStyle name="Note 14 3 2 7 2" xfId="2533"/>
    <cellStyle name="Note 14 3 2 7 2 2" xfId="5754"/>
    <cellStyle name="Note 14 3 2 7 2 2 2" xfId="21854"/>
    <cellStyle name="Note 14 3 2 7 2 2 2 2" xfId="44441"/>
    <cellStyle name="Note 14 3 2 7 2 2 3" xfId="12194"/>
    <cellStyle name="Note 14 3 2 7 2 2 3 2" xfId="34781"/>
    <cellStyle name="Note 14 3 2 7 2 2 4" xfId="28341"/>
    <cellStyle name="Note 14 3 2 7 2 3" xfId="18634"/>
    <cellStyle name="Note 14 3 2 7 2 3 2" xfId="41221"/>
    <cellStyle name="Note 14 3 2 7 2 4" xfId="15414"/>
    <cellStyle name="Note 14 3 2 7 2 4 2" xfId="38001"/>
    <cellStyle name="Note 14 3 2 7 2 5" xfId="8974"/>
    <cellStyle name="Note 14 3 2 7 2 5 2" xfId="31561"/>
    <cellStyle name="Note 14 3 2 7 2 6" xfId="25121"/>
    <cellStyle name="Note 14 3 2 7 3" xfId="4446"/>
    <cellStyle name="Note 14 3 2 7 3 2" xfId="20546"/>
    <cellStyle name="Note 14 3 2 7 3 2 2" xfId="43133"/>
    <cellStyle name="Note 14 3 2 7 3 3" xfId="10886"/>
    <cellStyle name="Note 14 3 2 7 3 3 2" xfId="33473"/>
    <cellStyle name="Note 14 3 2 7 3 4" xfId="27033"/>
    <cellStyle name="Note 14 3 2 7 4" xfId="17326"/>
    <cellStyle name="Note 14 3 2 7 4 2" xfId="39913"/>
    <cellStyle name="Note 14 3 2 7 5" xfId="14106"/>
    <cellStyle name="Note 14 3 2 7 5 2" xfId="36693"/>
    <cellStyle name="Note 14 3 2 7 6" xfId="7666"/>
    <cellStyle name="Note 14 3 2 7 6 2" xfId="30253"/>
    <cellStyle name="Note 14 3 2 7 7" xfId="23813"/>
    <cellStyle name="Note 14 3 2 8" xfId="1786"/>
    <cellStyle name="Note 14 3 2 8 2" xfId="5009"/>
    <cellStyle name="Note 14 3 2 8 2 2" xfId="21109"/>
    <cellStyle name="Note 14 3 2 8 2 2 2" xfId="43696"/>
    <cellStyle name="Note 14 3 2 8 2 3" xfId="11449"/>
    <cellStyle name="Note 14 3 2 8 2 3 2" xfId="34036"/>
    <cellStyle name="Note 14 3 2 8 2 4" xfId="27596"/>
    <cellStyle name="Note 14 3 2 8 3" xfId="17889"/>
    <cellStyle name="Note 14 3 2 8 3 2" xfId="40476"/>
    <cellStyle name="Note 14 3 2 8 4" xfId="14669"/>
    <cellStyle name="Note 14 3 2 8 4 2" xfId="37256"/>
    <cellStyle name="Note 14 3 2 8 5" xfId="8229"/>
    <cellStyle name="Note 14 3 2 8 5 2" xfId="30816"/>
    <cellStyle name="Note 14 3 2 8 6" xfId="24376"/>
    <cellStyle name="Note 14 3 2 9" xfId="1838"/>
    <cellStyle name="Note 14 3 2 9 2" xfId="5060"/>
    <cellStyle name="Note 14 3 2 9 2 2" xfId="21160"/>
    <cellStyle name="Note 14 3 2 9 2 2 2" xfId="43747"/>
    <cellStyle name="Note 14 3 2 9 2 3" xfId="11500"/>
    <cellStyle name="Note 14 3 2 9 2 3 2" xfId="34087"/>
    <cellStyle name="Note 14 3 2 9 2 4" xfId="27647"/>
    <cellStyle name="Note 14 3 2 9 3" xfId="17940"/>
    <cellStyle name="Note 14 3 2 9 3 2" xfId="40527"/>
    <cellStyle name="Note 14 3 2 9 4" xfId="14720"/>
    <cellStyle name="Note 14 3 2 9 4 2" xfId="37307"/>
    <cellStyle name="Note 14 3 2 9 5" xfId="8280"/>
    <cellStyle name="Note 14 3 2 9 5 2" xfId="30867"/>
    <cellStyle name="Note 14 3 2 9 6" xfId="24427"/>
    <cellStyle name="Note 14 3 3" xfId="144"/>
    <cellStyle name="Note 14 3 3 10" xfId="482"/>
    <cellStyle name="Note 14 3 3 10 2" xfId="3769"/>
    <cellStyle name="Note 14 3 3 10 2 2" xfId="19869"/>
    <cellStyle name="Note 14 3 3 10 2 2 2" xfId="42456"/>
    <cellStyle name="Note 14 3 3 10 2 3" xfId="10209"/>
    <cellStyle name="Note 14 3 3 10 2 3 2" xfId="32796"/>
    <cellStyle name="Note 14 3 3 10 2 4" xfId="26356"/>
    <cellStyle name="Note 14 3 3 10 3" xfId="16649"/>
    <cellStyle name="Note 14 3 3 10 3 2" xfId="39236"/>
    <cellStyle name="Note 14 3 3 10 4" xfId="13429"/>
    <cellStyle name="Note 14 3 3 10 4 2" xfId="36016"/>
    <cellStyle name="Note 14 3 3 10 5" xfId="6989"/>
    <cellStyle name="Note 14 3 3 10 5 2" xfId="29576"/>
    <cellStyle name="Note 14 3 3 10 6" xfId="23136"/>
    <cellStyle name="Note 14 3 3 11" xfId="3479"/>
    <cellStyle name="Note 14 3 3 11 2" xfId="19579"/>
    <cellStyle name="Note 14 3 3 11 2 2" xfId="42166"/>
    <cellStyle name="Note 14 3 3 11 3" xfId="9919"/>
    <cellStyle name="Note 14 3 3 11 3 2" xfId="32506"/>
    <cellStyle name="Note 14 3 3 11 4" xfId="26066"/>
    <cellStyle name="Note 14 3 3 12" xfId="16359"/>
    <cellStyle name="Note 14 3 3 12 2" xfId="38946"/>
    <cellStyle name="Note 14 3 3 13" xfId="13139"/>
    <cellStyle name="Note 14 3 3 13 2" xfId="35726"/>
    <cellStyle name="Note 14 3 3 14" xfId="6699"/>
    <cellStyle name="Note 14 3 3 14 2" xfId="29286"/>
    <cellStyle name="Note 14 3 3 15" xfId="22846"/>
    <cellStyle name="Note 14 3 3 2" xfId="290"/>
    <cellStyle name="Note 14 3 3 2 10" xfId="16457"/>
    <cellStyle name="Note 14 3 3 2 10 2" xfId="39044"/>
    <cellStyle name="Note 14 3 3 2 11" xfId="13237"/>
    <cellStyle name="Note 14 3 3 2 11 2" xfId="35824"/>
    <cellStyle name="Note 14 3 3 2 12" xfId="6797"/>
    <cellStyle name="Note 14 3 3 2 12 2" xfId="29384"/>
    <cellStyle name="Note 14 3 3 2 13" xfId="22944"/>
    <cellStyle name="Note 14 3 3 2 2" xfId="1008"/>
    <cellStyle name="Note 14 3 3 2 2 2" xfId="2322"/>
    <cellStyle name="Note 14 3 3 2 2 2 2" xfId="5543"/>
    <cellStyle name="Note 14 3 3 2 2 2 2 2" xfId="21643"/>
    <cellStyle name="Note 14 3 3 2 2 2 2 2 2" xfId="44230"/>
    <cellStyle name="Note 14 3 3 2 2 2 2 3" xfId="11983"/>
    <cellStyle name="Note 14 3 3 2 2 2 2 3 2" xfId="34570"/>
    <cellStyle name="Note 14 3 3 2 2 2 2 4" xfId="28130"/>
    <cellStyle name="Note 14 3 3 2 2 2 3" xfId="18423"/>
    <cellStyle name="Note 14 3 3 2 2 2 3 2" xfId="41010"/>
    <cellStyle name="Note 14 3 3 2 2 2 4" xfId="15203"/>
    <cellStyle name="Note 14 3 3 2 2 2 4 2" xfId="37790"/>
    <cellStyle name="Note 14 3 3 2 2 2 5" xfId="8763"/>
    <cellStyle name="Note 14 3 3 2 2 2 5 2" xfId="31350"/>
    <cellStyle name="Note 14 3 3 2 2 2 6" xfId="24910"/>
    <cellStyle name="Note 14 3 3 2 2 3" xfId="4235"/>
    <cellStyle name="Note 14 3 3 2 2 3 2" xfId="20335"/>
    <cellStyle name="Note 14 3 3 2 2 3 2 2" xfId="42922"/>
    <cellStyle name="Note 14 3 3 2 2 3 3" xfId="10675"/>
    <cellStyle name="Note 14 3 3 2 2 3 3 2" xfId="33262"/>
    <cellStyle name="Note 14 3 3 2 2 3 4" xfId="26822"/>
    <cellStyle name="Note 14 3 3 2 2 4" xfId="17115"/>
    <cellStyle name="Note 14 3 3 2 2 4 2" xfId="39702"/>
    <cellStyle name="Note 14 3 3 2 2 5" xfId="13895"/>
    <cellStyle name="Note 14 3 3 2 2 5 2" xfId="36482"/>
    <cellStyle name="Note 14 3 3 2 2 6" xfId="7455"/>
    <cellStyle name="Note 14 3 3 2 2 6 2" xfId="30042"/>
    <cellStyle name="Note 14 3 3 2 2 7" xfId="23602"/>
    <cellStyle name="Note 14 3 3 2 3" xfId="1355"/>
    <cellStyle name="Note 14 3 3 2 3 2" xfId="2669"/>
    <cellStyle name="Note 14 3 3 2 3 2 2" xfId="5890"/>
    <cellStyle name="Note 14 3 3 2 3 2 2 2" xfId="21990"/>
    <cellStyle name="Note 14 3 3 2 3 2 2 2 2" xfId="44577"/>
    <cellStyle name="Note 14 3 3 2 3 2 2 3" xfId="12330"/>
    <cellStyle name="Note 14 3 3 2 3 2 2 3 2" xfId="34917"/>
    <cellStyle name="Note 14 3 3 2 3 2 2 4" xfId="28477"/>
    <cellStyle name="Note 14 3 3 2 3 2 3" xfId="18770"/>
    <cellStyle name="Note 14 3 3 2 3 2 3 2" xfId="41357"/>
    <cellStyle name="Note 14 3 3 2 3 2 4" xfId="15550"/>
    <cellStyle name="Note 14 3 3 2 3 2 4 2" xfId="38137"/>
    <cellStyle name="Note 14 3 3 2 3 2 5" xfId="9110"/>
    <cellStyle name="Note 14 3 3 2 3 2 5 2" xfId="31697"/>
    <cellStyle name="Note 14 3 3 2 3 2 6" xfId="25257"/>
    <cellStyle name="Note 14 3 3 2 3 3" xfId="4582"/>
    <cellStyle name="Note 14 3 3 2 3 3 2" xfId="20682"/>
    <cellStyle name="Note 14 3 3 2 3 3 2 2" xfId="43269"/>
    <cellStyle name="Note 14 3 3 2 3 3 3" xfId="11022"/>
    <cellStyle name="Note 14 3 3 2 3 3 3 2" xfId="33609"/>
    <cellStyle name="Note 14 3 3 2 3 3 4" xfId="27169"/>
    <cellStyle name="Note 14 3 3 2 3 4" xfId="17462"/>
    <cellStyle name="Note 14 3 3 2 3 4 2" xfId="40049"/>
    <cellStyle name="Note 14 3 3 2 3 5" xfId="14242"/>
    <cellStyle name="Note 14 3 3 2 3 5 2" xfId="36829"/>
    <cellStyle name="Note 14 3 3 2 3 6" xfId="7802"/>
    <cellStyle name="Note 14 3 3 2 3 6 2" xfId="30389"/>
    <cellStyle name="Note 14 3 3 2 3 7" xfId="23949"/>
    <cellStyle name="Note 14 3 3 2 4" xfId="1787"/>
    <cellStyle name="Note 14 3 3 2 4 2" xfId="5010"/>
    <cellStyle name="Note 14 3 3 2 4 2 2" xfId="21110"/>
    <cellStyle name="Note 14 3 3 2 4 2 2 2" xfId="43697"/>
    <cellStyle name="Note 14 3 3 2 4 2 3" xfId="11450"/>
    <cellStyle name="Note 14 3 3 2 4 2 3 2" xfId="34037"/>
    <cellStyle name="Note 14 3 3 2 4 2 4" xfId="27597"/>
    <cellStyle name="Note 14 3 3 2 4 3" xfId="17890"/>
    <cellStyle name="Note 14 3 3 2 4 3 2" xfId="40477"/>
    <cellStyle name="Note 14 3 3 2 4 4" xfId="14670"/>
    <cellStyle name="Note 14 3 3 2 4 4 2" xfId="37257"/>
    <cellStyle name="Note 14 3 3 2 4 5" xfId="8230"/>
    <cellStyle name="Note 14 3 3 2 4 5 2" xfId="30817"/>
    <cellStyle name="Note 14 3 3 2 4 6" xfId="24377"/>
    <cellStyle name="Note 14 3 3 2 5" xfId="1974"/>
    <cellStyle name="Note 14 3 3 2 5 2" xfId="5196"/>
    <cellStyle name="Note 14 3 3 2 5 2 2" xfId="21296"/>
    <cellStyle name="Note 14 3 3 2 5 2 2 2" xfId="43883"/>
    <cellStyle name="Note 14 3 3 2 5 2 3" xfId="11636"/>
    <cellStyle name="Note 14 3 3 2 5 2 3 2" xfId="34223"/>
    <cellStyle name="Note 14 3 3 2 5 2 4" xfId="27783"/>
    <cellStyle name="Note 14 3 3 2 5 3" xfId="18076"/>
    <cellStyle name="Note 14 3 3 2 5 3 2" xfId="40663"/>
    <cellStyle name="Note 14 3 3 2 5 4" xfId="14856"/>
    <cellStyle name="Note 14 3 3 2 5 4 2" xfId="37443"/>
    <cellStyle name="Note 14 3 3 2 5 5" xfId="8416"/>
    <cellStyle name="Note 14 3 3 2 5 5 2" xfId="31003"/>
    <cellStyle name="Note 14 3 3 2 5 6" xfId="24563"/>
    <cellStyle name="Note 14 3 3 2 6" xfId="2997"/>
    <cellStyle name="Note 14 3 3 2 6 2" xfId="6217"/>
    <cellStyle name="Note 14 3 3 2 6 2 2" xfId="22317"/>
    <cellStyle name="Note 14 3 3 2 6 2 2 2" xfId="44904"/>
    <cellStyle name="Note 14 3 3 2 6 2 3" xfId="12657"/>
    <cellStyle name="Note 14 3 3 2 6 2 3 2" xfId="35244"/>
    <cellStyle name="Note 14 3 3 2 6 2 4" xfId="28804"/>
    <cellStyle name="Note 14 3 3 2 6 3" xfId="19097"/>
    <cellStyle name="Note 14 3 3 2 6 3 2" xfId="41684"/>
    <cellStyle name="Note 14 3 3 2 6 4" xfId="15877"/>
    <cellStyle name="Note 14 3 3 2 6 4 2" xfId="38464"/>
    <cellStyle name="Note 14 3 3 2 6 5" xfId="9437"/>
    <cellStyle name="Note 14 3 3 2 6 5 2" xfId="32024"/>
    <cellStyle name="Note 14 3 3 2 6 6" xfId="25584"/>
    <cellStyle name="Note 14 3 3 2 7" xfId="3287"/>
    <cellStyle name="Note 14 3 3 2 7 2" xfId="6507"/>
    <cellStyle name="Note 14 3 3 2 7 2 2" xfId="22607"/>
    <cellStyle name="Note 14 3 3 2 7 2 2 2" xfId="45194"/>
    <cellStyle name="Note 14 3 3 2 7 2 3" xfId="12947"/>
    <cellStyle name="Note 14 3 3 2 7 2 3 2" xfId="35534"/>
    <cellStyle name="Note 14 3 3 2 7 2 4" xfId="29094"/>
    <cellStyle name="Note 14 3 3 2 7 3" xfId="19387"/>
    <cellStyle name="Note 14 3 3 2 7 3 2" xfId="41974"/>
    <cellStyle name="Note 14 3 3 2 7 4" xfId="16167"/>
    <cellStyle name="Note 14 3 3 2 7 4 2" xfId="38754"/>
    <cellStyle name="Note 14 3 3 2 7 5" xfId="9727"/>
    <cellStyle name="Note 14 3 3 2 7 5 2" xfId="32314"/>
    <cellStyle name="Note 14 3 3 2 7 6" xfId="25874"/>
    <cellStyle name="Note 14 3 3 2 8" xfId="644"/>
    <cellStyle name="Note 14 3 3 2 8 2" xfId="3888"/>
    <cellStyle name="Note 14 3 3 2 8 2 2" xfId="19988"/>
    <cellStyle name="Note 14 3 3 2 8 2 2 2" xfId="42575"/>
    <cellStyle name="Note 14 3 3 2 8 2 3" xfId="10328"/>
    <cellStyle name="Note 14 3 3 2 8 2 3 2" xfId="32915"/>
    <cellStyle name="Note 14 3 3 2 8 2 4" xfId="26475"/>
    <cellStyle name="Note 14 3 3 2 8 3" xfId="16768"/>
    <cellStyle name="Note 14 3 3 2 8 3 2" xfId="39355"/>
    <cellStyle name="Note 14 3 3 2 8 4" xfId="13548"/>
    <cellStyle name="Note 14 3 3 2 8 4 2" xfId="36135"/>
    <cellStyle name="Note 14 3 3 2 8 5" xfId="7108"/>
    <cellStyle name="Note 14 3 3 2 8 5 2" xfId="29695"/>
    <cellStyle name="Note 14 3 3 2 8 6" xfId="23255"/>
    <cellStyle name="Note 14 3 3 2 9" xfId="3577"/>
    <cellStyle name="Note 14 3 3 2 9 2" xfId="19677"/>
    <cellStyle name="Note 14 3 3 2 9 2 2" xfId="42264"/>
    <cellStyle name="Note 14 3 3 2 9 3" xfId="10017"/>
    <cellStyle name="Note 14 3 3 2 9 3 2" xfId="32604"/>
    <cellStyle name="Note 14 3 3 2 9 4" xfId="26164"/>
    <cellStyle name="Note 14 3 3 3" xfId="385"/>
    <cellStyle name="Note 14 3 3 3 10" xfId="16552"/>
    <cellStyle name="Note 14 3 3 3 10 2" xfId="39139"/>
    <cellStyle name="Note 14 3 3 3 11" xfId="13332"/>
    <cellStyle name="Note 14 3 3 3 11 2" xfId="35919"/>
    <cellStyle name="Note 14 3 3 3 12" xfId="6892"/>
    <cellStyle name="Note 14 3 3 3 12 2" xfId="29479"/>
    <cellStyle name="Note 14 3 3 3 13" xfId="23039"/>
    <cellStyle name="Note 14 3 3 3 2" xfId="1169"/>
    <cellStyle name="Note 14 3 3 3 2 2" xfId="2483"/>
    <cellStyle name="Note 14 3 3 3 2 2 2" xfId="5704"/>
    <cellStyle name="Note 14 3 3 3 2 2 2 2" xfId="21804"/>
    <cellStyle name="Note 14 3 3 3 2 2 2 2 2" xfId="44391"/>
    <cellStyle name="Note 14 3 3 3 2 2 2 3" xfId="12144"/>
    <cellStyle name="Note 14 3 3 3 2 2 2 3 2" xfId="34731"/>
    <cellStyle name="Note 14 3 3 3 2 2 2 4" xfId="28291"/>
    <cellStyle name="Note 14 3 3 3 2 2 3" xfId="18584"/>
    <cellStyle name="Note 14 3 3 3 2 2 3 2" xfId="41171"/>
    <cellStyle name="Note 14 3 3 3 2 2 4" xfId="15364"/>
    <cellStyle name="Note 14 3 3 3 2 2 4 2" xfId="37951"/>
    <cellStyle name="Note 14 3 3 3 2 2 5" xfId="8924"/>
    <cellStyle name="Note 14 3 3 3 2 2 5 2" xfId="31511"/>
    <cellStyle name="Note 14 3 3 3 2 2 6" xfId="25071"/>
    <cellStyle name="Note 14 3 3 3 2 3" xfId="4396"/>
    <cellStyle name="Note 14 3 3 3 2 3 2" xfId="20496"/>
    <cellStyle name="Note 14 3 3 3 2 3 2 2" xfId="43083"/>
    <cellStyle name="Note 14 3 3 3 2 3 3" xfId="10836"/>
    <cellStyle name="Note 14 3 3 3 2 3 3 2" xfId="33423"/>
    <cellStyle name="Note 14 3 3 3 2 3 4" xfId="26983"/>
    <cellStyle name="Note 14 3 3 3 2 4" xfId="17276"/>
    <cellStyle name="Note 14 3 3 3 2 4 2" xfId="39863"/>
    <cellStyle name="Note 14 3 3 3 2 5" xfId="14056"/>
    <cellStyle name="Note 14 3 3 3 2 5 2" xfId="36643"/>
    <cellStyle name="Note 14 3 3 3 2 6" xfId="7616"/>
    <cellStyle name="Note 14 3 3 3 2 6 2" xfId="30203"/>
    <cellStyle name="Note 14 3 3 3 2 7" xfId="23763"/>
    <cellStyle name="Note 14 3 3 3 3" xfId="1516"/>
    <cellStyle name="Note 14 3 3 3 3 2" xfId="2830"/>
    <cellStyle name="Note 14 3 3 3 3 2 2" xfId="6051"/>
    <cellStyle name="Note 14 3 3 3 3 2 2 2" xfId="22151"/>
    <cellStyle name="Note 14 3 3 3 3 2 2 2 2" xfId="44738"/>
    <cellStyle name="Note 14 3 3 3 3 2 2 3" xfId="12491"/>
    <cellStyle name="Note 14 3 3 3 3 2 2 3 2" xfId="35078"/>
    <cellStyle name="Note 14 3 3 3 3 2 2 4" xfId="28638"/>
    <cellStyle name="Note 14 3 3 3 3 2 3" xfId="18931"/>
    <cellStyle name="Note 14 3 3 3 3 2 3 2" xfId="41518"/>
    <cellStyle name="Note 14 3 3 3 3 2 4" xfId="15711"/>
    <cellStyle name="Note 14 3 3 3 3 2 4 2" xfId="38298"/>
    <cellStyle name="Note 14 3 3 3 3 2 5" xfId="9271"/>
    <cellStyle name="Note 14 3 3 3 3 2 5 2" xfId="31858"/>
    <cellStyle name="Note 14 3 3 3 3 2 6" xfId="25418"/>
    <cellStyle name="Note 14 3 3 3 3 3" xfId="4743"/>
    <cellStyle name="Note 14 3 3 3 3 3 2" xfId="20843"/>
    <cellStyle name="Note 14 3 3 3 3 3 2 2" xfId="43430"/>
    <cellStyle name="Note 14 3 3 3 3 3 3" xfId="11183"/>
    <cellStyle name="Note 14 3 3 3 3 3 3 2" xfId="33770"/>
    <cellStyle name="Note 14 3 3 3 3 3 4" xfId="27330"/>
    <cellStyle name="Note 14 3 3 3 3 4" xfId="17623"/>
    <cellStyle name="Note 14 3 3 3 3 4 2" xfId="40210"/>
    <cellStyle name="Note 14 3 3 3 3 5" xfId="14403"/>
    <cellStyle name="Note 14 3 3 3 3 5 2" xfId="36990"/>
    <cellStyle name="Note 14 3 3 3 3 6" xfId="7963"/>
    <cellStyle name="Note 14 3 3 3 3 6 2" xfId="30550"/>
    <cellStyle name="Note 14 3 3 3 3 7" xfId="24110"/>
    <cellStyle name="Note 14 3 3 3 4" xfId="1788"/>
    <cellStyle name="Note 14 3 3 3 4 2" xfId="5011"/>
    <cellStyle name="Note 14 3 3 3 4 2 2" xfId="21111"/>
    <cellStyle name="Note 14 3 3 3 4 2 2 2" xfId="43698"/>
    <cellStyle name="Note 14 3 3 3 4 2 3" xfId="11451"/>
    <cellStyle name="Note 14 3 3 3 4 2 3 2" xfId="34038"/>
    <cellStyle name="Note 14 3 3 3 4 2 4" xfId="27598"/>
    <cellStyle name="Note 14 3 3 3 4 3" xfId="17891"/>
    <cellStyle name="Note 14 3 3 3 4 3 2" xfId="40478"/>
    <cellStyle name="Note 14 3 3 3 4 4" xfId="14671"/>
    <cellStyle name="Note 14 3 3 3 4 4 2" xfId="37258"/>
    <cellStyle name="Note 14 3 3 3 4 5" xfId="8231"/>
    <cellStyle name="Note 14 3 3 3 4 5 2" xfId="30818"/>
    <cellStyle name="Note 14 3 3 3 4 6" xfId="24378"/>
    <cellStyle name="Note 14 3 3 3 5" xfId="2136"/>
    <cellStyle name="Note 14 3 3 3 5 2" xfId="5357"/>
    <cellStyle name="Note 14 3 3 3 5 2 2" xfId="21457"/>
    <cellStyle name="Note 14 3 3 3 5 2 2 2" xfId="44044"/>
    <cellStyle name="Note 14 3 3 3 5 2 3" xfId="11797"/>
    <cellStyle name="Note 14 3 3 3 5 2 3 2" xfId="34384"/>
    <cellStyle name="Note 14 3 3 3 5 2 4" xfId="27944"/>
    <cellStyle name="Note 14 3 3 3 5 3" xfId="18237"/>
    <cellStyle name="Note 14 3 3 3 5 3 2" xfId="40824"/>
    <cellStyle name="Note 14 3 3 3 5 4" xfId="15017"/>
    <cellStyle name="Note 14 3 3 3 5 4 2" xfId="37604"/>
    <cellStyle name="Note 14 3 3 3 5 5" xfId="8577"/>
    <cellStyle name="Note 14 3 3 3 5 5 2" xfId="31164"/>
    <cellStyle name="Note 14 3 3 3 5 6" xfId="24724"/>
    <cellStyle name="Note 14 3 3 3 6" xfId="3092"/>
    <cellStyle name="Note 14 3 3 3 6 2" xfId="6312"/>
    <cellStyle name="Note 14 3 3 3 6 2 2" xfId="22412"/>
    <cellStyle name="Note 14 3 3 3 6 2 2 2" xfId="44999"/>
    <cellStyle name="Note 14 3 3 3 6 2 3" xfId="12752"/>
    <cellStyle name="Note 14 3 3 3 6 2 3 2" xfId="35339"/>
    <cellStyle name="Note 14 3 3 3 6 2 4" xfId="28899"/>
    <cellStyle name="Note 14 3 3 3 6 3" xfId="19192"/>
    <cellStyle name="Note 14 3 3 3 6 3 2" xfId="41779"/>
    <cellStyle name="Note 14 3 3 3 6 4" xfId="15972"/>
    <cellStyle name="Note 14 3 3 3 6 4 2" xfId="38559"/>
    <cellStyle name="Note 14 3 3 3 6 5" xfId="9532"/>
    <cellStyle name="Note 14 3 3 3 6 5 2" xfId="32119"/>
    <cellStyle name="Note 14 3 3 3 6 6" xfId="25679"/>
    <cellStyle name="Note 14 3 3 3 7" xfId="3382"/>
    <cellStyle name="Note 14 3 3 3 7 2" xfId="6602"/>
    <cellStyle name="Note 14 3 3 3 7 2 2" xfId="22702"/>
    <cellStyle name="Note 14 3 3 3 7 2 2 2" xfId="45289"/>
    <cellStyle name="Note 14 3 3 3 7 2 3" xfId="13042"/>
    <cellStyle name="Note 14 3 3 3 7 2 3 2" xfId="35629"/>
    <cellStyle name="Note 14 3 3 3 7 2 4" xfId="29189"/>
    <cellStyle name="Note 14 3 3 3 7 3" xfId="19482"/>
    <cellStyle name="Note 14 3 3 3 7 3 2" xfId="42069"/>
    <cellStyle name="Note 14 3 3 3 7 4" xfId="16262"/>
    <cellStyle name="Note 14 3 3 3 7 4 2" xfId="38849"/>
    <cellStyle name="Note 14 3 3 3 7 5" xfId="9822"/>
    <cellStyle name="Note 14 3 3 3 7 5 2" xfId="32409"/>
    <cellStyle name="Note 14 3 3 3 7 6" xfId="25969"/>
    <cellStyle name="Note 14 3 3 3 8" xfId="817"/>
    <cellStyle name="Note 14 3 3 3 8 2" xfId="4049"/>
    <cellStyle name="Note 14 3 3 3 8 2 2" xfId="20149"/>
    <cellStyle name="Note 14 3 3 3 8 2 2 2" xfId="42736"/>
    <cellStyle name="Note 14 3 3 3 8 2 3" xfId="10489"/>
    <cellStyle name="Note 14 3 3 3 8 2 3 2" xfId="33076"/>
    <cellStyle name="Note 14 3 3 3 8 2 4" xfId="26636"/>
    <cellStyle name="Note 14 3 3 3 8 3" xfId="16929"/>
    <cellStyle name="Note 14 3 3 3 8 3 2" xfId="39516"/>
    <cellStyle name="Note 14 3 3 3 8 4" xfId="13709"/>
    <cellStyle name="Note 14 3 3 3 8 4 2" xfId="36296"/>
    <cellStyle name="Note 14 3 3 3 8 5" xfId="7269"/>
    <cellStyle name="Note 14 3 3 3 8 5 2" xfId="29856"/>
    <cellStyle name="Note 14 3 3 3 8 6" xfId="23416"/>
    <cellStyle name="Note 14 3 3 3 9" xfId="3672"/>
    <cellStyle name="Note 14 3 3 3 9 2" xfId="19772"/>
    <cellStyle name="Note 14 3 3 3 9 2 2" xfId="42359"/>
    <cellStyle name="Note 14 3 3 3 9 3" xfId="10112"/>
    <cellStyle name="Note 14 3 3 3 9 3 2" xfId="32699"/>
    <cellStyle name="Note 14 3 3 3 9 4" xfId="26259"/>
    <cellStyle name="Note 14 3 3 4" xfId="884"/>
    <cellStyle name="Note 14 3 3 4 2" xfId="2203"/>
    <cellStyle name="Note 14 3 3 4 2 2" xfId="5424"/>
    <cellStyle name="Note 14 3 3 4 2 2 2" xfId="21524"/>
    <cellStyle name="Note 14 3 3 4 2 2 2 2" xfId="44111"/>
    <cellStyle name="Note 14 3 3 4 2 2 3" xfId="11864"/>
    <cellStyle name="Note 14 3 3 4 2 2 3 2" xfId="34451"/>
    <cellStyle name="Note 14 3 3 4 2 2 4" xfId="28011"/>
    <cellStyle name="Note 14 3 3 4 2 3" xfId="18304"/>
    <cellStyle name="Note 14 3 3 4 2 3 2" xfId="40891"/>
    <cellStyle name="Note 14 3 3 4 2 4" xfId="15084"/>
    <cellStyle name="Note 14 3 3 4 2 4 2" xfId="37671"/>
    <cellStyle name="Note 14 3 3 4 2 5" xfId="8644"/>
    <cellStyle name="Note 14 3 3 4 2 5 2" xfId="31231"/>
    <cellStyle name="Note 14 3 3 4 2 6" xfId="24791"/>
    <cellStyle name="Note 14 3 3 4 3" xfId="4116"/>
    <cellStyle name="Note 14 3 3 4 3 2" xfId="20216"/>
    <cellStyle name="Note 14 3 3 4 3 2 2" xfId="42803"/>
    <cellStyle name="Note 14 3 3 4 3 3" xfId="10556"/>
    <cellStyle name="Note 14 3 3 4 3 3 2" xfId="33143"/>
    <cellStyle name="Note 14 3 3 4 3 4" xfId="26703"/>
    <cellStyle name="Note 14 3 3 4 4" xfId="16996"/>
    <cellStyle name="Note 14 3 3 4 4 2" xfId="39583"/>
    <cellStyle name="Note 14 3 3 4 5" xfId="13776"/>
    <cellStyle name="Note 14 3 3 4 5 2" xfId="36363"/>
    <cellStyle name="Note 14 3 3 4 6" xfId="7336"/>
    <cellStyle name="Note 14 3 3 4 6 2" xfId="29923"/>
    <cellStyle name="Note 14 3 3 4 7" xfId="23483"/>
    <cellStyle name="Note 14 3 3 5" xfId="1236"/>
    <cellStyle name="Note 14 3 3 5 2" xfId="2550"/>
    <cellStyle name="Note 14 3 3 5 2 2" xfId="5771"/>
    <cellStyle name="Note 14 3 3 5 2 2 2" xfId="21871"/>
    <cellStyle name="Note 14 3 3 5 2 2 2 2" xfId="44458"/>
    <cellStyle name="Note 14 3 3 5 2 2 3" xfId="12211"/>
    <cellStyle name="Note 14 3 3 5 2 2 3 2" xfId="34798"/>
    <cellStyle name="Note 14 3 3 5 2 2 4" xfId="28358"/>
    <cellStyle name="Note 14 3 3 5 2 3" xfId="18651"/>
    <cellStyle name="Note 14 3 3 5 2 3 2" xfId="41238"/>
    <cellStyle name="Note 14 3 3 5 2 4" xfId="15431"/>
    <cellStyle name="Note 14 3 3 5 2 4 2" xfId="38018"/>
    <cellStyle name="Note 14 3 3 5 2 5" xfId="8991"/>
    <cellStyle name="Note 14 3 3 5 2 5 2" xfId="31578"/>
    <cellStyle name="Note 14 3 3 5 2 6" xfId="25138"/>
    <cellStyle name="Note 14 3 3 5 3" xfId="4463"/>
    <cellStyle name="Note 14 3 3 5 3 2" xfId="20563"/>
    <cellStyle name="Note 14 3 3 5 3 2 2" xfId="43150"/>
    <cellStyle name="Note 14 3 3 5 3 3" xfId="10903"/>
    <cellStyle name="Note 14 3 3 5 3 3 2" xfId="33490"/>
    <cellStyle name="Note 14 3 3 5 3 4" xfId="27050"/>
    <cellStyle name="Note 14 3 3 5 4" xfId="17343"/>
    <cellStyle name="Note 14 3 3 5 4 2" xfId="39930"/>
    <cellStyle name="Note 14 3 3 5 5" xfId="14123"/>
    <cellStyle name="Note 14 3 3 5 5 2" xfId="36710"/>
    <cellStyle name="Note 14 3 3 5 6" xfId="7683"/>
    <cellStyle name="Note 14 3 3 5 6 2" xfId="30270"/>
    <cellStyle name="Note 14 3 3 5 7" xfId="23830"/>
    <cellStyle name="Note 14 3 3 6" xfId="1789"/>
    <cellStyle name="Note 14 3 3 6 2" xfId="5012"/>
    <cellStyle name="Note 14 3 3 6 2 2" xfId="21112"/>
    <cellStyle name="Note 14 3 3 6 2 2 2" xfId="43699"/>
    <cellStyle name="Note 14 3 3 6 2 3" xfId="11452"/>
    <cellStyle name="Note 14 3 3 6 2 3 2" xfId="34039"/>
    <cellStyle name="Note 14 3 3 6 2 4" xfId="27599"/>
    <cellStyle name="Note 14 3 3 6 3" xfId="17892"/>
    <cellStyle name="Note 14 3 3 6 3 2" xfId="40479"/>
    <cellStyle name="Note 14 3 3 6 4" xfId="14672"/>
    <cellStyle name="Note 14 3 3 6 4 2" xfId="37259"/>
    <cellStyle name="Note 14 3 3 6 5" xfId="8232"/>
    <cellStyle name="Note 14 3 3 6 5 2" xfId="30819"/>
    <cellStyle name="Note 14 3 3 6 6" xfId="24379"/>
    <cellStyle name="Note 14 3 3 7" xfId="1855"/>
    <cellStyle name="Note 14 3 3 7 2" xfId="5077"/>
    <cellStyle name="Note 14 3 3 7 2 2" xfId="21177"/>
    <cellStyle name="Note 14 3 3 7 2 2 2" xfId="43764"/>
    <cellStyle name="Note 14 3 3 7 2 3" xfId="11517"/>
    <cellStyle name="Note 14 3 3 7 2 3 2" xfId="34104"/>
    <cellStyle name="Note 14 3 3 7 2 4" xfId="27664"/>
    <cellStyle name="Note 14 3 3 7 3" xfId="17957"/>
    <cellStyle name="Note 14 3 3 7 3 2" xfId="40544"/>
    <cellStyle name="Note 14 3 3 7 4" xfId="14737"/>
    <cellStyle name="Note 14 3 3 7 4 2" xfId="37324"/>
    <cellStyle name="Note 14 3 3 7 5" xfId="8297"/>
    <cellStyle name="Note 14 3 3 7 5 2" xfId="30884"/>
    <cellStyle name="Note 14 3 3 7 6" xfId="24444"/>
    <cellStyle name="Note 14 3 3 8" xfId="2898"/>
    <cellStyle name="Note 14 3 3 8 2" xfId="6119"/>
    <cellStyle name="Note 14 3 3 8 2 2" xfId="22219"/>
    <cellStyle name="Note 14 3 3 8 2 2 2" xfId="44806"/>
    <cellStyle name="Note 14 3 3 8 2 3" xfId="12559"/>
    <cellStyle name="Note 14 3 3 8 2 3 2" xfId="35146"/>
    <cellStyle name="Note 14 3 3 8 2 4" xfId="28706"/>
    <cellStyle name="Note 14 3 3 8 3" xfId="18999"/>
    <cellStyle name="Note 14 3 3 8 3 2" xfId="41586"/>
    <cellStyle name="Note 14 3 3 8 4" xfId="15779"/>
    <cellStyle name="Note 14 3 3 8 4 2" xfId="38366"/>
    <cellStyle name="Note 14 3 3 8 5" xfId="9339"/>
    <cellStyle name="Note 14 3 3 8 5 2" xfId="31926"/>
    <cellStyle name="Note 14 3 3 8 6" xfId="25486"/>
    <cellStyle name="Note 14 3 3 9" xfId="3189"/>
    <cellStyle name="Note 14 3 3 9 2" xfId="6409"/>
    <cellStyle name="Note 14 3 3 9 2 2" xfId="22509"/>
    <cellStyle name="Note 14 3 3 9 2 2 2" xfId="45096"/>
    <cellStyle name="Note 14 3 3 9 2 3" xfId="12849"/>
    <cellStyle name="Note 14 3 3 9 2 3 2" xfId="35436"/>
    <cellStyle name="Note 14 3 3 9 2 4" xfId="28996"/>
    <cellStyle name="Note 14 3 3 9 3" xfId="19289"/>
    <cellStyle name="Note 14 3 3 9 3 2" xfId="41876"/>
    <cellStyle name="Note 14 3 3 9 4" xfId="16069"/>
    <cellStyle name="Note 14 3 3 9 4 2" xfId="38656"/>
    <cellStyle name="Note 14 3 3 9 5" xfId="9629"/>
    <cellStyle name="Note 14 3 3 9 5 2" xfId="32216"/>
    <cellStyle name="Note 14 3 3 9 6" xfId="25776"/>
    <cellStyle name="Note 14 3 4" xfId="235"/>
    <cellStyle name="Note 14 3 4 10" xfId="522"/>
    <cellStyle name="Note 14 3 4 10 2" xfId="3809"/>
    <cellStyle name="Note 14 3 4 10 2 2" xfId="19909"/>
    <cellStyle name="Note 14 3 4 10 2 2 2" xfId="42496"/>
    <cellStyle name="Note 14 3 4 10 2 3" xfId="10249"/>
    <cellStyle name="Note 14 3 4 10 2 3 2" xfId="32836"/>
    <cellStyle name="Note 14 3 4 10 2 4" xfId="26396"/>
    <cellStyle name="Note 14 3 4 10 3" xfId="16689"/>
    <cellStyle name="Note 14 3 4 10 3 2" xfId="39276"/>
    <cellStyle name="Note 14 3 4 10 4" xfId="13469"/>
    <cellStyle name="Note 14 3 4 10 4 2" xfId="36056"/>
    <cellStyle name="Note 14 3 4 10 5" xfId="7029"/>
    <cellStyle name="Note 14 3 4 10 5 2" xfId="29616"/>
    <cellStyle name="Note 14 3 4 10 6" xfId="23176"/>
    <cellStyle name="Note 14 3 4 11" xfId="3523"/>
    <cellStyle name="Note 14 3 4 11 2" xfId="19623"/>
    <cellStyle name="Note 14 3 4 11 2 2" xfId="42210"/>
    <cellStyle name="Note 14 3 4 11 3" xfId="9963"/>
    <cellStyle name="Note 14 3 4 11 3 2" xfId="32550"/>
    <cellStyle name="Note 14 3 4 11 4" xfId="26110"/>
    <cellStyle name="Note 14 3 4 12" xfId="16403"/>
    <cellStyle name="Note 14 3 4 12 2" xfId="38990"/>
    <cellStyle name="Note 14 3 4 13" xfId="13183"/>
    <cellStyle name="Note 14 3 4 13 2" xfId="35770"/>
    <cellStyle name="Note 14 3 4 14" xfId="6743"/>
    <cellStyle name="Note 14 3 4 14 2" xfId="29330"/>
    <cellStyle name="Note 14 3 4 15" xfId="22890"/>
    <cellStyle name="Note 14 3 4 2" xfId="333"/>
    <cellStyle name="Note 14 3 4 2 10" xfId="16500"/>
    <cellStyle name="Note 14 3 4 2 10 2" xfId="39087"/>
    <cellStyle name="Note 14 3 4 2 11" xfId="13280"/>
    <cellStyle name="Note 14 3 4 2 11 2" xfId="35867"/>
    <cellStyle name="Note 14 3 4 2 12" xfId="6840"/>
    <cellStyle name="Note 14 3 4 2 12 2" xfId="29427"/>
    <cellStyle name="Note 14 3 4 2 13" xfId="22987"/>
    <cellStyle name="Note 14 3 4 2 2" xfId="1045"/>
    <cellStyle name="Note 14 3 4 2 2 2" xfId="2359"/>
    <cellStyle name="Note 14 3 4 2 2 2 2" xfId="5580"/>
    <cellStyle name="Note 14 3 4 2 2 2 2 2" xfId="21680"/>
    <cellStyle name="Note 14 3 4 2 2 2 2 2 2" xfId="44267"/>
    <cellStyle name="Note 14 3 4 2 2 2 2 3" xfId="12020"/>
    <cellStyle name="Note 14 3 4 2 2 2 2 3 2" xfId="34607"/>
    <cellStyle name="Note 14 3 4 2 2 2 2 4" xfId="28167"/>
    <cellStyle name="Note 14 3 4 2 2 2 3" xfId="18460"/>
    <cellStyle name="Note 14 3 4 2 2 2 3 2" xfId="41047"/>
    <cellStyle name="Note 14 3 4 2 2 2 4" xfId="15240"/>
    <cellStyle name="Note 14 3 4 2 2 2 4 2" xfId="37827"/>
    <cellStyle name="Note 14 3 4 2 2 2 5" xfId="8800"/>
    <cellStyle name="Note 14 3 4 2 2 2 5 2" xfId="31387"/>
    <cellStyle name="Note 14 3 4 2 2 2 6" xfId="24947"/>
    <cellStyle name="Note 14 3 4 2 2 3" xfId="4272"/>
    <cellStyle name="Note 14 3 4 2 2 3 2" xfId="20372"/>
    <cellStyle name="Note 14 3 4 2 2 3 2 2" xfId="42959"/>
    <cellStyle name="Note 14 3 4 2 2 3 3" xfId="10712"/>
    <cellStyle name="Note 14 3 4 2 2 3 3 2" xfId="33299"/>
    <cellStyle name="Note 14 3 4 2 2 3 4" xfId="26859"/>
    <cellStyle name="Note 14 3 4 2 2 4" xfId="17152"/>
    <cellStyle name="Note 14 3 4 2 2 4 2" xfId="39739"/>
    <cellStyle name="Note 14 3 4 2 2 5" xfId="13932"/>
    <cellStyle name="Note 14 3 4 2 2 5 2" xfId="36519"/>
    <cellStyle name="Note 14 3 4 2 2 6" xfId="7492"/>
    <cellStyle name="Note 14 3 4 2 2 6 2" xfId="30079"/>
    <cellStyle name="Note 14 3 4 2 2 7" xfId="23639"/>
    <cellStyle name="Note 14 3 4 2 3" xfId="1392"/>
    <cellStyle name="Note 14 3 4 2 3 2" xfId="2706"/>
    <cellStyle name="Note 14 3 4 2 3 2 2" xfId="5927"/>
    <cellStyle name="Note 14 3 4 2 3 2 2 2" xfId="22027"/>
    <cellStyle name="Note 14 3 4 2 3 2 2 2 2" xfId="44614"/>
    <cellStyle name="Note 14 3 4 2 3 2 2 3" xfId="12367"/>
    <cellStyle name="Note 14 3 4 2 3 2 2 3 2" xfId="34954"/>
    <cellStyle name="Note 14 3 4 2 3 2 2 4" xfId="28514"/>
    <cellStyle name="Note 14 3 4 2 3 2 3" xfId="18807"/>
    <cellStyle name="Note 14 3 4 2 3 2 3 2" xfId="41394"/>
    <cellStyle name="Note 14 3 4 2 3 2 4" xfId="15587"/>
    <cellStyle name="Note 14 3 4 2 3 2 4 2" xfId="38174"/>
    <cellStyle name="Note 14 3 4 2 3 2 5" xfId="9147"/>
    <cellStyle name="Note 14 3 4 2 3 2 5 2" xfId="31734"/>
    <cellStyle name="Note 14 3 4 2 3 2 6" xfId="25294"/>
    <cellStyle name="Note 14 3 4 2 3 3" xfId="4619"/>
    <cellStyle name="Note 14 3 4 2 3 3 2" xfId="20719"/>
    <cellStyle name="Note 14 3 4 2 3 3 2 2" xfId="43306"/>
    <cellStyle name="Note 14 3 4 2 3 3 3" xfId="11059"/>
    <cellStyle name="Note 14 3 4 2 3 3 3 2" xfId="33646"/>
    <cellStyle name="Note 14 3 4 2 3 3 4" xfId="27206"/>
    <cellStyle name="Note 14 3 4 2 3 4" xfId="17499"/>
    <cellStyle name="Note 14 3 4 2 3 4 2" xfId="40086"/>
    <cellStyle name="Note 14 3 4 2 3 5" xfId="14279"/>
    <cellStyle name="Note 14 3 4 2 3 5 2" xfId="36866"/>
    <cellStyle name="Note 14 3 4 2 3 6" xfId="7839"/>
    <cellStyle name="Note 14 3 4 2 3 6 2" xfId="30426"/>
    <cellStyle name="Note 14 3 4 2 3 7" xfId="23986"/>
    <cellStyle name="Note 14 3 4 2 4" xfId="1790"/>
    <cellStyle name="Note 14 3 4 2 4 2" xfId="5013"/>
    <cellStyle name="Note 14 3 4 2 4 2 2" xfId="21113"/>
    <cellStyle name="Note 14 3 4 2 4 2 2 2" xfId="43700"/>
    <cellStyle name="Note 14 3 4 2 4 2 3" xfId="11453"/>
    <cellStyle name="Note 14 3 4 2 4 2 3 2" xfId="34040"/>
    <cellStyle name="Note 14 3 4 2 4 2 4" xfId="27600"/>
    <cellStyle name="Note 14 3 4 2 4 3" xfId="17893"/>
    <cellStyle name="Note 14 3 4 2 4 3 2" xfId="40480"/>
    <cellStyle name="Note 14 3 4 2 4 4" xfId="14673"/>
    <cellStyle name="Note 14 3 4 2 4 4 2" xfId="37260"/>
    <cellStyle name="Note 14 3 4 2 4 5" xfId="8233"/>
    <cellStyle name="Note 14 3 4 2 4 5 2" xfId="30820"/>
    <cellStyle name="Note 14 3 4 2 4 6" xfId="24380"/>
    <cellStyle name="Note 14 3 4 2 5" xfId="2011"/>
    <cellStyle name="Note 14 3 4 2 5 2" xfId="5233"/>
    <cellStyle name="Note 14 3 4 2 5 2 2" xfId="21333"/>
    <cellStyle name="Note 14 3 4 2 5 2 2 2" xfId="43920"/>
    <cellStyle name="Note 14 3 4 2 5 2 3" xfId="11673"/>
    <cellStyle name="Note 14 3 4 2 5 2 3 2" xfId="34260"/>
    <cellStyle name="Note 14 3 4 2 5 2 4" xfId="27820"/>
    <cellStyle name="Note 14 3 4 2 5 3" xfId="18113"/>
    <cellStyle name="Note 14 3 4 2 5 3 2" xfId="40700"/>
    <cellStyle name="Note 14 3 4 2 5 4" xfId="14893"/>
    <cellStyle name="Note 14 3 4 2 5 4 2" xfId="37480"/>
    <cellStyle name="Note 14 3 4 2 5 5" xfId="8453"/>
    <cellStyle name="Note 14 3 4 2 5 5 2" xfId="31040"/>
    <cellStyle name="Note 14 3 4 2 5 6" xfId="24600"/>
    <cellStyle name="Note 14 3 4 2 6" xfId="3040"/>
    <cellStyle name="Note 14 3 4 2 6 2" xfId="6260"/>
    <cellStyle name="Note 14 3 4 2 6 2 2" xfId="22360"/>
    <cellStyle name="Note 14 3 4 2 6 2 2 2" xfId="44947"/>
    <cellStyle name="Note 14 3 4 2 6 2 3" xfId="12700"/>
    <cellStyle name="Note 14 3 4 2 6 2 3 2" xfId="35287"/>
    <cellStyle name="Note 14 3 4 2 6 2 4" xfId="28847"/>
    <cellStyle name="Note 14 3 4 2 6 3" xfId="19140"/>
    <cellStyle name="Note 14 3 4 2 6 3 2" xfId="41727"/>
    <cellStyle name="Note 14 3 4 2 6 4" xfId="15920"/>
    <cellStyle name="Note 14 3 4 2 6 4 2" xfId="38507"/>
    <cellStyle name="Note 14 3 4 2 6 5" xfId="9480"/>
    <cellStyle name="Note 14 3 4 2 6 5 2" xfId="32067"/>
    <cellStyle name="Note 14 3 4 2 6 6" xfId="25627"/>
    <cellStyle name="Note 14 3 4 2 7" xfId="3330"/>
    <cellStyle name="Note 14 3 4 2 7 2" xfId="6550"/>
    <cellStyle name="Note 14 3 4 2 7 2 2" xfId="22650"/>
    <cellStyle name="Note 14 3 4 2 7 2 2 2" xfId="45237"/>
    <cellStyle name="Note 14 3 4 2 7 2 3" xfId="12990"/>
    <cellStyle name="Note 14 3 4 2 7 2 3 2" xfId="35577"/>
    <cellStyle name="Note 14 3 4 2 7 2 4" xfId="29137"/>
    <cellStyle name="Note 14 3 4 2 7 3" xfId="19430"/>
    <cellStyle name="Note 14 3 4 2 7 3 2" xfId="42017"/>
    <cellStyle name="Note 14 3 4 2 7 4" xfId="16210"/>
    <cellStyle name="Note 14 3 4 2 7 4 2" xfId="38797"/>
    <cellStyle name="Note 14 3 4 2 7 5" xfId="9770"/>
    <cellStyle name="Note 14 3 4 2 7 5 2" xfId="32357"/>
    <cellStyle name="Note 14 3 4 2 7 6" xfId="25917"/>
    <cellStyle name="Note 14 3 4 2 8" xfId="681"/>
    <cellStyle name="Note 14 3 4 2 8 2" xfId="3925"/>
    <cellStyle name="Note 14 3 4 2 8 2 2" xfId="20025"/>
    <cellStyle name="Note 14 3 4 2 8 2 2 2" xfId="42612"/>
    <cellStyle name="Note 14 3 4 2 8 2 3" xfId="10365"/>
    <cellStyle name="Note 14 3 4 2 8 2 3 2" xfId="32952"/>
    <cellStyle name="Note 14 3 4 2 8 2 4" xfId="26512"/>
    <cellStyle name="Note 14 3 4 2 8 3" xfId="16805"/>
    <cellStyle name="Note 14 3 4 2 8 3 2" xfId="39392"/>
    <cellStyle name="Note 14 3 4 2 8 4" xfId="13585"/>
    <cellStyle name="Note 14 3 4 2 8 4 2" xfId="36172"/>
    <cellStyle name="Note 14 3 4 2 8 5" xfId="7145"/>
    <cellStyle name="Note 14 3 4 2 8 5 2" xfId="29732"/>
    <cellStyle name="Note 14 3 4 2 8 6" xfId="23292"/>
    <cellStyle name="Note 14 3 4 2 9" xfId="3620"/>
    <cellStyle name="Note 14 3 4 2 9 2" xfId="19720"/>
    <cellStyle name="Note 14 3 4 2 9 2 2" xfId="42307"/>
    <cellStyle name="Note 14 3 4 2 9 3" xfId="10060"/>
    <cellStyle name="Note 14 3 4 2 9 3 2" xfId="32647"/>
    <cellStyle name="Note 14 3 4 2 9 4" xfId="26207"/>
    <cellStyle name="Note 14 3 4 3" xfId="429"/>
    <cellStyle name="Note 14 3 4 3 10" xfId="16596"/>
    <cellStyle name="Note 14 3 4 3 10 2" xfId="39183"/>
    <cellStyle name="Note 14 3 4 3 11" xfId="13376"/>
    <cellStyle name="Note 14 3 4 3 11 2" xfId="35963"/>
    <cellStyle name="Note 14 3 4 3 12" xfId="6936"/>
    <cellStyle name="Note 14 3 4 3 12 2" xfId="29523"/>
    <cellStyle name="Note 14 3 4 3 13" xfId="23083"/>
    <cellStyle name="Note 14 3 4 3 2" xfId="1129"/>
    <cellStyle name="Note 14 3 4 3 2 2" xfId="2443"/>
    <cellStyle name="Note 14 3 4 3 2 2 2" xfId="5664"/>
    <cellStyle name="Note 14 3 4 3 2 2 2 2" xfId="21764"/>
    <cellStyle name="Note 14 3 4 3 2 2 2 2 2" xfId="44351"/>
    <cellStyle name="Note 14 3 4 3 2 2 2 3" xfId="12104"/>
    <cellStyle name="Note 14 3 4 3 2 2 2 3 2" xfId="34691"/>
    <cellStyle name="Note 14 3 4 3 2 2 2 4" xfId="28251"/>
    <cellStyle name="Note 14 3 4 3 2 2 3" xfId="18544"/>
    <cellStyle name="Note 14 3 4 3 2 2 3 2" xfId="41131"/>
    <cellStyle name="Note 14 3 4 3 2 2 4" xfId="15324"/>
    <cellStyle name="Note 14 3 4 3 2 2 4 2" xfId="37911"/>
    <cellStyle name="Note 14 3 4 3 2 2 5" xfId="8884"/>
    <cellStyle name="Note 14 3 4 3 2 2 5 2" xfId="31471"/>
    <cellStyle name="Note 14 3 4 3 2 2 6" xfId="25031"/>
    <cellStyle name="Note 14 3 4 3 2 3" xfId="4356"/>
    <cellStyle name="Note 14 3 4 3 2 3 2" xfId="20456"/>
    <cellStyle name="Note 14 3 4 3 2 3 2 2" xfId="43043"/>
    <cellStyle name="Note 14 3 4 3 2 3 3" xfId="10796"/>
    <cellStyle name="Note 14 3 4 3 2 3 3 2" xfId="33383"/>
    <cellStyle name="Note 14 3 4 3 2 3 4" xfId="26943"/>
    <cellStyle name="Note 14 3 4 3 2 4" xfId="17236"/>
    <cellStyle name="Note 14 3 4 3 2 4 2" xfId="39823"/>
    <cellStyle name="Note 14 3 4 3 2 5" xfId="14016"/>
    <cellStyle name="Note 14 3 4 3 2 5 2" xfId="36603"/>
    <cellStyle name="Note 14 3 4 3 2 6" xfId="7576"/>
    <cellStyle name="Note 14 3 4 3 2 6 2" xfId="30163"/>
    <cellStyle name="Note 14 3 4 3 2 7" xfId="23723"/>
    <cellStyle name="Note 14 3 4 3 3" xfId="1476"/>
    <cellStyle name="Note 14 3 4 3 3 2" xfId="2790"/>
    <cellStyle name="Note 14 3 4 3 3 2 2" xfId="6011"/>
    <cellStyle name="Note 14 3 4 3 3 2 2 2" xfId="22111"/>
    <cellStyle name="Note 14 3 4 3 3 2 2 2 2" xfId="44698"/>
    <cellStyle name="Note 14 3 4 3 3 2 2 3" xfId="12451"/>
    <cellStyle name="Note 14 3 4 3 3 2 2 3 2" xfId="35038"/>
    <cellStyle name="Note 14 3 4 3 3 2 2 4" xfId="28598"/>
    <cellStyle name="Note 14 3 4 3 3 2 3" xfId="18891"/>
    <cellStyle name="Note 14 3 4 3 3 2 3 2" xfId="41478"/>
    <cellStyle name="Note 14 3 4 3 3 2 4" xfId="15671"/>
    <cellStyle name="Note 14 3 4 3 3 2 4 2" xfId="38258"/>
    <cellStyle name="Note 14 3 4 3 3 2 5" xfId="9231"/>
    <cellStyle name="Note 14 3 4 3 3 2 5 2" xfId="31818"/>
    <cellStyle name="Note 14 3 4 3 3 2 6" xfId="25378"/>
    <cellStyle name="Note 14 3 4 3 3 3" xfId="4703"/>
    <cellStyle name="Note 14 3 4 3 3 3 2" xfId="20803"/>
    <cellStyle name="Note 14 3 4 3 3 3 2 2" xfId="43390"/>
    <cellStyle name="Note 14 3 4 3 3 3 3" xfId="11143"/>
    <cellStyle name="Note 14 3 4 3 3 3 3 2" xfId="33730"/>
    <cellStyle name="Note 14 3 4 3 3 3 4" xfId="27290"/>
    <cellStyle name="Note 14 3 4 3 3 4" xfId="17583"/>
    <cellStyle name="Note 14 3 4 3 3 4 2" xfId="40170"/>
    <cellStyle name="Note 14 3 4 3 3 5" xfId="14363"/>
    <cellStyle name="Note 14 3 4 3 3 5 2" xfId="36950"/>
    <cellStyle name="Note 14 3 4 3 3 6" xfId="7923"/>
    <cellStyle name="Note 14 3 4 3 3 6 2" xfId="30510"/>
    <cellStyle name="Note 14 3 4 3 3 7" xfId="24070"/>
    <cellStyle name="Note 14 3 4 3 4" xfId="1791"/>
    <cellStyle name="Note 14 3 4 3 4 2" xfId="5014"/>
    <cellStyle name="Note 14 3 4 3 4 2 2" xfId="21114"/>
    <cellStyle name="Note 14 3 4 3 4 2 2 2" xfId="43701"/>
    <cellStyle name="Note 14 3 4 3 4 2 3" xfId="11454"/>
    <cellStyle name="Note 14 3 4 3 4 2 3 2" xfId="34041"/>
    <cellStyle name="Note 14 3 4 3 4 2 4" xfId="27601"/>
    <cellStyle name="Note 14 3 4 3 4 3" xfId="17894"/>
    <cellStyle name="Note 14 3 4 3 4 3 2" xfId="40481"/>
    <cellStyle name="Note 14 3 4 3 4 4" xfId="14674"/>
    <cellStyle name="Note 14 3 4 3 4 4 2" xfId="37261"/>
    <cellStyle name="Note 14 3 4 3 4 5" xfId="8234"/>
    <cellStyle name="Note 14 3 4 3 4 5 2" xfId="30821"/>
    <cellStyle name="Note 14 3 4 3 4 6" xfId="24381"/>
    <cellStyle name="Note 14 3 4 3 5" xfId="2096"/>
    <cellStyle name="Note 14 3 4 3 5 2" xfId="5317"/>
    <cellStyle name="Note 14 3 4 3 5 2 2" xfId="21417"/>
    <cellStyle name="Note 14 3 4 3 5 2 2 2" xfId="44004"/>
    <cellStyle name="Note 14 3 4 3 5 2 3" xfId="11757"/>
    <cellStyle name="Note 14 3 4 3 5 2 3 2" xfId="34344"/>
    <cellStyle name="Note 14 3 4 3 5 2 4" xfId="27904"/>
    <cellStyle name="Note 14 3 4 3 5 3" xfId="18197"/>
    <cellStyle name="Note 14 3 4 3 5 3 2" xfId="40784"/>
    <cellStyle name="Note 14 3 4 3 5 4" xfId="14977"/>
    <cellStyle name="Note 14 3 4 3 5 4 2" xfId="37564"/>
    <cellStyle name="Note 14 3 4 3 5 5" xfId="8537"/>
    <cellStyle name="Note 14 3 4 3 5 5 2" xfId="31124"/>
    <cellStyle name="Note 14 3 4 3 5 6" xfId="24684"/>
    <cellStyle name="Note 14 3 4 3 6" xfId="3136"/>
    <cellStyle name="Note 14 3 4 3 6 2" xfId="6356"/>
    <cellStyle name="Note 14 3 4 3 6 2 2" xfId="22456"/>
    <cellStyle name="Note 14 3 4 3 6 2 2 2" xfId="45043"/>
    <cellStyle name="Note 14 3 4 3 6 2 3" xfId="12796"/>
    <cellStyle name="Note 14 3 4 3 6 2 3 2" xfId="35383"/>
    <cellStyle name="Note 14 3 4 3 6 2 4" xfId="28943"/>
    <cellStyle name="Note 14 3 4 3 6 3" xfId="19236"/>
    <cellStyle name="Note 14 3 4 3 6 3 2" xfId="41823"/>
    <cellStyle name="Note 14 3 4 3 6 4" xfId="16016"/>
    <cellStyle name="Note 14 3 4 3 6 4 2" xfId="38603"/>
    <cellStyle name="Note 14 3 4 3 6 5" xfId="9576"/>
    <cellStyle name="Note 14 3 4 3 6 5 2" xfId="32163"/>
    <cellStyle name="Note 14 3 4 3 6 6" xfId="25723"/>
    <cellStyle name="Note 14 3 4 3 7" xfId="3426"/>
    <cellStyle name="Note 14 3 4 3 7 2" xfId="6646"/>
    <cellStyle name="Note 14 3 4 3 7 2 2" xfId="22746"/>
    <cellStyle name="Note 14 3 4 3 7 2 2 2" xfId="45333"/>
    <cellStyle name="Note 14 3 4 3 7 2 3" xfId="13086"/>
    <cellStyle name="Note 14 3 4 3 7 2 3 2" xfId="35673"/>
    <cellStyle name="Note 14 3 4 3 7 2 4" xfId="29233"/>
    <cellStyle name="Note 14 3 4 3 7 3" xfId="19526"/>
    <cellStyle name="Note 14 3 4 3 7 3 2" xfId="42113"/>
    <cellStyle name="Note 14 3 4 3 7 4" xfId="16306"/>
    <cellStyle name="Note 14 3 4 3 7 4 2" xfId="38893"/>
    <cellStyle name="Note 14 3 4 3 7 5" xfId="9866"/>
    <cellStyle name="Note 14 3 4 3 7 5 2" xfId="32453"/>
    <cellStyle name="Note 14 3 4 3 7 6" xfId="26013"/>
    <cellStyle name="Note 14 3 4 3 8" xfId="777"/>
    <cellStyle name="Note 14 3 4 3 8 2" xfId="4009"/>
    <cellStyle name="Note 14 3 4 3 8 2 2" xfId="20109"/>
    <cellStyle name="Note 14 3 4 3 8 2 2 2" xfId="42696"/>
    <cellStyle name="Note 14 3 4 3 8 2 3" xfId="10449"/>
    <cellStyle name="Note 14 3 4 3 8 2 3 2" xfId="33036"/>
    <cellStyle name="Note 14 3 4 3 8 2 4" xfId="26596"/>
    <cellStyle name="Note 14 3 4 3 8 3" xfId="16889"/>
    <cellStyle name="Note 14 3 4 3 8 3 2" xfId="39476"/>
    <cellStyle name="Note 14 3 4 3 8 4" xfId="13669"/>
    <cellStyle name="Note 14 3 4 3 8 4 2" xfId="36256"/>
    <cellStyle name="Note 14 3 4 3 8 5" xfId="7229"/>
    <cellStyle name="Note 14 3 4 3 8 5 2" xfId="29816"/>
    <cellStyle name="Note 14 3 4 3 8 6" xfId="23376"/>
    <cellStyle name="Note 14 3 4 3 9" xfId="3716"/>
    <cellStyle name="Note 14 3 4 3 9 2" xfId="19816"/>
    <cellStyle name="Note 14 3 4 3 9 2 2" xfId="42403"/>
    <cellStyle name="Note 14 3 4 3 9 3" xfId="10156"/>
    <cellStyle name="Note 14 3 4 3 9 3 2" xfId="32743"/>
    <cellStyle name="Note 14 3 4 3 9 4" xfId="26303"/>
    <cellStyle name="Note 14 3 4 4" xfId="924"/>
    <cellStyle name="Note 14 3 4 4 2" xfId="2243"/>
    <cellStyle name="Note 14 3 4 4 2 2" xfId="5464"/>
    <cellStyle name="Note 14 3 4 4 2 2 2" xfId="21564"/>
    <cellStyle name="Note 14 3 4 4 2 2 2 2" xfId="44151"/>
    <cellStyle name="Note 14 3 4 4 2 2 3" xfId="11904"/>
    <cellStyle name="Note 14 3 4 4 2 2 3 2" xfId="34491"/>
    <cellStyle name="Note 14 3 4 4 2 2 4" xfId="28051"/>
    <cellStyle name="Note 14 3 4 4 2 3" xfId="18344"/>
    <cellStyle name="Note 14 3 4 4 2 3 2" xfId="40931"/>
    <cellStyle name="Note 14 3 4 4 2 4" xfId="15124"/>
    <cellStyle name="Note 14 3 4 4 2 4 2" xfId="37711"/>
    <cellStyle name="Note 14 3 4 4 2 5" xfId="8684"/>
    <cellStyle name="Note 14 3 4 4 2 5 2" xfId="31271"/>
    <cellStyle name="Note 14 3 4 4 2 6" xfId="24831"/>
    <cellStyle name="Note 14 3 4 4 3" xfId="4156"/>
    <cellStyle name="Note 14 3 4 4 3 2" xfId="20256"/>
    <cellStyle name="Note 14 3 4 4 3 2 2" xfId="42843"/>
    <cellStyle name="Note 14 3 4 4 3 3" xfId="10596"/>
    <cellStyle name="Note 14 3 4 4 3 3 2" xfId="33183"/>
    <cellStyle name="Note 14 3 4 4 3 4" xfId="26743"/>
    <cellStyle name="Note 14 3 4 4 4" xfId="17036"/>
    <cellStyle name="Note 14 3 4 4 4 2" xfId="39623"/>
    <cellStyle name="Note 14 3 4 4 5" xfId="13816"/>
    <cellStyle name="Note 14 3 4 4 5 2" xfId="36403"/>
    <cellStyle name="Note 14 3 4 4 6" xfId="7376"/>
    <cellStyle name="Note 14 3 4 4 6 2" xfId="29963"/>
    <cellStyle name="Note 14 3 4 4 7" xfId="23523"/>
    <cellStyle name="Note 14 3 4 5" xfId="1276"/>
    <cellStyle name="Note 14 3 4 5 2" xfId="2590"/>
    <cellStyle name="Note 14 3 4 5 2 2" xfId="5811"/>
    <cellStyle name="Note 14 3 4 5 2 2 2" xfId="21911"/>
    <cellStyle name="Note 14 3 4 5 2 2 2 2" xfId="44498"/>
    <cellStyle name="Note 14 3 4 5 2 2 3" xfId="12251"/>
    <cellStyle name="Note 14 3 4 5 2 2 3 2" xfId="34838"/>
    <cellStyle name="Note 14 3 4 5 2 2 4" xfId="28398"/>
    <cellStyle name="Note 14 3 4 5 2 3" xfId="18691"/>
    <cellStyle name="Note 14 3 4 5 2 3 2" xfId="41278"/>
    <cellStyle name="Note 14 3 4 5 2 4" xfId="15471"/>
    <cellStyle name="Note 14 3 4 5 2 4 2" xfId="38058"/>
    <cellStyle name="Note 14 3 4 5 2 5" xfId="9031"/>
    <cellStyle name="Note 14 3 4 5 2 5 2" xfId="31618"/>
    <cellStyle name="Note 14 3 4 5 2 6" xfId="25178"/>
    <cellStyle name="Note 14 3 4 5 3" xfId="4503"/>
    <cellStyle name="Note 14 3 4 5 3 2" xfId="20603"/>
    <cellStyle name="Note 14 3 4 5 3 2 2" xfId="43190"/>
    <cellStyle name="Note 14 3 4 5 3 3" xfId="10943"/>
    <cellStyle name="Note 14 3 4 5 3 3 2" xfId="33530"/>
    <cellStyle name="Note 14 3 4 5 3 4" xfId="27090"/>
    <cellStyle name="Note 14 3 4 5 4" xfId="17383"/>
    <cellStyle name="Note 14 3 4 5 4 2" xfId="39970"/>
    <cellStyle name="Note 14 3 4 5 5" xfId="14163"/>
    <cellStyle name="Note 14 3 4 5 5 2" xfId="36750"/>
    <cellStyle name="Note 14 3 4 5 6" xfId="7723"/>
    <cellStyle name="Note 14 3 4 5 6 2" xfId="30310"/>
    <cellStyle name="Note 14 3 4 5 7" xfId="23870"/>
    <cellStyle name="Note 14 3 4 6" xfId="1792"/>
    <cellStyle name="Note 14 3 4 6 2" xfId="5015"/>
    <cellStyle name="Note 14 3 4 6 2 2" xfId="21115"/>
    <cellStyle name="Note 14 3 4 6 2 2 2" xfId="43702"/>
    <cellStyle name="Note 14 3 4 6 2 3" xfId="11455"/>
    <cellStyle name="Note 14 3 4 6 2 3 2" xfId="34042"/>
    <cellStyle name="Note 14 3 4 6 2 4" xfId="27602"/>
    <cellStyle name="Note 14 3 4 6 3" xfId="17895"/>
    <cellStyle name="Note 14 3 4 6 3 2" xfId="40482"/>
    <cellStyle name="Note 14 3 4 6 4" xfId="14675"/>
    <cellStyle name="Note 14 3 4 6 4 2" xfId="37262"/>
    <cellStyle name="Note 14 3 4 6 5" xfId="8235"/>
    <cellStyle name="Note 14 3 4 6 5 2" xfId="30822"/>
    <cellStyle name="Note 14 3 4 6 6" xfId="24382"/>
    <cellStyle name="Note 14 3 4 7" xfId="1895"/>
    <cellStyle name="Note 14 3 4 7 2" xfId="5117"/>
    <cellStyle name="Note 14 3 4 7 2 2" xfId="21217"/>
    <cellStyle name="Note 14 3 4 7 2 2 2" xfId="43804"/>
    <cellStyle name="Note 14 3 4 7 2 3" xfId="11557"/>
    <cellStyle name="Note 14 3 4 7 2 3 2" xfId="34144"/>
    <cellStyle name="Note 14 3 4 7 2 4" xfId="27704"/>
    <cellStyle name="Note 14 3 4 7 3" xfId="17997"/>
    <cellStyle name="Note 14 3 4 7 3 2" xfId="40584"/>
    <cellStyle name="Note 14 3 4 7 4" xfId="14777"/>
    <cellStyle name="Note 14 3 4 7 4 2" xfId="37364"/>
    <cellStyle name="Note 14 3 4 7 5" xfId="8337"/>
    <cellStyle name="Note 14 3 4 7 5 2" xfId="30924"/>
    <cellStyle name="Note 14 3 4 7 6" xfId="24484"/>
    <cellStyle name="Note 14 3 4 8" xfId="2942"/>
    <cellStyle name="Note 14 3 4 8 2" xfId="6163"/>
    <cellStyle name="Note 14 3 4 8 2 2" xfId="22263"/>
    <cellStyle name="Note 14 3 4 8 2 2 2" xfId="44850"/>
    <cellStyle name="Note 14 3 4 8 2 3" xfId="12603"/>
    <cellStyle name="Note 14 3 4 8 2 3 2" xfId="35190"/>
    <cellStyle name="Note 14 3 4 8 2 4" xfId="28750"/>
    <cellStyle name="Note 14 3 4 8 3" xfId="19043"/>
    <cellStyle name="Note 14 3 4 8 3 2" xfId="41630"/>
    <cellStyle name="Note 14 3 4 8 4" xfId="15823"/>
    <cellStyle name="Note 14 3 4 8 4 2" xfId="38410"/>
    <cellStyle name="Note 14 3 4 8 5" xfId="9383"/>
    <cellStyle name="Note 14 3 4 8 5 2" xfId="31970"/>
    <cellStyle name="Note 14 3 4 8 6" xfId="25530"/>
    <cellStyle name="Note 14 3 4 9" xfId="3233"/>
    <cellStyle name="Note 14 3 4 9 2" xfId="6453"/>
    <cellStyle name="Note 14 3 4 9 2 2" xfId="22553"/>
    <cellStyle name="Note 14 3 4 9 2 2 2" xfId="45140"/>
    <cellStyle name="Note 14 3 4 9 2 3" xfId="12893"/>
    <cellStyle name="Note 14 3 4 9 2 3 2" xfId="35480"/>
    <cellStyle name="Note 14 3 4 9 2 4" xfId="29040"/>
    <cellStyle name="Note 14 3 4 9 3" xfId="19333"/>
    <cellStyle name="Note 14 3 4 9 3 2" xfId="41920"/>
    <cellStyle name="Note 14 3 4 9 4" xfId="16113"/>
    <cellStyle name="Note 14 3 4 9 4 2" xfId="38700"/>
    <cellStyle name="Note 14 3 4 9 5" xfId="9673"/>
    <cellStyle name="Note 14 3 4 9 5 2" xfId="32260"/>
    <cellStyle name="Note 14 3 4 9 6" xfId="25820"/>
    <cellStyle name="Note 14 3 5" xfId="249"/>
    <cellStyle name="Note 14 3 5 10" xfId="16417"/>
    <cellStyle name="Note 14 3 5 10 2" xfId="39004"/>
    <cellStyle name="Note 14 3 5 11" xfId="13197"/>
    <cellStyle name="Note 14 3 5 11 2" xfId="35784"/>
    <cellStyle name="Note 14 3 5 12" xfId="6757"/>
    <cellStyle name="Note 14 3 5 12 2" xfId="29344"/>
    <cellStyle name="Note 14 3 5 13" xfId="22904"/>
    <cellStyle name="Note 14 3 5 2" xfId="974"/>
    <cellStyle name="Note 14 3 5 2 2" xfId="2292"/>
    <cellStyle name="Note 14 3 5 2 2 2" xfId="5513"/>
    <cellStyle name="Note 14 3 5 2 2 2 2" xfId="21613"/>
    <cellStyle name="Note 14 3 5 2 2 2 2 2" xfId="44200"/>
    <cellStyle name="Note 14 3 5 2 2 2 3" xfId="11953"/>
    <cellStyle name="Note 14 3 5 2 2 2 3 2" xfId="34540"/>
    <cellStyle name="Note 14 3 5 2 2 2 4" xfId="28100"/>
    <cellStyle name="Note 14 3 5 2 2 3" xfId="18393"/>
    <cellStyle name="Note 14 3 5 2 2 3 2" xfId="40980"/>
    <cellStyle name="Note 14 3 5 2 2 4" xfId="15173"/>
    <cellStyle name="Note 14 3 5 2 2 4 2" xfId="37760"/>
    <cellStyle name="Note 14 3 5 2 2 5" xfId="8733"/>
    <cellStyle name="Note 14 3 5 2 2 5 2" xfId="31320"/>
    <cellStyle name="Note 14 3 5 2 2 6" xfId="24880"/>
    <cellStyle name="Note 14 3 5 2 3" xfId="4205"/>
    <cellStyle name="Note 14 3 5 2 3 2" xfId="20305"/>
    <cellStyle name="Note 14 3 5 2 3 2 2" xfId="42892"/>
    <cellStyle name="Note 14 3 5 2 3 3" xfId="10645"/>
    <cellStyle name="Note 14 3 5 2 3 3 2" xfId="33232"/>
    <cellStyle name="Note 14 3 5 2 3 4" xfId="26792"/>
    <cellStyle name="Note 14 3 5 2 4" xfId="17085"/>
    <cellStyle name="Note 14 3 5 2 4 2" xfId="39672"/>
    <cellStyle name="Note 14 3 5 2 5" xfId="13865"/>
    <cellStyle name="Note 14 3 5 2 5 2" xfId="36452"/>
    <cellStyle name="Note 14 3 5 2 6" xfId="7425"/>
    <cellStyle name="Note 14 3 5 2 6 2" xfId="30012"/>
    <cellStyle name="Note 14 3 5 2 7" xfId="23572"/>
    <cellStyle name="Note 14 3 5 3" xfId="1325"/>
    <cellStyle name="Note 14 3 5 3 2" xfId="2639"/>
    <cellStyle name="Note 14 3 5 3 2 2" xfId="5860"/>
    <cellStyle name="Note 14 3 5 3 2 2 2" xfId="21960"/>
    <cellStyle name="Note 14 3 5 3 2 2 2 2" xfId="44547"/>
    <cellStyle name="Note 14 3 5 3 2 2 3" xfId="12300"/>
    <cellStyle name="Note 14 3 5 3 2 2 3 2" xfId="34887"/>
    <cellStyle name="Note 14 3 5 3 2 2 4" xfId="28447"/>
    <cellStyle name="Note 14 3 5 3 2 3" xfId="18740"/>
    <cellStyle name="Note 14 3 5 3 2 3 2" xfId="41327"/>
    <cellStyle name="Note 14 3 5 3 2 4" xfId="15520"/>
    <cellStyle name="Note 14 3 5 3 2 4 2" xfId="38107"/>
    <cellStyle name="Note 14 3 5 3 2 5" xfId="9080"/>
    <cellStyle name="Note 14 3 5 3 2 5 2" xfId="31667"/>
    <cellStyle name="Note 14 3 5 3 2 6" xfId="25227"/>
    <cellStyle name="Note 14 3 5 3 3" xfId="4552"/>
    <cellStyle name="Note 14 3 5 3 3 2" xfId="20652"/>
    <cellStyle name="Note 14 3 5 3 3 2 2" xfId="43239"/>
    <cellStyle name="Note 14 3 5 3 3 3" xfId="10992"/>
    <cellStyle name="Note 14 3 5 3 3 3 2" xfId="33579"/>
    <cellStyle name="Note 14 3 5 3 3 4" xfId="27139"/>
    <cellStyle name="Note 14 3 5 3 4" xfId="17432"/>
    <cellStyle name="Note 14 3 5 3 4 2" xfId="40019"/>
    <cellStyle name="Note 14 3 5 3 5" xfId="14212"/>
    <cellStyle name="Note 14 3 5 3 5 2" xfId="36799"/>
    <cellStyle name="Note 14 3 5 3 6" xfId="7772"/>
    <cellStyle name="Note 14 3 5 3 6 2" xfId="30359"/>
    <cellStyle name="Note 14 3 5 3 7" xfId="23919"/>
    <cellStyle name="Note 14 3 5 4" xfId="1793"/>
    <cellStyle name="Note 14 3 5 4 2" xfId="5016"/>
    <cellStyle name="Note 14 3 5 4 2 2" xfId="21116"/>
    <cellStyle name="Note 14 3 5 4 2 2 2" xfId="43703"/>
    <cellStyle name="Note 14 3 5 4 2 3" xfId="11456"/>
    <cellStyle name="Note 14 3 5 4 2 3 2" xfId="34043"/>
    <cellStyle name="Note 14 3 5 4 2 4" xfId="27603"/>
    <cellStyle name="Note 14 3 5 4 3" xfId="17896"/>
    <cellStyle name="Note 14 3 5 4 3 2" xfId="40483"/>
    <cellStyle name="Note 14 3 5 4 4" xfId="14676"/>
    <cellStyle name="Note 14 3 5 4 4 2" xfId="37263"/>
    <cellStyle name="Note 14 3 5 4 5" xfId="8236"/>
    <cellStyle name="Note 14 3 5 4 5 2" xfId="30823"/>
    <cellStyle name="Note 14 3 5 4 6" xfId="24383"/>
    <cellStyle name="Note 14 3 5 5" xfId="1944"/>
    <cellStyle name="Note 14 3 5 5 2" xfId="5166"/>
    <cellStyle name="Note 14 3 5 5 2 2" xfId="21266"/>
    <cellStyle name="Note 14 3 5 5 2 2 2" xfId="43853"/>
    <cellStyle name="Note 14 3 5 5 2 3" xfId="11606"/>
    <cellStyle name="Note 14 3 5 5 2 3 2" xfId="34193"/>
    <cellStyle name="Note 14 3 5 5 2 4" xfId="27753"/>
    <cellStyle name="Note 14 3 5 5 3" xfId="18046"/>
    <cellStyle name="Note 14 3 5 5 3 2" xfId="40633"/>
    <cellStyle name="Note 14 3 5 5 4" xfId="14826"/>
    <cellStyle name="Note 14 3 5 5 4 2" xfId="37413"/>
    <cellStyle name="Note 14 3 5 5 5" xfId="8386"/>
    <cellStyle name="Note 14 3 5 5 5 2" xfId="30973"/>
    <cellStyle name="Note 14 3 5 5 6" xfId="24533"/>
    <cellStyle name="Note 14 3 5 6" xfId="2956"/>
    <cellStyle name="Note 14 3 5 6 2" xfId="6177"/>
    <cellStyle name="Note 14 3 5 6 2 2" xfId="22277"/>
    <cellStyle name="Note 14 3 5 6 2 2 2" xfId="44864"/>
    <cellStyle name="Note 14 3 5 6 2 3" xfId="12617"/>
    <cellStyle name="Note 14 3 5 6 2 3 2" xfId="35204"/>
    <cellStyle name="Note 14 3 5 6 2 4" xfId="28764"/>
    <cellStyle name="Note 14 3 5 6 3" xfId="19057"/>
    <cellStyle name="Note 14 3 5 6 3 2" xfId="41644"/>
    <cellStyle name="Note 14 3 5 6 4" xfId="15837"/>
    <cellStyle name="Note 14 3 5 6 4 2" xfId="38424"/>
    <cellStyle name="Note 14 3 5 6 5" xfId="9397"/>
    <cellStyle name="Note 14 3 5 6 5 2" xfId="31984"/>
    <cellStyle name="Note 14 3 5 6 6" xfId="25544"/>
    <cellStyle name="Note 14 3 5 7" xfId="3247"/>
    <cellStyle name="Note 14 3 5 7 2" xfId="6467"/>
    <cellStyle name="Note 14 3 5 7 2 2" xfId="22567"/>
    <cellStyle name="Note 14 3 5 7 2 2 2" xfId="45154"/>
    <cellStyle name="Note 14 3 5 7 2 3" xfId="12907"/>
    <cellStyle name="Note 14 3 5 7 2 3 2" xfId="35494"/>
    <cellStyle name="Note 14 3 5 7 2 4" xfId="29054"/>
    <cellStyle name="Note 14 3 5 7 3" xfId="19347"/>
    <cellStyle name="Note 14 3 5 7 3 2" xfId="41934"/>
    <cellStyle name="Note 14 3 5 7 4" xfId="16127"/>
    <cellStyle name="Note 14 3 5 7 4 2" xfId="38714"/>
    <cellStyle name="Note 14 3 5 7 5" xfId="9687"/>
    <cellStyle name="Note 14 3 5 7 5 2" xfId="32274"/>
    <cellStyle name="Note 14 3 5 7 6" xfId="25834"/>
    <cellStyle name="Note 14 3 5 8" xfId="589"/>
    <cellStyle name="Note 14 3 5 8 2" xfId="3858"/>
    <cellStyle name="Note 14 3 5 8 2 2" xfId="19958"/>
    <cellStyle name="Note 14 3 5 8 2 2 2" xfId="42545"/>
    <cellStyle name="Note 14 3 5 8 2 3" xfId="10298"/>
    <cellStyle name="Note 14 3 5 8 2 3 2" xfId="32885"/>
    <cellStyle name="Note 14 3 5 8 2 4" xfId="26445"/>
    <cellStyle name="Note 14 3 5 8 3" xfId="16738"/>
    <cellStyle name="Note 14 3 5 8 3 2" xfId="39325"/>
    <cellStyle name="Note 14 3 5 8 4" xfId="13518"/>
    <cellStyle name="Note 14 3 5 8 4 2" xfId="36105"/>
    <cellStyle name="Note 14 3 5 8 5" xfId="7078"/>
    <cellStyle name="Note 14 3 5 8 5 2" xfId="29665"/>
    <cellStyle name="Note 14 3 5 8 6" xfId="23225"/>
    <cellStyle name="Note 14 3 5 9" xfId="3537"/>
    <cellStyle name="Note 14 3 5 9 2" xfId="19637"/>
    <cellStyle name="Note 14 3 5 9 2 2" xfId="42224"/>
    <cellStyle name="Note 14 3 5 9 3" xfId="9977"/>
    <cellStyle name="Note 14 3 5 9 3 2" xfId="32564"/>
    <cellStyle name="Note 14 3 5 9 4" xfId="26124"/>
    <cellStyle name="Note 14 3 6" xfId="352"/>
    <cellStyle name="Note 14 3 6 10" xfId="16519"/>
    <cellStyle name="Note 14 3 6 10 2" xfId="39106"/>
    <cellStyle name="Note 14 3 6 11" xfId="13299"/>
    <cellStyle name="Note 14 3 6 11 2" xfId="35886"/>
    <cellStyle name="Note 14 3 6 12" xfId="6859"/>
    <cellStyle name="Note 14 3 6 12 2" xfId="29446"/>
    <cellStyle name="Note 14 3 6 13" xfId="23006"/>
    <cellStyle name="Note 14 3 6 2" xfId="1089"/>
    <cellStyle name="Note 14 3 6 2 2" xfId="2403"/>
    <cellStyle name="Note 14 3 6 2 2 2" xfId="5624"/>
    <cellStyle name="Note 14 3 6 2 2 2 2" xfId="21724"/>
    <cellStyle name="Note 14 3 6 2 2 2 2 2" xfId="44311"/>
    <cellStyle name="Note 14 3 6 2 2 2 3" xfId="12064"/>
    <cellStyle name="Note 14 3 6 2 2 2 3 2" xfId="34651"/>
    <cellStyle name="Note 14 3 6 2 2 2 4" xfId="28211"/>
    <cellStyle name="Note 14 3 6 2 2 3" xfId="18504"/>
    <cellStyle name="Note 14 3 6 2 2 3 2" xfId="41091"/>
    <cellStyle name="Note 14 3 6 2 2 4" xfId="15284"/>
    <cellStyle name="Note 14 3 6 2 2 4 2" xfId="37871"/>
    <cellStyle name="Note 14 3 6 2 2 5" xfId="8844"/>
    <cellStyle name="Note 14 3 6 2 2 5 2" xfId="31431"/>
    <cellStyle name="Note 14 3 6 2 2 6" xfId="24991"/>
    <cellStyle name="Note 14 3 6 2 3" xfId="4316"/>
    <cellStyle name="Note 14 3 6 2 3 2" xfId="20416"/>
    <cellStyle name="Note 14 3 6 2 3 2 2" xfId="43003"/>
    <cellStyle name="Note 14 3 6 2 3 3" xfId="10756"/>
    <cellStyle name="Note 14 3 6 2 3 3 2" xfId="33343"/>
    <cellStyle name="Note 14 3 6 2 3 4" xfId="26903"/>
    <cellStyle name="Note 14 3 6 2 4" xfId="17196"/>
    <cellStyle name="Note 14 3 6 2 4 2" xfId="39783"/>
    <cellStyle name="Note 14 3 6 2 5" xfId="13976"/>
    <cellStyle name="Note 14 3 6 2 5 2" xfId="36563"/>
    <cellStyle name="Note 14 3 6 2 6" xfId="7536"/>
    <cellStyle name="Note 14 3 6 2 6 2" xfId="30123"/>
    <cellStyle name="Note 14 3 6 2 7" xfId="23683"/>
    <cellStyle name="Note 14 3 6 3" xfId="1436"/>
    <cellStyle name="Note 14 3 6 3 2" xfId="2750"/>
    <cellStyle name="Note 14 3 6 3 2 2" xfId="5971"/>
    <cellStyle name="Note 14 3 6 3 2 2 2" xfId="22071"/>
    <cellStyle name="Note 14 3 6 3 2 2 2 2" xfId="44658"/>
    <cellStyle name="Note 14 3 6 3 2 2 3" xfId="12411"/>
    <cellStyle name="Note 14 3 6 3 2 2 3 2" xfId="34998"/>
    <cellStyle name="Note 14 3 6 3 2 2 4" xfId="28558"/>
    <cellStyle name="Note 14 3 6 3 2 3" xfId="18851"/>
    <cellStyle name="Note 14 3 6 3 2 3 2" xfId="41438"/>
    <cellStyle name="Note 14 3 6 3 2 4" xfId="15631"/>
    <cellStyle name="Note 14 3 6 3 2 4 2" xfId="38218"/>
    <cellStyle name="Note 14 3 6 3 2 5" xfId="9191"/>
    <cellStyle name="Note 14 3 6 3 2 5 2" xfId="31778"/>
    <cellStyle name="Note 14 3 6 3 2 6" xfId="25338"/>
    <cellStyle name="Note 14 3 6 3 3" xfId="4663"/>
    <cellStyle name="Note 14 3 6 3 3 2" xfId="20763"/>
    <cellStyle name="Note 14 3 6 3 3 2 2" xfId="43350"/>
    <cellStyle name="Note 14 3 6 3 3 3" xfId="11103"/>
    <cellStyle name="Note 14 3 6 3 3 3 2" xfId="33690"/>
    <cellStyle name="Note 14 3 6 3 3 4" xfId="27250"/>
    <cellStyle name="Note 14 3 6 3 4" xfId="17543"/>
    <cellStyle name="Note 14 3 6 3 4 2" xfId="40130"/>
    <cellStyle name="Note 14 3 6 3 5" xfId="14323"/>
    <cellStyle name="Note 14 3 6 3 5 2" xfId="36910"/>
    <cellStyle name="Note 14 3 6 3 6" xfId="7883"/>
    <cellStyle name="Note 14 3 6 3 6 2" xfId="30470"/>
    <cellStyle name="Note 14 3 6 3 7" xfId="24030"/>
    <cellStyle name="Note 14 3 6 4" xfId="1794"/>
    <cellStyle name="Note 14 3 6 4 2" xfId="5017"/>
    <cellStyle name="Note 14 3 6 4 2 2" xfId="21117"/>
    <cellStyle name="Note 14 3 6 4 2 2 2" xfId="43704"/>
    <cellStyle name="Note 14 3 6 4 2 3" xfId="11457"/>
    <cellStyle name="Note 14 3 6 4 2 3 2" xfId="34044"/>
    <cellStyle name="Note 14 3 6 4 2 4" xfId="27604"/>
    <cellStyle name="Note 14 3 6 4 3" xfId="17897"/>
    <cellStyle name="Note 14 3 6 4 3 2" xfId="40484"/>
    <cellStyle name="Note 14 3 6 4 4" xfId="14677"/>
    <cellStyle name="Note 14 3 6 4 4 2" xfId="37264"/>
    <cellStyle name="Note 14 3 6 4 5" xfId="8237"/>
    <cellStyle name="Note 14 3 6 4 5 2" xfId="30824"/>
    <cellStyle name="Note 14 3 6 4 6" xfId="24384"/>
    <cellStyle name="Note 14 3 6 5" xfId="2056"/>
    <cellStyle name="Note 14 3 6 5 2" xfId="5277"/>
    <cellStyle name="Note 14 3 6 5 2 2" xfId="21377"/>
    <cellStyle name="Note 14 3 6 5 2 2 2" xfId="43964"/>
    <cellStyle name="Note 14 3 6 5 2 3" xfId="11717"/>
    <cellStyle name="Note 14 3 6 5 2 3 2" xfId="34304"/>
    <cellStyle name="Note 14 3 6 5 2 4" xfId="27864"/>
    <cellStyle name="Note 14 3 6 5 3" xfId="18157"/>
    <cellStyle name="Note 14 3 6 5 3 2" xfId="40744"/>
    <cellStyle name="Note 14 3 6 5 4" xfId="14937"/>
    <cellStyle name="Note 14 3 6 5 4 2" xfId="37524"/>
    <cellStyle name="Note 14 3 6 5 5" xfId="8497"/>
    <cellStyle name="Note 14 3 6 5 5 2" xfId="31084"/>
    <cellStyle name="Note 14 3 6 5 6" xfId="24644"/>
    <cellStyle name="Note 14 3 6 6" xfId="3059"/>
    <cellStyle name="Note 14 3 6 6 2" xfId="6279"/>
    <cellStyle name="Note 14 3 6 6 2 2" xfId="22379"/>
    <cellStyle name="Note 14 3 6 6 2 2 2" xfId="44966"/>
    <cellStyle name="Note 14 3 6 6 2 3" xfId="12719"/>
    <cellStyle name="Note 14 3 6 6 2 3 2" xfId="35306"/>
    <cellStyle name="Note 14 3 6 6 2 4" xfId="28866"/>
    <cellStyle name="Note 14 3 6 6 3" xfId="19159"/>
    <cellStyle name="Note 14 3 6 6 3 2" xfId="41746"/>
    <cellStyle name="Note 14 3 6 6 4" xfId="15939"/>
    <cellStyle name="Note 14 3 6 6 4 2" xfId="38526"/>
    <cellStyle name="Note 14 3 6 6 5" xfId="9499"/>
    <cellStyle name="Note 14 3 6 6 5 2" xfId="32086"/>
    <cellStyle name="Note 14 3 6 6 6" xfId="25646"/>
    <cellStyle name="Note 14 3 6 7" xfId="3349"/>
    <cellStyle name="Note 14 3 6 7 2" xfId="6569"/>
    <cellStyle name="Note 14 3 6 7 2 2" xfId="22669"/>
    <cellStyle name="Note 14 3 6 7 2 2 2" xfId="45256"/>
    <cellStyle name="Note 14 3 6 7 2 3" xfId="13009"/>
    <cellStyle name="Note 14 3 6 7 2 3 2" xfId="35596"/>
    <cellStyle name="Note 14 3 6 7 2 4" xfId="29156"/>
    <cellStyle name="Note 14 3 6 7 3" xfId="19449"/>
    <cellStyle name="Note 14 3 6 7 3 2" xfId="42036"/>
    <cellStyle name="Note 14 3 6 7 4" xfId="16229"/>
    <cellStyle name="Note 14 3 6 7 4 2" xfId="38816"/>
    <cellStyle name="Note 14 3 6 7 5" xfId="9789"/>
    <cellStyle name="Note 14 3 6 7 5 2" xfId="32376"/>
    <cellStyle name="Note 14 3 6 7 6" xfId="25936"/>
    <cellStyle name="Note 14 3 6 8" xfId="737"/>
    <cellStyle name="Note 14 3 6 8 2" xfId="3969"/>
    <cellStyle name="Note 14 3 6 8 2 2" xfId="20069"/>
    <cellStyle name="Note 14 3 6 8 2 2 2" xfId="42656"/>
    <cellStyle name="Note 14 3 6 8 2 3" xfId="10409"/>
    <cellStyle name="Note 14 3 6 8 2 3 2" xfId="32996"/>
    <cellStyle name="Note 14 3 6 8 2 4" xfId="26556"/>
    <cellStyle name="Note 14 3 6 8 3" xfId="16849"/>
    <cellStyle name="Note 14 3 6 8 3 2" xfId="39436"/>
    <cellStyle name="Note 14 3 6 8 4" xfId="13629"/>
    <cellStyle name="Note 14 3 6 8 4 2" xfId="36216"/>
    <cellStyle name="Note 14 3 6 8 5" xfId="7189"/>
    <cellStyle name="Note 14 3 6 8 5 2" xfId="29776"/>
    <cellStyle name="Note 14 3 6 8 6" xfId="23336"/>
    <cellStyle name="Note 14 3 6 9" xfId="3639"/>
    <cellStyle name="Note 14 3 6 9 2" xfId="19739"/>
    <cellStyle name="Note 14 3 6 9 2 2" xfId="42326"/>
    <cellStyle name="Note 14 3 6 9 3" xfId="10079"/>
    <cellStyle name="Note 14 3 6 9 3 2" xfId="32666"/>
    <cellStyle name="Note 14 3 6 9 4" xfId="26226"/>
    <cellStyle name="Note 14 3 7" xfId="757"/>
    <cellStyle name="Note 14 3 7 2" xfId="1109"/>
    <cellStyle name="Note 14 3 7 2 2" xfId="2423"/>
    <cellStyle name="Note 14 3 7 2 2 2" xfId="5644"/>
    <cellStyle name="Note 14 3 7 2 2 2 2" xfId="21744"/>
    <cellStyle name="Note 14 3 7 2 2 2 2 2" xfId="44331"/>
    <cellStyle name="Note 14 3 7 2 2 2 3" xfId="12084"/>
    <cellStyle name="Note 14 3 7 2 2 2 3 2" xfId="34671"/>
    <cellStyle name="Note 14 3 7 2 2 2 4" xfId="28231"/>
    <cellStyle name="Note 14 3 7 2 2 3" xfId="18524"/>
    <cellStyle name="Note 14 3 7 2 2 3 2" xfId="41111"/>
    <cellStyle name="Note 14 3 7 2 2 4" xfId="15304"/>
    <cellStyle name="Note 14 3 7 2 2 4 2" xfId="37891"/>
    <cellStyle name="Note 14 3 7 2 2 5" xfId="8864"/>
    <cellStyle name="Note 14 3 7 2 2 5 2" xfId="31451"/>
    <cellStyle name="Note 14 3 7 2 2 6" xfId="25011"/>
    <cellStyle name="Note 14 3 7 2 3" xfId="4336"/>
    <cellStyle name="Note 14 3 7 2 3 2" xfId="20436"/>
    <cellStyle name="Note 14 3 7 2 3 2 2" xfId="43023"/>
    <cellStyle name="Note 14 3 7 2 3 3" xfId="10776"/>
    <cellStyle name="Note 14 3 7 2 3 3 2" xfId="33363"/>
    <cellStyle name="Note 14 3 7 2 3 4" xfId="26923"/>
    <cellStyle name="Note 14 3 7 2 4" xfId="17216"/>
    <cellStyle name="Note 14 3 7 2 4 2" xfId="39803"/>
    <cellStyle name="Note 14 3 7 2 5" xfId="13996"/>
    <cellStyle name="Note 14 3 7 2 5 2" xfId="36583"/>
    <cellStyle name="Note 14 3 7 2 6" xfId="7556"/>
    <cellStyle name="Note 14 3 7 2 6 2" xfId="30143"/>
    <cellStyle name="Note 14 3 7 2 7" xfId="23703"/>
    <cellStyle name="Note 14 3 7 3" xfId="1456"/>
    <cellStyle name="Note 14 3 7 3 2" xfId="2770"/>
    <cellStyle name="Note 14 3 7 3 2 2" xfId="5991"/>
    <cellStyle name="Note 14 3 7 3 2 2 2" xfId="22091"/>
    <cellStyle name="Note 14 3 7 3 2 2 2 2" xfId="44678"/>
    <cellStyle name="Note 14 3 7 3 2 2 3" xfId="12431"/>
    <cellStyle name="Note 14 3 7 3 2 2 3 2" xfId="35018"/>
    <cellStyle name="Note 14 3 7 3 2 2 4" xfId="28578"/>
    <cellStyle name="Note 14 3 7 3 2 3" xfId="18871"/>
    <cellStyle name="Note 14 3 7 3 2 3 2" xfId="41458"/>
    <cellStyle name="Note 14 3 7 3 2 4" xfId="15651"/>
    <cellStyle name="Note 14 3 7 3 2 4 2" xfId="38238"/>
    <cellStyle name="Note 14 3 7 3 2 5" xfId="9211"/>
    <cellStyle name="Note 14 3 7 3 2 5 2" xfId="31798"/>
    <cellStyle name="Note 14 3 7 3 2 6" xfId="25358"/>
    <cellStyle name="Note 14 3 7 3 3" xfId="4683"/>
    <cellStyle name="Note 14 3 7 3 3 2" xfId="20783"/>
    <cellStyle name="Note 14 3 7 3 3 2 2" xfId="43370"/>
    <cellStyle name="Note 14 3 7 3 3 3" xfId="11123"/>
    <cellStyle name="Note 14 3 7 3 3 3 2" xfId="33710"/>
    <cellStyle name="Note 14 3 7 3 3 4" xfId="27270"/>
    <cellStyle name="Note 14 3 7 3 4" xfId="17563"/>
    <cellStyle name="Note 14 3 7 3 4 2" xfId="40150"/>
    <cellStyle name="Note 14 3 7 3 5" xfId="14343"/>
    <cellStyle name="Note 14 3 7 3 5 2" xfId="36930"/>
    <cellStyle name="Note 14 3 7 3 6" xfId="7903"/>
    <cellStyle name="Note 14 3 7 3 6 2" xfId="30490"/>
    <cellStyle name="Note 14 3 7 3 7" xfId="24050"/>
    <cellStyle name="Note 14 3 7 4" xfId="2076"/>
    <cellStyle name="Note 14 3 7 4 2" xfId="5297"/>
    <cellStyle name="Note 14 3 7 4 2 2" xfId="21397"/>
    <cellStyle name="Note 14 3 7 4 2 2 2" xfId="43984"/>
    <cellStyle name="Note 14 3 7 4 2 3" xfId="11737"/>
    <cellStyle name="Note 14 3 7 4 2 3 2" xfId="34324"/>
    <cellStyle name="Note 14 3 7 4 2 4" xfId="27884"/>
    <cellStyle name="Note 14 3 7 4 3" xfId="18177"/>
    <cellStyle name="Note 14 3 7 4 3 2" xfId="40764"/>
    <cellStyle name="Note 14 3 7 4 4" xfId="14957"/>
    <cellStyle name="Note 14 3 7 4 4 2" xfId="37544"/>
    <cellStyle name="Note 14 3 7 4 5" xfId="8517"/>
    <cellStyle name="Note 14 3 7 4 5 2" xfId="31104"/>
    <cellStyle name="Note 14 3 7 4 6" xfId="24664"/>
    <cellStyle name="Note 14 3 7 5" xfId="3989"/>
    <cellStyle name="Note 14 3 7 5 2" xfId="20089"/>
    <cellStyle name="Note 14 3 7 5 2 2" xfId="42676"/>
    <cellStyle name="Note 14 3 7 5 3" xfId="10429"/>
    <cellStyle name="Note 14 3 7 5 3 2" xfId="33016"/>
    <cellStyle name="Note 14 3 7 5 4" xfId="26576"/>
    <cellStyle name="Note 14 3 7 6" xfId="16869"/>
    <cellStyle name="Note 14 3 7 6 2" xfId="39456"/>
    <cellStyle name="Note 14 3 7 7" xfId="13649"/>
    <cellStyle name="Note 14 3 7 7 2" xfId="36236"/>
    <cellStyle name="Note 14 3 7 8" xfId="7209"/>
    <cellStyle name="Note 14 3 7 8 2" xfId="29796"/>
    <cellStyle name="Note 14 3 7 9" xfId="23356"/>
    <cellStyle name="Note 14 3 8" xfId="851"/>
    <cellStyle name="Note 14 3 8 2" xfId="2170"/>
    <cellStyle name="Note 14 3 8 2 2" xfId="5391"/>
    <cellStyle name="Note 14 3 8 2 2 2" xfId="21491"/>
    <cellStyle name="Note 14 3 8 2 2 2 2" xfId="44078"/>
    <cellStyle name="Note 14 3 8 2 2 3" xfId="11831"/>
    <cellStyle name="Note 14 3 8 2 2 3 2" xfId="34418"/>
    <cellStyle name="Note 14 3 8 2 2 4" xfId="27978"/>
    <cellStyle name="Note 14 3 8 2 3" xfId="18271"/>
    <cellStyle name="Note 14 3 8 2 3 2" xfId="40858"/>
    <cellStyle name="Note 14 3 8 2 4" xfId="15051"/>
    <cellStyle name="Note 14 3 8 2 4 2" xfId="37638"/>
    <cellStyle name="Note 14 3 8 2 5" xfId="8611"/>
    <cellStyle name="Note 14 3 8 2 5 2" xfId="31198"/>
    <cellStyle name="Note 14 3 8 2 6" xfId="24758"/>
    <cellStyle name="Note 14 3 8 3" xfId="4083"/>
    <cellStyle name="Note 14 3 8 3 2" xfId="20183"/>
    <cellStyle name="Note 14 3 8 3 2 2" xfId="42770"/>
    <cellStyle name="Note 14 3 8 3 3" xfId="10523"/>
    <cellStyle name="Note 14 3 8 3 3 2" xfId="33110"/>
    <cellStyle name="Note 14 3 8 3 4" xfId="26670"/>
    <cellStyle name="Note 14 3 8 4" xfId="16963"/>
    <cellStyle name="Note 14 3 8 4 2" xfId="39550"/>
    <cellStyle name="Note 14 3 8 5" xfId="13743"/>
    <cellStyle name="Note 14 3 8 5 2" xfId="36330"/>
    <cellStyle name="Note 14 3 8 6" xfId="7303"/>
    <cellStyle name="Note 14 3 8 6 2" xfId="29890"/>
    <cellStyle name="Note 14 3 8 7" xfId="23450"/>
    <cellStyle name="Note 14 3 9" xfId="1203"/>
    <cellStyle name="Note 14 3 9 2" xfId="2517"/>
    <cellStyle name="Note 14 3 9 2 2" xfId="5738"/>
    <cellStyle name="Note 14 3 9 2 2 2" xfId="21838"/>
    <cellStyle name="Note 14 3 9 2 2 2 2" xfId="44425"/>
    <cellStyle name="Note 14 3 9 2 2 3" xfId="12178"/>
    <cellStyle name="Note 14 3 9 2 2 3 2" xfId="34765"/>
    <cellStyle name="Note 14 3 9 2 2 4" xfId="28325"/>
    <cellStyle name="Note 14 3 9 2 3" xfId="18618"/>
    <cellStyle name="Note 14 3 9 2 3 2" xfId="41205"/>
    <cellStyle name="Note 14 3 9 2 4" xfId="15398"/>
    <cellStyle name="Note 14 3 9 2 4 2" xfId="37985"/>
    <cellStyle name="Note 14 3 9 2 5" xfId="8958"/>
    <cellStyle name="Note 14 3 9 2 5 2" xfId="31545"/>
    <cellStyle name="Note 14 3 9 2 6" xfId="25105"/>
    <cellStyle name="Note 14 3 9 3" xfId="4430"/>
    <cellStyle name="Note 14 3 9 3 2" xfId="20530"/>
    <cellStyle name="Note 14 3 9 3 2 2" xfId="43117"/>
    <cellStyle name="Note 14 3 9 3 3" xfId="10870"/>
    <cellStyle name="Note 14 3 9 3 3 2" xfId="33457"/>
    <cellStyle name="Note 14 3 9 3 4" xfId="27017"/>
    <cellStyle name="Note 14 3 9 4" xfId="17310"/>
    <cellStyle name="Note 14 3 9 4 2" xfId="39897"/>
    <cellStyle name="Note 14 3 9 5" xfId="14090"/>
    <cellStyle name="Note 14 3 9 5 2" xfId="36677"/>
    <cellStyle name="Note 14 3 9 6" xfId="7650"/>
    <cellStyle name="Note 14 3 9 6 2" xfId="30237"/>
    <cellStyle name="Note 14 3 9 7" xfId="23797"/>
    <cellStyle name="Note 14 4" xfId="115"/>
    <cellStyle name="Note 14 4 10" xfId="2871"/>
    <cellStyle name="Note 14 4 10 2" xfId="6092"/>
    <cellStyle name="Note 14 4 10 2 2" xfId="22192"/>
    <cellStyle name="Note 14 4 10 2 2 2" xfId="44779"/>
    <cellStyle name="Note 14 4 10 2 3" xfId="12532"/>
    <cellStyle name="Note 14 4 10 2 3 2" xfId="35119"/>
    <cellStyle name="Note 14 4 10 2 4" xfId="28679"/>
    <cellStyle name="Note 14 4 10 3" xfId="18972"/>
    <cellStyle name="Note 14 4 10 3 2" xfId="41559"/>
    <cellStyle name="Note 14 4 10 4" xfId="15752"/>
    <cellStyle name="Note 14 4 10 4 2" xfId="38339"/>
    <cellStyle name="Note 14 4 10 5" xfId="9312"/>
    <cellStyle name="Note 14 4 10 5 2" xfId="31899"/>
    <cellStyle name="Note 14 4 10 6" xfId="25459"/>
    <cellStyle name="Note 14 4 11" xfId="3162"/>
    <cellStyle name="Note 14 4 11 2" xfId="6382"/>
    <cellStyle name="Note 14 4 11 2 2" xfId="22482"/>
    <cellStyle name="Note 14 4 11 2 2 2" xfId="45069"/>
    <cellStyle name="Note 14 4 11 2 3" xfId="12822"/>
    <cellStyle name="Note 14 4 11 2 3 2" xfId="35409"/>
    <cellStyle name="Note 14 4 11 2 4" xfId="28969"/>
    <cellStyle name="Note 14 4 11 3" xfId="19262"/>
    <cellStyle name="Note 14 4 11 3 2" xfId="41849"/>
    <cellStyle name="Note 14 4 11 4" xfId="16042"/>
    <cellStyle name="Note 14 4 11 4 2" xfId="38629"/>
    <cellStyle name="Note 14 4 11 5" xfId="9602"/>
    <cellStyle name="Note 14 4 11 5 2" xfId="32189"/>
    <cellStyle name="Note 14 4 11 6" xfId="25749"/>
    <cellStyle name="Note 14 4 12" xfId="455"/>
    <cellStyle name="Note 14 4 12 2" xfId="3742"/>
    <cellStyle name="Note 14 4 12 2 2" xfId="19842"/>
    <cellStyle name="Note 14 4 12 2 2 2" xfId="42429"/>
    <cellStyle name="Note 14 4 12 2 3" xfId="10182"/>
    <cellStyle name="Note 14 4 12 2 3 2" xfId="32769"/>
    <cellStyle name="Note 14 4 12 2 4" xfId="26329"/>
    <cellStyle name="Note 14 4 12 3" xfId="16622"/>
    <cellStyle name="Note 14 4 12 3 2" xfId="39209"/>
    <cellStyle name="Note 14 4 12 4" xfId="13402"/>
    <cellStyle name="Note 14 4 12 4 2" xfId="35989"/>
    <cellStyle name="Note 14 4 12 5" xfId="6962"/>
    <cellStyle name="Note 14 4 12 5 2" xfId="29549"/>
    <cellStyle name="Note 14 4 12 6" xfId="23109"/>
    <cellStyle name="Note 14 4 13" xfId="3452"/>
    <cellStyle name="Note 14 4 13 2" xfId="19552"/>
    <cellStyle name="Note 14 4 13 2 2" xfId="42139"/>
    <cellStyle name="Note 14 4 13 3" xfId="9892"/>
    <cellStyle name="Note 14 4 13 3 2" xfId="32479"/>
    <cellStyle name="Note 14 4 13 4" xfId="26039"/>
    <cellStyle name="Note 14 4 14" xfId="16332"/>
    <cellStyle name="Note 14 4 14 2" xfId="38919"/>
    <cellStyle name="Note 14 4 15" xfId="13112"/>
    <cellStyle name="Note 14 4 15 2" xfId="35699"/>
    <cellStyle name="Note 14 4 16" xfId="6672"/>
    <cellStyle name="Note 14 4 16 2" xfId="29259"/>
    <cellStyle name="Note 14 4 17" xfId="22819"/>
    <cellStyle name="Note 14 4 2" xfId="200"/>
    <cellStyle name="Note 14 4 2 10" xfId="492"/>
    <cellStyle name="Note 14 4 2 10 2" xfId="3779"/>
    <cellStyle name="Note 14 4 2 10 2 2" xfId="19879"/>
    <cellStyle name="Note 14 4 2 10 2 2 2" xfId="42466"/>
    <cellStyle name="Note 14 4 2 10 2 3" xfId="10219"/>
    <cellStyle name="Note 14 4 2 10 2 3 2" xfId="32806"/>
    <cellStyle name="Note 14 4 2 10 2 4" xfId="26366"/>
    <cellStyle name="Note 14 4 2 10 3" xfId="16659"/>
    <cellStyle name="Note 14 4 2 10 3 2" xfId="39246"/>
    <cellStyle name="Note 14 4 2 10 4" xfId="13439"/>
    <cellStyle name="Note 14 4 2 10 4 2" xfId="36026"/>
    <cellStyle name="Note 14 4 2 10 5" xfId="6999"/>
    <cellStyle name="Note 14 4 2 10 5 2" xfId="29586"/>
    <cellStyle name="Note 14 4 2 10 6" xfId="23146"/>
    <cellStyle name="Note 14 4 2 11" xfId="3489"/>
    <cellStyle name="Note 14 4 2 11 2" xfId="19589"/>
    <cellStyle name="Note 14 4 2 11 2 2" xfId="42176"/>
    <cellStyle name="Note 14 4 2 11 3" xfId="9929"/>
    <cellStyle name="Note 14 4 2 11 3 2" xfId="32516"/>
    <cellStyle name="Note 14 4 2 11 4" xfId="26076"/>
    <cellStyle name="Note 14 4 2 12" xfId="16369"/>
    <cellStyle name="Note 14 4 2 12 2" xfId="38956"/>
    <cellStyle name="Note 14 4 2 13" xfId="13149"/>
    <cellStyle name="Note 14 4 2 13 2" xfId="35736"/>
    <cellStyle name="Note 14 4 2 14" xfId="6709"/>
    <cellStyle name="Note 14 4 2 14 2" xfId="29296"/>
    <cellStyle name="Note 14 4 2 15" xfId="22856"/>
    <cellStyle name="Note 14 4 2 2" xfId="299"/>
    <cellStyle name="Note 14 4 2 2 10" xfId="16466"/>
    <cellStyle name="Note 14 4 2 2 10 2" xfId="39053"/>
    <cellStyle name="Note 14 4 2 2 11" xfId="13246"/>
    <cellStyle name="Note 14 4 2 2 11 2" xfId="35833"/>
    <cellStyle name="Note 14 4 2 2 12" xfId="6806"/>
    <cellStyle name="Note 14 4 2 2 12 2" xfId="29393"/>
    <cellStyle name="Note 14 4 2 2 13" xfId="22953"/>
    <cellStyle name="Note 14 4 2 2 2" xfId="1018"/>
    <cellStyle name="Note 14 4 2 2 2 2" xfId="2332"/>
    <cellStyle name="Note 14 4 2 2 2 2 2" xfId="5553"/>
    <cellStyle name="Note 14 4 2 2 2 2 2 2" xfId="21653"/>
    <cellStyle name="Note 14 4 2 2 2 2 2 2 2" xfId="44240"/>
    <cellStyle name="Note 14 4 2 2 2 2 2 3" xfId="11993"/>
    <cellStyle name="Note 14 4 2 2 2 2 2 3 2" xfId="34580"/>
    <cellStyle name="Note 14 4 2 2 2 2 2 4" xfId="28140"/>
    <cellStyle name="Note 14 4 2 2 2 2 3" xfId="18433"/>
    <cellStyle name="Note 14 4 2 2 2 2 3 2" xfId="41020"/>
    <cellStyle name="Note 14 4 2 2 2 2 4" xfId="15213"/>
    <cellStyle name="Note 14 4 2 2 2 2 4 2" xfId="37800"/>
    <cellStyle name="Note 14 4 2 2 2 2 5" xfId="8773"/>
    <cellStyle name="Note 14 4 2 2 2 2 5 2" xfId="31360"/>
    <cellStyle name="Note 14 4 2 2 2 2 6" xfId="24920"/>
    <cellStyle name="Note 14 4 2 2 2 3" xfId="4245"/>
    <cellStyle name="Note 14 4 2 2 2 3 2" xfId="20345"/>
    <cellStyle name="Note 14 4 2 2 2 3 2 2" xfId="42932"/>
    <cellStyle name="Note 14 4 2 2 2 3 3" xfId="10685"/>
    <cellStyle name="Note 14 4 2 2 2 3 3 2" xfId="33272"/>
    <cellStyle name="Note 14 4 2 2 2 3 4" xfId="26832"/>
    <cellStyle name="Note 14 4 2 2 2 4" xfId="17125"/>
    <cellStyle name="Note 14 4 2 2 2 4 2" xfId="39712"/>
    <cellStyle name="Note 14 4 2 2 2 5" xfId="13905"/>
    <cellStyle name="Note 14 4 2 2 2 5 2" xfId="36492"/>
    <cellStyle name="Note 14 4 2 2 2 6" xfId="7465"/>
    <cellStyle name="Note 14 4 2 2 2 6 2" xfId="30052"/>
    <cellStyle name="Note 14 4 2 2 2 7" xfId="23612"/>
    <cellStyle name="Note 14 4 2 2 3" xfId="1365"/>
    <cellStyle name="Note 14 4 2 2 3 2" xfId="2679"/>
    <cellStyle name="Note 14 4 2 2 3 2 2" xfId="5900"/>
    <cellStyle name="Note 14 4 2 2 3 2 2 2" xfId="22000"/>
    <cellStyle name="Note 14 4 2 2 3 2 2 2 2" xfId="44587"/>
    <cellStyle name="Note 14 4 2 2 3 2 2 3" xfId="12340"/>
    <cellStyle name="Note 14 4 2 2 3 2 2 3 2" xfId="34927"/>
    <cellStyle name="Note 14 4 2 2 3 2 2 4" xfId="28487"/>
    <cellStyle name="Note 14 4 2 2 3 2 3" xfId="18780"/>
    <cellStyle name="Note 14 4 2 2 3 2 3 2" xfId="41367"/>
    <cellStyle name="Note 14 4 2 2 3 2 4" xfId="15560"/>
    <cellStyle name="Note 14 4 2 2 3 2 4 2" xfId="38147"/>
    <cellStyle name="Note 14 4 2 2 3 2 5" xfId="9120"/>
    <cellStyle name="Note 14 4 2 2 3 2 5 2" xfId="31707"/>
    <cellStyle name="Note 14 4 2 2 3 2 6" xfId="25267"/>
    <cellStyle name="Note 14 4 2 2 3 3" xfId="4592"/>
    <cellStyle name="Note 14 4 2 2 3 3 2" xfId="20692"/>
    <cellStyle name="Note 14 4 2 2 3 3 2 2" xfId="43279"/>
    <cellStyle name="Note 14 4 2 2 3 3 3" xfId="11032"/>
    <cellStyle name="Note 14 4 2 2 3 3 3 2" xfId="33619"/>
    <cellStyle name="Note 14 4 2 2 3 3 4" xfId="27179"/>
    <cellStyle name="Note 14 4 2 2 3 4" xfId="17472"/>
    <cellStyle name="Note 14 4 2 2 3 4 2" xfId="40059"/>
    <cellStyle name="Note 14 4 2 2 3 5" xfId="14252"/>
    <cellStyle name="Note 14 4 2 2 3 5 2" xfId="36839"/>
    <cellStyle name="Note 14 4 2 2 3 6" xfId="7812"/>
    <cellStyle name="Note 14 4 2 2 3 6 2" xfId="30399"/>
    <cellStyle name="Note 14 4 2 2 3 7" xfId="23959"/>
    <cellStyle name="Note 14 4 2 2 4" xfId="1795"/>
    <cellStyle name="Note 14 4 2 2 4 2" xfId="5018"/>
    <cellStyle name="Note 14 4 2 2 4 2 2" xfId="21118"/>
    <cellStyle name="Note 14 4 2 2 4 2 2 2" xfId="43705"/>
    <cellStyle name="Note 14 4 2 2 4 2 3" xfId="11458"/>
    <cellStyle name="Note 14 4 2 2 4 2 3 2" xfId="34045"/>
    <cellStyle name="Note 14 4 2 2 4 2 4" xfId="27605"/>
    <cellStyle name="Note 14 4 2 2 4 3" xfId="17898"/>
    <cellStyle name="Note 14 4 2 2 4 3 2" xfId="40485"/>
    <cellStyle name="Note 14 4 2 2 4 4" xfId="14678"/>
    <cellStyle name="Note 14 4 2 2 4 4 2" xfId="37265"/>
    <cellStyle name="Note 14 4 2 2 4 5" xfId="8238"/>
    <cellStyle name="Note 14 4 2 2 4 5 2" xfId="30825"/>
    <cellStyle name="Note 14 4 2 2 4 6" xfId="24385"/>
    <cellStyle name="Note 14 4 2 2 5" xfId="1984"/>
    <cellStyle name="Note 14 4 2 2 5 2" xfId="5206"/>
    <cellStyle name="Note 14 4 2 2 5 2 2" xfId="21306"/>
    <cellStyle name="Note 14 4 2 2 5 2 2 2" xfId="43893"/>
    <cellStyle name="Note 14 4 2 2 5 2 3" xfId="11646"/>
    <cellStyle name="Note 14 4 2 2 5 2 3 2" xfId="34233"/>
    <cellStyle name="Note 14 4 2 2 5 2 4" xfId="27793"/>
    <cellStyle name="Note 14 4 2 2 5 3" xfId="18086"/>
    <cellStyle name="Note 14 4 2 2 5 3 2" xfId="40673"/>
    <cellStyle name="Note 14 4 2 2 5 4" xfId="14866"/>
    <cellStyle name="Note 14 4 2 2 5 4 2" xfId="37453"/>
    <cellStyle name="Note 14 4 2 2 5 5" xfId="8426"/>
    <cellStyle name="Note 14 4 2 2 5 5 2" xfId="31013"/>
    <cellStyle name="Note 14 4 2 2 5 6" xfId="24573"/>
    <cellStyle name="Note 14 4 2 2 6" xfId="3006"/>
    <cellStyle name="Note 14 4 2 2 6 2" xfId="6226"/>
    <cellStyle name="Note 14 4 2 2 6 2 2" xfId="22326"/>
    <cellStyle name="Note 14 4 2 2 6 2 2 2" xfId="44913"/>
    <cellStyle name="Note 14 4 2 2 6 2 3" xfId="12666"/>
    <cellStyle name="Note 14 4 2 2 6 2 3 2" xfId="35253"/>
    <cellStyle name="Note 14 4 2 2 6 2 4" xfId="28813"/>
    <cellStyle name="Note 14 4 2 2 6 3" xfId="19106"/>
    <cellStyle name="Note 14 4 2 2 6 3 2" xfId="41693"/>
    <cellStyle name="Note 14 4 2 2 6 4" xfId="15886"/>
    <cellStyle name="Note 14 4 2 2 6 4 2" xfId="38473"/>
    <cellStyle name="Note 14 4 2 2 6 5" xfId="9446"/>
    <cellStyle name="Note 14 4 2 2 6 5 2" xfId="32033"/>
    <cellStyle name="Note 14 4 2 2 6 6" xfId="25593"/>
    <cellStyle name="Note 14 4 2 2 7" xfId="3296"/>
    <cellStyle name="Note 14 4 2 2 7 2" xfId="6516"/>
    <cellStyle name="Note 14 4 2 2 7 2 2" xfId="22616"/>
    <cellStyle name="Note 14 4 2 2 7 2 2 2" xfId="45203"/>
    <cellStyle name="Note 14 4 2 2 7 2 3" xfId="12956"/>
    <cellStyle name="Note 14 4 2 2 7 2 3 2" xfId="35543"/>
    <cellStyle name="Note 14 4 2 2 7 2 4" xfId="29103"/>
    <cellStyle name="Note 14 4 2 2 7 3" xfId="19396"/>
    <cellStyle name="Note 14 4 2 2 7 3 2" xfId="41983"/>
    <cellStyle name="Note 14 4 2 2 7 4" xfId="16176"/>
    <cellStyle name="Note 14 4 2 2 7 4 2" xfId="38763"/>
    <cellStyle name="Note 14 4 2 2 7 5" xfId="9736"/>
    <cellStyle name="Note 14 4 2 2 7 5 2" xfId="32323"/>
    <cellStyle name="Note 14 4 2 2 7 6" xfId="25883"/>
    <cellStyle name="Note 14 4 2 2 8" xfId="654"/>
    <cellStyle name="Note 14 4 2 2 8 2" xfId="3898"/>
    <cellStyle name="Note 14 4 2 2 8 2 2" xfId="19998"/>
    <cellStyle name="Note 14 4 2 2 8 2 2 2" xfId="42585"/>
    <cellStyle name="Note 14 4 2 2 8 2 3" xfId="10338"/>
    <cellStyle name="Note 14 4 2 2 8 2 3 2" xfId="32925"/>
    <cellStyle name="Note 14 4 2 2 8 2 4" xfId="26485"/>
    <cellStyle name="Note 14 4 2 2 8 3" xfId="16778"/>
    <cellStyle name="Note 14 4 2 2 8 3 2" xfId="39365"/>
    <cellStyle name="Note 14 4 2 2 8 4" xfId="13558"/>
    <cellStyle name="Note 14 4 2 2 8 4 2" xfId="36145"/>
    <cellStyle name="Note 14 4 2 2 8 5" xfId="7118"/>
    <cellStyle name="Note 14 4 2 2 8 5 2" xfId="29705"/>
    <cellStyle name="Note 14 4 2 2 8 6" xfId="23265"/>
    <cellStyle name="Note 14 4 2 2 9" xfId="3586"/>
    <cellStyle name="Note 14 4 2 2 9 2" xfId="19686"/>
    <cellStyle name="Note 14 4 2 2 9 2 2" xfId="42273"/>
    <cellStyle name="Note 14 4 2 2 9 3" xfId="10026"/>
    <cellStyle name="Note 14 4 2 2 9 3 2" xfId="32613"/>
    <cellStyle name="Note 14 4 2 2 9 4" xfId="26173"/>
    <cellStyle name="Note 14 4 2 3" xfId="395"/>
    <cellStyle name="Note 14 4 2 3 10" xfId="13342"/>
    <cellStyle name="Note 14 4 2 3 10 2" xfId="35929"/>
    <cellStyle name="Note 14 4 2 3 11" xfId="6902"/>
    <cellStyle name="Note 14 4 2 3 11 2" xfId="29489"/>
    <cellStyle name="Note 14 4 2 3 12" xfId="23049"/>
    <cellStyle name="Note 14 4 2 3 2" xfId="1177"/>
    <cellStyle name="Note 14 4 2 3 2 2" xfId="2491"/>
    <cellStyle name="Note 14 4 2 3 2 2 2" xfId="5712"/>
    <cellStyle name="Note 14 4 2 3 2 2 2 2" xfId="21812"/>
    <cellStyle name="Note 14 4 2 3 2 2 2 2 2" xfId="44399"/>
    <cellStyle name="Note 14 4 2 3 2 2 2 3" xfId="12152"/>
    <cellStyle name="Note 14 4 2 3 2 2 2 3 2" xfId="34739"/>
    <cellStyle name="Note 14 4 2 3 2 2 2 4" xfId="28299"/>
    <cellStyle name="Note 14 4 2 3 2 2 3" xfId="18592"/>
    <cellStyle name="Note 14 4 2 3 2 2 3 2" xfId="41179"/>
    <cellStyle name="Note 14 4 2 3 2 2 4" xfId="15372"/>
    <cellStyle name="Note 14 4 2 3 2 2 4 2" xfId="37959"/>
    <cellStyle name="Note 14 4 2 3 2 2 5" xfId="8932"/>
    <cellStyle name="Note 14 4 2 3 2 2 5 2" xfId="31519"/>
    <cellStyle name="Note 14 4 2 3 2 2 6" xfId="25079"/>
    <cellStyle name="Note 14 4 2 3 2 3" xfId="4404"/>
    <cellStyle name="Note 14 4 2 3 2 3 2" xfId="20504"/>
    <cellStyle name="Note 14 4 2 3 2 3 2 2" xfId="43091"/>
    <cellStyle name="Note 14 4 2 3 2 3 3" xfId="10844"/>
    <cellStyle name="Note 14 4 2 3 2 3 3 2" xfId="33431"/>
    <cellStyle name="Note 14 4 2 3 2 3 4" xfId="26991"/>
    <cellStyle name="Note 14 4 2 3 2 4" xfId="17284"/>
    <cellStyle name="Note 14 4 2 3 2 4 2" xfId="39871"/>
    <cellStyle name="Note 14 4 2 3 2 5" xfId="14064"/>
    <cellStyle name="Note 14 4 2 3 2 5 2" xfId="36651"/>
    <cellStyle name="Note 14 4 2 3 2 6" xfId="7624"/>
    <cellStyle name="Note 14 4 2 3 2 6 2" xfId="30211"/>
    <cellStyle name="Note 14 4 2 3 2 7" xfId="23771"/>
    <cellStyle name="Note 14 4 2 3 3" xfId="1524"/>
    <cellStyle name="Note 14 4 2 3 3 2" xfId="2838"/>
    <cellStyle name="Note 14 4 2 3 3 2 2" xfId="6059"/>
    <cellStyle name="Note 14 4 2 3 3 2 2 2" xfId="22159"/>
    <cellStyle name="Note 14 4 2 3 3 2 2 2 2" xfId="44746"/>
    <cellStyle name="Note 14 4 2 3 3 2 2 3" xfId="12499"/>
    <cellStyle name="Note 14 4 2 3 3 2 2 3 2" xfId="35086"/>
    <cellStyle name="Note 14 4 2 3 3 2 2 4" xfId="28646"/>
    <cellStyle name="Note 14 4 2 3 3 2 3" xfId="18939"/>
    <cellStyle name="Note 14 4 2 3 3 2 3 2" xfId="41526"/>
    <cellStyle name="Note 14 4 2 3 3 2 4" xfId="15719"/>
    <cellStyle name="Note 14 4 2 3 3 2 4 2" xfId="38306"/>
    <cellStyle name="Note 14 4 2 3 3 2 5" xfId="9279"/>
    <cellStyle name="Note 14 4 2 3 3 2 5 2" xfId="31866"/>
    <cellStyle name="Note 14 4 2 3 3 2 6" xfId="25426"/>
    <cellStyle name="Note 14 4 2 3 3 3" xfId="4751"/>
    <cellStyle name="Note 14 4 2 3 3 3 2" xfId="20851"/>
    <cellStyle name="Note 14 4 2 3 3 3 2 2" xfId="43438"/>
    <cellStyle name="Note 14 4 2 3 3 3 3" xfId="11191"/>
    <cellStyle name="Note 14 4 2 3 3 3 3 2" xfId="33778"/>
    <cellStyle name="Note 14 4 2 3 3 3 4" xfId="27338"/>
    <cellStyle name="Note 14 4 2 3 3 4" xfId="17631"/>
    <cellStyle name="Note 14 4 2 3 3 4 2" xfId="40218"/>
    <cellStyle name="Note 14 4 2 3 3 5" xfId="14411"/>
    <cellStyle name="Note 14 4 2 3 3 5 2" xfId="36998"/>
    <cellStyle name="Note 14 4 2 3 3 6" xfId="7971"/>
    <cellStyle name="Note 14 4 2 3 3 6 2" xfId="30558"/>
    <cellStyle name="Note 14 4 2 3 3 7" xfId="24118"/>
    <cellStyle name="Note 14 4 2 3 4" xfId="2144"/>
    <cellStyle name="Note 14 4 2 3 4 2" xfId="5365"/>
    <cellStyle name="Note 14 4 2 3 4 2 2" xfId="21465"/>
    <cellStyle name="Note 14 4 2 3 4 2 2 2" xfId="44052"/>
    <cellStyle name="Note 14 4 2 3 4 2 3" xfId="11805"/>
    <cellStyle name="Note 14 4 2 3 4 2 3 2" xfId="34392"/>
    <cellStyle name="Note 14 4 2 3 4 2 4" xfId="27952"/>
    <cellStyle name="Note 14 4 2 3 4 3" xfId="18245"/>
    <cellStyle name="Note 14 4 2 3 4 3 2" xfId="40832"/>
    <cellStyle name="Note 14 4 2 3 4 4" xfId="15025"/>
    <cellStyle name="Note 14 4 2 3 4 4 2" xfId="37612"/>
    <cellStyle name="Note 14 4 2 3 4 5" xfId="8585"/>
    <cellStyle name="Note 14 4 2 3 4 5 2" xfId="31172"/>
    <cellStyle name="Note 14 4 2 3 4 6" xfId="24732"/>
    <cellStyle name="Note 14 4 2 3 5" xfId="3102"/>
    <cellStyle name="Note 14 4 2 3 5 2" xfId="6322"/>
    <cellStyle name="Note 14 4 2 3 5 2 2" xfId="22422"/>
    <cellStyle name="Note 14 4 2 3 5 2 2 2" xfId="45009"/>
    <cellStyle name="Note 14 4 2 3 5 2 3" xfId="12762"/>
    <cellStyle name="Note 14 4 2 3 5 2 3 2" xfId="35349"/>
    <cellStyle name="Note 14 4 2 3 5 2 4" xfId="28909"/>
    <cellStyle name="Note 14 4 2 3 5 3" xfId="19202"/>
    <cellStyle name="Note 14 4 2 3 5 3 2" xfId="41789"/>
    <cellStyle name="Note 14 4 2 3 5 4" xfId="15982"/>
    <cellStyle name="Note 14 4 2 3 5 4 2" xfId="38569"/>
    <cellStyle name="Note 14 4 2 3 5 5" xfId="9542"/>
    <cellStyle name="Note 14 4 2 3 5 5 2" xfId="32129"/>
    <cellStyle name="Note 14 4 2 3 5 6" xfId="25689"/>
    <cellStyle name="Note 14 4 2 3 6" xfId="3392"/>
    <cellStyle name="Note 14 4 2 3 6 2" xfId="6612"/>
    <cellStyle name="Note 14 4 2 3 6 2 2" xfId="22712"/>
    <cellStyle name="Note 14 4 2 3 6 2 2 2" xfId="45299"/>
    <cellStyle name="Note 14 4 2 3 6 2 3" xfId="13052"/>
    <cellStyle name="Note 14 4 2 3 6 2 3 2" xfId="35639"/>
    <cellStyle name="Note 14 4 2 3 6 2 4" xfId="29199"/>
    <cellStyle name="Note 14 4 2 3 6 3" xfId="19492"/>
    <cellStyle name="Note 14 4 2 3 6 3 2" xfId="42079"/>
    <cellStyle name="Note 14 4 2 3 6 4" xfId="16272"/>
    <cellStyle name="Note 14 4 2 3 6 4 2" xfId="38859"/>
    <cellStyle name="Note 14 4 2 3 6 5" xfId="9832"/>
    <cellStyle name="Note 14 4 2 3 6 5 2" xfId="32419"/>
    <cellStyle name="Note 14 4 2 3 6 6" xfId="25979"/>
    <cellStyle name="Note 14 4 2 3 7" xfId="825"/>
    <cellStyle name="Note 14 4 2 3 7 2" xfId="4057"/>
    <cellStyle name="Note 14 4 2 3 7 2 2" xfId="20157"/>
    <cellStyle name="Note 14 4 2 3 7 2 2 2" xfId="42744"/>
    <cellStyle name="Note 14 4 2 3 7 2 3" xfId="10497"/>
    <cellStyle name="Note 14 4 2 3 7 2 3 2" xfId="33084"/>
    <cellStyle name="Note 14 4 2 3 7 2 4" xfId="26644"/>
    <cellStyle name="Note 14 4 2 3 7 3" xfId="16937"/>
    <cellStyle name="Note 14 4 2 3 7 3 2" xfId="39524"/>
    <cellStyle name="Note 14 4 2 3 7 4" xfId="13717"/>
    <cellStyle name="Note 14 4 2 3 7 4 2" xfId="36304"/>
    <cellStyle name="Note 14 4 2 3 7 5" xfId="7277"/>
    <cellStyle name="Note 14 4 2 3 7 5 2" xfId="29864"/>
    <cellStyle name="Note 14 4 2 3 7 6" xfId="23424"/>
    <cellStyle name="Note 14 4 2 3 8" xfId="3682"/>
    <cellStyle name="Note 14 4 2 3 8 2" xfId="19782"/>
    <cellStyle name="Note 14 4 2 3 8 2 2" xfId="42369"/>
    <cellStyle name="Note 14 4 2 3 8 3" xfId="10122"/>
    <cellStyle name="Note 14 4 2 3 8 3 2" xfId="32709"/>
    <cellStyle name="Note 14 4 2 3 8 4" xfId="26269"/>
    <cellStyle name="Note 14 4 2 3 9" xfId="16562"/>
    <cellStyle name="Note 14 4 2 3 9 2" xfId="39149"/>
    <cellStyle name="Note 14 4 2 4" xfId="894"/>
    <cellStyle name="Note 14 4 2 4 2" xfId="2213"/>
    <cellStyle name="Note 14 4 2 4 2 2" xfId="5434"/>
    <cellStyle name="Note 14 4 2 4 2 2 2" xfId="21534"/>
    <cellStyle name="Note 14 4 2 4 2 2 2 2" xfId="44121"/>
    <cellStyle name="Note 14 4 2 4 2 2 3" xfId="11874"/>
    <cellStyle name="Note 14 4 2 4 2 2 3 2" xfId="34461"/>
    <cellStyle name="Note 14 4 2 4 2 2 4" xfId="28021"/>
    <cellStyle name="Note 14 4 2 4 2 3" xfId="18314"/>
    <cellStyle name="Note 14 4 2 4 2 3 2" xfId="40901"/>
    <cellStyle name="Note 14 4 2 4 2 4" xfId="15094"/>
    <cellStyle name="Note 14 4 2 4 2 4 2" xfId="37681"/>
    <cellStyle name="Note 14 4 2 4 2 5" xfId="8654"/>
    <cellStyle name="Note 14 4 2 4 2 5 2" xfId="31241"/>
    <cellStyle name="Note 14 4 2 4 2 6" xfId="24801"/>
    <cellStyle name="Note 14 4 2 4 3" xfId="4126"/>
    <cellStyle name="Note 14 4 2 4 3 2" xfId="20226"/>
    <cellStyle name="Note 14 4 2 4 3 2 2" xfId="42813"/>
    <cellStyle name="Note 14 4 2 4 3 3" xfId="10566"/>
    <cellStyle name="Note 14 4 2 4 3 3 2" xfId="33153"/>
    <cellStyle name="Note 14 4 2 4 3 4" xfId="26713"/>
    <cellStyle name="Note 14 4 2 4 4" xfId="17006"/>
    <cellStyle name="Note 14 4 2 4 4 2" xfId="39593"/>
    <cellStyle name="Note 14 4 2 4 5" xfId="13786"/>
    <cellStyle name="Note 14 4 2 4 5 2" xfId="36373"/>
    <cellStyle name="Note 14 4 2 4 6" xfId="7346"/>
    <cellStyle name="Note 14 4 2 4 6 2" xfId="29933"/>
    <cellStyle name="Note 14 4 2 4 7" xfId="23493"/>
    <cellStyle name="Note 14 4 2 5" xfId="1246"/>
    <cellStyle name="Note 14 4 2 5 2" xfId="2560"/>
    <cellStyle name="Note 14 4 2 5 2 2" xfId="5781"/>
    <cellStyle name="Note 14 4 2 5 2 2 2" xfId="21881"/>
    <cellStyle name="Note 14 4 2 5 2 2 2 2" xfId="44468"/>
    <cellStyle name="Note 14 4 2 5 2 2 3" xfId="12221"/>
    <cellStyle name="Note 14 4 2 5 2 2 3 2" xfId="34808"/>
    <cellStyle name="Note 14 4 2 5 2 2 4" xfId="28368"/>
    <cellStyle name="Note 14 4 2 5 2 3" xfId="18661"/>
    <cellStyle name="Note 14 4 2 5 2 3 2" xfId="41248"/>
    <cellStyle name="Note 14 4 2 5 2 4" xfId="15441"/>
    <cellStyle name="Note 14 4 2 5 2 4 2" xfId="38028"/>
    <cellStyle name="Note 14 4 2 5 2 5" xfId="9001"/>
    <cellStyle name="Note 14 4 2 5 2 5 2" xfId="31588"/>
    <cellStyle name="Note 14 4 2 5 2 6" xfId="25148"/>
    <cellStyle name="Note 14 4 2 5 3" xfId="4473"/>
    <cellStyle name="Note 14 4 2 5 3 2" xfId="20573"/>
    <cellStyle name="Note 14 4 2 5 3 2 2" xfId="43160"/>
    <cellStyle name="Note 14 4 2 5 3 3" xfId="10913"/>
    <cellStyle name="Note 14 4 2 5 3 3 2" xfId="33500"/>
    <cellStyle name="Note 14 4 2 5 3 4" xfId="27060"/>
    <cellStyle name="Note 14 4 2 5 4" xfId="17353"/>
    <cellStyle name="Note 14 4 2 5 4 2" xfId="39940"/>
    <cellStyle name="Note 14 4 2 5 5" xfId="14133"/>
    <cellStyle name="Note 14 4 2 5 5 2" xfId="36720"/>
    <cellStyle name="Note 14 4 2 5 6" xfId="7693"/>
    <cellStyle name="Note 14 4 2 5 6 2" xfId="30280"/>
    <cellStyle name="Note 14 4 2 5 7" xfId="23840"/>
    <cellStyle name="Note 14 4 2 6" xfId="1796"/>
    <cellStyle name="Note 14 4 2 6 2" xfId="5019"/>
    <cellStyle name="Note 14 4 2 6 2 2" xfId="21119"/>
    <cellStyle name="Note 14 4 2 6 2 2 2" xfId="43706"/>
    <cellStyle name="Note 14 4 2 6 2 3" xfId="11459"/>
    <cellStyle name="Note 14 4 2 6 2 3 2" xfId="34046"/>
    <cellStyle name="Note 14 4 2 6 2 4" xfId="27606"/>
    <cellStyle name="Note 14 4 2 6 3" xfId="17899"/>
    <cellStyle name="Note 14 4 2 6 3 2" xfId="40486"/>
    <cellStyle name="Note 14 4 2 6 4" xfId="14679"/>
    <cellStyle name="Note 14 4 2 6 4 2" xfId="37266"/>
    <cellStyle name="Note 14 4 2 6 5" xfId="8239"/>
    <cellStyle name="Note 14 4 2 6 5 2" xfId="30826"/>
    <cellStyle name="Note 14 4 2 6 6" xfId="24386"/>
    <cellStyle name="Note 14 4 2 7" xfId="1865"/>
    <cellStyle name="Note 14 4 2 7 2" xfId="5087"/>
    <cellStyle name="Note 14 4 2 7 2 2" xfId="21187"/>
    <cellStyle name="Note 14 4 2 7 2 2 2" xfId="43774"/>
    <cellStyle name="Note 14 4 2 7 2 3" xfId="11527"/>
    <cellStyle name="Note 14 4 2 7 2 3 2" xfId="34114"/>
    <cellStyle name="Note 14 4 2 7 2 4" xfId="27674"/>
    <cellStyle name="Note 14 4 2 7 3" xfId="17967"/>
    <cellStyle name="Note 14 4 2 7 3 2" xfId="40554"/>
    <cellStyle name="Note 14 4 2 7 4" xfId="14747"/>
    <cellStyle name="Note 14 4 2 7 4 2" xfId="37334"/>
    <cellStyle name="Note 14 4 2 7 5" xfId="8307"/>
    <cellStyle name="Note 14 4 2 7 5 2" xfId="30894"/>
    <cellStyle name="Note 14 4 2 7 6" xfId="24454"/>
    <cellStyle name="Note 14 4 2 8" xfId="2908"/>
    <cellStyle name="Note 14 4 2 8 2" xfId="6129"/>
    <cellStyle name="Note 14 4 2 8 2 2" xfId="22229"/>
    <cellStyle name="Note 14 4 2 8 2 2 2" xfId="44816"/>
    <cellStyle name="Note 14 4 2 8 2 3" xfId="12569"/>
    <cellStyle name="Note 14 4 2 8 2 3 2" xfId="35156"/>
    <cellStyle name="Note 14 4 2 8 2 4" xfId="28716"/>
    <cellStyle name="Note 14 4 2 8 3" xfId="19009"/>
    <cellStyle name="Note 14 4 2 8 3 2" xfId="41596"/>
    <cellStyle name="Note 14 4 2 8 4" xfId="15789"/>
    <cellStyle name="Note 14 4 2 8 4 2" xfId="38376"/>
    <cellStyle name="Note 14 4 2 8 5" xfId="9349"/>
    <cellStyle name="Note 14 4 2 8 5 2" xfId="31936"/>
    <cellStyle name="Note 14 4 2 8 6" xfId="25496"/>
    <cellStyle name="Note 14 4 2 9" xfId="3199"/>
    <cellStyle name="Note 14 4 2 9 2" xfId="6419"/>
    <cellStyle name="Note 14 4 2 9 2 2" xfId="22519"/>
    <cellStyle name="Note 14 4 2 9 2 2 2" xfId="45106"/>
    <cellStyle name="Note 14 4 2 9 2 3" xfId="12859"/>
    <cellStyle name="Note 14 4 2 9 2 3 2" xfId="35446"/>
    <cellStyle name="Note 14 4 2 9 2 4" xfId="29006"/>
    <cellStyle name="Note 14 4 2 9 3" xfId="19299"/>
    <cellStyle name="Note 14 4 2 9 3 2" xfId="41886"/>
    <cellStyle name="Note 14 4 2 9 4" xfId="16079"/>
    <cellStyle name="Note 14 4 2 9 4 2" xfId="38666"/>
    <cellStyle name="Note 14 4 2 9 5" xfId="9639"/>
    <cellStyle name="Note 14 4 2 9 5 2" xfId="32226"/>
    <cellStyle name="Note 14 4 2 9 6" xfId="25786"/>
    <cellStyle name="Note 14 4 3" xfId="258"/>
    <cellStyle name="Note 14 4 3 10" xfId="3545"/>
    <cellStyle name="Note 14 4 3 10 2" xfId="19645"/>
    <cellStyle name="Note 14 4 3 10 2 2" xfId="42232"/>
    <cellStyle name="Note 14 4 3 10 3" xfId="9985"/>
    <cellStyle name="Note 14 4 3 10 3 2" xfId="32572"/>
    <cellStyle name="Note 14 4 3 10 4" xfId="26132"/>
    <cellStyle name="Note 14 4 3 11" xfId="16425"/>
    <cellStyle name="Note 14 4 3 11 2" xfId="39012"/>
    <cellStyle name="Note 14 4 3 12" xfId="13205"/>
    <cellStyle name="Note 14 4 3 12 2" xfId="35792"/>
    <cellStyle name="Note 14 4 3 13" xfId="6765"/>
    <cellStyle name="Note 14 4 3 13 2" xfId="29352"/>
    <cellStyle name="Note 14 4 3 14" xfId="22912"/>
    <cellStyle name="Note 14 4 3 2" xfId="691"/>
    <cellStyle name="Note 14 4 3 2 2" xfId="1055"/>
    <cellStyle name="Note 14 4 3 2 2 2" xfId="2369"/>
    <cellStyle name="Note 14 4 3 2 2 2 2" xfId="5590"/>
    <cellStyle name="Note 14 4 3 2 2 2 2 2" xfId="21690"/>
    <cellStyle name="Note 14 4 3 2 2 2 2 2 2" xfId="44277"/>
    <cellStyle name="Note 14 4 3 2 2 2 2 3" xfId="12030"/>
    <cellStyle name="Note 14 4 3 2 2 2 2 3 2" xfId="34617"/>
    <cellStyle name="Note 14 4 3 2 2 2 2 4" xfId="28177"/>
    <cellStyle name="Note 14 4 3 2 2 2 3" xfId="18470"/>
    <cellStyle name="Note 14 4 3 2 2 2 3 2" xfId="41057"/>
    <cellStyle name="Note 14 4 3 2 2 2 4" xfId="15250"/>
    <cellStyle name="Note 14 4 3 2 2 2 4 2" xfId="37837"/>
    <cellStyle name="Note 14 4 3 2 2 2 5" xfId="8810"/>
    <cellStyle name="Note 14 4 3 2 2 2 5 2" xfId="31397"/>
    <cellStyle name="Note 14 4 3 2 2 2 6" xfId="24957"/>
    <cellStyle name="Note 14 4 3 2 2 3" xfId="4282"/>
    <cellStyle name="Note 14 4 3 2 2 3 2" xfId="20382"/>
    <cellStyle name="Note 14 4 3 2 2 3 2 2" xfId="42969"/>
    <cellStyle name="Note 14 4 3 2 2 3 3" xfId="10722"/>
    <cellStyle name="Note 14 4 3 2 2 3 3 2" xfId="33309"/>
    <cellStyle name="Note 14 4 3 2 2 3 4" xfId="26869"/>
    <cellStyle name="Note 14 4 3 2 2 4" xfId="17162"/>
    <cellStyle name="Note 14 4 3 2 2 4 2" xfId="39749"/>
    <cellStyle name="Note 14 4 3 2 2 5" xfId="13942"/>
    <cellStyle name="Note 14 4 3 2 2 5 2" xfId="36529"/>
    <cellStyle name="Note 14 4 3 2 2 6" xfId="7502"/>
    <cellStyle name="Note 14 4 3 2 2 6 2" xfId="30089"/>
    <cellStyle name="Note 14 4 3 2 2 7" xfId="23649"/>
    <cellStyle name="Note 14 4 3 2 3" xfId="1402"/>
    <cellStyle name="Note 14 4 3 2 3 2" xfId="2716"/>
    <cellStyle name="Note 14 4 3 2 3 2 2" xfId="5937"/>
    <cellStyle name="Note 14 4 3 2 3 2 2 2" xfId="22037"/>
    <cellStyle name="Note 14 4 3 2 3 2 2 2 2" xfId="44624"/>
    <cellStyle name="Note 14 4 3 2 3 2 2 3" xfId="12377"/>
    <cellStyle name="Note 14 4 3 2 3 2 2 3 2" xfId="34964"/>
    <cellStyle name="Note 14 4 3 2 3 2 2 4" xfId="28524"/>
    <cellStyle name="Note 14 4 3 2 3 2 3" xfId="18817"/>
    <cellStyle name="Note 14 4 3 2 3 2 3 2" xfId="41404"/>
    <cellStyle name="Note 14 4 3 2 3 2 4" xfId="15597"/>
    <cellStyle name="Note 14 4 3 2 3 2 4 2" xfId="38184"/>
    <cellStyle name="Note 14 4 3 2 3 2 5" xfId="9157"/>
    <cellStyle name="Note 14 4 3 2 3 2 5 2" xfId="31744"/>
    <cellStyle name="Note 14 4 3 2 3 2 6" xfId="25304"/>
    <cellStyle name="Note 14 4 3 2 3 3" xfId="4629"/>
    <cellStyle name="Note 14 4 3 2 3 3 2" xfId="20729"/>
    <cellStyle name="Note 14 4 3 2 3 3 2 2" xfId="43316"/>
    <cellStyle name="Note 14 4 3 2 3 3 3" xfId="11069"/>
    <cellStyle name="Note 14 4 3 2 3 3 3 2" xfId="33656"/>
    <cellStyle name="Note 14 4 3 2 3 3 4" xfId="27216"/>
    <cellStyle name="Note 14 4 3 2 3 4" xfId="17509"/>
    <cellStyle name="Note 14 4 3 2 3 4 2" xfId="40096"/>
    <cellStyle name="Note 14 4 3 2 3 5" xfId="14289"/>
    <cellStyle name="Note 14 4 3 2 3 5 2" xfId="36876"/>
    <cellStyle name="Note 14 4 3 2 3 6" xfId="7849"/>
    <cellStyle name="Note 14 4 3 2 3 6 2" xfId="30436"/>
    <cellStyle name="Note 14 4 3 2 3 7" xfId="23996"/>
    <cellStyle name="Note 14 4 3 2 4" xfId="2021"/>
    <cellStyle name="Note 14 4 3 2 4 2" xfId="5243"/>
    <cellStyle name="Note 14 4 3 2 4 2 2" xfId="21343"/>
    <cellStyle name="Note 14 4 3 2 4 2 2 2" xfId="43930"/>
    <cellStyle name="Note 14 4 3 2 4 2 3" xfId="11683"/>
    <cellStyle name="Note 14 4 3 2 4 2 3 2" xfId="34270"/>
    <cellStyle name="Note 14 4 3 2 4 2 4" xfId="27830"/>
    <cellStyle name="Note 14 4 3 2 4 3" xfId="18123"/>
    <cellStyle name="Note 14 4 3 2 4 3 2" xfId="40710"/>
    <cellStyle name="Note 14 4 3 2 4 4" xfId="14903"/>
    <cellStyle name="Note 14 4 3 2 4 4 2" xfId="37490"/>
    <cellStyle name="Note 14 4 3 2 4 5" xfId="8463"/>
    <cellStyle name="Note 14 4 3 2 4 5 2" xfId="31050"/>
    <cellStyle name="Note 14 4 3 2 4 6" xfId="24610"/>
    <cellStyle name="Note 14 4 3 2 5" xfId="3935"/>
    <cellStyle name="Note 14 4 3 2 5 2" xfId="20035"/>
    <cellStyle name="Note 14 4 3 2 5 2 2" xfId="42622"/>
    <cellStyle name="Note 14 4 3 2 5 3" xfId="10375"/>
    <cellStyle name="Note 14 4 3 2 5 3 2" xfId="32962"/>
    <cellStyle name="Note 14 4 3 2 5 4" xfId="26522"/>
    <cellStyle name="Note 14 4 3 2 6" xfId="16815"/>
    <cellStyle name="Note 14 4 3 2 6 2" xfId="39402"/>
    <cellStyle name="Note 14 4 3 2 7" xfId="13595"/>
    <cellStyle name="Note 14 4 3 2 7 2" xfId="36182"/>
    <cellStyle name="Note 14 4 3 2 8" xfId="7155"/>
    <cellStyle name="Note 14 4 3 2 8 2" xfId="29742"/>
    <cellStyle name="Note 14 4 3 2 9" xfId="23302"/>
    <cellStyle name="Note 14 4 3 3" xfId="934"/>
    <cellStyle name="Note 14 4 3 3 2" xfId="2253"/>
    <cellStyle name="Note 14 4 3 3 2 2" xfId="5474"/>
    <cellStyle name="Note 14 4 3 3 2 2 2" xfId="21574"/>
    <cellStyle name="Note 14 4 3 3 2 2 2 2" xfId="44161"/>
    <cellStyle name="Note 14 4 3 3 2 2 3" xfId="11914"/>
    <cellStyle name="Note 14 4 3 3 2 2 3 2" xfId="34501"/>
    <cellStyle name="Note 14 4 3 3 2 2 4" xfId="28061"/>
    <cellStyle name="Note 14 4 3 3 2 3" xfId="18354"/>
    <cellStyle name="Note 14 4 3 3 2 3 2" xfId="40941"/>
    <cellStyle name="Note 14 4 3 3 2 4" xfId="15134"/>
    <cellStyle name="Note 14 4 3 3 2 4 2" xfId="37721"/>
    <cellStyle name="Note 14 4 3 3 2 5" xfId="8694"/>
    <cellStyle name="Note 14 4 3 3 2 5 2" xfId="31281"/>
    <cellStyle name="Note 14 4 3 3 2 6" xfId="24841"/>
    <cellStyle name="Note 14 4 3 3 3" xfId="4166"/>
    <cellStyle name="Note 14 4 3 3 3 2" xfId="20266"/>
    <cellStyle name="Note 14 4 3 3 3 2 2" xfId="42853"/>
    <cellStyle name="Note 14 4 3 3 3 3" xfId="10606"/>
    <cellStyle name="Note 14 4 3 3 3 3 2" xfId="33193"/>
    <cellStyle name="Note 14 4 3 3 3 4" xfId="26753"/>
    <cellStyle name="Note 14 4 3 3 4" xfId="17046"/>
    <cellStyle name="Note 14 4 3 3 4 2" xfId="39633"/>
    <cellStyle name="Note 14 4 3 3 5" xfId="13826"/>
    <cellStyle name="Note 14 4 3 3 5 2" xfId="36413"/>
    <cellStyle name="Note 14 4 3 3 6" xfId="7386"/>
    <cellStyle name="Note 14 4 3 3 6 2" xfId="29973"/>
    <cellStyle name="Note 14 4 3 3 7" xfId="23533"/>
    <cellStyle name="Note 14 4 3 4" xfId="1286"/>
    <cellStyle name="Note 14 4 3 4 2" xfId="2600"/>
    <cellStyle name="Note 14 4 3 4 2 2" xfId="5821"/>
    <cellStyle name="Note 14 4 3 4 2 2 2" xfId="21921"/>
    <cellStyle name="Note 14 4 3 4 2 2 2 2" xfId="44508"/>
    <cellStyle name="Note 14 4 3 4 2 2 3" xfId="12261"/>
    <cellStyle name="Note 14 4 3 4 2 2 3 2" xfId="34848"/>
    <cellStyle name="Note 14 4 3 4 2 2 4" xfId="28408"/>
    <cellStyle name="Note 14 4 3 4 2 3" xfId="18701"/>
    <cellStyle name="Note 14 4 3 4 2 3 2" xfId="41288"/>
    <cellStyle name="Note 14 4 3 4 2 4" xfId="15481"/>
    <cellStyle name="Note 14 4 3 4 2 4 2" xfId="38068"/>
    <cellStyle name="Note 14 4 3 4 2 5" xfId="9041"/>
    <cellStyle name="Note 14 4 3 4 2 5 2" xfId="31628"/>
    <cellStyle name="Note 14 4 3 4 2 6" xfId="25188"/>
    <cellStyle name="Note 14 4 3 4 3" xfId="4513"/>
    <cellStyle name="Note 14 4 3 4 3 2" xfId="20613"/>
    <cellStyle name="Note 14 4 3 4 3 2 2" xfId="43200"/>
    <cellStyle name="Note 14 4 3 4 3 3" xfId="10953"/>
    <cellStyle name="Note 14 4 3 4 3 3 2" xfId="33540"/>
    <cellStyle name="Note 14 4 3 4 3 4" xfId="27100"/>
    <cellStyle name="Note 14 4 3 4 4" xfId="17393"/>
    <cellStyle name="Note 14 4 3 4 4 2" xfId="39980"/>
    <cellStyle name="Note 14 4 3 4 5" xfId="14173"/>
    <cellStyle name="Note 14 4 3 4 5 2" xfId="36760"/>
    <cellStyle name="Note 14 4 3 4 6" xfId="7733"/>
    <cellStyle name="Note 14 4 3 4 6 2" xfId="30320"/>
    <cellStyle name="Note 14 4 3 4 7" xfId="23880"/>
    <cellStyle name="Note 14 4 3 5" xfId="1797"/>
    <cellStyle name="Note 14 4 3 5 2" xfId="5020"/>
    <cellStyle name="Note 14 4 3 5 2 2" xfId="21120"/>
    <cellStyle name="Note 14 4 3 5 2 2 2" xfId="43707"/>
    <cellStyle name="Note 14 4 3 5 2 3" xfId="11460"/>
    <cellStyle name="Note 14 4 3 5 2 3 2" xfId="34047"/>
    <cellStyle name="Note 14 4 3 5 2 4" xfId="27607"/>
    <cellStyle name="Note 14 4 3 5 3" xfId="17900"/>
    <cellStyle name="Note 14 4 3 5 3 2" xfId="40487"/>
    <cellStyle name="Note 14 4 3 5 4" xfId="14680"/>
    <cellStyle name="Note 14 4 3 5 4 2" xfId="37267"/>
    <cellStyle name="Note 14 4 3 5 5" xfId="8240"/>
    <cellStyle name="Note 14 4 3 5 5 2" xfId="30827"/>
    <cellStyle name="Note 14 4 3 5 6" xfId="24387"/>
    <cellStyle name="Note 14 4 3 6" xfId="1905"/>
    <cellStyle name="Note 14 4 3 6 2" xfId="5127"/>
    <cellStyle name="Note 14 4 3 6 2 2" xfId="21227"/>
    <cellStyle name="Note 14 4 3 6 2 2 2" xfId="43814"/>
    <cellStyle name="Note 14 4 3 6 2 3" xfId="11567"/>
    <cellStyle name="Note 14 4 3 6 2 3 2" xfId="34154"/>
    <cellStyle name="Note 14 4 3 6 2 4" xfId="27714"/>
    <cellStyle name="Note 14 4 3 6 3" xfId="18007"/>
    <cellStyle name="Note 14 4 3 6 3 2" xfId="40594"/>
    <cellStyle name="Note 14 4 3 6 4" xfId="14787"/>
    <cellStyle name="Note 14 4 3 6 4 2" xfId="37374"/>
    <cellStyle name="Note 14 4 3 6 5" xfId="8347"/>
    <cellStyle name="Note 14 4 3 6 5 2" xfId="30934"/>
    <cellStyle name="Note 14 4 3 6 6" xfId="24494"/>
    <cellStyle name="Note 14 4 3 7" xfId="2965"/>
    <cellStyle name="Note 14 4 3 7 2" xfId="6185"/>
    <cellStyle name="Note 14 4 3 7 2 2" xfId="22285"/>
    <cellStyle name="Note 14 4 3 7 2 2 2" xfId="44872"/>
    <cellStyle name="Note 14 4 3 7 2 3" xfId="12625"/>
    <cellStyle name="Note 14 4 3 7 2 3 2" xfId="35212"/>
    <cellStyle name="Note 14 4 3 7 2 4" xfId="28772"/>
    <cellStyle name="Note 14 4 3 7 3" xfId="19065"/>
    <cellStyle name="Note 14 4 3 7 3 2" xfId="41652"/>
    <cellStyle name="Note 14 4 3 7 4" xfId="15845"/>
    <cellStyle name="Note 14 4 3 7 4 2" xfId="38432"/>
    <cellStyle name="Note 14 4 3 7 5" xfId="9405"/>
    <cellStyle name="Note 14 4 3 7 5 2" xfId="31992"/>
    <cellStyle name="Note 14 4 3 7 6" xfId="25552"/>
    <cellStyle name="Note 14 4 3 8" xfId="3255"/>
    <cellStyle name="Note 14 4 3 8 2" xfId="6475"/>
    <cellStyle name="Note 14 4 3 8 2 2" xfId="22575"/>
    <cellStyle name="Note 14 4 3 8 2 2 2" xfId="45162"/>
    <cellStyle name="Note 14 4 3 8 2 3" xfId="12915"/>
    <cellStyle name="Note 14 4 3 8 2 3 2" xfId="35502"/>
    <cellStyle name="Note 14 4 3 8 2 4" xfId="29062"/>
    <cellStyle name="Note 14 4 3 8 3" xfId="19355"/>
    <cellStyle name="Note 14 4 3 8 3 2" xfId="41942"/>
    <cellStyle name="Note 14 4 3 8 4" xfId="16135"/>
    <cellStyle name="Note 14 4 3 8 4 2" xfId="38722"/>
    <cellStyle name="Note 14 4 3 8 5" xfId="9695"/>
    <cellStyle name="Note 14 4 3 8 5 2" xfId="32282"/>
    <cellStyle name="Note 14 4 3 8 6" xfId="25842"/>
    <cellStyle name="Note 14 4 3 9" xfId="532"/>
    <cellStyle name="Note 14 4 3 9 2" xfId="3819"/>
    <cellStyle name="Note 14 4 3 9 2 2" xfId="19919"/>
    <cellStyle name="Note 14 4 3 9 2 2 2" xfId="42506"/>
    <cellStyle name="Note 14 4 3 9 2 3" xfId="10259"/>
    <cellStyle name="Note 14 4 3 9 2 3 2" xfId="32846"/>
    <cellStyle name="Note 14 4 3 9 2 4" xfId="26406"/>
    <cellStyle name="Note 14 4 3 9 3" xfId="16699"/>
    <cellStyle name="Note 14 4 3 9 3 2" xfId="39286"/>
    <cellStyle name="Note 14 4 3 9 4" xfId="13479"/>
    <cellStyle name="Note 14 4 3 9 4 2" xfId="36066"/>
    <cellStyle name="Note 14 4 3 9 5" xfId="7039"/>
    <cellStyle name="Note 14 4 3 9 5 2" xfId="29626"/>
    <cellStyle name="Note 14 4 3 9 6" xfId="23186"/>
    <cellStyle name="Note 14 4 4" xfId="358"/>
    <cellStyle name="Note 14 4 4 10" xfId="16525"/>
    <cellStyle name="Note 14 4 4 10 2" xfId="39112"/>
    <cellStyle name="Note 14 4 4 11" xfId="13305"/>
    <cellStyle name="Note 14 4 4 11 2" xfId="35892"/>
    <cellStyle name="Note 14 4 4 12" xfId="6865"/>
    <cellStyle name="Note 14 4 4 12 2" xfId="29452"/>
    <cellStyle name="Note 14 4 4 13" xfId="23012"/>
    <cellStyle name="Note 14 4 4 2" xfId="957"/>
    <cellStyle name="Note 14 4 4 2 2" xfId="2276"/>
    <cellStyle name="Note 14 4 4 2 2 2" xfId="5497"/>
    <cellStyle name="Note 14 4 4 2 2 2 2" xfId="21597"/>
    <cellStyle name="Note 14 4 4 2 2 2 2 2" xfId="44184"/>
    <cellStyle name="Note 14 4 4 2 2 2 3" xfId="11937"/>
    <cellStyle name="Note 14 4 4 2 2 2 3 2" xfId="34524"/>
    <cellStyle name="Note 14 4 4 2 2 2 4" xfId="28084"/>
    <cellStyle name="Note 14 4 4 2 2 3" xfId="18377"/>
    <cellStyle name="Note 14 4 4 2 2 3 2" xfId="40964"/>
    <cellStyle name="Note 14 4 4 2 2 4" xfId="15157"/>
    <cellStyle name="Note 14 4 4 2 2 4 2" xfId="37744"/>
    <cellStyle name="Note 14 4 4 2 2 5" xfId="8717"/>
    <cellStyle name="Note 14 4 4 2 2 5 2" xfId="31304"/>
    <cellStyle name="Note 14 4 4 2 2 6" xfId="24864"/>
    <cellStyle name="Note 14 4 4 2 3" xfId="4189"/>
    <cellStyle name="Note 14 4 4 2 3 2" xfId="20289"/>
    <cellStyle name="Note 14 4 4 2 3 2 2" xfId="42876"/>
    <cellStyle name="Note 14 4 4 2 3 3" xfId="10629"/>
    <cellStyle name="Note 14 4 4 2 3 3 2" xfId="33216"/>
    <cellStyle name="Note 14 4 4 2 3 4" xfId="26776"/>
    <cellStyle name="Note 14 4 4 2 4" xfId="17069"/>
    <cellStyle name="Note 14 4 4 2 4 2" xfId="39656"/>
    <cellStyle name="Note 14 4 4 2 5" xfId="13849"/>
    <cellStyle name="Note 14 4 4 2 5 2" xfId="36436"/>
    <cellStyle name="Note 14 4 4 2 6" xfId="7409"/>
    <cellStyle name="Note 14 4 4 2 6 2" xfId="29996"/>
    <cellStyle name="Note 14 4 4 2 7" xfId="23556"/>
    <cellStyle name="Note 14 4 4 3" xfId="1309"/>
    <cellStyle name="Note 14 4 4 3 2" xfId="2623"/>
    <cellStyle name="Note 14 4 4 3 2 2" xfId="5844"/>
    <cellStyle name="Note 14 4 4 3 2 2 2" xfId="21944"/>
    <cellStyle name="Note 14 4 4 3 2 2 2 2" xfId="44531"/>
    <cellStyle name="Note 14 4 4 3 2 2 3" xfId="12284"/>
    <cellStyle name="Note 14 4 4 3 2 2 3 2" xfId="34871"/>
    <cellStyle name="Note 14 4 4 3 2 2 4" xfId="28431"/>
    <cellStyle name="Note 14 4 4 3 2 3" xfId="18724"/>
    <cellStyle name="Note 14 4 4 3 2 3 2" xfId="41311"/>
    <cellStyle name="Note 14 4 4 3 2 4" xfId="15504"/>
    <cellStyle name="Note 14 4 4 3 2 4 2" xfId="38091"/>
    <cellStyle name="Note 14 4 4 3 2 5" xfId="9064"/>
    <cellStyle name="Note 14 4 4 3 2 5 2" xfId="31651"/>
    <cellStyle name="Note 14 4 4 3 2 6" xfId="25211"/>
    <cellStyle name="Note 14 4 4 3 3" xfId="4536"/>
    <cellStyle name="Note 14 4 4 3 3 2" xfId="20636"/>
    <cellStyle name="Note 14 4 4 3 3 2 2" xfId="43223"/>
    <cellStyle name="Note 14 4 4 3 3 3" xfId="10976"/>
    <cellStyle name="Note 14 4 4 3 3 3 2" xfId="33563"/>
    <cellStyle name="Note 14 4 4 3 3 4" xfId="27123"/>
    <cellStyle name="Note 14 4 4 3 4" xfId="17416"/>
    <cellStyle name="Note 14 4 4 3 4 2" xfId="40003"/>
    <cellStyle name="Note 14 4 4 3 5" xfId="14196"/>
    <cellStyle name="Note 14 4 4 3 5 2" xfId="36783"/>
    <cellStyle name="Note 14 4 4 3 6" xfId="7756"/>
    <cellStyle name="Note 14 4 4 3 6 2" xfId="30343"/>
    <cellStyle name="Note 14 4 4 3 7" xfId="23903"/>
    <cellStyle name="Note 14 4 4 4" xfId="1798"/>
    <cellStyle name="Note 14 4 4 4 2" xfId="5021"/>
    <cellStyle name="Note 14 4 4 4 2 2" xfId="21121"/>
    <cellStyle name="Note 14 4 4 4 2 2 2" xfId="43708"/>
    <cellStyle name="Note 14 4 4 4 2 3" xfId="11461"/>
    <cellStyle name="Note 14 4 4 4 2 3 2" xfId="34048"/>
    <cellStyle name="Note 14 4 4 4 2 4" xfId="27608"/>
    <cellStyle name="Note 14 4 4 4 3" xfId="17901"/>
    <cellStyle name="Note 14 4 4 4 3 2" xfId="40488"/>
    <cellStyle name="Note 14 4 4 4 4" xfId="14681"/>
    <cellStyle name="Note 14 4 4 4 4 2" xfId="37268"/>
    <cellStyle name="Note 14 4 4 4 5" xfId="8241"/>
    <cellStyle name="Note 14 4 4 4 5 2" xfId="30828"/>
    <cellStyle name="Note 14 4 4 4 6" xfId="24388"/>
    <cellStyle name="Note 14 4 4 5" xfId="1928"/>
    <cellStyle name="Note 14 4 4 5 2" xfId="5150"/>
    <cellStyle name="Note 14 4 4 5 2 2" xfId="21250"/>
    <cellStyle name="Note 14 4 4 5 2 2 2" xfId="43837"/>
    <cellStyle name="Note 14 4 4 5 2 3" xfId="11590"/>
    <cellStyle name="Note 14 4 4 5 2 3 2" xfId="34177"/>
    <cellStyle name="Note 14 4 4 5 2 4" xfId="27737"/>
    <cellStyle name="Note 14 4 4 5 3" xfId="18030"/>
    <cellStyle name="Note 14 4 4 5 3 2" xfId="40617"/>
    <cellStyle name="Note 14 4 4 5 4" xfId="14810"/>
    <cellStyle name="Note 14 4 4 5 4 2" xfId="37397"/>
    <cellStyle name="Note 14 4 4 5 5" xfId="8370"/>
    <cellStyle name="Note 14 4 4 5 5 2" xfId="30957"/>
    <cellStyle name="Note 14 4 4 5 6" xfId="24517"/>
    <cellStyle name="Note 14 4 4 6" xfId="3065"/>
    <cellStyle name="Note 14 4 4 6 2" xfId="6285"/>
    <cellStyle name="Note 14 4 4 6 2 2" xfId="22385"/>
    <cellStyle name="Note 14 4 4 6 2 2 2" xfId="44972"/>
    <cellStyle name="Note 14 4 4 6 2 3" xfId="12725"/>
    <cellStyle name="Note 14 4 4 6 2 3 2" xfId="35312"/>
    <cellStyle name="Note 14 4 4 6 2 4" xfId="28872"/>
    <cellStyle name="Note 14 4 4 6 3" xfId="19165"/>
    <cellStyle name="Note 14 4 4 6 3 2" xfId="41752"/>
    <cellStyle name="Note 14 4 4 6 4" xfId="15945"/>
    <cellStyle name="Note 14 4 4 6 4 2" xfId="38532"/>
    <cellStyle name="Note 14 4 4 6 5" xfId="9505"/>
    <cellStyle name="Note 14 4 4 6 5 2" xfId="32092"/>
    <cellStyle name="Note 14 4 4 6 6" xfId="25652"/>
    <cellStyle name="Note 14 4 4 7" xfId="3355"/>
    <cellStyle name="Note 14 4 4 7 2" xfId="6575"/>
    <cellStyle name="Note 14 4 4 7 2 2" xfId="22675"/>
    <cellStyle name="Note 14 4 4 7 2 2 2" xfId="45262"/>
    <cellStyle name="Note 14 4 4 7 2 3" xfId="13015"/>
    <cellStyle name="Note 14 4 4 7 2 3 2" xfId="35602"/>
    <cellStyle name="Note 14 4 4 7 2 4" xfId="29162"/>
    <cellStyle name="Note 14 4 4 7 3" xfId="19455"/>
    <cellStyle name="Note 14 4 4 7 3 2" xfId="42042"/>
    <cellStyle name="Note 14 4 4 7 4" xfId="16235"/>
    <cellStyle name="Note 14 4 4 7 4 2" xfId="38822"/>
    <cellStyle name="Note 14 4 4 7 5" xfId="9795"/>
    <cellStyle name="Note 14 4 4 7 5 2" xfId="32382"/>
    <cellStyle name="Note 14 4 4 7 6" xfId="25942"/>
    <cellStyle name="Note 14 4 4 8" xfId="567"/>
    <cellStyle name="Note 14 4 4 8 2" xfId="3842"/>
    <cellStyle name="Note 14 4 4 8 2 2" xfId="19942"/>
    <cellStyle name="Note 14 4 4 8 2 2 2" xfId="42529"/>
    <cellStyle name="Note 14 4 4 8 2 3" xfId="10282"/>
    <cellStyle name="Note 14 4 4 8 2 3 2" xfId="32869"/>
    <cellStyle name="Note 14 4 4 8 2 4" xfId="26429"/>
    <cellStyle name="Note 14 4 4 8 3" xfId="16722"/>
    <cellStyle name="Note 14 4 4 8 3 2" xfId="39309"/>
    <cellStyle name="Note 14 4 4 8 4" xfId="13502"/>
    <cellStyle name="Note 14 4 4 8 4 2" xfId="36089"/>
    <cellStyle name="Note 14 4 4 8 5" xfId="7062"/>
    <cellStyle name="Note 14 4 4 8 5 2" xfId="29649"/>
    <cellStyle name="Note 14 4 4 8 6" xfId="23209"/>
    <cellStyle name="Note 14 4 4 9" xfId="3645"/>
    <cellStyle name="Note 14 4 4 9 2" xfId="19745"/>
    <cellStyle name="Note 14 4 4 9 2 2" xfId="42332"/>
    <cellStyle name="Note 14 4 4 9 3" xfId="10085"/>
    <cellStyle name="Note 14 4 4 9 3 2" xfId="32672"/>
    <cellStyle name="Note 14 4 4 9 4" xfId="26232"/>
    <cellStyle name="Note 14 4 5" xfId="787"/>
    <cellStyle name="Note 14 4 5 2" xfId="1139"/>
    <cellStyle name="Note 14 4 5 2 2" xfId="2453"/>
    <cellStyle name="Note 14 4 5 2 2 2" xfId="5674"/>
    <cellStyle name="Note 14 4 5 2 2 2 2" xfId="21774"/>
    <cellStyle name="Note 14 4 5 2 2 2 2 2" xfId="44361"/>
    <cellStyle name="Note 14 4 5 2 2 2 3" xfId="12114"/>
    <cellStyle name="Note 14 4 5 2 2 2 3 2" xfId="34701"/>
    <cellStyle name="Note 14 4 5 2 2 2 4" xfId="28261"/>
    <cellStyle name="Note 14 4 5 2 2 3" xfId="18554"/>
    <cellStyle name="Note 14 4 5 2 2 3 2" xfId="41141"/>
    <cellStyle name="Note 14 4 5 2 2 4" xfId="15334"/>
    <cellStyle name="Note 14 4 5 2 2 4 2" xfId="37921"/>
    <cellStyle name="Note 14 4 5 2 2 5" xfId="8894"/>
    <cellStyle name="Note 14 4 5 2 2 5 2" xfId="31481"/>
    <cellStyle name="Note 14 4 5 2 2 6" xfId="25041"/>
    <cellStyle name="Note 14 4 5 2 3" xfId="4366"/>
    <cellStyle name="Note 14 4 5 2 3 2" xfId="20466"/>
    <cellStyle name="Note 14 4 5 2 3 2 2" xfId="43053"/>
    <cellStyle name="Note 14 4 5 2 3 3" xfId="10806"/>
    <cellStyle name="Note 14 4 5 2 3 3 2" xfId="33393"/>
    <cellStyle name="Note 14 4 5 2 3 4" xfId="26953"/>
    <cellStyle name="Note 14 4 5 2 4" xfId="17246"/>
    <cellStyle name="Note 14 4 5 2 4 2" xfId="39833"/>
    <cellStyle name="Note 14 4 5 2 5" xfId="14026"/>
    <cellStyle name="Note 14 4 5 2 5 2" xfId="36613"/>
    <cellStyle name="Note 14 4 5 2 6" xfId="7586"/>
    <cellStyle name="Note 14 4 5 2 6 2" xfId="30173"/>
    <cellStyle name="Note 14 4 5 2 7" xfId="23733"/>
    <cellStyle name="Note 14 4 5 3" xfId="1486"/>
    <cellStyle name="Note 14 4 5 3 2" xfId="2800"/>
    <cellStyle name="Note 14 4 5 3 2 2" xfId="6021"/>
    <cellStyle name="Note 14 4 5 3 2 2 2" xfId="22121"/>
    <cellStyle name="Note 14 4 5 3 2 2 2 2" xfId="44708"/>
    <cellStyle name="Note 14 4 5 3 2 2 3" xfId="12461"/>
    <cellStyle name="Note 14 4 5 3 2 2 3 2" xfId="35048"/>
    <cellStyle name="Note 14 4 5 3 2 2 4" xfId="28608"/>
    <cellStyle name="Note 14 4 5 3 2 3" xfId="18901"/>
    <cellStyle name="Note 14 4 5 3 2 3 2" xfId="41488"/>
    <cellStyle name="Note 14 4 5 3 2 4" xfId="15681"/>
    <cellStyle name="Note 14 4 5 3 2 4 2" xfId="38268"/>
    <cellStyle name="Note 14 4 5 3 2 5" xfId="9241"/>
    <cellStyle name="Note 14 4 5 3 2 5 2" xfId="31828"/>
    <cellStyle name="Note 14 4 5 3 2 6" xfId="25388"/>
    <cellStyle name="Note 14 4 5 3 3" xfId="4713"/>
    <cellStyle name="Note 14 4 5 3 3 2" xfId="20813"/>
    <cellStyle name="Note 14 4 5 3 3 2 2" xfId="43400"/>
    <cellStyle name="Note 14 4 5 3 3 3" xfId="11153"/>
    <cellStyle name="Note 14 4 5 3 3 3 2" xfId="33740"/>
    <cellStyle name="Note 14 4 5 3 3 4" xfId="27300"/>
    <cellStyle name="Note 14 4 5 3 4" xfId="17593"/>
    <cellStyle name="Note 14 4 5 3 4 2" xfId="40180"/>
    <cellStyle name="Note 14 4 5 3 5" xfId="14373"/>
    <cellStyle name="Note 14 4 5 3 5 2" xfId="36960"/>
    <cellStyle name="Note 14 4 5 3 6" xfId="7933"/>
    <cellStyle name="Note 14 4 5 3 6 2" xfId="30520"/>
    <cellStyle name="Note 14 4 5 3 7" xfId="24080"/>
    <cellStyle name="Note 14 4 5 4" xfId="2106"/>
    <cellStyle name="Note 14 4 5 4 2" xfId="5327"/>
    <cellStyle name="Note 14 4 5 4 2 2" xfId="21427"/>
    <cellStyle name="Note 14 4 5 4 2 2 2" xfId="44014"/>
    <cellStyle name="Note 14 4 5 4 2 3" xfId="11767"/>
    <cellStyle name="Note 14 4 5 4 2 3 2" xfId="34354"/>
    <cellStyle name="Note 14 4 5 4 2 4" xfId="27914"/>
    <cellStyle name="Note 14 4 5 4 3" xfId="18207"/>
    <cellStyle name="Note 14 4 5 4 3 2" xfId="40794"/>
    <cellStyle name="Note 14 4 5 4 4" xfId="14987"/>
    <cellStyle name="Note 14 4 5 4 4 2" xfId="37574"/>
    <cellStyle name="Note 14 4 5 4 5" xfId="8547"/>
    <cellStyle name="Note 14 4 5 4 5 2" xfId="31134"/>
    <cellStyle name="Note 14 4 5 4 6" xfId="24694"/>
    <cellStyle name="Note 14 4 5 5" xfId="4019"/>
    <cellStyle name="Note 14 4 5 5 2" xfId="20119"/>
    <cellStyle name="Note 14 4 5 5 2 2" xfId="42706"/>
    <cellStyle name="Note 14 4 5 5 3" xfId="10459"/>
    <cellStyle name="Note 14 4 5 5 3 2" xfId="33046"/>
    <cellStyle name="Note 14 4 5 5 4" xfId="26606"/>
    <cellStyle name="Note 14 4 5 6" xfId="16899"/>
    <cellStyle name="Note 14 4 5 6 2" xfId="39486"/>
    <cellStyle name="Note 14 4 5 7" xfId="13679"/>
    <cellStyle name="Note 14 4 5 7 2" xfId="36266"/>
    <cellStyle name="Note 14 4 5 8" xfId="7239"/>
    <cellStyle name="Note 14 4 5 8 2" xfId="29826"/>
    <cellStyle name="Note 14 4 5 9" xfId="23386"/>
    <cellStyle name="Note 14 4 6" xfId="857"/>
    <cellStyle name="Note 14 4 6 2" xfId="2176"/>
    <cellStyle name="Note 14 4 6 2 2" xfId="5397"/>
    <cellStyle name="Note 14 4 6 2 2 2" xfId="21497"/>
    <cellStyle name="Note 14 4 6 2 2 2 2" xfId="44084"/>
    <cellStyle name="Note 14 4 6 2 2 3" xfId="11837"/>
    <cellStyle name="Note 14 4 6 2 2 3 2" xfId="34424"/>
    <cellStyle name="Note 14 4 6 2 2 4" xfId="27984"/>
    <cellStyle name="Note 14 4 6 2 3" xfId="18277"/>
    <cellStyle name="Note 14 4 6 2 3 2" xfId="40864"/>
    <cellStyle name="Note 14 4 6 2 4" xfId="15057"/>
    <cellStyle name="Note 14 4 6 2 4 2" xfId="37644"/>
    <cellStyle name="Note 14 4 6 2 5" xfId="8617"/>
    <cellStyle name="Note 14 4 6 2 5 2" xfId="31204"/>
    <cellStyle name="Note 14 4 6 2 6" xfId="24764"/>
    <cellStyle name="Note 14 4 6 3" xfId="4089"/>
    <cellStyle name="Note 14 4 6 3 2" xfId="20189"/>
    <cellStyle name="Note 14 4 6 3 2 2" xfId="42776"/>
    <cellStyle name="Note 14 4 6 3 3" xfId="10529"/>
    <cellStyle name="Note 14 4 6 3 3 2" xfId="33116"/>
    <cellStyle name="Note 14 4 6 3 4" xfId="26676"/>
    <cellStyle name="Note 14 4 6 4" xfId="16969"/>
    <cellStyle name="Note 14 4 6 4 2" xfId="39556"/>
    <cellStyle name="Note 14 4 6 5" xfId="13749"/>
    <cellStyle name="Note 14 4 6 5 2" xfId="36336"/>
    <cellStyle name="Note 14 4 6 6" xfId="7309"/>
    <cellStyle name="Note 14 4 6 6 2" xfId="29896"/>
    <cellStyle name="Note 14 4 6 7" xfId="23456"/>
    <cellStyle name="Note 14 4 7" xfId="1209"/>
    <cellStyle name="Note 14 4 7 2" xfId="2523"/>
    <cellStyle name="Note 14 4 7 2 2" xfId="5744"/>
    <cellStyle name="Note 14 4 7 2 2 2" xfId="21844"/>
    <cellStyle name="Note 14 4 7 2 2 2 2" xfId="44431"/>
    <cellStyle name="Note 14 4 7 2 2 3" xfId="12184"/>
    <cellStyle name="Note 14 4 7 2 2 3 2" xfId="34771"/>
    <cellStyle name="Note 14 4 7 2 2 4" xfId="28331"/>
    <cellStyle name="Note 14 4 7 2 3" xfId="18624"/>
    <cellStyle name="Note 14 4 7 2 3 2" xfId="41211"/>
    <cellStyle name="Note 14 4 7 2 4" xfId="15404"/>
    <cellStyle name="Note 14 4 7 2 4 2" xfId="37991"/>
    <cellStyle name="Note 14 4 7 2 5" xfId="8964"/>
    <cellStyle name="Note 14 4 7 2 5 2" xfId="31551"/>
    <cellStyle name="Note 14 4 7 2 6" xfId="25111"/>
    <cellStyle name="Note 14 4 7 3" xfId="4436"/>
    <cellStyle name="Note 14 4 7 3 2" xfId="20536"/>
    <cellStyle name="Note 14 4 7 3 2 2" xfId="43123"/>
    <cellStyle name="Note 14 4 7 3 3" xfId="10876"/>
    <cellStyle name="Note 14 4 7 3 3 2" xfId="33463"/>
    <cellStyle name="Note 14 4 7 3 4" xfId="27023"/>
    <cellStyle name="Note 14 4 7 4" xfId="17316"/>
    <cellStyle name="Note 14 4 7 4 2" xfId="39903"/>
    <cellStyle name="Note 14 4 7 5" xfId="14096"/>
    <cellStyle name="Note 14 4 7 5 2" xfId="36683"/>
    <cellStyle name="Note 14 4 7 6" xfId="7656"/>
    <cellStyle name="Note 14 4 7 6 2" xfId="30243"/>
    <cellStyle name="Note 14 4 7 7" xfId="23803"/>
    <cellStyle name="Note 14 4 8" xfId="1799"/>
    <cellStyle name="Note 14 4 8 2" xfId="5022"/>
    <cellStyle name="Note 14 4 8 2 2" xfId="21122"/>
    <cellStyle name="Note 14 4 8 2 2 2" xfId="43709"/>
    <cellStyle name="Note 14 4 8 2 3" xfId="11462"/>
    <cellStyle name="Note 14 4 8 2 3 2" xfId="34049"/>
    <cellStyle name="Note 14 4 8 2 4" xfId="27609"/>
    <cellStyle name="Note 14 4 8 3" xfId="17902"/>
    <cellStyle name="Note 14 4 8 3 2" xfId="40489"/>
    <cellStyle name="Note 14 4 8 4" xfId="14682"/>
    <cellStyle name="Note 14 4 8 4 2" xfId="37269"/>
    <cellStyle name="Note 14 4 8 5" xfId="8242"/>
    <cellStyle name="Note 14 4 8 5 2" xfId="30829"/>
    <cellStyle name="Note 14 4 8 6" xfId="24389"/>
    <cellStyle name="Note 14 4 9" xfId="1828"/>
    <cellStyle name="Note 14 4 9 2" xfId="5050"/>
    <cellStyle name="Note 14 4 9 2 2" xfId="21150"/>
    <cellStyle name="Note 14 4 9 2 2 2" xfId="43737"/>
    <cellStyle name="Note 14 4 9 2 3" xfId="11490"/>
    <cellStyle name="Note 14 4 9 2 3 2" xfId="34077"/>
    <cellStyle name="Note 14 4 9 2 4" xfId="27637"/>
    <cellStyle name="Note 14 4 9 3" xfId="17930"/>
    <cellStyle name="Note 14 4 9 3 2" xfId="40517"/>
    <cellStyle name="Note 14 4 9 4" xfId="14710"/>
    <cellStyle name="Note 14 4 9 4 2" xfId="37297"/>
    <cellStyle name="Note 14 4 9 5" xfId="8270"/>
    <cellStyle name="Note 14 4 9 5 2" xfId="30857"/>
    <cellStyle name="Note 14 4 9 6" xfId="24417"/>
    <cellStyle name="Note 14 5" xfId="134"/>
    <cellStyle name="Note 14 5 10" xfId="472"/>
    <cellStyle name="Note 14 5 10 2" xfId="3759"/>
    <cellStyle name="Note 14 5 10 2 2" xfId="19859"/>
    <cellStyle name="Note 14 5 10 2 2 2" xfId="42446"/>
    <cellStyle name="Note 14 5 10 2 3" xfId="10199"/>
    <cellStyle name="Note 14 5 10 2 3 2" xfId="32786"/>
    <cellStyle name="Note 14 5 10 2 4" xfId="26346"/>
    <cellStyle name="Note 14 5 10 3" xfId="16639"/>
    <cellStyle name="Note 14 5 10 3 2" xfId="39226"/>
    <cellStyle name="Note 14 5 10 4" xfId="13419"/>
    <cellStyle name="Note 14 5 10 4 2" xfId="36006"/>
    <cellStyle name="Note 14 5 10 5" xfId="6979"/>
    <cellStyle name="Note 14 5 10 5 2" xfId="29566"/>
    <cellStyle name="Note 14 5 10 6" xfId="23126"/>
    <cellStyle name="Note 14 5 11" xfId="3469"/>
    <cellStyle name="Note 14 5 11 2" xfId="19569"/>
    <cellStyle name="Note 14 5 11 2 2" xfId="42156"/>
    <cellStyle name="Note 14 5 11 3" xfId="9909"/>
    <cellStyle name="Note 14 5 11 3 2" xfId="32496"/>
    <cellStyle name="Note 14 5 11 4" xfId="26056"/>
    <cellStyle name="Note 14 5 12" xfId="16349"/>
    <cellStyle name="Note 14 5 12 2" xfId="38936"/>
    <cellStyle name="Note 14 5 13" xfId="13129"/>
    <cellStyle name="Note 14 5 13 2" xfId="35716"/>
    <cellStyle name="Note 14 5 14" xfId="6689"/>
    <cellStyle name="Note 14 5 14 2" xfId="29276"/>
    <cellStyle name="Note 14 5 15" xfId="22836"/>
    <cellStyle name="Note 14 5 2" xfId="280"/>
    <cellStyle name="Note 14 5 2 10" xfId="16447"/>
    <cellStyle name="Note 14 5 2 10 2" xfId="39034"/>
    <cellStyle name="Note 14 5 2 11" xfId="13227"/>
    <cellStyle name="Note 14 5 2 11 2" xfId="35814"/>
    <cellStyle name="Note 14 5 2 12" xfId="6787"/>
    <cellStyle name="Note 14 5 2 12 2" xfId="29374"/>
    <cellStyle name="Note 14 5 2 13" xfId="22934"/>
    <cellStyle name="Note 14 5 2 2" xfId="998"/>
    <cellStyle name="Note 14 5 2 2 2" xfId="2312"/>
    <cellStyle name="Note 14 5 2 2 2 2" xfId="5533"/>
    <cellStyle name="Note 14 5 2 2 2 2 2" xfId="21633"/>
    <cellStyle name="Note 14 5 2 2 2 2 2 2" xfId="44220"/>
    <cellStyle name="Note 14 5 2 2 2 2 3" xfId="11973"/>
    <cellStyle name="Note 14 5 2 2 2 2 3 2" xfId="34560"/>
    <cellStyle name="Note 14 5 2 2 2 2 4" xfId="28120"/>
    <cellStyle name="Note 14 5 2 2 2 3" xfId="18413"/>
    <cellStyle name="Note 14 5 2 2 2 3 2" xfId="41000"/>
    <cellStyle name="Note 14 5 2 2 2 4" xfId="15193"/>
    <cellStyle name="Note 14 5 2 2 2 4 2" xfId="37780"/>
    <cellStyle name="Note 14 5 2 2 2 5" xfId="8753"/>
    <cellStyle name="Note 14 5 2 2 2 5 2" xfId="31340"/>
    <cellStyle name="Note 14 5 2 2 2 6" xfId="24900"/>
    <cellStyle name="Note 14 5 2 2 3" xfId="4225"/>
    <cellStyle name="Note 14 5 2 2 3 2" xfId="20325"/>
    <cellStyle name="Note 14 5 2 2 3 2 2" xfId="42912"/>
    <cellStyle name="Note 14 5 2 2 3 3" xfId="10665"/>
    <cellStyle name="Note 14 5 2 2 3 3 2" xfId="33252"/>
    <cellStyle name="Note 14 5 2 2 3 4" xfId="26812"/>
    <cellStyle name="Note 14 5 2 2 4" xfId="17105"/>
    <cellStyle name="Note 14 5 2 2 4 2" xfId="39692"/>
    <cellStyle name="Note 14 5 2 2 5" xfId="13885"/>
    <cellStyle name="Note 14 5 2 2 5 2" xfId="36472"/>
    <cellStyle name="Note 14 5 2 2 6" xfId="7445"/>
    <cellStyle name="Note 14 5 2 2 6 2" xfId="30032"/>
    <cellStyle name="Note 14 5 2 2 7" xfId="23592"/>
    <cellStyle name="Note 14 5 2 3" xfId="1345"/>
    <cellStyle name="Note 14 5 2 3 2" xfId="2659"/>
    <cellStyle name="Note 14 5 2 3 2 2" xfId="5880"/>
    <cellStyle name="Note 14 5 2 3 2 2 2" xfId="21980"/>
    <cellStyle name="Note 14 5 2 3 2 2 2 2" xfId="44567"/>
    <cellStyle name="Note 14 5 2 3 2 2 3" xfId="12320"/>
    <cellStyle name="Note 14 5 2 3 2 2 3 2" xfId="34907"/>
    <cellStyle name="Note 14 5 2 3 2 2 4" xfId="28467"/>
    <cellStyle name="Note 14 5 2 3 2 3" xfId="18760"/>
    <cellStyle name="Note 14 5 2 3 2 3 2" xfId="41347"/>
    <cellStyle name="Note 14 5 2 3 2 4" xfId="15540"/>
    <cellStyle name="Note 14 5 2 3 2 4 2" xfId="38127"/>
    <cellStyle name="Note 14 5 2 3 2 5" xfId="9100"/>
    <cellStyle name="Note 14 5 2 3 2 5 2" xfId="31687"/>
    <cellStyle name="Note 14 5 2 3 2 6" xfId="25247"/>
    <cellStyle name="Note 14 5 2 3 3" xfId="4572"/>
    <cellStyle name="Note 14 5 2 3 3 2" xfId="20672"/>
    <cellStyle name="Note 14 5 2 3 3 2 2" xfId="43259"/>
    <cellStyle name="Note 14 5 2 3 3 3" xfId="11012"/>
    <cellStyle name="Note 14 5 2 3 3 3 2" xfId="33599"/>
    <cellStyle name="Note 14 5 2 3 3 4" xfId="27159"/>
    <cellStyle name="Note 14 5 2 3 4" xfId="17452"/>
    <cellStyle name="Note 14 5 2 3 4 2" xfId="40039"/>
    <cellStyle name="Note 14 5 2 3 5" xfId="14232"/>
    <cellStyle name="Note 14 5 2 3 5 2" xfId="36819"/>
    <cellStyle name="Note 14 5 2 3 6" xfId="7792"/>
    <cellStyle name="Note 14 5 2 3 6 2" xfId="30379"/>
    <cellStyle name="Note 14 5 2 3 7" xfId="23939"/>
    <cellStyle name="Note 14 5 2 4" xfId="1800"/>
    <cellStyle name="Note 14 5 2 4 2" xfId="5023"/>
    <cellStyle name="Note 14 5 2 4 2 2" xfId="21123"/>
    <cellStyle name="Note 14 5 2 4 2 2 2" xfId="43710"/>
    <cellStyle name="Note 14 5 2 4 2 3" xfId="11463"/>
    <cellStyle name="Note 14 5 2 4 2 3 2" xfId="34050"/>
    <cellStyle name="Note 14 5 2 4 2 4" xfId="27610"/>
    <cellStyle name="Note 14 5 2 4 3" xfId="17903"/>
    <cellStyle name="Note 14 5 2 4 3 2" xfId="40490"/>
    <cellStyle name="Note 14 5 2 4 4" xfId="14683"/>
    <cellStyle name="Note 14 5 2 4 4 2" xfId="37270"/>
    <cellStyle name="Note 14 5 2 4 5" xfId="8243"/>
    <cellStyle name="Note 14 5 2 4 5 2" xfId="30830"/>
    <cellStyle name="Note 14 5 2 4 6" xfId="24390"/>
    <cellStyle name="Note 14 5 2 5" xfId="1964"/>
    <cellStyle name="Note 14 5 2 5 2" xfId="5186"/>
    <cellStyle name="Note 14 5 2 5 2 2" xfId="21286"/>
    <cellStyle name="Note 14 5 2 5 2 2 2" xfId="43873"/>
    <cellStyle name="Note 14 5 2 5 2 3" xfId="11626"/>
    <cellStyle name="Note 14 5 2 5 2 3 2" xfId="34213"/>
    <cellStyle name="Note 14 5 2 5 2 4" xfId="27773"/>
    <cellStyle name="Note 14 5 2 5 3" xfId="18066"/>
    <cellStyle name="Note 14 5 2 5 3 2" xfId="40653"/>
    <cellStyle name="Note 14 5 2 5 4" xfId="14846"/>
    <cellStyle name="Note 14 5 2 5 4 2" xfId="37433"/>
    <cellStyle name="Note 14 5 2 5 5" xfId="8406"/>
    <cellStyle name="Note 14 5 2 5 5 2" xfId="30993"/>
    <cellStyle name="Note 14 5 2 5 6" xfId="24553"/>
    <cellStyle name="Note 14 5 2 6" xfId="2987"/>
    <cellStyle name="Note 14 5 2 6 2" xfId="6207"/>
    <cellStyle name="Note 14 5 2 6 2 2" xfId="22307"/>
    <cellStyle name="Note 14 5 2 6 2 2 2" xfId="44894"/>
    <cellStyle name="Note 14 5 2 6 2 3" xfId="12647"/>
    <cellStyle name="Note 14 5 2 6 2 3 2" xfId="35234"/>
    <cellStyle name="Note 14 5 2 6 2 4" xfId="28794"/>
    <cellStyle name="Note 14 5 2 6 3" xfId="19087"/>
    <cellStyle name="Note 14 5 2 6 3 2" xfId="41674"/>
    <cellStyle name="Note 14 5 2 6 4" xfId="15867"/>
    <cellStyle name="Note 14 5 2 6 4 2" xfId="38454"/>
    <cellStyle name="Note 14 5 2 6 5" xfId="9427"/>
    <cellStyle name="Note 14 5 2 6 5 2" xfId="32014"/>
    <cellStyle name="Note 14 5 2 6 6" xfId="25574"/>
    <cellStyle name="Note 14 5 2 7" xfId="3277"/>
    <cellStyle name="Note 14 5 2 7 2" xfId="6497"/>
    <cellStyle name="Note 14 5 2 7 2 2" xfId="22597"/>
    <cellStyle name="Note 14 5 2 7 2 2 2" xfId="45184"/>
    <cellStyle name="Note 14 5 2 7 2 3" xfId="12937"/>
    <cellStyle name="Note 14 5 2 7 2 3 2" xfId="35524"/>
    <cellStyle name="Note 14 5 2 7 2 4" xfId="29084"/>
    <cellStyle name="Note 14 5 2 7 3" xfId="19377"/>
    <cellStyle name="Note 14 5 2 7 3 2" xfId="41964"/>
    <cellStyle name="Note 14 5 2 7 4" xfId="16157"/>
    <cellStyle name="Note 14 5 2 7 4 2" xfId="38744"/>
    <cellStyle name="Note 14 5 2 7 5" xfId="9717"/>
    <cellStyle name="Note 14 5 2 7 5 2" xfId="32304"/>
    <cellStyle name="Note 14 5 2 7 6" xfId="25864"/>
    <cellStyle name="Note 14 5 2 8" xfId="634"/>
    <cellStyle name="Note 14 5 2 8 2" xfId="3878"/>
    <cellStyle name="Note 14 5 2 8 2 2" xfId="19978"/>
    <cellStyle name="Note 14 5 2 8 2 2 2" xfId="42565"/>
    <cellStyle name="Note 14 5 2 8 2 3" xfId="10318"/>
    <cellStyle name="Note 14 5 2 8 2 3 2" xfId="32905"/>
    <cellStyle name="Note 14 5 2 8 2 4" xfId="26465"/>
    <cellStyle name="Note 14 5 2 8 3" xfId="16758"/>
    <cellStyle name="Note 14 5 2 8 3 2" xfId="39345"/>
    <cellStyle name="Note 14 5 2 8 4" xfId="13538"/>
    <cellStyle name="Note 14 5 2 8 4 2" xfId="36125"/>
    <cellStyle name="Note 14 5 2 8 5" xfId="7098"/>
    <cellStyle name="Note 14 5 2 8 5 2" xfId="29685"/>
    <cellStyle name="Note 14 5 2 8 6" xfId="23245"/>
    <cellStyle name="Note 14 5 2 9" xfId="3567"/>
    <cellStyle name="Note 14 5 2 9 2" xfId="19667"/>
    <cellStyle name="Note 14 5 2 9 2 2" xfId="42254"/>
    <cellStyle name="Note 14 5 2 9 3" xfId="10007"/>
    <cellStyle name="Note 14 5 2 9 3 2" xfId="32594"/>
    <cellStyle name="Note 14 5 2 9 4" xfId="26154"/>
    <cellStyle name="Note 14 5 3" xfId="375"/>
    <cellStyle name="Note 14 5 3 10" xfId="16542"/>
    <cellStyle name="Note 14 5 3 10 2" xfId="39129"/>
    <cellStyle name="Note 14 5 3 11" xfId="13322"/>
    <cellStyle name="Note 14 5 3 11 2" xfId="35909"/>
    <cellStyle name="Note 14 5 3 12" xfId="6882"/>
    <cellStyle name="Note 14 5 3 12 2" xfId="29469"/>
    <cellStyle name="Note 14 5 3 13" xfId="23029"/>
    <cellStyle name="Note 14 5 3 2" xfId="1159"/>
    <cellStyle name="Note 14 5 3 2 2" xfId="2473"/>
    <cellStyle name="Note 14 5 3 2 2 2" xfId="5694"/>
    <cellStyle name="Note 14 5 3 2 2 2 2" xfId="21794"/>
    <cellStyle name="Note 14 5 3 2 2 2 2 2" xfId="44381"/>
    <cellStyle name="Note 14 5 3 2 2 2 3" xfId="12134"/>
    <cellStyle name="Note 14 5 3 2 2 2 3 2" xfId="34721"/>
    <cellStyle name="Note 14 5 3 2 2 2 4" xfId="28281"/>
    <cellStyle name="Note 14 5 3 2 2 3" xfId="18574"/>
    <cellStyle name="Note 14 5 3 2 2 3 2" xfId="41161"/>
    <cellStyle name="Note 14 5 3 2 2 4" xfId="15354"/>
    <cellStyle name="Note 14 5 3 2 2 4 2" xfId="37941"/>
    <cellStyle name="Note 14 5 3 2 2 5" xfId="8914"/>
    <cellStyle name="Note 14 5 3 2 2 5 2" xfId="31501"/>
    <cellStyle name="Note 14 5 3 2 2 6" xfId="25061"/>
    <cellStyle name="Note 14 5 3 2 3" xfId="4386"/>
    <cellStyle name="Note 14 5 3 2 3 2" xfId="20486"/>
    <cellStyle name="Note 14 5 3 2 3 2 2" xfId="43073"/>
    <cellStyle name="Note 14 5 3 2 3 3" xfId="10826"/>
    <cellStyle name="Note 14 5 3 2 3 3 2" xfId="33413"/>
    <cellStyle name="Note 14 5 3 2 3 4" xfId="26973"/>
    <cellStyle name="Note 14 5 3 2 4" xfId="17266"/>
    <cellStyle name="Note 14 5 3 2 4 2" xfId="39853"/>
    <cellStyle name="Note 14 5 3 2 5" xfId="14046"/>
    <cellStyle name="Note 14 5 3 2 5 2" xfId="36633"/>
    <cellStyle name="Note 14 5 3 2 6" xfId="7606"/>
    <cellStyle name="Note 14 5 3 2 6 2" xfId="30193"/>
    <cellStyle name="Note 14 5 3 2 7" xfId="23753"/>
    <cellStyle name="Note 14 5 3 3" xfId="1506"/>
    <cellStyle name="Note 14 5 3 3 2" xfId="2820"/>
    <cellStyle name="Note 14 5 3 3 2 2" xfId="6041"/>
    <cellStyle name="Note 14 5 3 3 2 2 2" xfId="22141"/>
    <cellStyle name="Note 14 5 3 3 2 2 2 2" xfId="44728"/>
    <cellStyle name="Note 14 5 3 3 2 2 3" xfId="12481"/>
    <cellStyle name="Note 14 5 3 3 2 2 3 2" xfId="35068"/>
    <cellStyle name="Note 14 5 3 3 2 2 4" xfId="28628"/>
    <cellStyle name="Note 14 5 3 3 2 3" xfId="18921"/>
    <cellStyle name="Note 14 5 3 3 2 3 2" xfId="41508"/>
    <cellStyle name="Note 14 5 3 3 2 4" xfId="15701"/>
    <cellStyle name="Note 14 5 3 3 2 4 2" xfId="38288"/>
    <cellStyle name="Note 14 5 3 3 2 5" xfId="9261"/>
    <cellStyle name="Note 14 5 3 3 2 5 2" xfId="31848"/>
    <cellStyle name="Note 14 5 3 3 2 6" xfId="25408"/>
    <cellStyle name="Note 14 5 3 3 3" xfId="4733"/>
    <cellStyle name="Note 14 5 3 3 3 2" xfId="20833"/>
    <cellStyle name="Note 14 5 3 3 3 2 2" xfId="43420"/>
    <cellStyle name="Note 14 5 3 3 3 3" xfId="11173"/>
    <cellStyle name="Note 14 5 3 3 3 3 2" xfId="33760"/>
    <cellStyle name="Note 14 5 3 3 3 4" xfId="27320"/>
    <cellStyle name="Note 14 5 3 3 4" xfId="17613"/>
    <cellStyle name="Note 14 5 3 3 4 2" xfId="40200"/>
    <cellStyle name="Note 14 5 3 3 5" xfId="14393"/>
    <cellStyle name="Note 14 5 3 3 5 2" xfId="36980"/>
    <cellStyle name="Note 14 5 3 3 6" xfId="7953"/>
    <cellStyle name="Note 14 5 3 3 6 2" xfId="30540"/>
    <cellStyle name="Note 14 5 3 3 7" xfId="24100"/>
    <cellStyle name="Note 14 5 3 4" xfId="1801"/>
    <cellStyle name="Note 14 5 3 4 2" xfId="5024"/>
    <cellStyle name="Note 14 5 3 4 2 2" xfId="21124"/>
    <cellStyle name="Note 14 5 3 4 2 2 2" xfId="43711"/>
    <cellStyle name="Note 14 5 3 4 2 3" xfId="11464"/>
    <cellStyle name="Note 14 5 3 4 2 3 2" xfId="34051"/>
    <cellStyle name="Note 14 5 3 4 2 4" xfId="27611"/>
    <cellStyle name="Note 14 5 3 4 3" xfId="17904"/>
    <cellStyle name="Note 14 5 3 4 3 2" xfId="40491"/>
    <cellStyle name="Note 14 5 3 4 4" xfId="14684"/>
    <cellStyle name="Note 14 5 3 4 4 2" xfId="37271"/>
    <cellStyle name="Note 14 5 3 4 5" xfId="8244"/>
    <cellStyle name="Note 14 5 3 4 5 2" xfId="30831"/>
    <cellStyle name="Note 14 5 3 4 6" xfId="24391"/>
    <cellStyle name="Note 14 5 3 5" xfId="2126"/>
    <cellStyle name="Note 14 5 3 5 2" xfId="5347"/>
    <cellStyle name="Note 14 5 3 5 2 2" xfId="21447"/>
    <cellStyle name="Note 14 5 3 5 2 2 2" xfId="44034"/>
    <cellStyle name="Note 14 5 3 5 2 3" xfId="11787"/>
    <cellStyle name="Note 14 5 3 5 2 3 2" xfId="34374"/>
    <cellStyle name="Note 14 5 3 5 2 4" xfId="27934"/>
    <cellStyle name="Note 14 5 3 5 3" xfId="18227"/>
    <cellStyle name="Note 14 5 3 5 3 2" xfId="40814"/>
    <cellStyle name="Note 14 5 3 5 4" xfId="15007"/>
    <cellStyle name="Note 14 5 3 5 4 2" xfId="37594"/>
    <cellStyle name="Note 14 5 3 5 5" xfId="8567"/>
    <cellStyle name="Note 14 5 3 5 5 2" xfId="31154"/>
    <cellStyle name="Note 14 5 3 5 6" xfId="24714"/>
    <cellStyle name="Note 14 5 3 6" xfId="3082"/>
    <cellStyle name="Note 14 5 3 6 2" xfId="6302"/>
    <cellStyle name="Note 14 5 3 6 2 2" xfId="22402"/>
    <cellStyle name="Note 14 5 3 6 2 2 2" xfId="44989"/>
    <cellStyle name="Note 14 5 3 6 2 3" xfId="12742"/>
    <cellStyle name="Note 14 5 3 6 2 3 2" xfId="35329"/>
    <cellStyle name="Note 14 5 3 6 2 4" xfId="28889"/>
    <cellStyle name="Note 14 5 3 6 3" xfId="19182"/>
    <cellStyle name="Note 14 5 3 6 3 2" xfId="41769"/>
    <cellStyle name="Note 14 5 3 6 4" xfId="15962"/>
    <cellStyle name="Note 14 5 3 6 4 2" xfId="38549"/>
    <cellStyle name="Note 14 5 3 6 5" xfId="9522"/>
    <cellStyle name="Note 14 5 3 6 5 2" xfId="32109"/>
    <cellStyle name="Note 14 5 3 6 6" xfId="25669"/>
    <cellStyle name="Note 14 5 3 7" xfId="3372"/>
    <cellStyle name="Note 14 5 3 7 2" xfId="6592"/>
    <cellStyle name="Note 14 5 3 7 2 2" xfId="22692"/>
    <cellStyle name="Note 14 5 3 7 2 2 2" xfId="45279"/>
    <cellStyle name="Note 14 5 3 7 2 3" xfId="13032"/>
    <cellStyle name="Note 14 5 3 7 2 3 2" xfId="35619"/>
    <cellStyle name="Note 14 5 3 7 2 4" xfId="29179"/>
    <cellStyle name="Note 14 5 3 7 3" xfId="19472"/>
    <cellStyle name="Note 14 5 3 7 3 2" xfId="42059"/>
    <cellStyle name="Note 14 5 3 7 4" xfId="16252"/>
    <cellStyle name="Note 14 5 3 7 4 2" xfId="38839"/>
    <cellStyle name="Note 14 5 3 7 5" xfId="9812"/>
    <cellStyle name="Note 14 5 3 7 5 2" xfId="32399"/>
    <cellStyle name="Note 14 5 3 7 6" xfId="25959"/>
    <cellStyle name="Note 14 5 3 8" xfId="807"/>
    <cellStyle name="Note 14 5 3 8 2" xfId="4039"/>
    <cellStyle name="Note 14 5 3 8 2 2" xfId="20139"/>
    <cellStyle name="Note 14 5 3 8 2 2 2" xfId="42726"/>
    <cellStyle name="Note 14 5 3 8 2 3" xfId="10479"/>
    <cellStyle name="Note 14 5 3 8 2 3 2" xfId="33066"/>
    <cellStyle name="Note 14 5 3 8 2 4" xfId="26626"/>
    <cellStyle name="Note 14 5 3 8 3" xfId="16919"/>
    <cellStyle name="Note 14 5 3 8 3 2" xfId="39506"/>
    <cellStyle name="Note 14 5 3 8 4" xfId="13699"/>
    <cellStyle name="Note 14 5 3 8 4 2" xfId="36286"/>
    <cellStyle name="Note 14 5 3 8 5" xfId="7259"/>
    <cellStyle name="Note 14 5 3 8 5 2" xfId="29846"/>
    <cellStyle name="Note 14 5 3 8 6" xfId="23406"/>
    <cellStyle name="Note 14 5 3 9" xfId="3662"/>
    <cellStyle name="Note 14 5 3 9 2" xfId="19762"/>
    <cellStyle name="Note 14 5 3 9 2 2" xfId="42349"/>
    <cellStyle name="Note 14 5 3 9 3" xfId="10102"/>
    <cellStyle name="Note 14 5 3 9 3 2" xfId="32689"/>
    <cellStyle name="Note 14 5 3 9 4" xfId="26249"/>
    <cellStyle name="Note 14 5 4" xfId="874"/>
    <cellStyle name="Note 14 5 4 2" xfId="2193"/>
    <cellStyle name="Note 14 5 4 2 2" xfId="5414"/>
    <cellStyle name="Note 14 5 4 2 2 2" xfId="21514"/>
    <cellStyle name="Note 14 5 4 2 2 2 2" xfId="44101"/>
    <cellStyle name="Note 14 5 4 2 2 3" xfId="11854"/>
    <cellStyle name="Note 14 5 4 2 2 3 2" xfId="34441"/>
    <cellStyle name="Note 14 5 4 2 2 4" xfId="28001"/>
    <cellStyle name="Note 14 5 4 2 3" xfId="18294"/>
    <cellStyle name="Note 14 5 4 2 3 2" xfId="40881"/>
    <cellStyle name="Note 14 5 4 2 4" xfId="15074"/>
    <cellStyle name="Note 14 5 4 2 4 2" xfId="37661"/>
    <cellStyle name="Note 14 5 4 2 5" xfId="8634"/>
    <cellStyle name="Note 14 5 4 2 5 2" xfId="31221"/>
    <cellStyle name="Note 14 5 4 2 6" xfId="24781"/>
    <cellStyle name="Note 14 5 4 3" xfId="4106"/>
    <cellStyle name="Note 14 5 4 3 2" xfId="20206"/>
    <cellStyle name="Note 14 5 4 3 2 2" xfId="42793"/>
    <cellStyle name="Note 14 5 4 3 3" xfId="10546"/>
    <cellStyle name="Note 14 5 4 3 3 2" xfId="33133"/>
    <cellStyle name="Note 14 5 4 3 4" xfId="26693"/>
    <cellStyle name="Note 14 5 4 4" xfId="16986"/>
    <cellStyle name="Note 14 5 4 4 2" xfId="39573"/>
    <cellStyle name="Note 14 5 4 5" xfId="13766"/>
    <cellStyle name="Note 14 5 4 5 2" xfId="36353"/>
    <cellStyle name="Note 14 5 4 6" xfId="7326"/>
    <cellStyle name="Note 14 5 4 6 2" xfId="29913"/>
    <cellStyle name="Note 14 5 4 7" xfId="23473"/>
    <cellStyle name="Note 14 5 5" xfId="1226"/>
    <cellStyle name="Note 14 5 5 2" xfId="2540"/>
    <cellStyle name="Note 14 5 5 2 2" xfId="5761"/>
    <cellStyle name="Note 14 5 5 2 2 2" xfId="21861"/>
    <cellStyle name="Note 14 5 5 2 2 2 2" xfId="44448"/>
    <cellStyle name="Note 14 5 5 2 2 3" xfId="12201"/>
    <cellStyle name="Note 14 5 5 2 2 3 2" xfId="34788"/>
    <cellStyle name="Note 14 5 5 2 2 4" xfId="28348"/>
    <cellStyle name="Note 14 5 5 2 3" xfId="18641"/>
    <cellStyle name="Note 14 5 5 2 3 2" xfId="41228"/>
    <cellStyle name="Note 14 5 5 2 4" xfId="15421"/>
    <cellStyle name="Note 14 5 5 2 4 2" xfId="38008"/>
    <cellStyle name="Note 14 5 5 2 5" xfId="8981"/>
    <cellStyle name="Note 14 5 5 2 5 2" xfId="31568"/>
    <cellStyle name="Note 14 5 5 2 6" xfId="25128"/>
    <cellStyle name="Note 14 5 5 3" xfId="4453"/>
    <cellStyle name="Note 14 5 5 3 2" xfId="20553"/>
    <cellStyle name="Note 14 5 5 3 2 2" xfId="43140"/>
    <cellStyle name="Note 14 5 5 3 3" xfId="10893"/>
    <cellStyle name="Note 14 5 5 3 3 2" xfId="33480"/>
    <cellStyle name="Note 14 5 5 3 4" xfId="27040"/>
    <cellStyle name="Note 14 5 5 4" xfId="17333"/>
    <cellStyle name="Note 14 5 5 4 2" xfId="39920"/>
    <cellStyle name="Note 14 5 5 5" xfId="14113"/>
    <cellStyle name="Note 14 5 5 5 2" xfId="36700"/>
    <cellStyle name="Note 14 5 5 6" xfId="7673"/>
    <cellStyle name="Note 14 5 5 6 2" xfId="30260"/>
    <cellStyle name="Note 14 5 5 7" xfId="23820"/>
    <cellStyle name="Note 14 5 6" xfId="1802"/>
    <cellStyle name="Note 14 5 6 2" xfId="5025"/>
    <cellStyle name="Note 14 5 6 2 2" xfId="21125"/>
    <cellStyle name="Note 14 5 6 2 2 2" xfId="43712"/>
    <cellStyle name="Note 14 5 6 2 3" xfId="11465"/>
    <cellStyle name="Note 14 5 6 2 3 2" xfId="34052"/>
    <cellStyle name="Note 14 5 6 2 4" xfId="27612"/>
    <cellStyle name="Note 14 5 6 3" xfId="17905"/>
    <cellStyle name="Note 14 5 6 3 2" xfId="40492"/>
    <cellStyle name="Note 14 5 6 4" xfId="14685"/>
    <cellStyle name="Note 14 5 6 4 2" xfId="37272"/>
    <cellStyle name="Note 14 5 6 5" xfId="8245"/>
    <cellStyle name="Note 14 5 6 5 2" xfId="30832"/>
    <cellStyle name="Note 14 5 6 6" xfId="24392"/>
    <cellStyle name="Note 14 5 7" xfId="1845"/>
    <cellStyle name="Note 14 5 7 2" xfId="5067"/>
    <cellStyle name="Note 14 5 7 2 2" xfId="21167"/>
    <cellStyle name="Note 14 5 7 2 2 2" xfId="43754"/>
    <cellStyle name="Note 14 5 7 2 3" xfId="11507"/>
    <cellStyle name="Note 14 5 7 2 3 2" xfId="34094"/>
    <cellStyle name="Note 14 5 7 2 4" xfId="27654"/>
    <cellStyle name="Note 14 5 7 3" xfId="17947"/>
    <cellStyle name="Note 14 5 7 3 2" xfId="40534"/>
    <cellStyle name="Note 14 5 7 4" xfId="14727"/>
    <cellStyle name="Note 14 5 7 4 2" xfId="37314"/>
    <cellStyle name="Note 14 5 7 5" xfId="8287"/>
    <cellStyle name="Note 14 5 7 5 2" xfId="30874"/>
    <cellStyle name="Note 14 5 7 6" xfId="24434"/>
    <cellStyle name="Note 14 5 8" xfId="2888"/>
    <cellStyle name="Note 14 5 8 2" xfId="6109"/>
    <cellStyle name="Note 14 5 8 2 2" xfId="22209"/>
    <cellStyle name="Note 14 5 8 2 2 2" xfId="44796"/>
    <cellStyle name="Note 14 5 8 2 3" xfId="12549"/>
    <cellStyle name="Note 14 5 8 2 3 2" xfId="35136"/>
    <cellStyle name="Note 14 5 8 2 4" xfId="28696"/>
    <cellStyle name="Note 14 5 8 3" xfId="18989"/>
    <cellStyle name="Note 14 5 8 3 2" xfId="41576"/>
    <cellStyle name="Note 14 5 8 4" xfId="15769"/>
    <cellStyle name="Note 14 5 8 4 2" xfId="38356"/>
    <cellStyle name="Note 14 5 8 5" xfId="9329"/>
    <cellStyle name="Note 14 5 8 5 2" xfId="31916"/>
    <cellStyle name="Note 14 5 8 6" xfId="25476"/>
    <cellStyle name="Note 14 5 9" xfId="3179"/>
    <cellStyle name="Note 14 5 9 2" xfId="6399"/>
    <cellStyle name="Note 14 5 9 2 2" xfId="22499"/>
    <cellStyle name="Note 14 5 9 2 2 2" xfId="45086"/>
    <cellStyle name="Note 14 5 9 2 3" xfId="12839"/>
    <cellStyle name="Note 14 5 9 2 3 2" xfId="35426"/>
    <cellStyle name="Note 14 5 9 2 4" xfId="28986"/>
    <cellStyle name="Note 14 5 9 3" xfId="19279"/>
    <cellStyle name="Note 14 5 9 3 2" xfId="41866"/>
    <cellStyle name="Note 14 5 9 4" xfId="16059"/>
    <cellStyle name="Note 14 5 9 4 2" xfId="38646"/>
    <cellStyle name="Note 14 5 9 5" xfId="9619"/>
    <cellStyle name="Note 14 5 9 5 2" xfId="32206"/>
    <cellStyle name="Note 14 5 9 6" xfId="25766"/>
    <cellStyle name="Note 14 6" xfId="225"/>
    <cellStyle name="Note 14 6 10" xfId="512"/>
    <cellStyle name="Note 14 6 10 2" xfId="3799"/>
    <cellStyle name="Note 14 6 10 2 2" xfId="19899"/>
    <cellStyle name="Note 14 6 10 2 2 2" xfId="42486"/>
    <cellStyle name="Note 14 6 10 2 3" xfId="10239"/>
    <cellStyle name="Note 14 6 10 2 3 2" xfId="32826"/>
    <cellStyle name="Note 14 6 10 2 4" xfId="26386"/>
    <cellStyle name="Note 14 6 10 3" xfId="16679"/>
    <cellStyle name="Note 14 6 10 3 2" xfId="39266"/>
    <cellStyle name="Note 14 6 10 4" xfId="13459"/>
    <cellStyle name="Note 14 6 10 4 2" xfId="36046"/>
    <cellStyle name="Note 14 6 10 5" xfId="7019"/>
    <cellStyle name="Note 14 6 10 5 2" xfId="29606"/>
    <cellStyle name="Note 14 6 10 6" xfId="23166"/>
    <cellStyle name="Note 14 6 11" xfId="3513"/>
    <cellStyle name="Note 14 6 11 2" xfId="19613"/>
    <cellStyle name="Note 14 6 11 2 2" xfId="42200"/>
    <cellStyle name="Note 14 6 11 3" xfId="9953"/>
    <cellStyle name="Note 14 6 11 3 2" xfId="32540"/>
    <cellStyle name="Note 14 6 11 4" xfId="26100"/>
    <cellStyle name="Note 14 6 12" xfId="16393"/>
    <cellStyle name="Note 14 6 12 2" xfId="38980"/>
    <cellStyle name="Note 14 6 13" xfId="13173"/>
    <cellStyle name="Note 14 6 13 2" xfId="35760"/>
    <cellStyle name="Note 14 6 14" xfId="6733"/>
    <cellStyle name="Note 14 6 14 2" xfId="29320"/>
    <cellStyle name="Note 14 6 15" xfId="22880"/>
    <cellStyle name="Note 14 6 2" xfId="323"/>
    <cellStyle name="Note 14 6 2 10" xfId="16490"/>
    <cellStyle name="Note 14 6 2 10 2" xfId="39077"/>
    <cellStyle name="Note 14 6 2 11" xfId="13270"/>
    <cellStyle name="Note 14 6 2 11 2" xfId="35857"/>
    <cellStyle name="Note 14 6 2 12" xfId="6830"/>
    <cellStyle name="Note 14 6 2 12 2" xfId="29417"/>
    <cellStyle name="Note 14 6 2 13" xfId="22977"/>
    <cellStyle name="Note 14 6 2 2" xfId="1035"/>
    <cellStyle name="Note 14 6 2 2 2" xfId="2349"/>
    <cellStyle name="Note 14 6 2 2 2 2" xfId="5570"/>
    <cellStyle name="Note 14 6 2 2 2 2 2" xfId="21670"/>
    <cellStyle name="Note 14 6 2 2 2 2 2 2" xfId="44257"/>
    <cellStyle name="Note 14 6 2 2 2 2 3" xfId="12010"/>
    <cellStyle name="Note 14 6 2 2 2 2 3 2" xfId="34597"/>
    <cellStyle name="Note 14 6 2 2 2 2 4" xfId="28157"/>
    <cellStyle name="Note 14 6 2 2 2 3" xfId="18450"/>
    <cellStyle name="Note 14 6 2 2 2 3 2" xfId="41037"/>
    <cellStyle name="Note 14 6 2 2 2 4" xfId="15230"/>
    <cellStyle name="Note 14 6 2 2 2 4 2" xfId="37817"/>
    <cellStyle name="Note 14 6 2 2 2 5" xfId="8790"/>
    <cellStyle name="Note 14 6 2 2 2 5 2" xfId="31377"/>
    <cellStyle name="Note 14 6 2 2 2 6" xfId="24937"/>
    <cellStyle name="Note 14 6 2 2 3" xfId="4262"/>
    <cellStyle name="Note 14 6 2 2 3 2" xfId="20362"/>
    <cellStyle name="Note 14 6 2 2 3 2 2" xfId="42949"/>
    <cellStyle name="Note 14 6 2 2 3 3" xfId="10702"/>
    <cellStyle name="Note 14 6 2 2 3 3 2" xfId="33289"/>
    <cellStyle name="Note 14 6 2 2 3 4" xfId="26849"/>
    <cellStyle name="Note 14 6 2 2 4" xfId="17142"/>
    <cellStyle name="Note 14 6 2 2 4 2" xfId="39729"/>
    <cellStyle name="Note 14 6 2 2 5" xfId="13922"/>
    <cellStyle name="Note 14 6 2 2 5 2" xfId="36509"/>
    <cellStyle name="Note 14 6 2 2 6" xfId="7482"/>
    <cellStyle name="Note 14 6 2 2 6 2" xfId="30069"/>
    <cellStyle name="Note 14 6 2 2 7" xfId="23629"/>
    <cellStyle name="Note 14 6 2 3" xfId="1382"/>
    <cellStyle name="Note 14 6 2 3 2" xfId="2696"/>
    <cellStyle name="Note 14 6 2 3 2 2" xfId="5917"/>
    <cellStyle name="Note 14 6 2 3 2 2 2" xfId="22017"/>
    <cellStyle name="Note 14 6 2 3 2 2 2 2" xfId="44604"/>
    <cellStyle name="Note 14 6 2 3 2 2 3" xfId="12357"/>
    <cellStyle name="Note 14 6 2 3 2 2 3 2" xfId="34944"/>
    <cellStyle name="Note 14 6 2 3 2 2 4" xfId="28504"/>
    <cellStyle name="Note 14 6 2 3 2 3" xfId="18797"/>
    <cellStyle name="Note 14 6 2 3 2 3 2" xfId="41384"/>
    <cellStyle name="Note 14 6 2 3 2 4" xfId="15577"/>
    <cellStyle name="Note 14 6 2 3 2 4 2" xfId="38164"/>
    <cellStyle name="Note 14 6 2 3 2 5" xfId="9137"/>
    <cellStyle name="Note 14 6 2 3 2 5 2" xfId="31724"/>
    <cellStyle name="Note 14 6 2 3 2 6" xfId="25284"/>
    <cellStyle name="Note 14 6 2 3 3" xfId="4609"/>
    <cellStyle name="Note 14 6 2 3 3 2" xfId="20709"/>
    <cellStyle name="Note 14 6 2 3 3 2 2" xfId="43296"/>
    <cellStyle name="Note 14 6 2 3 3 3" xfId="11049"/>
    <cellStyle name="Note 14 6 2 3 3 3 2" xfId="33636"/>
    <cellStyle name="Note 14 6 2 3 3 4" xfId="27196"/>
    <cellStyle name="Note 14 6 2 3 4" xfId="17489"/>
    <cellStyle name="Note 14 6 2 3 4 2" xfId="40076"/>
    <cellStyle name="Note 14 6 2 3 5" xfId="14269"/>
    <cellStyle name="Note 14 6 2 3 5 2" xfId="36856"/>
    <cellStyle name="Note 14 6 2 3 6" xfId="7829"/>
    <cellStyle name="Note 14 6 2 3 6 2" xfId="30416"/>
    <cellStyle name="Note 14 6 2 3 7" xfId="23976"/>
    <cellStyle name="Note 14 6 2 4" xfId="1803"/>
    <cellStyle name="Note 14 6 2 4 2" xfId="5026"/>
    <cellStyle name="Note 14 6 2 4 2 2" xfId="21126"/>
    <cellStyle name="Note 14 6 2 4 2 2 2" xfId="43713"/>
    <cellStyle name="Note 14 6 2 4 2 3" xfId="11466"/>
    <cellStyle name="Note 14 6 2 4 2 3 2" xfId="34053"/>
    <cellStyle name="Note 14 6 2 4 2 4" xfId="27613"/>
    <cellStyle name="Note 14 6 2 4 3" xfId="17906"/>
    <cellStyle name="Note 14 6 2 4 3 2" xfId="40493"/>
    <cellStyle name="Note 14 6 2 4 4" xfId="14686"/>
    <cellStyle name="Note 14 6 2 4 4 2" xfId="37273"/>
    <cellStyle name="Note 14 6 2 4 5" xfId="8246"/>
    <cellStyle name="Note 14 6 2 4 5 2" xfId="30833"/>
    <cellStyle name="Note 14 6 2 4 6" xfId="24393"/>
    <cellStyle name="Note 14 6 2 5" xfId="2001"/>
    <cellStyle name="Note 14 6 2 5 2" xfId="5223"/>
    <cellStyle name="Note 14 6 2 5 2 2" xfId="21323"/>
    <cellStyle name="Note 14 6 2 5 2 2 2" xfId="43910"/>
    <cellStyle name="Note 14 6 2 5 2 3" xfId="11663"/>
    <cellStyle name="Note 14 6 2 5 2 3 2" xfId="34250"/>
    <cellStyle name="Note 14 6 2 5 2 4" xfId="27810"/>
    <cellStyle name="Note 14 6 2 5 3" xfId="18103"/>
    <cellStyle name="Note 14 6 2 5 3 2" xfId="40690"/>
    <cellStyle name="Note 14 6 2 5 4" xfId="14883"/>
    <cellStyle name="Note 14 6 2 5 4 2" xfId="37470"/>
    <cellStyle name="Note 14 6 2 5 5" xfId="8443"/>
    <cellStyle name="Note 14 6 2 5 5 2" xfId="31030"/>
    <cellStyle name="Note 14 6 2 5 6" xfId="24590"/>
    <cellStyle name="Note 14 6 2 6" xfId="3030"/>
    <cellStyle name="Note 14 6 2 6 2" xfId="6250"/>
    <cellStyle name="Note 14 6 2 6 2 2" xfId="22350"/>
    <cellStyle name="Note 14 6 2 6 2 2 2" xfId="44937"/>
    <cellStyle name="Note 14 6 2 6 2 3" xfId="12690"/>
    <cellStyle name="Note 14 6 2 6 2 3 2" xfId="35277"/>
    <cellStyle name="Note 14 6 2 6 2 4" xfId="28837"/>
    <cellStyle name="Note 14 6 2 6 3" xfId="19130"/>
    <cellStyle name="Note 14 6 2 6 3 2" xfId="41717"/>
    <cellStyle name="Note 14 6 2 6 4" xfId="15910"/>
    <cellStyle name="Note 14 6 2 6 4 2" xfId="38497"/>
    <cellStyle name="Note 14 6 2 6 5" xfId="9470"/>
    <cellStyle name="Note 14 6 2 6 5 2" xfId="32057"/>
    <cellStyle name="Note 14 6 2 6 6" xfId="25617"/>
    <cellStyle name="Note 14 6 2 7" xfId="3320"/>
    <cellStyle name="Note 14 6 2 7 2" xfId="6540"/>
    <cellStyle name="Note 14 6 2 7 2 2" xfId="22640"/>
    <cellStyle name="Note 14 6 2 7 2 2 2" xfId="45227"/>
    <cellStyle name="Note 14 6 2 7 2 3" xfId="12980"/>
    <cellStyle name="Note 14 6 2 7 2 3 2" xfId="35567"/>
    <cellStyle name="Note 14 6 2 7 2 4" xfId="29127"/>
    <cellStyle name="Note 14 6 2 7 3" xfId="19420"/>
    <cellStyle name="Note 14 6 2 7 3 2" xfId="42007"/>
    <cellStyle name="Note 14 6 2 7 4" xfId="16200"/>
    <cellStyle name="Note 14 6 2 7 4 2" xfId="38787"/>
    <cellStyle name="Note 14 6 2 7 5" xfId="9760"/>
    <cellStyle name="Note 14 6 2 7 5 2" xfId="32347"/>
    <cellStyle name="Note 14 6 2 7 6" xfId="25907"/>
    <cellStyle name="Note 14 6 2 8" xfId="671"/>
    <cellStyle name="Note 14 6 2 8 2" xfId="3915"/>
    <cellStyle name="Note 14 6 2 8 2 2" xfId="20015"/>
    <cellStyle name="Note 14 6 2 8 2 2 2" xfId="42602"/>
    <cellStyle name="Note 14 6 2 8 2 3" xfId="10355"/>
    <cellStyle name="Note 14 6 2 8 2 3 2" xfId="32942"/>
    <cellStyle name="Note 14 6 2 8 2 4" xfId="26502"/>
    <cellStyle name="Note 14 6 2 8 3" xfId="16795"/>
    <cellStyle name="Note 14 6 2 8 3 2" xfId="39382"/>
    <cellStyle name="Note 14 6 2 8 4" xfId="13575"/>
    <cellStyle name="Note 14 6 2 8 4 2" xfId="36162"/>
    <cellStyle name="Note 14 6 2 8 5" xfId="7135"/>
    <cellStyle name="Note 14 6 2 8 5 2" xfId="29722"/>
    <cellStyle name="Note 14 6 2 8 6" xfId="23282"/>
    <cellStyle name="Note 14 6 2 9" xfId="3610"/>
    <cellStyle name="Note 14 6 2 9 2" xfId="19710"/>
    <cellStyle name="Note 14 6 2 9 2 2" xfId="42297"/>
    <cellStyle name="Note 14 6 2 9 3" xfId="10050"/>
    <cellStyle name="Note 14 6 2 9 3 2" xfId="32637"/>
    <cellStyle name="Note 14 6 2 9 4" xfId="26197"/>
    <cellStyle name="Note 14 6 3" xfId="419"/>
    <cellStyle name="Note 14 6 3 10" xfId="16586"/>
    <cellStyle name="Note 14 6 3 10 2" xfId="39173"/>
    <cellStyle name="Note 14 6 3 11" xfId="13366"/>
    <cellStyle name="Note 14 6 3 11 2" xfId="35953"/>
    <cellStyle name="Note 14 6 3 12" xfId="6926"/>
    <cellStyle name="Note 14 6 3 12 2" xfId="29513"/>
    <cellStyle name="Note 14 6 3 13" xfId="23073"/>
    <cellStyle name="Note 14 6 3 2" xfId="1119"/>
    <cellStyle name="Note 14 6 3 2 2" xfId="2433"/>
    <cellStyle name="Note 14 6 3 2 2 2" xfId="5654"/>
    <cellStyle name="Note 14 6 3 2 2 2 2" xfId="21754"/>
    <cellStyle name="Note 14 6 3 2 2 2 2 2" xfId="44341"/>
    <cellStyle name="Note 14 6 3 2 2 2 3" xfId="12094"/>
    <cellStyle name="Note 14 6 3 2 2 2 3 2" xfId="34681"/>
    <cellStyle name="Note 14 6 3 2 2 2 4" xfId="28241"/>
    <cellStyle name="Note 14 6 3 2 2 3" xfId="18534"/>
    <cellStyle name="Note 14 6 3 2 2 3 2" xfId="41121"/>
    <cellStyle name="Note 14 6 3 2 2 4" xfId="15314"/>
    <cellStyle name="Note 14 6 3 2 2 4 2" xfId="37901"/>
    <cellStyle name="Note 14 6 3 2 2 5" xfId="8874"/>
    <cellStyle name="Note 14 6 3 2 2 5 2" xfId="31461"/>
    <cellStyle name="Note 14 6 3 2 2 6" xfId="25021"/>
    <cellStyle name="Note 14 6 3 2 3" xfId="4346"/>
    <cellStyle name="Note 14 6 3 2 3 2" xfId="20446"/>
    <cellStyle name="Note 14 6 3 2 3 2 2" xfId="43033"/>
    <cellStyle name="Note 14 6 3 2 3 3" xfId="10786"/>
    <cellStyle name="Note 14 6 3 2 3 3 2" xfId="33373"/>
    <cellStyle name="Note 14 6 3 2 3 4" xfId="26933"/>
    <cellStyle name="Note 14 6 3 2 4" xfId="17226"/>
    <cellStyle name="Note 14 6 3 2 4 2" xfId="39813"/>
    <cellStyle name="Note 14 6 3 2 5" xfId="14006"/>
    <cellStyle name="Note 14 6 3 2 5 2" xfId="36593"/>
    <cellStyle name="Note 14 6 3 2 6" xfId="7566"/>
    <cellStyle name="Note 14 6 3 2 6 2" xfId="30153"/>
    <cellStyle name="Note 14 6 3 2 7" xfId="23713"/>
    <cellStyle name="Note 14 6 3 3" xfId="1466"/>
    <cellStyle name="Note 14 6 3 3 2" xfId="2780"/>
    <cellStyle name="Note 14 6 3 3 2 2" xfId="6001"/>
    <cellStyle name="Note 14 6 3 3 2 2 2" xfId="22101"/>
    <cellStyle name="Note 14 6 3 3 2 2 2 2" xfId="44688"/>
    <cellStyle name="Note 14 6 3 3 2 2 3" xfId="12441"/>
    <cellStyle name="Note 14 6 3 3 2 2 3 2" xfId="35028"/>
    <cellStyle name="Note 14 6 3 3 2 2 4" xfId="28588"/>
    <cellStyle name="Note 14 6 3 3 2 3" xfId="18881"/>
    <cellStyle name="Note 14 6 3 3 2 3 2" xfId="41468"/>
    <cellStyle name="Note 14 6 3 3 2 4" xfId="15661"/>
    <cellStyle name="Note 14 6 3 3 2 4 2" xfId="38248"/>
    <cellStyle name="Note 14 6 3 3 2 5" xfId="9221"/>
    <cellStyle name="Note 14 6 3 3 2 5 2" xfId="31808"/>
    <cellStyle name="Note 14 6 3 3 2 6" xfId="25368"/>
    <cellStyle name="Note 14 6 3 3 3" xfId="4693"/>
    <cellStyle name="Note 14 6 3 3 3 2" xfId="20793"/>
    <cellStyle name="Note 14 6 3 3 3 2 2" xfId="43380"/>
    <cellStyle name="Note 14 6 3 3 3 3" xfId="11133"/>
    <cellStyle name="Note 14 6 3 3 3 3 2" xfId="33720"/>
    <cellStyle name="Note 14 6 3 3 3 4" xfId="27280"/>
    <cellStyle name="Note 14 6 3 3 4" xfId="17573"/>
    <cellStyle name="Note 14 6 3 3 4 2" xfId="40160"/>
    <cellStyle name="Note 14 6 3 3 5" xfId="14353"/>
    <cellStyle name="Note 14 6 3 3 5 2" xfId="36940"/>
    <cellStyle name="Note 14 6 3 3 6" xfId="7913"/>
    <cellStyle name="Note 14 6 3 3 6 2" xfId="30500"/>
    <cellStyle name="Note 14 6 3 3 7" xfId="24060"/>
    <cellStyle name="Note 14 6 3 4" xfId="1804"/>
    <cellStyle name="Note 14 6 3 4 2" xfId="5027"/>
    <cellStyle name="Note 14 6 3 4 2 2" xfId="21127"/>
    <cellStyle name="Note 14 6 3 4 2 2 2" xfId="43714"/>
    <cellStyle name="Note 14 6 3 4 2 3" xfId="11467"/>
    <cellStyle name="Note 14 6 3 4 2 3 2" xfId="34054"/>
    <cellStyle name="Note 14 6 3 4 2 4" xfId="27614"/>
    <cellStyle name="Note 14 6 3 4 3" xfId="17907"/>
    <cellStyle name="Note 14 6 3 4 3 2" xfId="40494"/>
    <cellStyle name="Note 14 6 3 4 4" xfId="14687"/>
    <cellStyle name="Note 14 6 3 4 4 2" xfId="37274"/>
    <cellStyle name="Note 14 6 3 4 5" xfId="8247"/>
    <cellStyle name="Note 14 6 3 4 5 2" xfId="30834"/>
    <cellStyle name="Note 14 6 3 4 6" xfId="24394"/>
    <cellStyle name="Note 14 6 3 5" xfId="2086"/>
    <cellStyle name="Note 14 6 3 5 2" xfId="5307"/>
    <cellStyle name="Note 14 6 3 5 2 2" xfId="21407"/>
    <cellStyle name="Note 14 6 3 5 2 2 2" xfId="43994"/>
    <cellStyle name="Note 14 6 3 5 2 3" xfId="11747"/>
    <cellStyle name="Note 14 6 3 5 2 3 2" xfId="34334"/>
    <cellStyle name="Note 14 6 3 5 2 4" xfId="27894"/>
    <cellStyle name="Note 14 6 3 5 3" xfId="18187"/>
    <cellStyle name="Note 14 6 3 5 3 2" xfId="40774"/>
    <cellStyle name="Note 14 6 3 5 4" xfId="14967"/>
    <cellStyle name="Note 14 6 3 5 4 2" xfId="37554"/>
    <cellStyle name="Note 14 6 3 5 5" xfId="8527"/>
    <cellStyle name="Note 14 6 3 5 5 2" xfId="31114"/>
    <cellStyle name="Note 14 6 3 5 6" xfId="24674"/>
    <cellStyle name="Note 14 6 3 6" xfId="3126"/>
    <cellStyle name="Note 14 6 3 6 2" xfId="6346"/>
    <cellStyle name="Note 14 6 3 6 2 2" xfId="22446"/>
    <cellStyle name="Note 14 6 3 6 2 2 2" xfId="45033"/>
    <cellStyle name="Note 14 6 3 6 2 3" xfId="12786"/>
    <cellStyle name="Note 14 6 3 6 2 3 2" xfId="35373"/>
    <cellStyle name="Note 14 6 3 6 2 4" xfId="28933"/>
    <cellStyle name="Note 14 6 3 6 3" xfId="19226"/>
    <cellStyle name="Note 14 6 3 6 3 2" xfId="41813"/>
    <cellStyle name="Note 14 6 3 6 4" xfId="16006"/>
    <cellStyle name="Note 14 6 3 6 4 2" xfId="38593"/>
    <cellStyle name="Note 14 6 3 6 5" xfId="9566"/>
    <cellStyle name="Note 14 6 3 6 5 2" xfId="32153"/>
    <cellStyle name="Note 14 6 3 6 6" xfId="25713"/>
    <cellStyle name="Note 14 6 3 7" xfId="3416"/>
    <cellStyle name="Note 14 6 3 7 2" xfId="6636"/>
    <cellStyle name="Note 14 6 3 7 2 2" xfId="22736"/>
    <cellStyle name="Note 14 6 3 7 2 2 2" xfId="45323"/>
    <cellStyle name="Note 14 6 3 7 2 3" xfId="13076"/>
    <cellStyle name="Note 14 6 3 7 2 3 2" xfId="35663"/>
    <cellStyle name="Note 14 6 3 7 2 4" xfId="29223"/>
    <cellStyle name="Note 14 6 3 7 3" xfId="19516"/>
    <cellStyle name="Note 14 6 3 7 3 2" xfId="42103"/>
    <cellStyle name="Note 14 6 3 7 4" xfId="16296"/>
    <cellStyle name="Note 14 6 3 7 4 2" xfId="38883"/>
    <cellStyle name="Note 14 6 3 7 5" xfId="9856"/>
    <cellStyle name="Note 14 6 3 7 5 2" xfId="32443"/>
    <cellStyle name="Note 14 6 3 7 6" xfId="26003"/>
    <cellStyle name="Note 14 6 3 8" xfId="767"/>
    <cellStyle name="Note 14 6 3 8 2" xfId="3999"/>
    <cellStyle name="Note 14 6 3 8 2 2" xfId="20099"/>
    <cellStyle name="Note 14 6 3 8 2 2 2" xfId="42686"/>
    <cellStyle name="Note 14 6 3 8 2 3" xfId="10439"/>
    <cellStyle name="Note 14 6 3 8 2 3 2" xfId="33026"/>
    <cellStyle name="Note 14 6 3 8 2 4" xfId="26586"/>
    <cellStyle name="Note 14 6 3 8 3" xfId="16879"/>
    <cellStyle name="Note 14 6 3 8 3 2" xfId="39466"/>
    <cellStyle name="Note 14 6 3 8 4" xfId="13659"/>
    <cellStyle name="Note 14 6 3 8 4 2" xfId="36246"/>
    <cellStyle name="Note 14 6 3 8 5" xfId="7219"/>
    <cellStyle name="Note 14 6 3 8 5 2" xfId="29806"/>
    <cellStyle name="Note 14 6 3 8 6" xfId="23366"/>
    <cellStyle name="Note 14 6 3 9" xfId="3706"/>
    <cellStyle name="Note 14 6 3 9 2" xfId="19806"/>
    <cellStyle name="Note 14 6 3 9 2 2" xfId="42393"/>
    <cellStyle name="Note 14 6 3 9 3" xfId="10146"/>
    <cellStyle name="Note 14 6 3 9 3 2" xfId="32733"/>
    <cellStyle name="Note 14 6 3 9 4" xfId="26293"/>
    <cellStyle name="Note 14 6 4" xfId="914"/>
    <cellStyle name="Note 14 6 4 2" xfId="2233"/>
    <cellStyle name="Note 14 6 4 2 2" xfId="5454"/>
    <cellStyle name="Note 14 6 4 2 2 2" xfId="21554"/>
    <cellStyle name="Note 14 6 4 2 2 2 2" xfId="44141"/>
    <cellStyle name="Note 14 6 4 2 2 3" xfId="11894"/>
    <cellStyle name="Note 14 6 4 2 2 3 2" xfId="34481"/>
    <cellStyle name="Note 14 6 4 2 2 4" xfId="28041"/>
    <cellStyle name="Note 14 6 4 2 3" xfId="18334"/>
    <cellStyle name="Note 14 6 4 2 3 2" xfId="40921"/>
    <cellStyle name="Note 14 6 4 2 4" xfId="15114"/>
    <cellStyle name="Note 14 6 4 2 4 2" xfId="37701"/>
    <cellStyle name="Note 14 6 4 2 5" xfId="8674"/>
    <cellStyle name="Note 14 6 4 2 5 2" xfId="31261"/>
    <cellStyle name="Note 14 6 4 2 6" xfId="24821"/>
    <cellStyle name="Note 14 6 4 3" xfId="4146"/>
    <cellStyle name="Note 14 6 4 3 2" xfId="20246"/>
    <cellStyle name="Note 14 6 4 3 2 2" xfId="42833"/>
    <cellStyle name="Note 14 6 4 3 3" xfId="10586"/>
    <cellStyle name="Note 14 6 4 3 3 2" xfId="33173"/>
    <cellStyle name="Note 14 6 4 3 4" xfId="26733"/>
    <cellStyle name="Note 14 6 4 4" xfId="17026"/>
    <cellStyle name="Note 14 6 4 4 2" xfId="39613"/>
    <cellStyle name="Note 14 6 4 5" xfId="13806"/>
    <cellStyle name="Note 14 6 4 5 2" xfId="36393"/>
    <cellStyle name="Note 14 6 4 6" xfId="7366"/>
    <cellStyle name="Note 14 6 4 6 2" xfId="29953"/>
    <cellStyle name="Note 14 6 4 7" xfId="23513"/>
    <cellStyle name="Note 14 6 5" xfId="1266"/>
    <cellStyle name="Note 14 6 5 2" xfId="2580"/>
    <cellStyle name="Note 14 6 5 2 2" xfId="5801"/>
    <cellStyle name="Note 14 6 5 2 2 2" xfId="21901"/>
    <cellStyle name="Note 14 6 5 2 2 2 2" xfId="44488"/>
    <cellStyle name="Note 14 6 5 2 2 3" xfId="12241"/>
    <cellStyle name="Note 14 6 5 2 2 3 2" xfId="34828"/>
    <cellStyle name="Note 14 6 5 2 2 4" xfId="28388"/>
    <cellStyle name="Note 14 6 5 2 3" xfId="18681"/>
    <cellStyle name="Note 14 6 5 2 3 2" xfId="41268"/>
    <cellStyle name="Note 14 6 5 2 4" xfId="15461"/>
    <cellStyle name="Note 14 6 5 2 4 2" xfId="38048"/>
    <cellStyle name="Note 14 6 5 2 5" xfId="9021"/>
    <cellStyle name="Note 14 6 5 2 5 2" xfId="31608"/>
    <cellStyle name="Note 14 6 5 2 6" xfId="25168"/>
    <cellStyle name="Note 14 6 5 3" xfId="4493"/>
    <cellStyle name="Note 14 6 5 3 2" xfId="20593"/>
    <cellStyle name="Note 14 6 5 3 2 2" xfId="43180"/>
    <cellStyle name="Note 14 6 5 3 3" xfId="10933"/>
    <cellStyle name="Note 14 6 5 3 3 2" xfId="33520"/>
    <cellStyle name="Note 14 6 5 3 4" xfId="27080"/>
    <cellStyle name="Note 14 6 5 4" xfId="17373"/>
    <cellStyle name="Note 14 6 5 4 2" xfId="39960"/>
    <cellStyle name="Note 14 6 5 5" xfId="14153"/>
    <cellStyle name="Note 14 6 5 5 2" xfId="36740"/>
    <cellStyle name="Note 14 6 5 6" xfId="7713"/>
    <cellStyle name="Note 14 6 5 6 2" xfId="30300"/>
    <cellStyle name="Note 14 6 5 7" xfId="23860"/>
    <cellStyle name="Note 14 6 6" xfId="1805"/>
    <cellStyle name="Note 14 6 6 2" xfId="5028"/>
    <cellStyle name="Note 14 6 6 2 2" xfId="21128"/>
    <cellStyle name="Note 14 6 6 2 2 2" xfId="43715"/>
    <cellStyle name="Note 14 6 6 2 3" xfId="11468"/>
    <cellStyle name="Note 14 6 6 2 3 2" xfId="34055"/>
    <cellStyle name="Note 14 6 6 2 4" xfId="27615"/>
    <cellStyle name="Note 14 6 6 3" xfId="17908"/>
    <cellStyle name="Note 14 6 6 3 2" xfId="40495"/>
    <cellStyle name="Note 14 6 6 4" xfId="14688"/>
    <cellStyle name="Note 14 6 6 4 2" xfId="37275"/>
    <cellStyle name="Note 14 6 6 5" xfId="8248"/>
    <cellStyle name="Note 14 6 6 5 2" xfId="30835"/>
    <cellStyle name="Note 14 6 6 6" xfId="24395"/>
    <cellStyle name="Note 14 6 7" xfId="1885"/>
    <cellStyle name="Note 14 6 7 2" xfId="5107"/>
    <cellStyle name="Note 14 6 7 2 2" xfId="21207"/>
    <cellStyle name="Note 14 6 7 2 2 2" xfId="43794"/>
    <cellStyle name="Note 14 6 7 2 3" xfId="11547"/>
    <cellStyle name="Note 14 6 7 2 3 2" xfId="34134"/>
    <cellStyle name="Note 14 6 7 2 4" xfId="27694"/>
    <cellStyle name="Note 14 6 7 3" xfId="17987"/>
    <cellStyle name="Note 14 6 7 3 2" xfId="40574"/>
    <cellStyle name="Note 14 6 7 4" xfId="14767"/>
    <cellStyle name="Note 14 6 7 4 2" xfId="37354"/>
    <cellStyle name="Note 14 6 7 5" xfId="8327"/>
    <cellStyle name="Note 14 6 7 5 2" xfId="30914"/>
    <cellStyle name="Note 14 6 7 6" xfId="24474"/>
    <cellStyle name="Note 14 6 8" xfId="2932"/>
    <cellStyle name="Note 14 6 8 2" xfId="6153"/>
    <cellStyle name="Note 14 6 8 2 2" xfId="22253"/>
    <cellStyle name="Note 14 6 8 2 2 2" xfId="44840"/>
    <cellStyle name="Note 14 6 8 2 3" xfId="12593"/>
    <cellStyle name="Note 14 6 8 2 3 2" xfId="35180"/>
    <cellStyle name="Note 14 6 8 2 4" xfId="28740"/>
    <cellStyle name="Note 14 6 8 3" xfId="19033"/>
    <cellStyle name="Note 14 6 8 3 2" xfId="41620"/>
    <cellStyle name="Note 14 6 8 4" xfId="15813"/>
    <cellStyle name="Note 14 6 8 4 2" xfId="38400"/>
    <cellStyle name="Note 14 6 8 5" xfId="9373"/>
    <cellStyle name="Note 14 6 8 5 2" xfId="31960"/>
    <cellStyle name="Note 14 6 8 6" xfId="25520"/>
    <cellStyle name="Note 14 6 9" xfId="3223"/>
    <cellStyle name="Note 14 6 9 2" xfId="6443"/>
    <cellStyle name="Note 14 6 9 2 2" xfId="22543"/>
    <cellStyle name="Note 14 6 9 2 2 2" xfId="45130"/>
    <cellStyle name="Note 14 6 9 2 3" xfId="12883"/>
    <cellStyle name="Note 14 6 9 2 3 2" xfId="35470"/>
    <cellStyle name="Note 14 6 9 2 4" xfId="29030"/>
    <cellStyle name="Note 14 6 9 3" xfId="19323"/>
    <cellStyle name="Note 14 6 9 3 2" xfId="41910"/>
    <cellStyle name="Note 14 6 9 4" xfId="16103"/>
    <cellStyle name="Note 14 6 9 4 2" xfId="38690"/>
    <cellStyle name="Note 14 6 9 5" xfId="9663"/>
    <cellStyle name="Note 14 6 9 5 2" xfId="32250"/>
    <cellStyle name="Note 14 6 9 6" xfId="25810"/>
    <cellStyle name="Note 14 7" xfId="244"/>
    <cellStyle name="Note 14 7 10" xfId="16412"/>
    <cellStyle name="Note 14 7 10 2" xfId="38999"/>
    <cellStyle name="Note 14 7 11" xfId="13192"/>
    <cellStyle name="Note 14 7 11 2" xfId="35779"/>
    <cellStyle name="Note 14 7 12" xfId="6752"/>
    <cellStyle name="Note 14 7 12 2" xfId="29339"/>
    <cellStyle name="Note 14 7 13" xfId="22899"/>
    <cellStyle name="Note 14 7 2" xfId="963"/>
    <cellStyle name="Note 14 7 2 2" xfId="2282"/>
    <cellStyle name="Note 14 7 2 2 2" xfId="5503"/>
    <cellStyle name="Note 14 7 2 2 2 2" xfId="21603"/>
    <cellStyle name="Note 14 7 2 2 2 2 2" xfId="44190"/>
    <cellStyle name="Note 14 7 2 2 2 3" xfId="11943"/>
    <cellStyle name="Note 14 7 2 2 2 3 2" xfId="34530"/>
    <cellStyle name="Note 14 7 2 2 2 4" xfId="28090"/>
    <cellStyle name="Note 14 7 2 2 3" xfId="18383"/>
    <cellStyle name="Note 14 7 2 2 3 2" xfId="40970"/>
    <cellStyle name="Note 14 7 2 2 4" xfId="15163"/>
    <cellStyle name="Note 14 7 2 2 4 2" xfId="37750"/>
    <cellStyle name="Note 14 7 2 2 5" xfId="8723"/>
    <cellStyle name="Note 14 7 2 2 5 2" xfId="31310"/>
    <cellStyle name="Note 14 7 2 2 6" xfId="24870"/>
    <cellStyle name="Note 14 7 2 3" xfId="4195"/>
    <cellStyle name="Note 14 7 2 3 2" xfId="20295"/>
    <cellStyle name="Note 14 7 2 3 2 2" xfId="42882"/>
    <cellStyle name="Note 14 7 2 3 3" xfId="10635"/>
    <cellStyle name="Note 14 7 2 3 3 2" xfId="33222"/>
    <cellStyle name="Note 14 7 2 3 4" xfId="26782"/>
    <cellStyle name="Note 14 7 2 4" xfId="17075"/>
    <cellStyle name="Note 14 7 2 4 2" xfId="39662"/>
    <cellStyle name="Note 14 7 2 5" xfId="13855"/>
    <cellStyle name="Note 14 7 2 5 2" xfId="36442"/>
    <cellStyle name="Note 14 7 2 6" xfId="7415"/>
    <cellStyle name="Note 14 7 2 6 2" xfId="30002"/>
    <cellStyle name="Note 14 7 2 7" xfId="23562"/>
    <cellStyle name="Note 14 7 3" xfId="1315"/>
    <cellStyle name="Note 14 7 3 2" xfId="2629"/>
    <cellStyle name="Note 14 7 3 2 2" xfId="5850"/>
    <cellStyle name="Note 14 7 3 2 2 2" xfId="21950"/>
    <cellStyle name="Note 14 7 3 2 2 2 2" xfId="44537"/>
    <cellStyle name="Note 14 7 3 2 2 3" xfId="12290"/>
    <cellStyle name="Note 14 7 3 2 2 3 2" xfId="34877"/>
    <cellStyle name="Note 14 7 3 2 2 4" xfId="28437"/>
    <cellStyle name="Note 14 7 3 2 3" xfId="18730"/>
    <cellStyle name="Note 14 7 3 2 3 2" xfId="41317"/>
    <cellStyle name="Note 14 7 3 2 4" xfId="15510"/>
    <cellStyle name="Note 14 7 3 2 4 2" xfId="38097"/>
    <cellStyle name="Note 14 7 3 2 5" xfId="9070"/>
    <cellStyle name="Note 14 7 3 2 5 2" xfId="31657"/>
    <cellStyle name="Note 14 7 3 2 6" xfId="25217"/>
    <cellStyle name="Note 14 7 3 3" xfId="4542"/>
    <cellStyle name="Note 14 7 3 3 2" xfId="20642"/>
    <cellStyle name="Note 14 7 3 3 2 2" xfId="43229"/>
    <cellStyle name="Note 14 7 3 3 3" xfId="10982"/>
    <cellStyle name="Note 14 7 3 3 3 2" xfId="33569"/>
    <cellStyle name="Note 14 7 3 3 4" xfId="27129"/>
    <cellStyle name="Note 14 7 3 4" xfId="17422"/>
    <cellStyle name="Note 14 7 3 4 2" xfId="40009"/>
    <cellStyle name="Note 14 7 3 5" xfId="14202"/>
    <cellStyle name="Note 14 7 3 5 2" xfId="36789"/>
    <cellStyle name="Note 14 7 3 6" xfId="7762"/>
    <cellStyle name="Note 14 7 3 6 2" xfId="30349"/>
    <cellStyle name="Note 14 7 3 7" xfId="23909"/>
    <cellStyle name="Note 14 7 4" xfId="1806"/>
    <cellStyle name="Note 14 7 4 2" xfId="5029"/>
    <cellStyle name="Note 14 7 4 2 2" xfId="21129"/>
    <cellStyle name="Note 14 7 4 2 2 2" xfId="43716"/>
    <cellStyle name="Note 14 7 4 2 3" xfId="11469"/>
    <cellStyle name="Note 14 7 4 2 3 2" xfId="34056"/>
    <cellStyle name="Note 14 7 4 2 4" xfId="27616"/>
    <cellStyle name="Note 14 7 4 3" xfId="17909"/>
    <cellStyle name="Note 14 7 4 3 2" xfId="40496"/>
    <cellStyle name="Note 14 7 4 4" xfId="14689"/>
    <cellStyle name="Note 14 7 4 4 2" xfId="37276"/>
    <cellStyle name="Note 14 7 4 5" xfId="8249"/>
    <cellStyle name="Note 14 7 4 5 2" xfId="30836"/>
    <cellStyle name="Note 14 7 4 6" xfId="24396"/>
    <cellStyle name="Note 14 7 5" xfId="1934"/>
    <cellStyle name="Note 14 7 5 2" xfId="5156"/>
    <cellStyle name="Note 14 7 5 2 2" xfId="21256"/>
    <cellStyle name="Note 14 7 5 2 2 2" xfId="43843"/>
    <cellStyle name="Note 14 7 5 2 3" xfId="11596"/>
    <cellStyle name="Note 14 7 5 2 3 2" xfId="34183"/>
    <cellStyle name="Note 14 7 5 2 4" xfId="27743"/>
    <cellStyle name="Note 14 7 5 3" xfId="18036"/>
    <cellStyle name="Note 14 7 5 3 2" xfId="40623"/>
    <cellStyle name="Note 14 7 5 4" xfId="14816"/>
    <cellStyle name="Note 14 7 5 4 2" xfId="37403"/>
    <cellStyle name="Note 14 7 5 5" xfId="8376"/>
    <cellStyle name="Note 14 7 5 5 2" xfId="30963"/>
    <cellStyle name="Note 14 7 5 6" xfId="24523"/>
    <cellStyle name="Note 14 7 6" xfId="2951"/>
    <cellStyle name="Note 14 7 6 2" xfId="6172"/>
    <cellStyle name="Note 14 7 6 2 2" xfId="22272"/>
    <cellStyle name="Note 14 7 6 2 2 2" xfId="44859"/>
    <cellStyle name="Note 14 7 6 2 3" xfId="12612"/>
    <cellStyle name="Note 14 7 6 2 3 2" xfId="35199"/>
    <cellStyle name="Note 14 7 6 2 4" xfId="28759"/>
    <cellStyle name="Note 14 7 6 3" xfId="19052"/>
    <cellStyle name="Note 14 7 6 3 2" xfId="41639"/>
    <cellStyle name="Note 14 7 6 4" xfId="15832"/>
    <cellStyle name="Note 14 7 6 4 2" xfId="38419"/>
    <cellStyle name="Note 14 7 6 5" xfId="9392"/>
    <cellStyle name="Note 14 7 6 5 2" xfId="31979"/>
    <cellStyle name="Note 14 7 6 6" xfId="25539"/>
    <cellStyle name="Note 14 7 7" xfId="3242"/>
    <cellStyle name="Note 14 7 7 2" xfId="6462"/>
    <cellStyle name="Note 14 7 7 2 2" xfId="22562"/>
    <cellStyle name="Note 14 7 7 2 2 2" xfId="45149"/>
    <cellStyle name="Note 14 7 7 2 3" xfId="12902"/>
    <cellStyle name="Note 14 7 7 2 3 2" xfId="35489"/>
    <cellStyle name="Note 14 7 7 2 4" xfId="29049"/>
    <cellStyle name="Note 14 7 7 3" xfId="19342"/>
    <cellStyle name="Note 14 7 7 3 2" xfId="41929"/>
    <cellStyle name="Note 14 7 7 4" xfId="16122"/>
    <cellStyle name="Note 14 7 7 4 2" xfId="38709"/>
    <cellStyle name="Note 14 7 7 5" xfId="9682"/>
    <cellStyle name="Note 14 7 7 5 2" xfId="32269"/>
    <cellStyle name="Note 14 7 7 6" xfId="25829"/>
    <cellStyle name="Note 14 7 8" xfId="577"/>
    <cellStyle name="Note 14 7 8 2" xfId="3848"/>
    <cellStyle name="Note 14 7 8 2 2" xfId="19948"/>
    <cellStyle name="Note 14 7 8 2 2 2" xfId="42535"/>
    <cellStyle name="Note 14 7 8 2 3" xfId="10288"/>
    <cellStyle name="Note 14 7 8 2 3 2" xfId="32875"/>
    <cellStyle name="Note 14 7 8 2 4" xfId="26435"/>
    <cellStyle name="Note 14 7 8 3" xfId="16728"/>
    <cellStyle name="Note 14 7 8 3 2" xfId="39315"/>
    <cellStyle name="Note 14 7 8 4" xfId="13508"/>
    <cellStyle name="Note 14 7 8 4 2" xfId="36095"/>
    <cellStyle name="Note 14 7 8 5" xfId="7068"/>
    <cellStyle name="Note 14 7 8 5 2" xfId="29655"/>
    <cellStyle name="Note 14 7 8 6" xfId="23215"/>
    <cellStyle name="Note 14 7 9" xfId="3532"/>
    <cellStyle name="Note 14 7 9 2" xfId="19632"/>
    <cellStyle name="Note 14 7 9 2 2" xfId="42219"/>
    <cellStyle name="Note 14 7 9 3" xfId="9972"/>
    <cellStyle name="Note 14 7 9 3 2" xfId="32559"/>
    <cellStyle name="Note 14 7 9 4" xfId="26119"/>
    <cellStyle name="Note 14 8" xfId="342"/>
    <cellStyle name="Note 14 8 10" xfId="16509"/>
    <cellStyle name="Note 14 8 10 2" xfId="39096"/>
    <cellStyle name="Note 14 8 11" xfId="13289"/>
    <cellStyle name="Note 14 8 11 2" xfId="35876"/>
    <cellStyle name="Note 14 8 12" xfId="6849"/>
    <cellStyle name="Note 14 8 12 2" xfId="29436"/>
    <cellStyle name="Note 14 8 13" xfId="22996"/>
    <cellStyle name="Note 14 8 2" xfId="1080"/>
    <cellStyle name="Note 14 8 2 2" xfId="2394"/>
    <cellStyle name="Note 14 8 2 2 2" xfId="5615"/>
    <cellStyle name="Note 14 8 2 2 2 2" xfId="21715"/>
    <cellStyle name="Note 14 8 2 2 2 2 2" xfId="44302"/>
    <cellStyle name="Note 14 8 2 2 2 3" xfId="12055"/>
    <cellStyle name="Note 14 8 2 2 2 3 2" xfId="34642"/>
    <cellStyle name="Note 14 8 2 2 2 4" xfId="28202"/>
    <cellStyle name="Note 14 8 2 2 3" xfId="18495"/>
    <cellStyle name="Note 14 8 2 2 3 2" xfId="41082"/>
    <cellStyle name="Note 14 8 2 2 4" xfId="15275"/>
    <cellStyle name="Note 14 8 2 2 4 2" xfId="37862"/>
    <cellStyle name="Note 14 8 2 2 5" xfId="8835"/>
    <cellStyle name="Note 14 8 2 2 5 2" xfId="31422"/>
    <cellStyle name="Note 14 8 2 2 6" xfId="24982"/>
    <cellStyle name="Note 14 8 2 3" xfId="4307"/>
    <cellStyle name="Note 14 8 2 3 2" xfId="20407"/>
    <cellStyle name="Note 14 8 2 3 2 2" xfId="42994"/>
    <cellStyle name="Note 14 8 2 3 3" xfId="10747"/>
    <cellStyle name="Note 14 8 2 3 3 2" xfId="33334"/>
    <cellStyle name="Note 14 8 2 3 4" xfId="26894"/>
    <cellStyle name="Note 14 8 2 4" xfId="17187"/>
    <cellStyle name="Note 14 8 2 4 2" xfId="39774"/>
    <cellStyle name="Note 14 8 2 5" xfId="13967"/>
    <cellStyle name="Note 14 8 2 5 2" xfId="36554"/>
    <cellStyle name="Note 14 8 2 6" xfId="7527"/>
    <cellStyle name="Note 14 8 2 6 2" xfId="30114"/>
    <cellStyle name="Note 14 8 2 7" xfId="23674"/>
    <cellStyle name="Note 14 8 3" xfId="1427"/>
    <cellStyle name="Note 14 8 3 2" xfId="2741"/>
    <cellStyle name="Note 14 8 3 2 2" xfId="5962"/>
    <cellStyle name="Note 14 8 3 2 2 2" xfId="22062"/>
    <cellStyle name="Note 14 8 3 2 2 2 2" xfId="44649"/>
    <cellStyle name="Note 14 8 3 2 2 3" xfId="12402"/>
    <cellStyle name="Note 14 8 3 2 2 3 2" xfId="34989"/>
    <cellStyle name="Note 14 8 3 2 2 4" xfId="28549"/>
    <cellStyle name="Note 14 8 3 2 3" xfId="18842"/>
    <cellStyle name="Note 14 8 3 2 3 2" xfId="41429"/>
    <cellStyle name="Note 14 8 3 2 4" xfId="15622"/>
    <cellStyle name="Note 14 8 3 2 4 2" xfId="38209"/>
    <cellStyle name="Note 14 8 3 2 5" xfId="9182"/>
    <cellStyle name="Note 14 8 3 2 5 2" xfId="31769"/>
    <cellStyle name="Note 14 8 3 2 6" xfId="25329"/>
    <cellStyle name="Note 14 8 3 3" xfId="4654"/>
    <cellStyle name="Note 14 8 3 3 2" xfId="20754"/>
    <cellStyle name="Note 14 8 3 3 2 2" xfId="43341"/>
    <cellStyle name="Note 14 8 3 3 3" xfId="11094"/>
    <cellStyle name="Note 14 8 3 3 3 2" xfId="33681"/>
    <cellStyle name="Note 14 8 3 3 4" xfId="27241"/>
    <cellStyle name="Note 14 8 3 4" xfId="17534"/>
    <cellStyle name="Note 14 8 3 4 2" xfId="40121"/>
    <cellStyle name="Note 14 8 3 5" xfId="14314"/>
    <cellStyle name="Note 14 8 3 5 2" xfId="36901"/>
    <cellStyle name="Note 14 8 3 6" xfId="7874"/>
    <cellStyle name="Note 14 8 3 6 2" xfId="30461"/>
    <cellStyle name="Note 14 8 3 7" xfId="24021"/>
    <cellStyle name="Note 14 8 4" xfId="1807"/>
    <cellStyle name="Note 14 8 4 2" xfId="5030"/>
    <cellStyle name="Note 14 8 4 2 2" xfId="21130"/>
    <cellStyle name="Note 14 8 4 2 2 2" xfId="43717"/>
    <cellStyle name="Note 14 8 4 2 3" xfId="11470"/>
    <cellStyle name="Note 14 8 4 2 3 2" xfId="34057"/>
    <cellStyle name="Note 14 8 4 2 4" xfId="27617"/>
    <cellStyle name="Note 14 8 4 3" xfId="17910"/>
    <cellStyle name="Note 14 8 4 3 2" xfId="40497"/>
    <cellStyle name="Note 14 8 4 4" xfId="14690"/>
    <cellStyle name="Note 14 8 4 4 2" xfId="37277"/>
    <cellStyle name="Note 14 8 4 5" xfId="8250"/>
    <cellStyle name="Note 14 8 4 5 2" xfId="30837"/>
    <cellStyle name="Note 14 8 4 6" xfId="24397"/>
    <cellStyle name="Note 14 8 5" xfId="2047"/>
    <cellStyle name="Note 14 8 5 2" xfId="5268"/>
    <cellStyle name="Note 14 8 5 2 2" xfId="21368"/>
    <cellStyle name="Note 14 8 5 2 2 2" xfId="43955"/>
    <cellStyle name="Note 14 8 5 2 3" xfId="11708"/>
    <cellStyle name="Note 14 8 5 2 3 2" xfId="34295"/>
    <cellStyle name="Note 14 8 5 2 4" xfId="27855"/>
    <cellStyle name="Note 14 8 5 3" xfId="18148"/>
    <cellStyle name="Note 14 8 5 3 2" xfId="40735"/>
    <cellStyle name="Note 14 8 5 4" xfId="14928"/>
    <cellStyle name="Note 14 8 5 4 2" xfId="37515"/>
    <cellStyle name="Note 14 8 5 5" xfId="8488"/>
    <cellStyle name="Note 14 8 5 5 2" xfId="31075"/>
    <cellStyle name="Note 14 8 5 6" xfId="24635"/>
    <cellStyle name="Note 14 8 6" xfId="3049"/>
    <cellStyle name="Note 14 8 6 2" xfId="6269"/>
    <cellStyle name="Note 14 8 6 2 2" xfId="22369"/>
    <cellStyle name="Note 14 8 6 2 2 2" xfId="44956"/>
    <cellStyle name="Note 14 8 6 2 3" xfId="12709"/>
    <cellStyle name="Note 14 8 6 2 3 2" xfId="35296"/>
    <cellStyle name="Note 14 8 6 2 4" xfId="28856"/>
    <cellStyle name="Note 14 8 6 3" xfId="19149"/>
    <cellStyle name="Note 14 8 6 3 2" xfId="41736"/>
    <cellStyle name="Note 14 8 6 4" xfId="15929"/>
    <cellStyle name="Note 14 8 6 4 2" xfId="38516"/>
    <cellStyle name="Note 14 8 6 5" xfId="9489"/>
    <cellStyle name="Note 14 8 6 5 2" xfId="32076"/>
    <cellStyle name="Note 14 8 6 6" xfId="25636"/>
    <cellStyle name="Note 14 8 7" xfId="3339"/>
    <cellStyle name="Note 14 8 7 2" xfId="6559"/>
    <cellStyle name="Note 14 8 7 2 2" xfId="22659"/>
    <cellStyle name="Note 14 8 7 2 2 2" xfId="45246"/>
    <cellStyle name="Note 14 8 7 2 3" xfId="12999"/>
    <cellStyle name="Note 14 8 7 2 3 2" xfId="35586"/>
    <cellStyle name="Note 14 8 7 2 4" xfId="29146"/>
    <cellStyle name="Note 14 8 7 3" xfId="19439"/>
    <cellStyle name="Note 14 8 7 3 2" xfId="42026"/>
    <cellStyle name="Note 14 8 7 4" xfId="16219"/>
    <cellStyle name="Note 14 8 7 4 2" xfId="38806"/>
    <cellStyle name="Note 14 8 7 5" xfId="9779"/>
    <cellStyle name="Note 14 8 7 5 2" xfId="32366"/>
    <cellStyle name="Note 14 8 7 6" xfId="25926"/>
    <cellStyle name="Note 14 8 8" xfId="728"/>
    <cellStyle name="Note 14 8 8 2" xfId="3960"/>
    <cellStyle name="Note 14 8 8 2 2" xfId="20060"/>
    <cellStyle name="Note 14 8 8 2 2 2" xfId="42647"/>
    <cellStyle name="Note 14 8 8 2 3" xfId="10400"/>
    <cellStyle name="Note 14 8 8 2 3 2" xfId="32987"/>
    <cellStyle name="Note 14 8 8 2 4" xfId="26547"/>
    <cellStyle name="Note 14 8 8 3" xfId="16840"/>
    <cellStyle name="Note 14 8 8 3 2" xfId="39427"/>
    <cellStyle name="Note 14 8 8 4" xfId="13620"/>
    <cellStyle name="Note 14 8 8 4 2" xfId="36207"/>
    <cellStyle name="Note 14 8 8 5" xfId="7180"/>
    <cellStyle name="Note 14 8 8 5 2" xfId="29767"/>
    <cellStyle name="Note 14 8 8 6" xfId="23327"/>
    <cellStyle name="Note 14 8 9" xfId="3629"/>
    <cellStyle name="Note 14 8 9 2" xfId="19729"/>
    <cellStyle name="Note 14 8 9 2 2" xfId="42316"/>
    <cellStyle name="Note 14 8 9 3" xfId="10069"/>
    <cellStyle name="Note 14 8 9 3 2" xfId="32656"/>
    <cellStyle name="Note 14 8 9 4" xfId="26216"/>
    <cellStyle name="Note 14 9" xfId="747"/>
    <cellStyle name="Note 14 9 2" xfId="1099"/>
    <cellStyle name="Note 14 9 2 2" xfId="2413"/>
    <cellStyle name="Note 14 9 2 2 2" xfId="5634"/>
    <cellStyle name="Note 14 9 2 2 2 2" xfId="21734"/>
    <cellStyle name="Note 14 9 2 2 2 2 2" xfId="44321"/>
    <cellStyle name="Note 14 9 2 2 2 3" xfId="12074"/>
    <cellStyle name="Note 14 9 2 2 2 3 2" xfId="34661"/>
    <cellStyle name="Note 14 9 2 2 2 4" xfId="28221"/>
    <cellStyle name="Note 14 9 2 2 3" xfId="18514"/>
    <cellStyle name="Note 14 9 2 2 3 2" xfId="41101"/>
    <cellStyle name="Note 14 9 2 2 4" xfId="15294"/>
    <cellStyle name="Note 14 9 2 2 4 2" xfId="37881"/>
    <cellStyle name="Note 14 9 2 2 5" xfId="8854"/>
    <cellStyle name="Note 14 9 2 2 5 2" xfId="31441"/>
    <cellStyle name="Note 14 9 2 2 6" xfId="25001"/>
    <cellStyle name="Note 14 9 2 3" xfId="4326"/>
    <cellStyle name="Note 14 9 2 3 2" xfId="20426"/>
    <cellStyle name="Note 14 9 2 3 2 2" xfId="43013"/>
    <cellStyle name="Note 14 9 2 3 3" xfId="10766"/>
    <cellStyle name="Note 14 9 2 3 3 2" xfId="33353"/>
    <cellStyle name="Note 14 9 2 3 4" xfId="26913"/>
    <cellStyle name="Note 14 9 2 4" xfId="17206"/>
    <cellStyle name="Note 14 9 2 4 2" xfId="39793"/>
    <cellStyle name="Note 14 9 2 5" xfId="13986"/>
    <cellStyle name="Note 14 9 2 5 2" xfId="36573"/>
    <cellStyle name="Note 14 9 2 6" xfId="7546"/>
    <cellStyle name="Note 14 9 2 6 2" xfId="30133"/>
    <cellStyle name="Note 14 9 2 7" xfId="23693"/>
    <cellStyle name="Note 14 9 3" xfId="1446"/>
    <cellStyle name="Note 14 9 3 2" xfId="2760"/>
    <cellStyle name="Note 14 9 3 2 2" xfId="5981"/>
    <cellStyle name="Note 14 9 3 2 2 2" xfId="22081"/>
    <cellStyle name="Note 14 9 3 2 2 2 2" xfId="44668"/>
    <cellStyle name="Note 14 9 3 2 2 3" xfId="12421"/>
    <cellStyle name="Note 14 9 3 2 2 3 2" xfId="35008"/>
    <cellStyle name="Note 14 9 3 2 2 4" xfId="28568"/>
    <cellStyle name="Note 14 9 3 2 3" xfId="18861"/>
    <cellStyle name="Note 14 9 3 2 3 2" xfId="41448"/>
    <cellStyle name="Note 14 9 3 2 4" xfId="15641"/>
    <cellStyle name="Note 14 9 3 2 4 2" xfId="38228"/>
    <cellStyle name="Note 14 9 3 2 5" xfId="9201"/>
    <cellStyle name="Note 14 9 3 2 5 2" xfId="31788"/>
    <cellStyle name="Note 14 9 3 2 6" xfId="25348"/>
    <cellStyle name="Note 14 9 3 3" xfId="4673"/>
    <cellStyle name="Note 14 9 3 3 2" xfId="20773"/>
    <cellStyle name="Note 14 9 3 3 2 2" xfId="43360"/>
    <cellStyle name="Note 14 9 3 3 3" xfId="11113"/>
    <cellStyle name="Note 14 9 3 3 3 2" xfId="33700"/>
    <cellStyle name="Note 14 9 3 3 4" xfId="27260"/>
    <cellStyle name="Note 14 9 3 4" xfId="17553"/>
    <cellStyle name="Note 14 9 3 4 2" xfId="40140"/>
    <cellStyle name="Note 14 9 3 5" xfId="14333"/>
    <cellStyle name="Note 14 9 3 5 2" xfId="36920"/>
    <cellStyle name="Note 14 9 3 6" xfId="7893"/>
    <cellStyle name="Note 14 9 3 6 2" xfId="30480"/>
    <cellStyle name="Note 14 9 3 7" xfId="24040"/>
    <cellStyle name="Note 14 9 4" xfId="2066"/>
    <cellStyle name="Note 14 9 4 2" xfId="5287"/>
    <cellStyle name="Note 14 9 4 2 2" xfId="21387"/>
    <cellStyle name="Note 14 9 4 2 2 2" xfId="43974"/>
    <cellStyle name="Note 14 9 4 2 3" xfId="11727"/>
    <cellStyle name="Note 14 9 4 2 3 2" xfId="34314"/>
    <cellStyle name="Note 14 9 4 2 4" xfId="27874"/>
    <cellStyle name="Note 14 9 4 3" xfId="18167"/>
    <cellStyle name="Note 14 9 4 3 2" xfId="40754"/>
    <cellStyle name="Note 14 9 4 4" xfId="14947"/>
    <cellStyle name="Note 14 9 4 4 2" xfId="37534"/>
    <cellStyle name="Note 14 9 4 5" xfId="8507"/>
    <cellStyle name="Note 14 9 4 5 2" xfId="31094"/>
    <cellStyle name="Note 14 9 4 6" xfId="24654"/>
    <cellStyle name="Note 14 9 5" xfId="3979"/>
    <cellStyle name="Note 14 9 5 2" xfId="20079"/>
    <cellStyle name="Note 14 9 5 2 2" xfId="42666"/>
    <cellStyle name="Note 14 9 5 3" xfId="10419"/>
    <cellStyle name="Note 14 9 5 3 2" xfId="33006"/>
    <cellStyle name="Note 14 9 5 4" xfId="26566"/>
    <cellStyle name="Note 14 9 6" xfId="16859"/>
    <cellStyle name="Note 14 9 6 2" xfId="39446"/>
    <cellStyle name="Note 14 9 7" xfId="13639"/>
    <cellStyle name="Note 14 9 7 2" xfId="36226"/>
    <cellStyle name="Note 14 9 8" xfId="7199"/>
    <cellStyle name="Note 14 9 8 2" xfId="29786"/>
    <cellStyle name="Note 14 9 9" xfId="23346"/>
    <cellStyle name="Note 2" xfId="81"/>
    <cellStyle name="Note 2 2" xfId="722"/>
    <cellStyle name="Note 3" xfId="187"/>
    <cellStyle name="Note 3 2" xfId="717"/>
    <cellStyle name="Note 4" xfId="603"/>
    <cellStyle name="Note 4 2" xfId="981"/>
    <cellStyle name="Note 5" xfId="22794"/>
    <cellStyle name="Output" xfId="38" builtinId="21" customBuiltin="1"/>
    <cellStyle name="Output 2" xfId="82"/>
    <cellStyle name="Output 2 2" xfId="723"/>
    <cellStyle name="Output 3" xfId="188"/>
    <cellStyle name="Output 3 2" xfId="718"/>
    <cellStyle name="Output 4" xfId="595"/>
    <cellStyle name="Output 4 2" xfId="980"/>
    <cellStyle name="Output 5" xfId="22795"/>
    <cellStyle name="Percent" xfId="39" builtinId="5"/>
    <cellStyle name="Percent 2" xfId="96"/>
    <cellStyle name="Percent 2 2" xfId="102"/>
    <cellStyle name="Percent 3" xfId="189"/>
    <cellStyle name="Percent 4" xfId="615"/>
    <cellStyle name="Percent 4 2" xfId="1808"/>
    <cellStyle name="Percent 5" xfId="22754"/>
    <cellStyle name="Percent 5 2" xfId="45342"/>
    <cellStyle name="Percent 5 3" xfId="45341"/>
    <cellStyle name="Percent 6" xfId="22796"/>
    <cellStyle name="Title" xfId="40" builtinId="15" customBuiltin="1"/>
    <cellStyle name="Title 2" xfId="83"/>
    <cellStyle name="Title 3" xfId="190"/>
    <cellStyle name="Title 4" xfId="614"/>
    <cellStyle name="Title 5" xfId="22797"/>
    <cellStyle name="Total" xfId="41" builtinId="25" customBuiltin="1"/>
    <cellStyle name="Total 2" xfId="84"/>
    <cellStyle name="Total 2 2" xfId="724"/>
    <cellStyle name="Total 3" xfId="191"/>
    <cellStyle name="Total 3 2" xfId="719"/>
    <cellStyle name="Total 4" xfId="612"/>
    <cellStyle name="Total 4 2" xfId="983"/>
    <cellStyle name="Total 5" xfId="22798"/>
    <cellStyle name="Warning Text" xfId="42" builtinId="11" customBuiltin="1"/>
    <cellStyle name="Warning Text 2" xfId="85"/>
    <cellStyle name="Warning Text 3" xfId="192"/>
    <cellStyle name="Warning Text 4" xfId="608"/>
    <cellStyle name="Warning Text 5" xfId="22799"/>
  </cellStyles>
  <dxfs count="0"/>
  <tableStyles count="0" defaultTableStyle="TableStyleMedium2" defaultPivotStyle="PivotStyleLight16"/>
  <colors>
    <mruColors>
      <color rgb="FFFF33CC"/>
      <color rgb="FFFFFFB7"/>
      <color rgb="FFB9E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E36"/>
  <sheetViews>
    <sheetView zoomScale="90" zoomScaleNormal="90" workbookViewId="0">
      <selection activeCell="Q20" sqref="Q20"/>
    </sheetView>
  </sheetViews>
  <sheetFormatPr defaultRowHeight="12.75"/>
  <cols>
    <col min="1" max="1" width="6.140625" style="312" customWidth="1"/>
    <col min="2" max="2" width="9.140625" style="3" customWidth="1"/>
    <col min="3" max="3" width="8.5703125" style="3" customWidth="1"/>
    <col min="4" max="4" width="8" style="3" customWidth="1"/>
    <col min="5" max="6" width="9.140625" style="3" customWidth="1"/>
    <col min="7" max="7" width="10.42578125" style="312" customWidth="1"/>
    <col min="8" max="8" width="10.5703125" style="312" customWidth="1"/>
    <col min="9" max="9" width="10.85546875" style="312" customWidth="1"/>
    <col min="10" max="10" width="13" style="312" customWidth="1"/>
    <col min="11" max="11" width="10.5703125" style="312" customWidth="1"/>
    <col min="12" max="12" width="11" style="312" customWidth="1"/>
    <col min="13" max="13" width="15.5703125" style="312" customWidth="1"/>
    <col min="14" max="14" width="3.7109375" style="312" customWidth="1"/>
    <col min="15" max="15" width="9" style="312" customWidth="1"/>
    <col min="16" max="16" width="11.5703125" style="312" customWidth="1"/>
    <col min="17" max="17" width="11.140625" style="312" customWidth="1"/>
    <col min="18" max="18" width="8.5703125" style="312" customWidth="1"/>
    <col min="19" max="19" width="8.42578125" style="312" customWidth="1"/>
    <col min="20" max="20" width="8.140625" style="312" customWidth="1"/>
    <col min="21" max="21" width="8.5703125" style="312" customWidth="1"/>
    <col min="22" max="22" width="8.42578125" style="312" customWidth="1"/>
    <col min="23" max="23" width="3.7109375" style="312" customWidth="1"/>
    <col min="24" max="24" width="9.5703125" style="312" customWidth="1"/>
    <col min="25" max="25" width="11.5703125" style="312" customWidth="1"/>
    <col min="26" max="26" width="10.140625" style="312" customWidth="1"/>
    <col min="27" max="27" width="10.42578125" style="312" customWidth="1"/>
    <col min="28" max="28" width="12.140625" style="312" customWidth="1"/>
    <col min="29" max="29" width="11.28515625" style="312" customWidth="1"/>
    <col min="30" max="16384" width="9.140625" style="312"/>
  </cols>
  <sheetData>
    <row r="1" spans="1:31" ht="13.5" thickBot="1"/>
    <row r="2" spans="1:31" ht="15.75" customHeight="1" thickBot="1">
      <c r="A2" s="530" t="s">
        <v>648</v>
      </c>
      <c r="B2" s="530"/>
      <c r="C2" s="530"/>
      <c r="D2" s="530"/>
      <c r="E2" s="530"/>
      <c r="F2" s="530"/>
      <c r="G2" s="530"/>
      <c r="H2" s="530"/>
      <c r="I2" s="530"/>
      <c r="J2" s="530"/>
      <c r="K2" s="530"/>
      <c r="L2" s="530"/>
      <c r="M2" s="530"/>
      <c r="N2" s="387"/>
      <c r="O2" s="530" t="s">
        <v>649</v>
      </c>
      <c r="P2" s="530"/>
      <c r="Q2" s="530"/>
      <c r="R2" s="530"/>
      <c r="S2" s="530"/>
      <c r="T2" s="530"/>
      <c r="U2" s="530"/>
      <c r="V2" s="530"/>
      <c r="X2" s="531" t="s">
        <v>650</v>
      </c>
      <c r="Y2" s="532"/>
      <c r="Z2" s="532"/>
      <c r="AA2" s="532"/>
      <c r="AB2" s="533"/>
      <c r="AC2" s="390" t="s">
        <v>651</v>
      </c>
    </row>
    <row r="3" spans="1:31" ht="13.5" thickBot="1">
      <c r="A3" s="391"/>
      <c r="B3" s="392" t="s">
        <v>581</v>
      </c>
      <c r="C3" s="392" t="s">
        <v>582</v>
      </c>
      <c r="D3" s="392" t="s">
        <v>583</v>
      </c>
      <c r="E3" s="392" t="s">
        <v>584</v>
      </c>
      <c r="F3" s="392" t="s">
        <v>603</v>
      </c>
      <c r="G3" s="392" t="s">
        <v>604</v>
      </c>
      <c r="H3" s="392" t="s">
        <v>605</v>
      </c>
      <c r="I3" s="392" t="s">
        <v>634</v>
      </c>
      <c r="J3" s="392" t="s">
        <v>635</v>
      </c>
      <c r="K3" s="392" t="s">
        <v>636</v>
      </c>
      <c r="L3" s="392" t="s">
        <v>637</v>
      </c>
      <c r="M3" s="392" t="s">
        <v>638</v>
      </c>
      <c r="N3" s="393"/>
      <c r="O3" s="394"/>
      <c r="P3" s="394"/>
      <c r="Q3" s="394"/>
      <c r="R3" s="394"/>
      <c r="S3" s="394"/>
      <c r="T3" s="394"/>
      <c r="U3" s="394"/>
      <c r="V3" s="394"/>
      <c r="X3" s="530" t="s">
        <v>0</v>
      </c>
      <c r="Y3" s="530"/>
      <c r="Z3" s="530" t="s">
        <v>1</v>
      </c>
      <c r="AA3" s="530"/>
      <c r="AB3" s="530"/>
      <c r="AC3" s="530"/>
    </row>
    <row r="4" spans="1:31" ht="179.25" customHeight="1" thickBot="1">
      <c r="A4" s="392" t="s">
        <v>33</v>
      </c>
      <c r="B4" s="392" t="s">
        <v>625</v>
      </c>
      <c r="C4" s="392" t="s">
        <v>626</v>
      </c>
      <c r="D4" s="392" t="s">
        <v>627</v>
      </c>
      <c r="E4" s="392" t="s">
        <v>628</v>
      </c>
      <c r="F4" s="392" t="s">
        <v>629</v>
      </c>
      <c r="G4" s="392" t="s">
        <v>630</v>
      </c>
      <c r="H4" s="392" t="s">
        <v>631</v>
      </c>
      <c r="I4" s="392" t="s">
        <v>652</v>
      </c>
      <c r="J4" s="392" t="s">
        <v>632</v>
      </c>
      <c r="K4" s="392" t="s">
        <v>653</v>
      </c>
      <c r="L4" s="392" t="s">
        <v>633</v>
      </c>
      <c r="M4" s="392" t="s">
        <v>654</v>
      </c>
      <c r="N4" s="393"/>
      <c r="O4" s="395" t="s">
        <v>655</v>
      </c>
      <c r="P4" s="395" t="s">
        <v>656</v>
      </c>
      <c r="Q4" s="395" t="s">
        <v>657</v>
      </c>
      <c r="R4" s="395" t="s">
        <v>658</v>
      </c>
      <c r="S4" s="395" t="s">
        <v>659</v>
      </c>
      <c r="T4" s="395" t="s">
        <v>660</v>
      </c>
      <c r="U4" s="395" t="s">
        <v>661</v>
      </c>
      <c r="V4" s="395" t="s">
        <v>662</v>
      </c>
      <c r="X4" s="396" t="s">
        <v>663</v>
      </c>
      <c r="Y4" s="396" t="s">
        <v>664</v>
      </c>
      <c r="Z4" s="396" t="s">
        <v>682</v>
      </c>
      <c r="AA4" s="396" t="s">
        <v>665</v>
      </c>
      <c r="AB4" s="396" t="s">
        <v>666</v>
      </c>
      <c r="AC4" s="397" t="s">
        <v>667</v>
      </c>
    </row>
    <row r="5" spans="1:31" ht="48.75" thickBot="1">
      <c r="A5" s="391"/>
      <c r="B5" s="398" t="s">
        <v>668</v>
      </c>
      <c r="C5" s="399" t="s">
        <v>639</v>
      </c>
      <c r="D5" s="399" t="s">
        <v>640</v>
      </c>
      <c r="E5" s="400"/>
      <c r="F5" s="400"/>
      <c r="G5" s="398" t="s">
        <v>669</v>
      </c>
      <c r="H5" s="398" t="s">
        <v>670</v>
      </c>
      <c r="I5" s="398"/>
      <c r="J5" s="398"/>
      <c r="K5" s="401" t="s">
        <v>671</v>
      </c>
      <c r="L5" s="398" t="s">
        <v>672</v>
      </c>
      <c r="M5" s="401" t="s">
        <v>673</v>
      </c>
      <c r="N5" s="402"/>
      <c r="O5" s="403" t="s">
        <v>674</v>
      </c>
      <c r="P5" s="403"/>
      <c r="Q5" s="403"/>
      <c r="R5" s="394"/>
      <c r="S5" s="394"/>
      <c r="T5" s="394"/>
      <c r="U5" s="394"/>
      <c r="V5" s="394"/>
      <c r="X5" s="394"/>
      <c r="Y5" s="394"/>
      <c r="Z5" s="394"/>
      <c r="AA5" s="394"/>
      <c r="AB5" s="394"/>
      <c r="AC5" s="401"/>
    </row>
    <row r="6" spans="1:31" ht="13.5" thickBot="1">
      <c r="A6" s="391">
        <v>2007</v>
      </c>
      <c r="B6" s="400">
        <v>0</v>
      </c>
      <c r="C6" s="400">
        <f t="shared" ref="C6:C15" si="0">SUM(R6:V6)</f>
        <v>0</v>
      </c>
      <c r="D6" s="404">
        <v>0</v>
      </c>
      <c r="E6" s="404">
        <v>0</v>
      </c>
      <c r="F6" s="404">
        <v>0</v>
      </c>
      <c r="G6" s="400">
        <f>E6+F6</f>
        <v>0</v>
      </c>
      <c r="H6" s="400">
        <v>0</v>
      </c>
      <c r="I6" s="404">
        <v>0</v>
      </c>
      <c r="J6" s="404">
        <v>0</v>
      </c>
      <c r="K6" s="400">
        <f>H6-(I6+J6)</f>
        <v>0</v>
      </c>
      <c r="L6" s="400">
        <v>0</v>
      </c>
      <c r="M6" s="400">
        <f>B6-C6+MAX(0,D6-E6)-F6-AC5</f>
        <v>0</v>
      </c>
      <c r="N6" s="405"/>
      <c r="O6" s="406">
        <v>0</v>
      </c>
      <c r="P6" s="407">
        <f xml:space="preserve"> M6-B6+C6</f>
        <v>0</v>
      </c>
      <c r="Q6" s="407">
        <v>0</v>
      </c>
      <c r="R6" s="394">
        <f t="shared" ref="R6:R12" si="1">IF(AND(O6=0, O5=1), Q6/5, 0)</f>
        <v>0</v>
      </c>
      <c r="S6" s="394"/>
      <c r="T6" s="394"/>
      <c r="U6" s="394"/>
      <c r="V6" s="394"/>
      <c r="X6" s="408">
        <v>0</v>
      </c>
      <c r="Y6" s="409">
        <f t="shared" ref="Y6:Y12" si="2">X6</f>
        <v>0</v>
      </c>
      <c r="Z6" s="410">
        <v>0</v>
      </c>
      <c r="AA6" s="410">
        <v>0</v>
      </c>
      <c r="AB6" s="411">
        <v>0</v>
      </c>
      <c r="AC6" s="394">
        <f t="shared" ref="AC6:AC12" si="3">-MIN(0, B6-C6+D6-E6-AC5)</f>
        <v>0</v>
      </c>
    </row>
    <row r="7" spans="1:31" ht="13.5" thickBot="1">
      <c r="A7" s="391">
        <v>2008</v>
      </c>
      <c r="B7" s="400">
        <f>M6</f>
        <v>0</v>
      </c>
      <c r="C7" s="400">
        <f t="shared" si="0"/>
        <v>0</v>
      </c>
      <c r="D7" s="404">
        <v>0</v>
      </c>
      <c r="E7" s="404">
        <v>0</v>
      </c>
      <c r="F7" s="404">
        <v>0</v>
      </c>
      <c r="G7" s="400">
        <f t="shared" ref="G7:G16" si="4">E7+F7</f>
        <v>0</v>
      </c>
      <c r="H7" s="400">
        <f>G7+K6</f>
        <v>0</v>
      </c>
      <c r="I7" s="404">
        <v>0</v>
      </c>
      <c r="J7" s="404">
        <v>0</v>
      </c>
      <c r="K7" s="400">
        <f t="shared" ref="K7:K14" si="5">H7-(I7+J7)</f>
        <v>0</v>
      </c>
      <c r="L7" s="400">
        <f>K7-K6</f>
        <v>0</v>
      </c>
      <c r="M7" s="400">
        <f>B7-C7+MAX(0,D7-E7)-F7-AC6</f>
        <v>0</v>
      </c>
      <c r="N7" s="405"/>
      <c r="O7" s="406">
        <v>0</v>
      </c>
      <c r="P7" s="407">
        <f xml:space="preserve"> M7-B7+C7</f>
        <v>0</v>
      </c>
      <c r="Q7" s="407">
        <f>MAX(0, IF(AND(O5=1,O6=0),P6,P6+P5))</f>
        <v>0</v>
      </c>
      <c r="R7" s="394">
        <f t="shared" si="1"/>
        <v>0</v>
      </c>
      <c r="S7" s="394">
        <f t="shared" ref="S7:S14" si="6">MAX(0, MIN(R6, B7))</f>
        <v>0</v>
      </c>
      <c r="T7" s="394"/>
      <c r="U7" s="394"/>
      <c r="V7" s="394"/>
      <c r="X7" s="408">
        <v>0</v>
      </c>
      <c r="Y7" s="409">
        <f t="shared" si="2"/>
        <v>0</v>
      </c>
      <c r="Z7" s="410">
        <v>0</v>
      </c>
      <c r="AA7" s="410">
        <v>0</v>
      </c>
      <c r="AB7" s="411">
        <v>0</v>
      </c>
      <c r="AC7" s="394">
        <f t="shared" si="3"/>
        <v>0</v>
      </c>
    </row>
    <row r="8" spans="1:31" ht="13.5" thickBot="1">
      <c r="A8" s="391">
        <v>2009</v>
      </c>
      <c r="B8" s="400">
        <f>M7</f>
        <v>0</v>
      </c>
      <c r="C8" s="400">
        <f t="shared" si="0"/>
        <v>0</v>
      </c>
      <c r="D8" s="404">
        <v>0</v>
      </c>
      <c r="E8" s="404">
        <v>0</v>
      </c>
      <c r="F8" s="404">
        <v>0</v>
      </c>
      <c r="G8" s="400">
        <f t="shared" si="4"/>
        <v>0</v>
      </c>
      <c r="H8" s="400">
        <f>G8+K7</f>
        <v>0</v>
      </c>
      <c r="I8" s="404">
        <v>0</v>
      </c>
      <c r="J8" s="404">
        <v>0</v>
      </c>
      <c r="K8" s="400">
        <f t="shared" si="5"/>
        <v>0</v>
      </c>
      <c r="L8" s="400">
        <f t="shared" ref="L8:L14" si="7">K8-K7</f>
        <v>0</v>
      </c>
      <c r="M8" s="400">
        <f>B8-C8+MAX(0,D8-E8)-F8-AC7</f>
        <v>0</v>
      </c>
      <c r="N8" s="405"/>
      <c r="O8" s="406">
        <v>0</v>
      </c>
      <c r="P8" s="407">
        <f xml:space="preserve"> M8-B8+C8</f>
        <v>0</v>
      </c>
      <c r="Q8" s="407">
        <f>MAX(0, IF(AND(O6=1,O7=0),P7,IF(AND(O5=1,O6=0),P7+P6,P7+P6+P5)))</f>
        <v>0</v>
      </c>
      <c r="R8" s="394">
        <f t="shared" si="1"/>
        <v>0</v>
      </c>
      <c r="S8" s="394">
        <f t="shared" si="6"/>
        <v>0</v>
      </c>
      <c r="T8" s="394">
        <f t="shared" ref="T8:T14" si="8">MAX(0, MIN(S7, B8))</f>
        <v>0</v>
      </c>
      <c r="U8" s="394"/>
      <c r="V8" s="394"/>
      <c r="X8" s="408">
        <v>0</v>
      </c>
      <c r="Y8" s="409">
        <f t="shared" si="2"/>
        <v>0</v>
      </c>
      <c r="Z8" s="410">
        <v>0</v>
      </c>
      <c r="AA8" s="410">
        <v>0</v>
      </c>
      <c r="AB8" s="411">
        <v>0</v>
      </c>
      <c r="AC8" s="394">
        <f t="shared" si="3"/>
        <v>0</v>
      </c>
    </row>
    <row r="9" spans="1:31" ht="13.5" thickBot="1">
      <c r="A9" s="391">
        <v>2010</v>
      </c>
      <c r="B9" s="400">
        <f>M8</f>
        <v>0</v>
      </c>
      <c r="C9" s="400">
        <f t="shared" si="0"/>
        <v>0</v>
      </c>
      <c r="D9" s="404">
        <v>0</v>
      </c>
      <c r="E9" s="404">
        <v>0</v>
      </c>
      <c r="F9" s="404">
        <v>0</v>
      </c>
      <c r="G9" s="400">
        <f t="shared" si="4"/>
        <v>0</v>
      </c>
      <c r="H9" s="400">
        <f>G9+K8</f>
        <v>0</v>
      </c>
      <c r="I9" s="404">
        <v>0</v>
      </c>
      <c r="J9" s="404">
        <v>0</v>
      </c>
      <c r="K9" s="400">
        <f t="shared" si="5"/>
        <v>0</v>
      </c>
      <c r="L9" s="400">
        <f t="shared" si="7"/>
        <v>0</v>
      </c>
      <c r="M9" s="400">
        <f>B9-C9+MAX(0,D9-E9)-F9-AC8</f>
        <v>0</v>
      </c>
      <c r="N9" s="405"/>
      <c r="O9" s="406">
        <v>0</v>
      </c>
      <c r="P9" s="407">
        <f xml:space="preserve"> M9-B9+C9</f>
        <v>0</v>
      </c>
      <c r="Q9" s="407">
        <f>MAX(0, IF(AND(O7=1,O8=0),P8,IF(AND(O6=1,O7=0),P8+P7,IF(AND(O5=1,O6=0),P8+P7+P6,P8+P7+P6+P5))))</f>
        <v>0</v>
      </c>
      <c r="R9" s="394">
        <f t="shared" si="1"/>
        <v>0</v>
      </c>
      <c r="S9" s="394">
        <f t="shared" si="6"/>
        <v>0</v>
      </c>
      <c r="T9" s="394">
        <f t="shared" si="8"/>
        <v>0</v>
      </c>
      <c r="U9" s="394">
        <f t="shared" ref="U9:U14" si="9">MAX(0, MIN(T8, B9))</f>
        <v>0</v>
      </c>
      <c r="V9" s="394"/>
      <c r="X9" s="408">
        <v>0</v>
      </c>
      <c r="Y9" s="409">
        <f t="shared" si="2"/>
        <v>0</v>
      </c>
      <c r="Z9" s="410">
        <v>0</v>
      </c>
      <c r="AA9" s="410">
        <v>0</v>
      </c>
      <c r="AB9" s="411">
        <v>0</v>
      </c>
      <c r="AC9" s="394">
        <f t="shared" si="3"/>
        <v>0</v>
      </c>
    </row>
    <row r="10" spans="1:31" ht="13.5" thickBot="1">
      <c r="A10" s="391">
        <v>2011</v>
      </c>
      <c r="B10" s="400">
        <v>0</v>
      </c>
      <c r="C10" s="400">
        <v>0</v>
      </c>
      <c r="D10" s="404">
        <v>0</v>
      </c>
      <c r="E10" s="404">
        <v>0</v>
      </c>
      <c r="F10" s="404">
        <v>0</v>
      </c>
      <c r="G10" s="400">
        <v>0</v>
      </c>
      <c r="H10" s="400">
        <v>0</v>
      </c>
      <c r="I10" s="404">
        <v>0</v>
      </c>
      <c r="J10" s="404">
        <v>0</v>
      </c>
      <c r="K10" s="400">
        <v>0</v>
      </c>
      <c r="L10" s="400">
        <v>0</v>
      </c>
      <c r="M10" s="400">
        <v>0</v>
      </c>
      <c r="N10" s="405"/>
      <c r="O10" s="406">
        <v>0</v>
      </c>
      <c r="P10" s="407">
        <v>0</v>
      </c>
      <c r="Q10" s="407">
        <v>0</v>
      </c>
      <c r="R10" s="394">
        <v>0</v>
      </c>
      <c r="S10" s="394">
        <v>0</v>
      </c>
      <c r="T10" s="394">
        <v>0</v>
      </c>
      <c r="U10" s="394">
        <v>0</v>
      </c>
      <c r="V10" s="394">
        <v>0</v>
      </c>
      <c r="X10" s="408">
        <v>0</v>
      </c>
      <c r="Y10" s="409">
        <v>0</v>
      </c>
      <c r="Z10" s="410">
        <v>0</v>
      </c>
      <c r="AA10" s="410">
        <v>0</v>
      </c>
      <c r="AB10" s="411">
        <v>0</v>
      </c>
      <c r="AC10" s="394">
        <v>0</v>
      </c>
    </row>
    <row r="11" spans="1:31" ht="13.5" thickBot="1">
      <c r="A11" s="391">
        <v>2012</v>
      </c>
      <c r="B11" s="400">
        <f>M10</f>
        <v>0</v>
      </c>
      <c r="C11" s="400">
        <f t="shared" si="0"/>
        <v>0</v>
      </c>
      <c r="D11" s="404">
        <v>0</v>
      </c>
      <c r="E11" s="404">
        <v>0</v>
      </c>
      <c r="F11" s="404">
        <v>0</v>
      </c>
      <c r="G11" s="400">
        <f t="shared" si="4"/>
        <v>0</v>
      </c>
      <c r="H11" s="400">
        <f>G11+K10</f>
        <v>0</v>
      </c>
      <c r="I11" s="404">
        <v>0</v>
      </c>
      <c r="J11" s="404">
        <v>0</v>
      </c>
      <c r="K11" s="400">
        <f t="shared" si="5"/>
        <v>0</v>
      </c>
      <c r="L11" s="400">
        <f t="shared" si="7"/>
        <v>0</v>
      </c>
      <c r="M11" s="400">
        <f>B11-C11+MAX(0,D11-E11)-F11-AC10</f>
        <v>0</v>
      </c>
      <c r="N11" s="405"/>
      <c r="O11" s="406">
        <v>0</v>
      </c>
      <c r="P11" s="407">
        <f xml:space="preserve"> M11-B11+C11</f>
        <v>0</v>
      </c>
      <c r="Q11" s="407">
        <f>MAX(0, IF(AND(O9=1,O10=0),P10,IF(AND(O8=1,O9=0),P10+P9,IF(AND(O7=1,O8=0),P10+P9+P8,IF(AND(O6=1,O7=0),P10+P9+P8+P7,P10+P9+P8+P7+P6)))))</f>
        <v>0</v>
      </c>
      <c r="R11" s="394">
        <f t="shared" si="1"/>
        <v>0</v>
      </c>
      <c r="S11" s="394">
        <f t="shared" si="6"/>
        <v>0</v>
      </c>
      <c r="T11" s="394">
        <f t="shared" si="8"/>
        <v>0</v>
      </c>
      <c r="U11" s="394">
        <f t="shared" si="9"/>
        <v>0</v>
      </c>
      <c r="V11" s="394">
        <f>MAX(0, MIN(U10, B11))</f>
        <v>0</v>
      </c>
      <c r="X11" s="408">
        <v>0</v>
      </c>
      <c r="Y11" s="409">
        <f t="shared" si="2"/>
        <v>0</v>
      </c>
      <c r="Z11" s="410">
        <v>0</v>
      </c>
      <c r="AA11" s="410">
        <v>0</v>
      </c>
      <c r="AB11" s="411">
        <v>0</v>
      </c>
      <c r="AC11" s="394">
        <f t="shared" si="3"/>
        <v>0</v>
      </c>
    </row>
    <row r="12" spans="1:31" ht="13.5" thickBot="1">
      <c r="A12" s="391">
        <v>2013</v>
      </c>
      <c r="B12" s="400">
        <f>M11</f>
        <v>0</v>
      </c>
      <c r="C12" s="400">
        <f t="shared" si="0"/>
        <v>0</v>
      </c>
      <c r="D12" s="404">
        <v>0</v>
      </c>
      <c r="E12" s="404">
        <v>0</v>
      </c>
      <c r="F12" s="404">
        <v>0</v>
      </c>
      <c r="G12" s="400">
        <f t="shared" si="4"/>
        <v>0</v>
      </c>
      <c r="H12" s="400">
        <f>G12+K11</f>
        <v>0</v>
      </c>
      <c r="I12" s="404">
        <v>0</v>
      </c>
      <c r="J12" s="404">
        <v>0</v>
      </c>
      <c r="K12" s="400">
        <f t="shared" si="5"/>
        <v>0</v>
      </c>
      <c r="L12" s="400">
        <f t="shared" si="7"/>
        <v>0</v>
      </c>
      <c r="M12" s="400">
        <f>B12-C12+MAX(0,D12-E12)-F12-AC11</f>
        <v>0</v>
      </c>
      <c r="N12" s="405"/>
      <c r="O12" s="406">
        <v>1</v>
      </c>
      <c r="P12" s="407">
        <f xml:space="preserve"> M12-B12+C12</f>
        <v>0</v>
      </c>
      <c r="Q12" s="407">
        <f>MAX(0, IF(AND(O10=1,O11=0),P11,IF(AND(O9=1,O10=0),P11+P10,IF(AND(O8=1,O9=0),P11+P10+P9,IF(AND(O7=1,O8=0),P11+P10+P9+P8,P11+P10+P9+P8+P7)))))</f>
        <v>0</v>
      </c>
      <c r="R12" s="394">
        <f t="shared" si="1"/>
        <v>0</v>
      </c>
      <c r="S12" s="394">
        <f t="shared" si="6"/>
        <v>0</v>
      </c>
      <c r="T12" s="394">
        <f t="shared" si="8"/>
        <v>0</v>
      </c>
      <c r="U12" s="394">
        <f t="shared" si="9"/>
        <v>0</v>
      </c>
      <c r="V12" s="394">
        <f>MAX(0, MIN(U11, B12))</f>
        <v>0</v>
      </c>
      <c r="X12" s="408">
        <v>0</v>
      </c>
      <c r="Y12" s="409">
        <f t="shared" si="2"/>
        <v>0</v>
      </c>
      <c r="Z12" s="410">
        <v>15766</v>
      </c>
      <c r="AA12" s="410">
        <v>0</v>
      </c>
      <c r="AB12" s="411">
        <f>SUM(Z12:AA12)</f>
        <v>15766</v>
      </c>
      <c r="AC12" s="394">
        <f t="shared" si="3"/>
        <v>0</v>
      </c>
    </row>
    <row r="13" spans="1:31" ht="13.5" thickBot="1">
      <c r="A13" s="391">
        <v>2014</v>
      </c>
      <c r="B13" s="400">
        <v>0</v>
      </c>
      <c r="C13" s="400">
        <v>0</v>
      </c>
      <c r="D13" s="404">
        <v>0</v>
      </c>
      <c r="E13" s="404">
        <v>0</v>
      </c>
      <c r="F13" s="404">
        <v>0</v>
      </c>
      <c r="G13" s="400">
        <v>0</v>
      </c>
      <c r="H13" s="400">
        <v>0</v>
      </c>
      <c r="I13" s="404">
        <v>0</v>
      </c>
      <c r="J13" s="404">
        <v>0</v>
      </c>
      <c r="K13" s="400">
        <v>0</v>
      </c>
      <c r="L13" s="400">
        <v>0</v>
      </c>
      <c r="M13" s="400">
        <v>0</v>
      </c>
      <c r="N13" s="405"/>
      <c r="O13" s="406">
        <v>1</v>
      </c>
      <c r="P13" s="407">
        <v>0</v>
      </c>
      <c r="Q13" s="407">
        <v>0</v>
      </c>
      <c r="R13" s="394">
        <v>0</v>
      </c>
      <c r="S13" s="394">
        <v>0</v>
      </c>
      <c r="T13" s="394">
        <v>0</v>
      </c>
      <c r="U13" s="394">
        <v>0</v>
      </c>
      <c r="V13" s="394">
        <v>0</v>
      </c>
      <c r="X13" s="410">
        <v>7448</v>
      </c>
      <c r="Y13" s="409">
        <f t="shared" ref="Y13:Y19" si="10">X13</f>
        <v>7448</v>
      </c>
      <c r="Z13" s="410">
        <v>19397</v>
      </c>
      <c r="AA13" s="410">
        <v>42758</v>
      </c>
      <c r="AB13" s="411">
        <f>SUM(Z13:AA13)</f>
        <v>62155</v>
      </c>
      <c r="AC13" s="394">
        <f>-MIN(0, B13-C13+D13-E13-AC12)</f>
        <v>0</v>
      </c>
    </row>
    <row r="14" spans="1:31" ht="13.5" thickBot="1">
      <c r="A14" s="391">
        <v>2015</v>
      </c>
      <c r="B14" s="400">
        <f t="shared" ref="B14:B19" si="11">M13</f>
        <v>0</v>
      </c>
      <c r="C14" s="400">
        <f t="shared" si="0"/>
        <v>0</v>
      </c>
      <c r="D14" s="404">
        <v>0</v>
      </c>
      <c r="E14" s="404">
        <v>8332</v>
      </c>
      <c r="F14" s="404">
        <v>0</v>
      </c>
      <c r="G14" s="400">
        <f t="shared" si="4"/>
        <v>8332</v>
      </c>
      <c r="H14" s="400">
        <f t="shared" ref="H14:H19" si="12">G14+K13</f>
        <v>8332</v>
      </c>
      <c r="I14" s="404">
        <v>0</v>
      </c>
      <c r="J14" s="404">
        <v>0</v>
      </c>
      <c r="K14" s="400">
        <f t="shared" si="5"/>
        <v>8332</v>
      </c>
      <c r="L14" s="400">
        <f t="shared" si="7"/>
        <v>8332</v>
      </c>
      <c r="M14" s="400">
        <f>B14-C14+MAX(0,D14-E14)-F14</f>
        <v>0</v>
      </c>
      <c r="N14" s="405"/>
      <c r="O14" s="406">
        <v>1</v>
      </c>
      <c r="P14" s="407">
        <f t="shared" ref="P14:P19" si="13" xml:space="preserve"> M14-B14+C14</f>
        <v>0</v>
      </c>
      <c r="Q14" s="407">
        <f t="shared" ref="Q14:Q18" si="14">MAX(0, IF(AND(O12=1,O13=0),P13,IF(AND(O11=1,O12=0),P13+P12,IF(AND(O10=1,O11=0),P13+P12+P11,IF(AND(O9=1,O10=0),P13+P12+P11+P10,P13+P12+P11+P10+P9)))))</f>
        <v>0</v>
      </c>
      <c r="R14" s="394">
        <f t="shared" ref="R14:R19" si="15">IF(AND(O14=0, O13=1), Q14/5, 0)</f>
        <v>0</v>
      </c>
      <c r="S14" s="394">
        <f t="shared" si="6"/>
        <v>0</v>
      </c>
      <c r="T14" s="394">
        <f t="shared" si="8"/>
        <v>0</v>
      </c>
      <c r="U14" s="394">
        <f t="shared" si="9"/>
        <v>0</v>
      </c>
      <c r="V14" s="394">
        <f t="shared" ref="V14:V19" si="16">MAX(0, MIN(U13, B14))</f>
        <v>0</v>
      </c>
      <c r="X14" s="410">
        <v>10760</v>
      </c>
      <c r="Y14" s="409">
        <f t="shared" si="10"/>
        <v>10760</v>
      </c>
      <c r="Z14" s="410">
        <v>1098</v>
      </c>
      <c r="AA14" s="410">
        <v>25932</v>
      </c>
      <c r="AB14" s="411">
        <f>SUM(Z14:AA14)-AC14</f>
        <v>18698</v>
      </c>
      <c r="AC14" s="394">
        <v>8332</v>
      </c>
    </row>
    <row r="15" spans="1:31" ht="13.5" thickBot="1">
      <c r="A15" s="391">
        <v>2016</v>
      </c>
      <c r="B15" s="400">
        <f t="shared" si="11"/>
        <v>0</v>
      </c>
      <c r="C15" s="400">
        <f t="shared" si="0"/>
        <v>0</v>
      </c>
      <c r="D15" s="412">
        <v>41935</v>
      </c>
      <c r="E15" s="404">
        <v>24752</v>
      </c>
      <c r="F15" s="404">
        <v>0</v>
      </c>
      <c r="G15" s="400">
        <f t="shared" si="4"/>
        <v>24752</v>
      </c>
      <c r="H15" s="400">
        <f t="shared" si="12"/>
        <v>33084</v>
      </c>
      <c r="I15" s="404">
        <v>5084</v>
      </c>
      <c r="J15" s="404">
        <v>4321</v>
      </c>
      <c r="K15" s="400">
        <f t="shared" ref="K15:K19" si="17">H15-(I15+J15)</f>
        <v>23679</v>
      </c>
      <c r="L15" s="400">
        <f t="shared" ref="L15:L18" si="18">K15-K14</f>
        <v>15347</v>
      </c>
      <c r="M15" s="413">
        <f>B15-C15+MAX(0,D15-E15)-F15-AC14+AC15</f>
        <v>9300</v>
      </c>
      <c r="N15" s="405"/>
      <c r="O15" s="406">
        <v>1</v>
      </c>
      <c r="P15" s="407">
        <f t="shared" si="13"/>
        <v>9300</v>
      </c>
      <c r="Q15" s="407">
        <f t="shared" si="14"/>
        <v>0</v>
      </c>
      <c r="R15" s="394">
        <f t="shared" si="15"/>
        <v>0</v>
      </c>
      <c r="S15" s="394">
        <f t="shared" ref="S15:S20" si="19">MAX(0, MIN(R14, B15))</f>
        <v>0</v>
      </c>
      <c r="T15" s="394">
        <f t="shared" ref="T15:T20" si="20">MAX(0, MIN(S14, B15))</f>
        <v>0</v>
      </c>
      <c r="U15" s="394">
        <f t="shared" ref="U15:U20" si="21">MAX(0, MIN(T14, B15))</f>
        <v>0</v>
      </c>
      <c r="V15" s="394">
        <f t="shared" si="16"/>
        <v>0</v>
      </c>
      <c r="X15" s="408">
        <v>10130</v>
      </c>
      <c r="Y15" s="411">
        <f t="shared" si="10"/>
        <v>10130</v>
      </c>
      <c r="Z15" s="410">
        <v>499</v>
      </c>
      <c r="AA15" s="410">
        <v>22803</v>
      </c>
      <c r="AB15" s="411">
        <f>E15-AC15+AC14+9300</f>
        <v>41935</v>
      </c>
      <c r="AC15" s="414">
        <v>449</v>
      </c>
      <c r="AE15" s="317"/>
    </row>
    <row r="16" spans="1:31" s="319" customFormat="1" ht="13.5" thickBot="1">
      <c r="A16" s="437">
        <v>2017</v>
      </c>
      <c r="B16" s="407">
        <f t="shared" si="11"/>
        <v>9300</v>
      </c>
      <c r="C16" s="407">
        <f>SUM(R16:V16)</f>
        <v>0</v>
      </c>
      <c r="D16" s="415">
        <v>20000</v>
      </c>
      <c r="E16" s="415">
        <v>20000</v>
      </c>
      <c r="F16" s="406">
        <v>0</v>
      </c>
      <c r="G16" s="407">
        <f t="shared" si="4"/>
        <v>20000</v>
      </c>
      <c r="H16" s="407">
        <f t="shared" si="12"/>
        <v>43679</v>
      </c>
      <c r="I16" s="406">
        <v>20000</v>
      </c>
      <c r="J16" s="406">
        <v>2241</v>
      </c>
      <c r="K16" s="407">
        <f t="shared" si="17"/>
        <v>21438</v>
      </c>
      <c r="L16" s="407">
        <f t="shared" si="18"/>
        <v>-2241</v>
      </c>
      <c r="M16" s="416">
        <f>B16-C16+MAX(0,D16-E16)-F16</f>
        <v>9300</v>
      </c>
      <c r="N16" s="417"/>
      <c r="O16" s="406">
        <v>1</v>
      </c>
      <c r="P16" s="416">
        <f t="shared" si="13"/>
        <v>0</v>
      </c>
      <c r="Q16" s="407">
        <f t="shared" si="14"/>
        <v>9300</v>
      </c>
      <c r="R16" s="418">
        <f t="shared" si="15"/>
        <v>0</v>
      </c>
      <c r="S16" s="418">
        <f t="shared" si="19"/>
        <v>0</v>
      </c>
      <c r="T16" s="418">
        <f t="shared" si="20"/>
        <v>0</v>
      </c>
      <c r="U16" s="418">
        <f t="shared" si="21"/>
        <v>0</v>
      </c>
      <c r="V16" s="418">
        <f t="shared" si="16"/>
        <v>0</v>
      </c>
      <c r="X16" s="410">
        <v>11330</v>
      </c>
      <c r="Y16" s="419">
        <f t="shared" si="10"/>
        <v>11330</v>
      </c>
      <c r="Z16" s="410">
        <v>4563</v>
      </c>
      <c r="AA16" s="410">
        <f>8438+2668</f>
        <v>11106</v>
      </c>
      <c r="AB16" s="419">
        <v>20000</v>
      </c>
      <c r="AC16" s="438">
        <v>0</v>
      </c>
    </row>
    <row r="17" spans="1:29" s="319" customFormat="1" ht="13.5" thickBot="1">
      <c r="A17" s="437">
        <v>2018</v>
      </c>
      <c r="B17" s="407">
        <f t="shared" si="11"/>
        <v>9300</v>
      </c>
      <c r="C17" s="407">
        <f>SUM(R17:V17)</f>
        <v>0</v>
      </c>
      <c r="D17" s="415">
        <v>0</v>
      </c>
      <c r="E17" s="406">
        <v>0</v>
      </c>
      <c r="F17" s="406">
        <v>0</v>
      </c>
      <c r="G17" s="407">
        <f>E17+F17</f>
        <v>0</v>
      </c>
      <c r="H17" s="407">
        <f t="shared" si="12"/>
        <v>21438</v>
      </c>
      <c r="I17" s="406">
        <v>0</v>
      </c>
      <c r="J17" s="406">
        <v>1339</v>
      </c>
      <c r="K17" s="407">
        <f t="shared" si="17"/>
        <v>20099</v>
      </c>
      <c r="L17" s="407">
        <f t="shared" si="18"/>
        <v>-1339</v>
      </c>
      <c r="M17" s="416">
        <f>B17-C17+MAX(0,D17-E17)-F17-AC16+AC17</f>
        <v>9300</v>
      </c>
      <c r="N17" s="417"/>
      <c r="O17" s="406">
        <v>1</v>
      </c>
      <c r="P17" s="407">
        <f t="shared" si="13"/>
        <v>0</v>
      </c>
      <c r="Q17" s="407">
        <f t="shared" si="14"/>
        <v>9300</v>
      </c>
      <c r="R17" s="418">
        <f t="shared" si="15"/>
        <v>0</v>
      </c>
      <c r="S17" s="418">
        <f t="shared" si="19"/>
        <v>0</v>
      </c>
      <c r="T17" s="418">
        <f t="shared" si="20"/>
        <v>0</v>
      </c>
      <c r="U17" s="418">
        <f t="shared" si="21"/>
        <v>0</v>
      </c>
      <c r="V17" s="418">
        <f t="shared" si="16"/>
        <v>0</v>
      </c>
      <c r="X17" s="410">
        <v>13578</v>
      </c>
      <c r="Y17" s="419">
        <f t="shared" si="10"/>
        <v>13578</v>
      </c>
      <c r="Z17" s="410">
        <v>0</v>
      </c>
      <c r="AA17" s="410">
        <v>0</v>
      </c>
      <c r="AB17" s="419">
        <f>E17-AC17+AC16</f>
        <v>0</v>
      </c>
      <c r="AC17" s="438">
        <v>0</v>
      </c>
    </row>
    <row r="18" spans="1:29" ht="13.5" thickBot="1">
      <c r="A18" s="437">
        <v>2019</v>
      </c>
      <c r="B18" s="407">
        <f t="shared" si="11"/>
        <v>9300</v>
      </c>
      <c r="C18" s="407">
        <f>SUM(R18:V18)</f>
        <v>0</v>
      </c>
      <c r="D18" s="415">
        <v>0</v>
      </c>
      <c r="E18" s="406">
        <v>0</v>
      </c>
      <c r="F18" s="406">
        <v>0</v>
      </c>
      <c r="G18" s="407">
        <f>E18+F18</f>
        <v>0</v>
      </c>
      <c r="H18" s="407">
        <f t="shared" si="12"/>
        <v>20099</v>
      </c>
      <c r="I18" s="406">
        <v>0</v>
      </c>
      <c r="J18" s="406">
        <v>2340</v>
      </c>
      <c r="K18" s="407">
        <f t="shared" si="17"/>
        <v>17759</v>
      </c>
      <c r="L18" s="407">
        <f t="shared" si="18"/>
        <v>-2340</v>
      </c>
      <c r="M18" s="416">
        <f>B18-C18+MAX(0,D18-E18)-F18-AC17+AC18</f>
        <v>9300</v>
      </c>
      <c r="N18" s="417"/>
      <c r="O18" s="406">
        <v>1</v>
      </c>
      <c r="P18" s="407">
        <f t="shared" si="13"/>
        <v>0</v>
      </c>
      <c r="Q18" s="407">
        <f t="shared" si="14"/>
        <v>9300</v>
      </c>
      <c r="R18" s="418">
        <f t="shared" si="15"/>
        <v>0</v>
      </c>
      <c r="S18" s="418">
        <f t="shared" si="19"/>
        <v>0</v>
      </c>
      <c r="T18" s="418">
        <f t="shared" si="20"/>
        <v>0</v>
      </c>
      <c r="U18" s="418">
        <f t="shared" si="21"/>
        <v>0</v>
      </c>
      <c r="V18" s="418">
        <f t="shared" si="16"/>
        <v>0</v>
      </c>
      <c r="W18" s="319"/>
      <c r="X18" s="410">
        <v>8905</v>
      </c>
      <c r="Y18" s="419">
        <f t="shared" si="10"/>
        <v>8905</v>
      </c>
      <c r="Z18" s="410">
        <v>0</v>
      </c>
      <c r="AA18" s="410">
        <v>0</v>
      </c>
      <c r="AB18" s="419">
        <f>E18-AC18+AC17</f>
        <v>0</v>
      </c>
      <c r="AC18" s="438">
        <v>0</v>
      </c>
    </row>
    <row r="19" spans="1:29" ht="13.5" thickBot="1">
      <c r="A19" s="437">
        <v>2020</v>
      </c>
      <c r="B19" s="407">
        <f t="shared" si="11"/>
        <v>9300</v>
      </c>
      <c r="C19" s="407">
        <f>SUM(R19:V19)</f>
        <v>1860</v>
      </c>
      <c r="D19" s="415">
        <v>0</v>
      </c>
      <c r="E19" s="406">
        <v>0</v>
      </c>
      <c r="F19" s="406">
        <v>0</v>
      </c>
      <c r="G19" s="407">
        <f>E19+F19</f>
        <v>0</v>
      </c>
      <c r="H19" s="407">
        <f t="shared" si="12"/>
        <v>17759</v>
      </c>
      <c r="I19" s="404">
        <v>0</v>
      </c>
      <c r="J19" s="404">
        <v>3889</v>
      </c>
      <c r="K19" s="407">
        <f t="shared" si="17"/>
        <v>13870</v>
      </c>
      <c r="L19" s="407">
        <f>K19-K18</f>
        <v>-3889</v>
      </c>
      <c r="M19" s="416">
        <f>B19-C19+MAX(0,D19-E19)-F19-AC18+AC19</f>
        <v>7440</v>
      </c>
      <c r="N19" s="417"/>
      <c r="O19" s="406">
        <v>0</v>
      </c>
      <c r="P19" s="407">
        <f t="shared" si="13"/>
        <v>0</v>
      </c>
      <c r="Q19" s="407">
        <f>MAX(0, IF(AND(O17=1,O18=0),P18,IF(AND(O16=1,O17=0),P18+P17,IF(AND(O15=1,O16=0),P18+P17+P16,IF(AND(O14=1,O15=0),P18+P17+P16+P15,P18+P17+P16+P15+P14)))))</f>
        <v>9300</v>
      </c>
      <c r="R19" s="418">
        <f t="shared" si="15"/>
        <v>1860</v>
      </c>
      <c r="S19" s="418">
        <f t="shared" si="19"/>
        <v>0</v>
      </c>
      <c r="T19" s="418">
        <f t="shared" si="20"/>
        <v>0</v>
      </c>
      <c r="U19" s="418">
        <f t="shared" si="21"/>
        <v>0</v>
      </c>
      <c r="V19" s="418">
        <f t="shared" si="16"/>
        <v>0</v>
      </c>
      <c r="W19" s="319"/>
      <c r="X19" s="408">
        <v>6218</v>
      </c>
      <c r="Y19" s="419">
        <f t="shared" si="10"/>
        <v>6218</v>
      </c>
      <c r="Z19" s="408">
        <v>0</v>
      </c>
      <c r="AA19" s="408">
        <v>0</v>
      </c>
      <c r="AB19" s="419">
        <f>E19-AC19+AC18</f>
        <v>0</v>
      </c>
      <c r="AC19" s="438">
        <v>0</v>
      </c>
    </row>
    <row r="20" spans="1:29" ht="13.5" thickBot="1">
      <c r="A20" s="437">
        <v>2021</v>
      </c>
      <c r="B20" s="416">
        <f>M19</f>
        <v>7440</v>
      </c>
      <c r="C20" s="407">
        <f>SUM(R20:V20)</f>
        <v>1860</v>
      </c>
      <c r="D20" s="415">
        <v>0</v>
      </c>
      <c r="E20" s="406">
        <v>0</v>
      </c>
      <c r="F20" s="406">
        <v>0</v>
      </c>
      <c r="G20" s="407">
        <f>E20+F20</f>
        <v>0</v>
      </c>
      <c r="H20" s="407">
        <f t="shared" ref="H20" si="22">G20+K19</f>
        <v>13870</v>
      </c>
      <c r="I20" s="404">
        <v>0</v>
      </c>
      <c r="J20" s="404">
        <v>1550</v>
      </c>
      <c r="K20" s="407">
        <f>H20-(I20+J20)</f>
        <v>12320</v>
      </c>
      <c r="L20" s="407">
        <f>K20-K19</f>
        <v>-1550</v>
      </c>
      <c r="M20" s="416">
        <f>B20-C20+MAX(0,D20-E20)-F20-AC19+AC20</f>
        <v>5580</v>
      </c>
      <c r="N20" s="417"/>
      <c r="O20" s="406">
        <v>0</v>
      </c>
      <c r="P20" s="407">
        <f t="shared" ref="P20" si="23" xml:space="preserve"> M20-B20+C20</f>
        <v>0</v>
      </c>
      <c r="Q20" s="407">
        <f>MAX(0, IF(AND(O18=1,O19=0),P19,IF(AND(O17=1,O18=0),P19+P18,IF(AND(O16=1,O17=0),P19+P18+P17,IF(AND(O15=1,O16=0),P19+P18+P17+P16,P19+P18+P17+P16+P15)))))</f>
        <v>0</v>
      </c>
      <c r="R20" s="418">
        <f t="shared" ref="R20" si="24">IF(AND(O20=0, O19=1), Q20/5, 0)</f>
        <v>0</v>
      </c>
      <c r="S20" s="418">
        <f t="shared" si="19"/>
        <v>1860</v>
      </c>
      <c r="T20" s="418">
        <f t="shared" si="20"/>
        <v>0</v>
      </c>
      <c r="U20" s="418">
        <f t="shared" si="21"/>
        <v>0</v>
      </c>
      <c r="V20" s="418">
        <f t="shared" ref="V20" si="25">MAX(0, MIN(U19, B20))</f>
        <v>0</v>
      </c>
      <c r="W20" s="319"/>
      <c r="X20" s="408">
        <v>9390</v>
      </c>
      <c r="Y20" s="419">
        <f t="shared" ref="Y20" si="26">X20</f>
        <v>9390</v>
      </c>
      <c r="Z20" s="408">
        <v>0</v>
      </c>
      <c r="AA20" s="408">
        <v>0</v>
      </c>
      <c r="AB20" s="419">
        <f>E20-AC20+AC19</f>
        <v>0</v>
      </c>
      <c r="AC20" s="438">
        <v>0</v>
      </c>
    </row>
    <row r="21" spans="1:29">
      <c r="C21" s="312"/>
      <c r="D21" s="312"/>
      <c r="E21" s="312"/>
      <c r="F21" s="312"/>
      <c r="AA21" s="420"/>
    </row>
    <row r="22" spans="1:29">
      <c r="A22" s="421"/>
      <c r="B22" s="99" t="s">
        <v>675</v>
      </c>
      <c r="C22" s="312"/>
      <c r="D22" s="312"/>
      <c r="E22" s="312"/>
      <c r="F22" s="312"/>
    </row>
    <row r="23" spans="1:29" ht="39" customHeight="1">
      <c r="B23" s="534" t="s">
        <v>676</v>
      </c>
      <c r="C23" s="534"/>
      <c r="D23" s="534"/>
      <c r="E23" s="534"/>
      <c r="F23" s="534"/>
      <c r="G23" s="534"/>
      <c r="H23" s="534"/>
      <c r="I23" s="534"/>
      <c r="J23" s="534"/>
      <c r="K23" s="534"/>
      <c r="L23" s="534"/>
      <c r="M23" s="534"/>
      <c r="N23" s="534"/>
      <c r="O23" s="534"/>
      <c r="P23" s="534"/>
      <c r="Q23" s="534"/>
      <c r="R23" s="534"/>
      <c r="AA23" s="317"/>
    </row>
    <row r="24" spans="1:29" ht="26.25" customHeight="1">
      <c r="B24" s="529" t="s">
        <v>677</v>
      </c>
      <c r="C24" s="529"/>
      <c r="D24" s="529"/>
      <c r="E24" s="529"/>
      <c r="F24" s="529"/>
      <c r="G24" s="529"/>
      <c r="H24" s="529"/>
      <c r="I24" s="529"/>
      <c r="J24" s="529"/>
      <c r="K24" s="529"/>
      <c r="L24" s="529"/>
      <c r="M24" s="529"/>
      <c r="N24" s="529"/>
      <c r="O24" s="529"/>
      <c r="P24" s="529"/>
      <c r="Q24" s="529"/>
      <c r="R24" s="529"/>
      <c r="AA24" s="317"/>
      <c r="AB24" s="317"/>
    </row>
    <row r="25" spans="1:29">
      <c r="B25" s="99" t="s">
        <v>678</v>
      </c>
      <c r="AB25" s="102"/>
    </row>
    <row r="26" spans="1:29">
      <c r="B26" s="99"/>
    </row>
    <row r="27" spans="1:29">
      <c r="AA27" s="317"/>
    </row>
    <row r="28" spans="1:29">
      <c r="J28" s="102"/>
      <c r="T28" s="102"/>
      <c r="AB28" s="317"/>
    </row>
    <row r="29" spans="1:29">
      <c r="D29" s="422"/>
    </row>
    <row r="30" spans="1:29">
      <c r="AA30" s="317"/>
    </row>
    <row r="31" spans="1:29">
      <c r="AA31" s="317"/>
    </row>
    <row r="33" spans="2:25">
      <c r="B33" s="422"/>
      <c r="E33" s="422"/>
      <c r="Y33" s="317"/>
    </row>
    <row r="35" spans="2:25">
      <c r="B35" s="422"/>
    </row>
    <row r="36" spans="2:25">
      <c r="E36" s="422"/>
    </row>
  </sheetData>
  <mergeCells count="7">
    <mergeCell ref="B24:R24"/>
    <mergeCell ref="A2:M2"/>
    <mergeCell ref="O2:V2"/>
    <mergeCell ref="X2:AB2"/>
    <mergeCell ref="X3:Y3"/>
    <mergeCell ref="Z3:AC3"/>
    <mergeCell ref="B23:R23"/>
  </mergeCells>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B20"/>
  <sheetViews>
    <sheetView view="pageBreakPreview" zoomScaleNormal="100" zoomScaleSheetLayoutView="100" workbookViewId="0">
      <selection activeCell="D51" sqref="D51"/>
    </sheetView>
  </sheetViews>
  <sheetFormatPr defaultRowHeight="12.75"/>
  <cols>
    <col min="1" max="1" width="28" customWidth="1"/>
    <col min="2" max="2" width="32.28515625" customWidth="1"/>
  </cols>
  <sheetData>
    <row r="1" spans="1:2">
      <c r="A1" t="s">
        <v>493</v>
      </c>
    </row>
    <row r="4" spans="1:2" ht="30.75" customHeight="1">
      <c r="A4" s="127" t="s">
        <v>480</v>
      </c>
      <c r="B4" s="128" t="s">
        <v>494</v>
      </c>
    </row>
    <row r="5" spans="1:2">
      <c r="A5" s="127" t="s">
        <v>469</v>
      </c>
      <c r="B5" s="129">
        <v>16400</v>
      </c>
    </row>
    <row r="6" spans="1:2">
      <c r="A6" s="127" t="s">
        <v>470</v>
      </c>
      <c r="B6" s="129">
        <v>33900</v>
      </c>
    </row>
    <row r="7" spans="1:2">
      <c r="A7" s="127" t="s">
        <v>471</v>
      </c>
      <c r="B7" s="129">
        <v>9800</v>
      </c>
    </row>
    <row r="8" spans="1:2">
      <c r="A8" s="127" t="s">
        <v>472</v>
      </c>
      <c r="B8" s="129">
        <v>9800</v>
      </c>
    </row>
    <row r="9" spans="1:2">
      <c r="A9" s="127" t="s">
        <v>473</v>
      </c>
      <c r="B9" s="129">
        <v>30400</v>
      </c>
    </row>
    <row r="10" spans="1:2">
      <c r="A10" s="127" t="s">
        <v>474</v>
      </c>
      <c r="B10" s="129">
        <v>51900</v>
      </c>
    </row>
    <row r="11" spans="1:2">
      <c r="A11" s="127" t="s">
        <v>475</v>
      </c>
      <c r="B11" s="129">
        <v>9400</v>
      </c>
    </row>
    <row r="12" spans="1:2">
      <c r="A12" s="127" t="s">
        <v>476</v>
      </c>
      <c r="B12" s="129">
        <v>15100</v>
      </c>
    </row>
    <row r="13" spans="1:2">
      <c r="A13" s="127" t="s">
        <v>477</v>
      </c>
      <c r="B13" s="129">
        <v>55100</v>
      </c>
    </row>
    <row r="14" spans="1:2">
      <c r="A14" s="127" t="s">
        <v>478</v>
      </c>
      <c r="B14" s="129">
        <v>13900</v>
      </c>
    </row>
    <row r="15" spans="1:2">
      <c r="A15" s="127" t="s">
        <v>479</v>
      </c>
      <c r="B15" s="129">
        <v>26900</v>
      </c>
    </row>
    <row r="16" spans="1:2">
      <c r="A16" s="127" t="s">
        <v>24</v>
      </c>
      <c r="B16" s="129">
        <v>15700</v>
      </c>
    </row>
    <row r="18" spans="1:1" ht="14.25">
      <c r="A18" s="130" t="s">
        <v>495</v>
      </c>
    </row>
    <row r="19" spans="1:1">
      <c r="A19" s="131" t="s">
        <v>496</v>
      </c>
    </row>
    <row r="20" spans="1:1">
      <c r="A20" s="131" t="s">
        <v>497</v>
      </c>
    </row>
  </sheetData>
  <phoneticPr fontId="43" type="noConversion"/>
  <pageMargins left="0.75" right="0.75" top="1" bottom="1" header="0.5" footer="0.5"/>
  <pageSetup scale="8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FFFF00"/>
    <pageSetUpPr fitToPage="1"/>
  </sheetPr>
  <dimension ref="A1:S42"/>
  <sheetViews>
    <sheetView zoomScaleNormal="100" workbookViewId="0">
      <selection activeCell="J28" sqref="J28"/>
    </sheetView>
  </sheetViews>
  <sheetFormatPr defaultRowHeight="12.75"/>
  <cols>
    <col min="5" max="5" width="9.42578125" customWidth="1"/>
    <col min="9" max="9" width="10.28515625" customWidth="1"/>
  </cols>
  <sheetData>
    <row r="1" spans="1:19">
      <c r="A1" t="s">
        <v>395</v>
      </c>
    </row>
    <row r="3" spans="1:19" s="30" customFormat="1" ht="76.5">
      <c r="A3" s="26" t="s">
        <v>33</v>
      </c>
      <c r="B3" s="26" t="s">
        <v>425</v>
      </c>
      <c r="C3" s="26" t="s">
        <v>50</v>
      </c>
      <c r="D3" s="26" t="s">
        <v>51</v>
      </c>
      <c r="E3" s="26" t="s">
        <v>52</v>
      </c>
      <c r="F3" s="26" t="s">
        <v>53</v>
      </c>
      <c r="G3" s="26" t="s">
        <v>54</v>
      </c>
      <c r="H3" s="26" t="s">
        <v>55</v>
      </c>
      <c r="I3" s="26" t="s">
        <v>56</v>
      </c>
      <c r="J3" s="26" t="s">
        <v>57</v>
      </c>
      <c r="K3" s="26" t="s">
        <v>58</v>
      </c>
      <c r="L3" s="26" t="s">
        <v>63</v>
      </c>
      <c r="M3" s="26" t="s">
        <v>59</v>
      </c>
      <c r="N3" s="26" t="s">
        <v>60</v>
      </c>
      <c r="O3" s="26" t="s">
        <v>459</v>
      </c>
      <c r="P3" s="26" t="s">
        <v>460</v>
      </c>
      <c r="Q3" s="26" t="s">
        <v>461</v>
      </c>
      <c r="R3" s="26" t="s">
        <v>61</v>
      </c>
      <c r="S3" s="26" t="s">
        <v>62</v>
      </c>
    </row>
    <row r="4" spans="1:19" s="30" customFormat="1">
      <c r="A4" s="310">
        <f>INPUT!$C$1</f>
        <v>2017</v>
      </c>
      <c r="B4" s="176">
        <f>MAINSTEM!B191</f>
        <v>155380</v>
      </c>
      <c r="C4" s="176">
        <f>INPUT!C197</f>
        <v>127121</v>
      </c>
      <c r="D4" s="176">
        <f>INPUT!C196</f>
        <v>94437</v>
      </c>
      <c r="E4" s="176">
        <f>INPUT!C262</f>
        <v>62438</v>
      </c>
      <c r="F4" s="250">
        <f>INPUT!C259</f>
        <v>7493</v>
      </c>
      <c r="G4" s="250">
        <f>J14+J15</f>
        <v>8574.1332239999992</v>
      </c>
      <c r="H4" s="250">
        <f>F4-J21</f>
        <v>4877.1679999999997</v>
      </c>
      <c r="I4" s="178">
        <f>G4+H4</f>
        <v>13451.301223999999</v>
      </c>
      <c r="J4" s="315">
        <f>J26+J27+J28-J29-J30+J31</f>
        <v>3585.33099167</v>
      </c>
      <c r="K4" s="250">
        <f>J36+J37+J38</f>
        <v>779.75</v>
      </c>
      <c r="L4" s="178">
        <f>J4+K4</f>
        <v>4365.08099167</v>
      </c>
      <c r="M4" s="178">
        <f>C4-D4-I4</f>
        <v>19232.698776000001</v>
      </c>
      <c r="N4" s="178">
        <f>L4+M4</f>
        <v>23597.779767669999</v>
      </c>
      <c r="O4" s="178">
        <f>B4-N4</f>
        <v>131782.22023233</v>
      </c>
      <c r="P4" s="178">
        <f>0.489*O4</f>
        <v>64441.505693609368</v>
      </c>
      <c r="Q4" s="178">
        <f>0.511*O4</f>
        <v>67340.714538720626</v>
      </c>
      <c r="R4" s="178">
        <f>0.489*N4</f>
        <v>11539.31430639063</v>
      </c>
      <c r="S4" s="178">
        <f>0.511*N4</f>
        <v>12058.465461279369</v>
      </c>
    </row>
    <row r="5" spans="1:19" s="30" customFormat="1">
      <c r="A5" s="310">
        <f>INPUT!$D$1</f>
        <v>2018</v>
      </c>
      <c r="B5" s="176">
        <f>MAINSTEM!C191</f>
        <v>147550</v>
      </c>
      <c r="C5" s="176">
        <f>INPUT!D197</f>
        <v>110861</v>
      </c>
      <c r="D5" s="176">
        <f>INPUT!D196</f>
        <v>63585</v>
      </c>
      <c r="E5" s="176">
        <f>INPUT!D262</f>
        <v>46704</v>
      </c>
      <c r="F5" s="250">
        <f>INPUT!D259</f>
        <v>8121</v>
      </c>
      <c r="G5" s="250">
        <f>K14+K15</f>
        <v>5314.7828719999998</v>
      </c>
      <c r="H5" s="250">
        <f>F5-K21</f>
        <v>5376.8783999999996</v>
      </c>
      <c r="I5" s="178">
        <f>G5+H5</f>
        <v>10691.661271999999</v>
      </c>
      <c r="J5" s="315">
        <f>K26+K27+K28-K29-K30+K31</f>
        <v>3313.9291000000003</v>
      </c>
      <c r="K5" s="250">
        <f>K36+K37+K38</f>
        <v>564.5</v>
      </c>
      <c r="L5" s="178">
        <f>J5+K5</f>
        <v>3878.4291000000003</v>
      </c>
      <c r="M5" s="178">
        <f>C5-D5-I5</f>
        <v>36584.338728000002</v>
      </c>
      <c r="N5" s="178">
        <f>L5+M5</f>
        <v>40462.767828000004</v>
      </c>
      <c r="O5" s="178">
        <f>B5-N5</f>
        <v>107087.23217199999</v>
      </c>
      <c r="P5" s="178">
        <f>0.489*O5</f>
        <v>52365.656532107991</v>
      </c>
      <c r="Q5" s="178">
        <f>0.511*O5</f>
        <v>54721.575639891998</v>
      </c>
      <c r="R5" s="178">
        <f>0.489*N5</f>
        <v>19786.293467892003</v>
      </c>
      <c r="S5" s="178">
        <f>0.511*N5</f>
        <v>20676.474360108001</v>
      </c>
    </row>
    <row r="6" spans="1:19" s="21" customFormat="1">
      <c r="A6" s="310">
        <f>INPUT!$E$1</f>
        <v>2019</v>
      </c>
      <c r="B6" s="178">
        <f>MAINSTEM!D191</f>
        <v>399550</v>
      </c>
      <c r="C6" s="178">
        <f>INPUT!E197</f>
        <v>626375</v>
      </c>
      <c r="D6" s="178">
        <f>INPUT!E196</f>
        <v>502644</v>
      </c>
      <c r="E6" s="178">
        <f>INPUT!E262</f>
        <v>55120</v>
      </c>
      <c r="F6" s="178">
        <f>INPUT!E259</f>
        <v>7741</v>
      </c>
      <c r="G6" s="178">
        <f>L14+L15</f>
        <v>4279.5809599999993</v>
      </c>
      <c r="H6" s="178">
        <f>F6-L21</f>
        <v>6308.4071999999996</v>
      </c>
      <c r="I6" s="178">
        <f>G6+H6</f>
        <v>10587.988159999999</v>
      </c>
      <c r="J6" s="321">
        <f>L26+L27+L28-L29-L30+L31</f>
        <v>1780</v>
      </c>
      <c r="K6" s="178">
        <f>L36+L37+L38</f>
        <v>196.75</v>
      </c>
      <c r="L6" s="178">
        <f>J6+K6</f>
        <v>1976.75</v>
      </c>
      <c r="M6" s="178">
        <f>C6-D6-I6</f>
        <v>113143.01184000001</v>
      </c>
      <c r="N6" s="178">
        <f>L6+M6</f>
        <v>115119.76184000001</v>
      </c>
      <c r="O6" s="178">
        <f>B6-N6</f>
        <v>284430.23816000001</v>
      </c>
      <c r="P6" s="178">
        <f>0.489*O6</f>
        <v>139086.38646024</v>
      </c>
      <c r="Q6" s="178">
        <f>0.511*O6</f>
        <v>145343.85169976001</v>
      </c>
      <c r="R6" s="178">
        <f>0.489*N6</f>
        <v>56293.563539760005</v>
      </c>
      <c r="S6" s="178">
        <f>0.511*N6</f>
        <v>58826.198300240001</v>
      </c>
    </row>
    <row r="7" spans="1:19" s="317" customFormat="1">
      <c r="A7" s="310">
        <f>INPUT!$F$1</f>
        <v>2020</v>
      </c>
      <c r="B7" s="178">
        <f>MAINSTEM!E191</f>
        <v>264600</v>
      </c>
      <c r="C7" s="178">
        <f>INPUT!F197</f>
        <v>251238.74380165289</v>
      </c>
      <c r="D7" s="178">
        <f>INPUT!F196</f>
        <v>202415.70247933877</v>
      </c>
      <c r="E7" s="178">
        <f>INPUT!F262</f>
        <v>44380</v>
      </c>
      <c r="F7" s="178">
        <f>INPUT!F259</f>
        <v>10070</v>
      </c>
      <c r="G7" s="178">
        <f>M14+M15</f>
        <v>7327.2684000000008</v>
      </c>
      <c r="H7" s="178">
        <f>F7-M21</f>
        <v>8024.4211999999998</v>
      </c>
      <c r="I7" s="178">
        <f>G7+H7</f>
        <v>15351.689600000002</v>
      </c>
      <c r="J7" s="321">
        <f>M26+M27+M28-M29-M30+M31</f>
        <v>2266.3791281943909</v>
      </c>
      <c r="K7" s="178">
        <f>M36+M37+M38</f>
        <v>615.75</v>
      </c>
      <c r="L7" s="178">
        <f>J7+K7</f>
        <v>2882.1291281943909</v>
      </c>
      <c r="M7" s="178">
        <f>C7-D7-I7</f>
        <v>33471.351722314124</v>
      </c>
      <c r="N7" s="178">
        <f>L7+M7</f>
        <v>36353.480850508517</v>
      </c>
      <c r="O7" s="178">
        <f>B7-N7</f>
        <v>228246.51914949148</v>
      </c>
      <c r="P7" s="178">
        <f>0.489*O7</f>
        <v>111612.54786410133</v>
      </c>
      <c r="Q7" s="178">
        <f>0.511*O7</f>
        <v>116633.97128539014</v>
      </c>
      <c r="R7" s="178">
        <f>0.489*N7</f>
        <v>17776.852135898665</v>
      </c>
      <c r="S7" s="178">
        <f>0.511*N7</f>
        <v>18576.628714609851</v>
      </c>
    </row>
    <row r="8" spans="1:19" s="317" customFormat="1" ht="13.5" thickBot="1">
      <c r="A8" s="311">
        <f>INPUT!$G$1</f>
        <v>2021</v>
      </c>
      <c r="B8" s="178">
        <f>MAINSTEM!F191</f>
        <v>204980</v>
      </c>
      <c r="C8" s="178">
        <f>INPUT!G197</f>
        <v>142152</v>
      </c>
      <c r="D8" s="178">
        <f>INPUT!G196</f>
        <v>115649</v>
      </c>
      <c r="E8" s="178">
        <f>INPUT!F262</f>
        <v>44380</v>
      </c>
      <c r="F8" s="178">
        <f>INPUT!G259</f>
        <v>9551</v>
      </c>
      <c r="G8" s="178">
        <f>N14+N15</f>
        <v>10536.337191999999</v>
      </c>
      <c r="H8" s="178">
        <f>F8-N21</f>
        <v>6474.5372000000007</v>
      </c>
      <c r="I8" s="178">
        <f>G8+H8</f>
        <v>17010.874391999998</v>
      </c>
      <c r="J8" s="321">
        <f>N26+N27+N28-N29-N30+N31</f>
        <v>3083.75</v>
      </c>
      <c r="K8" s="178">
        <f>N36+N37+N38</f>
        <v>723.02</v>
      </c>
      <c r="L8" s="178">
        <f>J8+K8</f>
        <v>3806.77</v>
      </c>
      <c r="M8" s="178">
        <f>C8-D8-I8</f>
        <v>9492.1256080000021</v>
      </c>
      <c r="N8" s="178">
        <f>L8+M8</f>
        <v>13298.895608000003</v>
      </c>
      <c r="O8" s="178">
        <f>B8-N8</f>
        <v>191681.10439200001</v>
      </c>
      <c r="P8" s="178">
        <f>0.489*O8</f>
        <v>93732.060047688006</v>
      </c>
      <c r="Q8" s="178">
        <f>0.511*O8</f>
        <v>97949.044344312002</v>
      </c>
      <c r="R8" s="178">
        <f>0.489*N8</f>
        <v>6503.1599523120012</v>
      </c>
      <c r="S8" s="178">
        <f>0.511*N8</f>
        <v>6795.7356556880013</v>
      </c>
    </row>
    <row r="9" spans="1:19" ht="13.5" thickTop="1">
      <c r="B9" s="14"/>
      <c r="C9" s="14"/>
      <c r="D9" s="14"/>
      <c r="E9" s="14"/>
      <c r="F9" s="319"/>
      <c r="G9" s="319"/>
      <c r="H9" s="319"/>
      <c r="I9" s="319"/>
      <c r="J9" s="319"/>
      <c r="K9" s="319"/>
      <c r="L9" s="319"/>
      <c r="M9" s="322"/>
      <c r="N9" s="319"/>
      <c r="O9" s="322"/>
      <c r="P9" s="322"/>
      <c r="Q9" s="285"/>
      <c r="R9" s="285"/>
      <c r="S9" s="285"/>
    </row>
    <row r="10" spans="1:19">
      <c r="J10" s="319"/>
      <c r="K10" s="319"/>
      <c r="M10" s="98"/>
      <c r="O10" s="98"/>
      <c r="P10" s="98"/>
      <c r="Q10" s="99"/>
      <c r="R10" s="99"/>
      <c r="S10" s="99"/>
    </row>
    <row r="11" spans="1:19">
      <c r="J11" s="319"/>
      <c r="K11" s="319"/>
      <c r="M11" s="98"/>
      <c r="O11" s="98"/>
      <c r="P11" s="98"/>
      <c r="Q11" s="99"/>
      <c r="R11" s="99"/>
      <c r="S11" s="99"/>
    </row>
    <row r="12" spans="1:19">
      <c r="B12" s="92" t="s">
        <v>64</v>
      </c>
      <c r="C12" s="93"/>
      <c r="D12" s="93"/>
      <c r="E12" s="93"/>
      <c r="F12" s="93"/>
      <c r="G12" s="93"/>
      <c r="H12" s="93"/>
      <c r="I12" s="93"/>
      <c r="J12" s="335"/>
      <c r="K12" s="335"/>
      <c r="L12" s="93"/>
      <c r="M12" s="93"/>
      <c r="N12" s="93"/>
      <c r="O12" s="98"/>
      <c r="P12" s="98"/>
      <c r="Q12" s="99"/>
      <c r="R12" s="99"/>
      <c r="S12" s="99"/>
    </row>
    <row r="13" spans="1:19">
      <c r="B13" s="87"/>
      <c r="C13" s="1"/>
      <c r="D13" s="1"/>
      <c r="E13" s="1"/>
      <c r="F13" s="1"/>
      <c r="G13" s="1"/>
      <c r="H13" s="1"/>
      <c r="I13" s="1"/>
      <c r="J13" s="109">
        <f>$A$4</f>
        <v>2017</v>
      </c>
      <c r="K13" s="109">
        <f>$A$5</f>
        <v>2018</v>
      </c>
      <c r="L13" s="109">
        <f>$A$6</f>
        <v>2019</v>
      </c>
      <c r="M13" s="109">
        <f>$A$7</f>
        <v>2020</v>
      </c>
      <c r="N13" s="109">
        <f>$A$8</f>
        <v>2021</v>
      </c>
      <c r="O13" s="98"/>
      <c r="P13" s="98"/>
      <c r="Q13" s="99"/>
      <c r="R13" s="99"/>
      <c r="S13" s="99"/>
    </row>
    <row r="14" spans="1:19">
      <c r="B14" s="92" t="str">
        <f>MAINSTEM!A91</f>
        <v>Return Flow From Courtland Canal To Republican River Above Lovewell From Kansas</v>
      </c>
      <c r="C14" s="93"/>
      <c r="D14" s="93"/>
      <c r="E14" s="93"/>
      <c r="F14" s="93"/>
      <c r="G14" s="93"/>
      <c r="H14" s="93"/>
      <c r="I14" s="94"/>
      <c r="J14" s="180">
        <f>MAINSTEM!B91</f>
        <v>788.98500000000001</v>
      </c>
      <c r="K14" s="180">
        <f>MAINSTEM!C91</f>
        <v>608.38499999999999</v>
      </c>
      <c r="L14" s="180">
        <f>MAINSTEM!D91</f>
        <v>760.81499999999994</v>
      </c>
      <c r="M14" s="180">
        <f>MAINSTEM!E91</f>
        <v>536.34</v>
      </c>
      <c r="N14" s="180">
        <f>MAINSTEM!F91</f>
        <v>911.64</v>
      </c>
      <c r="O14" s="98"/>
      <c r="P14" s="98"/>
      <c r="Q14" s="99"/>
      <c r="R14" s="99"/>
      <c r="S14" s="99"/>
    </row>
    <row r="15" spans="1:19">
      <c r="B15" s="89" t="s">
        <v>426</v>
      </c>
      <c r="C15" s="90"/>
      <c r="D15" s="90"/>
      <c r="E15" s="90"/>
      <c r="F15" s="90"/>
      <c r="G15" s="90"/>
      <c r="H15" s="90"/>
      <c r="I15" s="91"/>
      <c r="J15" s="181">
        <f>(J17-J18-J20)*0.82</f>
        <v>7785.1482239999987</v>
      </c>
      <c r="K15" s="181">
        <f>(K17-K18-K20)*0.82</f>
        <v>4706.3978719999996</v>
      </c>
      <c r="L15" s="181">
        <f>(L17-L18-L20)*0.82</f>
        <v>3518.7659599999997</v>
      </c>
      <c r="M15" s="181">
        <f>(M17-M18-M20)*0.82</f>
        <v>6790.9284000000007</v>
      </c>
      <c r="N15" s="181">
        <f>(N17-N18-N20)*0.82</f>
        <v>9624.6971919999996</v>
      </c>
      <c r="O15" s="98"/>
      <c r="P15" s="98"/>
      <c r="Q15" s="99"/>
      <c r="R15" s="99"/>
      <c r="S15" s="99"/>
    </row>
    <row r="16" spans="1:19">
      <c r="B16" s="87"/>
      <c r="C16" s="1"/>
      <c r="D16" s="1"/>
      <c r="E16" s="1"/>
      <c r="F16" s="1"/>
      <c r="G16" s="1"/>
      <c r="H16" s="1"/>
      <c r="I16" s="88"/>
      <c r="J16" s="182"/>
      <c r="K16" s="182"/>
      <c r="L16" s="182"/>
      <c r="M16" s="182"/>
      <c r="N16" s="182"/>
      <c r="O16" s="98"/>
      <c r="P16" s="98"/>
      <c r="Q16" s="99"/>
      <c r="R16" s="99"/>
      <c r="S16" s="99"/>
    </row>
    <row r="17" spans="2:19">
      <c r="B17" s="85" t="str">
        <f>MAINSTEM!A59</f>
        <v>Courtland Canal Diversions At Headgate</v>
      </c>
      <c r="C17" s="86"/>
      <c r="D17" s="86"/>
      <c r="E17" s="86"/>
      <c r="F17" s="86"/>
      <c r="G17" s="86"/>
      <c r="H17" s="86"/>
      <c r="I17" s="95"/>
      <c r="J17" s="183">
        <f>MAINSTEM!B59</f>
        <v>62438</v>
      </c>
      <c r="K17" s="183">
        <f>MAINSTEM!C59</f>
        <v>46704</v>
      </c>
      <c r="L17" s="183">
        <f>MAINSTEM!D59</f>
        <v>55120</v>
      </c>
      <c r="M17" s="183">
        <f>MAINSTEM!E59</f>
        <v>44380</v>
      </c>
      <c r="N17" s="183">
        <f>MAINSTEM!F59</f>
        <v>73224</v>
      </c>
      <c r="O17" s="98"/>
      <c r="P17" s="98"/>
      <c r="Q17" s="99"/>
      <c r="R17" s="99"/>
      <c r="S17" s="99"/>
    </row>
    <row r="18" spans="2:19">
      <c r="B18" s="92" t="str">
        <f>MAINSTEM!A63</f>
        <v>Courtland Canal At Kansas-Nebraska State Line</v>
      </c>
      <c r="C18" s="93"/>
      <c r="D18" s="93"/>
      <c r="E18" s="93"/>
      <c r="F18" s="93"/>
      <c r="G18" s="93"/>
      <c r="H18" s="93"/>
      <c r="I18" s="94"/>
      <c r="J18" s="180">
        <f>MAINSTEM!B63</f>
        <v>52599</v>
      </c>
      <c r="K18" s="180">
        <f>MAINSTEM!C63</f>
        <v>40559</v>
      </c>
      <c r="L18" s="180">
        <f>MAINSTEM!D63</f>
        <v>50721</v>
      </c>
      <c r="M18" s="180">
        <f>MAINSTEM!E63</f>
        <v>35756</v>
      </c>
      <c r="N18" s="180">
        <f>MAINSTEM!F63</f>
        <v>60776</v>
      </c>
      <c r="O18" s="98"/>
      <c r="P18" s="98"/>
      <c r="Q18" s="99"/>
      <c r="R18" s="99"/>
      <c r="S18" s="99"/>
    </row>
    <row r="19" spans="2:19">
      <c r="B19" s="87"/>
      <c r="C19" s="1"/>
      <c r="D19" s="1"/>
      <c r="E19" s="1"/>
      <c r="F19" s="1"/>
      <c r="G19" s="1"/>
      <c r="H19" s="1"/>
      <c r="I19" s="88"/>
      <c r="J19" s="182"/>
      <c r="K19" s="182"/>
      <c r="L19" s="182"/>
      <c r="M19" s="182"/>
      <c r="N19" s="182"/>
      <c r="O19" s="98"/>
      <c r="P19" s="98"/>
      <c r="Q19" s="99"/>
      <c r="R19" s="99"/>
      <c r="S19" s="99"/>
    </row>
    <row r="20" spans="2:19">
      <c r="B20" s="92" t="str">
        <f>MAINSTEM!A121</f>
        <v>NE Courtland Canal CBCU (includes transportation loss)</v>
      </c>
      <c r="C20" s="93"/>
      <c r="D20" s="93"/>
      <c r="E20" s="93"/>
      <c r="F20" s="93"/>
      <c r="G20" s="93"/>
      <c r="H20" s="93"/>
      <c r="I20" s="94"/>
      <c r="J20" s="180">
        <f>MAINSTEM!B121</f>
        <v>344.91680000000002</v>
      </c>
      <c r="K20" s="180">
        <f>MAINSTEM!C121</f>
        <v>405.49040000000002</v>
      </c>
      <c r="L20" s="180">
        <f>MAINSTEM!D121</f>
        <v>107.822</v>
      </c>
      <c r="M20" s="180">
        <f>MAINSTEM!E121</f>
        <v>342.38000000000005</v>
      </c>
      <c r="N20" s="180">
        <f>MAINSTEM!F121</f>
        <v>710.56439999999986</v>
      </c>
      <c r="O20" s="98"/>
      <c r="P20" s="98"/>
      <c r="Q20" s="99"/>
      <c r="R20" s="99"/>
      <c r="S20" s="99"/>
    </row>
    <row r="21" spans="2:19">
      <c r="B21" s="89" t="str">
        <f>MAINSTEM!A122</f>
        <v>Superior Canal CBCU</v>
      </c>
      <c r="C21" s="90"/>
      <c r="D21" s="90"/>
      <c r="E21" s="90"/>
      <c r="F21" s="90"/>
      <c r="G21" s="90"/>
      <c r="H21" s="90"/>
      <c r="I21" s="91"/>
      <c r="J21" s="181">
        <f>MAINSTEM!B122</f>
        <v>2615.8319999999999</v>
      </c>
      <c r="K21" s="181">
        <f>MAINSTEM!C122</f>
        <v>2744.1216000000004</v>
      </c>
      <c r="L21" s="181">
        <f>MAINSTEM!D122</f>
        <v>1432.5928000000004</v>
      </c>
      <c r="M21" s="181">
        <f>MAINSTEM!E122</f>
        <v>2045.5788000000002</v>
      </c>
      <c r="N21" s="181">
        <f>MAINSTEM!F122</f>
        <v>3076.4627999999998</v>
      </c>
      <c r="O21" s="98"/>
      <c r="P21" s="98"/>
      <c r="Q21" s="99"/>
      <c r="R21" s="99"/>
      <c r="S21" s="99"/>
    </row>
    <row r="22" spans="2:19">
      <c r="B22" s="1"/>
      <c r="C22" s="1"/>
      <c r="D22" s="1"/>
      <c r="E22" s="1"/>
      <c r="F22" s="1"/>
      <c r="G22" s="1"/>
      <c r="H22" s="1"/>
      <c r="I22" s="88"/>
      <c r="J22" s="336"/>
      <c r="K22" s="336"/>
      <c r="L22" s="88"/>
      <c r="M22" s="88"/>
      <c r="N22" s="88"/>
      <c r="O22" s="98"/>
      <c r="P22" s="98"/>
      <c r="Q22" s="99"/>
      <c r="R22" s="99"/>
      <c r="S22" s="99"/>
    </row>
    <row r="23" spans="2:19">
      <c r="I23" s="39"/>
      <c r="J23" s="337"/>
      <c r="K23" s="337"/>
      <c r="L23" s="39"/>
      <c r="M23" s="39"/>
      <c r="N23" s="39"/>
      <c r="O23" s="98"/>
      <c r="P23" s="98"/>
      <c r="Q23" s="99"/>
      <c r="R23" s="99"/>
      <c r="S23" s="99"/>
    </row>
    <row r="24" spans="2:19">
      <c r="B24" s="92" t="s">
        <v>292</v>
      </c>
      <c r="C24" s="93"/>
      <c r="D24" s="93"/>
      <c r="E24" s="93"/>
      <c r="F24" s="93"/>
      <c r="G24" s="93"/>
      <c r="H24" s="93"/>
      <c r="I24" s="94"/>
      <c r="J24" s="338"/>
      <c r="K24" s="338"/>
      <c r="L24" s="94"/>
      <c r="M24" s="94"/>
      <c r="N24" s="94"/>
      <c r="O24" s="98"/>
      <c r="P24" s="98"/>
      <c r="Q24" s="99"/>
      <c r="R24" s="99"/>
      <c r="S24" s="99"/>
    </row>
    <row r="25" spans="2:19">
      <c r="B25" s="89"/>
      <c r="C25" s="1"/>
      <c r="D25" s="1"/>
      <c r="E25" s="1"/>
      <c r="F25" s="1"/>
      <c r="G25" s="1"/>
      <c r="H25" s="1"/>
      <c r="I25" s="88"/>
      <c r="J25" s="109">
        <f>$A$4</f>
        <v>2017</v>
      </c>
      <c r="K25" s="109">
        <f>$A$5</f>
        <v>2018</v>
      </c>
      <c r="L25" s="109">
        <f>$A$6</f>
        <v>2019</v>
      </c>
      <c r="M25" s="109">
        <f>$A$7</f>
        <v>2020</v>
      </c>
      <c r="N25" s="109">
        <f>$A$8</f>
        <v>2021</v>
      </c>
      <c r="O25" s="98"/>
      <c r="P25" s="98"/>
      <c r="Q25" s="99"/>
      <c r="R25" s="99"/>
      <c r="S25" s="99"/>
    </row>
    <row r="26" spans="2:19">
      <c r="B26" s="92" t="str">
        <f>INPUT!B145</f>
        <v>SW Diversions - Irrigation - Small Pumps - Nebraska Below Guide Rock</v>
      </c>
      <c r="C26" s="93"/>
      <c r="D26" s="93"/>
      <c r="E26" s="93"/>
      <c r="F26" s="93"/>
      <c r="G26" s="93"/>
      <c r="H26" s="93"/>
      <c r="I26" s="94"/>
      <c r="J26" s="180">
        <f>INPUT!C145</f>
        <v>1261.3290999999999</v>
      </c>
      <c r="K26" s="180">
        <f>INPUT!D145</f>
        <v>1177</v>
      </c>
      <c r="L26" s="180">
        <f>INPUT!E145</f>
        <v>84</v>
      </c>
      <c r="M26" s="180">
        <f>INPUT!F145</f>
        <v>551.79057092585458</v>
      </c>
      <c r="N26" s="180">
        <f>INPUT!G145</f>
        <v>665</v>
      </c>
      <c r="O26" s="98"/>
      <c r="P26" s="98"/>
      <c r="Q26" s="99"/>
      <c r="R26" s="99"/>
      <c r="S26" s="99"/>
    </row>
    <row r="27" spans="2:19">
      <c r="B27" s="92" t="str">
        <f>INPUT!B146</f>
        <v>SW Diversions - M&amp;I - Nebraska - Below Guide Rock</v>
      </c>
      <c r="C27" s="93"/>
      <c r="D27" s="93"/>
      <c r="E27" s="93"/>
      <c r="F27" s="93"/>
      <c r="G27" s="93"/>
      <c r="H27" s="93"/>
      <c r="I27" s="94"/>
      <c r="J27" s="180">
        <f>INPUT!C146</f>
        <v>0</v>
      </c>
      <c r="K27" s="180">
        <f>INPUT!D146</f>
        <v>0</v>
      </c>
      <c r="L27" s="180">
        <f>INPUT!E146</f>
        <v>0</v>
      </c>
      <c r="M27" s="180">
        <f>INPUT!F146</f>
        <v>0</v>
      </c>
      <c r="N27" s="180">
        <f>INPUT!G146</f>
        <v>0</v>
      </c>
      <c r="O27" s="98"/>
      <c r="P27" s="98"/>
      <c r="Q27" s="99"/>
      <c r="R27" s="99"/>
      <c r="S27" s="99"/>
    </row>
    <row r="28" spans="2:19">
      <c r="B28" s="107" t="s">
        <v>464</v>
      </c>
      <c r="C28" s="93"/>
      <c r="D28" s="93"/>
      <c r="E28" s="93"/>
      <c r="F28" s="93"/>
      <c r="G28" s="93"/>
      <c r="H28" s="93"/>
      <c r="I28" s="94"/>
      <c r="J28" s="184">
        <f>INPUT!C181</f>
        <v>93.334166670000002</v>
      </c>
      <c r="K28" s="184">
        <f>INPUT!D181</f>
        <v>-8.8209000000000106</v>
      </c>
      <c r="L28" s="184">
        <f>INPUT!E181</f>
        <v>-6</v>
      </c>
      <c r="M28" s="184">
        <f>INPUT!F181</f>
        <v>83.536200000000008</v>
      </c>
      <c r="N28" s="184">
        <f>INPUT!G181</f>
        <v>51</v>
      </c>
      <c r="O28" s="98"/>
      <c r="P28" s="98"/>
      <c r="Q28" s="99"/>
      <c r="R28" s="99"/>
      <c r="S28" s="99"/>
    </row>
    <row r="29" spans="2:19">
      <c r="B29" s="92" t="s">
        <v>427</v>
      </c>
      <c r="C29" s="93"/>
      <c r="D29" s="93"/>
      <c r="E29" s="93"/>
      <c r="F29" s="93"/>
      <c r="G29" s="93"/>
      <c r="H29" s="93"/>
      <c r="I29" s="94"/>
      <c r="J29" s="180">
        <f>J26*(1-PumperCUPercent3)</f>
        <v>315.33227499999998</v>
      </c>
      <c r="K29" s="180">
        <f>K26*(1-PumperCUPercent4)</f>
        <v>294.25</v>
      </c>
      <c r="L29" s="180">
        <f>L26*(1-PumperCUPercent5)</f>
        <v>21</v>
      </c>
      <c r="M29" s="180">
        <f>M26*(1-PumperCUPercent3)</f>
        <v>137.94764273146365</v>
      </c>
      <c r="N29" s="180">
        <f>N26*(1-PumperCUPercent4)</f>
        <v>166.25</v>
      </c>
      <c r="O29" s="98"/>
      <c r="P29" s="98"/>
      <c r="Q29" s="99"/>
      <c r="R29" s="99"/>
      <c r="S29" s="99"/>
    </row>
    <row r="30" spans="2:19">
      <c r="B30" s="92" t="s">
        <v>428</v>
      </c>
      <c r="C30" s="93"/>
      <c r="D30" s="93"/>
      <c r="E30" s="93"/>
      <c r="F30" s="93"/>
      <c r="G30" s="93"/>
      <c r="H30" s="93"/>
      <c r="I30" s="94"/>
      <c r="J30" s="180">
        <f>J27*(1-MI_CUPercent3)</f>
        <v>0</v>
      </c>
      <c r="K30" s="180">
        <f>K27*(1-MI_CUPercent4)</f>
        <v>0</v>
      </c>
      <c r="L30" s="180">
        <f>L27*(1-MI_CUPercent5)</f>
        <v>0</v>
      </c>
      <c r="M30" s="180">
        <f>M27*(1-MI_CUPercent3)</f>
        <v>0</v>
      </c>
      <c r="N30" s="180">
        <f>N27*(1-MI_CUPercent4)</f>
        <v>0</v>
      </c>
      <c r="O30" s="98"/>
      <c r="P30" s="98"/>
      <c r="Q30" s="99"/>
      <c r="R30" s="99"/>
      <c r="S30" s="99"/>
    </row>
    <row r="31" spans="2:19">
      <c r="B31" s="89" t="str">
        <f>MAINSTEM!A10</f>
        <v>GW CBCU Nebraska Below Guide Rock</v>
      </c>
      <c r="C31" s="90"/>
      <c r="D31" s="90"/>
      <c r="E31" s="90"/>
      <c r="F31" s="90"/>
      <c r="G31" s="90"/>
      <c r="H31" s="90"/>
      <c r="I31" s="91"/>
      <c r="J31" s="181">
        <f>MAINSTEM!B10</f>
        <v>2546</v>
      </c>
      <c r="K31" s="181">
        <f>MAINSTEM!C10</f>
        <v>2440</v>
      </c>
      <c r="L31" s="181">
        <f>MAINSTEM!D10</f>
        <v>1723</v>
      </c>
      <c r="M31" s="181">
        <f>MAINSTEM!E10</f>
        <v>1769</v>
      </c>
      <c r="N31" s="181">
        <f>MAINSTEM!F10</f>
        <v>2534</v>
      </c>
      <c r="O31" s="98"/>
      <c r="P31" s="98"/>
      <c r="Q31" s="99"/>
      <c r="R31" s="99"/>
      <c r="S31" s="99"/>
    </row>
    <row r="32" spans="2:19">
      <c r="I32" s="39"/>
      <c r="J32" s="337"/>
      <c r="K32" s="337"/>
      <c r="L32" s="39"/>
      <c r="M32" s="39"/>
      <c r="N32" s="39"/>
      <c r="O32" s="98"/>
      <c r="P32" s="98"/>
      <c r="Q32" s="99"/>
      <c r="R32" s="99"/>
      <c r="S32" s="99"/>
    </row>
    <row r="33" spans="2:19">
      <c r="I33" s="39"/>
      <c r="J33" s="337"/>
      <c r="K33" s="337"/>
      <c r="L33" s="39"/>
      <c r="M33" s="39"/>
      <c r="N33" s="39"/>
      <c r="O33" s="98"/>
      <c r="P33" s="98"/>
      <c r="Q33" s="99"/>
      <c r="R33" s="99"/>
      <c r="S33" s="99"/>
    </row>
    <row r="34" spans="2:19">
      <c r="B34" s="92" t="s">
        <v>429</v>
      </c>
      <c r="C34" s="93"/>
      <c r="D34" s="93"/>
      <c r="E34" s="93"/>
      <c r="F34" s="93"/>
      <c r="G34" s="93"/>
      <c r="H34" s="93"/>
      <c r="I34" s="93"/>
      <c r="J34" s="335"/>
      <c r="K34" s="335"/>
      <c r="L34" s="93"/>
      <c r="M34" s="93"/>
      <c r="N34" s="93"/>
      <c r="O34" s="98"/>
      <c r="P34" s="98"/>
      <c r="Q34" s="99"/>
      <c r="R34" s="99"/>
      <c r="S34" s="99"/>
    </row>
    <row r="35" spans="2:19">
      <c r="B35" s="89"/>
      <c r="C35" s="1"/>
      <c r="D35" s="1"/>
      <c r="E35" s="1"/>
      <c r="F35" s="1"/>
      <c r="G35" s="1"/>
      <c r="H35" s="1"/>
      <c r="I35" s="1"/>
      <c r="J35" s="109">
        <f>$A$4</f>
        <v>2017</v>
      </c>
      <c r="K35" s="109">
        <f>$A$5</f>
        <v>2018</v>
      </c>
      <c r="L35" s="109">
        <f>$A$6</f>
        <v>2019</v>
      </c>
      <c r="M35" s="109">
        <f>$A$7</f>
        <v>2020</v>
      </c>
      <c r="N35" s="109">
        <f>$A$8</f>
        <v>2021</v>
      </c>
      <c r="O35" s="98"/>
      <c r="P35" s="98"/>
      <c r="Q35" s="99"/>
      <c r="R35" s="99"/>
      <c r="S35" s="99"/>
    </row>
    <row r="36" spans="2:19">
      <c r="B36" s="92" t="str">
        <f>MAINSTEM!A113</f>
        <v>SW CBCU - Irrigation - Small Pumps</v>
      </c>
      <c r="C36" s="93"/>
      <c r="D36" s="93"/>
      <c r="E36" s="93"/>
      <c r="F36" s="93"/>
      <c r="G36" s="93"/>
      <c r="H36" s="93"/>
      <c r="I36" s="93"/>
      <c r="J36" s="185">
        <f>MAINSTEM!B113</f>
        <v>726.75</v>
      </c>
      <c r="K36" s="185">
        <f>MAINSTEM!C113</f>
        <v>517.5</v>
      </c>
      <c r="L36" s="185">
        <f>MAINSTEM!D113</f>
        <v>147.75</v>
      </c>
      <c r="M36" s="185">
        <f>MAINSTEM!E113</f>
        <v>564.75</v>
      </c>
      <c r="N36" s="185">
        <f>MAINSTEM!F113</f>
        <v>667.02</v>
      </c>
      <c r="O36" s="98"/>
      <c r="P36" s="98"/>
      <c r="Q36" s="99"/>
      <c r="R36" s="99"/>
      <c r="S36" s="99"/>
    </row>
    <row r="37" spans="2:19">
      <c r="B37" s="92" t="str">
        <f>MAINSTEM!A114</f>
        <v>SW CBCU - M&amp;I</v>
      </c>
      <c r="C37" s="93"/>
      <c r="D37" s="93"/>
      <c r="E37" s="93"/>
      <c r="F37" s="93"/>
      <c r="G37" s="93"/>
      <c r="H37" s="93"/>
      <c r="I37" s="93"/>
      <c r="J37" s="185">
        <f>MAINSTEM!B114</f>
        <v>0</v>
      </c>
      <c r="K37" s="185">
        <f>MAINSTEM!C114</f>
        <v>0</v>
      </c>
      <c r="L37" s="185">
        <f>MAINSTEM!D114</f>
        <v>0</v>
      </c>
      <c r="M37" s="185">
        <f>MAINSTEM!E114</f>
        <v>0</v>
      </c>
      <c r="N37" s="185">
        <f>MAINSTEM!F114</f>
        <v>0</v>
      </c>
      <c r="O37" s="98"/>
      <c r="P37" s="98"/>
      <c r="Q37" s="99"/>
      <c r="R37" s="99"/>
      <c r="S37" s="99"/>
    </row>
    <row r="38" spans="2:19">
      <c r="B38" s="341" t="str">
        <f>MAINSTEM!A8</f>
        <v>GW CBCU Kansas Below Guide Rock</v>
      </c>
      <c r="C38" s="90"/>
      <c r="D38" s="90"/>
      <c r="E38" s="90"/>
      <c r="F38" s="90"/>
      <c r="G38" s="90"/>
      <c r="H38" s="90"/>
      <c r="I38" s="90"/>
      <c r="J38" s="202">
        <f>MAINSTEM!B8</f>
        <v>53</v>
      </c>
      <c r="K38" s="202">
        <f>MAINSTEM!C8</f>
        <v>47</v>
      </c>
      <c r="L38" s="202">
        <f>MAINSTEM!D8</f>
        <v>49</v>
      </c>
      <c r="M38" s="202">
        <f>MAINSTEM!E8</f>
        <v>51</v>
      </c>
      <c r="N38" s="202">
        <f>MAINSTEM!F8</f>
        <v>56</v>
      </c>
    </row>
    <row r="39" spans="2:19">
      <c r="J39" s="319"/>
      <c r="K39" s="319"/>
    </row>
    <row r="40" spans="2:19">
      <c r="J40" s="319"/>
      <c r="K40" s="319"/>
    </row>
    <row r="41" spans="2:19">
      <c r="J41" s="319"/>
      <c r="K41" s="319"/>
    </row>
    <row r="42" spans="2:19">
      <c r="J42" s="319"/>
      <c r="K42" s="319"/>
    </row>
  </sheetData>
  <phoneticPr fontId="0" type="noConversion"/>
  <pageMargins left="0.48" right="0.43" top="1" bottom="1" header="0.5" footer="0.5"/>
  <pageSetup scale="74" orientation="landscape" r:id="rId1"/>
  <headerFooter alignWithMargins="0">
    <oddHeader>&amp;LRRCA 
Compact Accounting&amp;RPage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L277"/>
  <sheetViews>
    <sheetView topLeftCell="A166" zoomScaleNormal="100" workbookViewId="0">
      <selection activeCell="G194" sqref="G194"/>
    </sheetView>
  </sheetViews>
  <sheetFormatPr defaultColWidth="8.85546875" defaultRowHeight="12.75"/>
  <cols>
    <col min="1" max="1" width="21.140625" style="319" customWidth="1"/>
    <col min="2" max="2" width="10" style="319" customWidth="1"/>
    <col min="3" max="3" width="12" style="319" customWidth="1"/>
    <col min="4" max="4" width="10.85546875" style="319" customWidth="1"/>
    <col min="5" max="5" width="11.140625" style="319" customWidth="1"/>
    <col min="6" max="6" width="15.85546875" style="319" customWidth="1"/>
    <col min="7" max="7" width="11.7109375" style="319" customWidth="1"/>
    <col min="8" max="8" width="10.7109375" style="319" customWidth="1"/>
    <col min="9" max="10" width="13.85546875" style="319" customWidth="1"/>
    <col min="11" max="11" width="12.85546875" style="319" customWidth="1"/>
    <col min="12" max="12" width="13.140625" style="319" customWidth="1"/>
    <col min="13" max="13" width="26.28515625" style="319" bestFit="1" customWidth="1"/>
    <col min="14" max="14" width="15.42578125" style="319" customWidth="1"/>
    <col min="15" max="16384" width="8.85546875" style="319"/>
  </cols>
  <sheetData>
    <row r="1" spans="1:12">
      <c r="A1" s="194" t="s">
        <v>335</v>
      </c>
    </row>
    <row r="2" spans="1:12">
      <c r="A2" s="192">
        <v>2017</v>
      </c>
    </row>
    <row r="3" spans="1:12">
      <c r="A3" s="334" t="s">
        <v>336</v>
      </c>
      <c r="B3" s="195" t="s">
        <v>337</v>
      </c>
      <c r="C3" s="195" t="s">
        <v>338</v>
      </c>
      <c r="D3" s="195" t="s">
        <v>339</v>
      </c>
      <c r="E3" s="195" t="s">
        <v>340</v>
      </c>
      <c r="F3" s="195" t="s">
        <v>341</v>
      </c>
      <c r="G3" s="195" t="s">
        <v>342</v>
      </c>
      <c r="H3" s="195" t="s">
        <v>343</v>
      </c>
      <c r="I3" s="195" t="s">
        <v>344</v>
      </c>
      <c r="J3" s="195" t="s">
        <v>345</v>
      </c>
      <c r="K3" s="196" t="s">
        <v>346</v>
      </c>
      <c r="L3" s="270" t="s">
        <v>554</v>
      </c>
    </row>
    <row r="4" spans="1:12">
      <c r="A4" s="197" t="s">
        <v>305</v>
      </c>
      <c r="B4" s="289" t="s">
        <v>347</v>
      </c>
      <c r="C4" s="289" t="s">
        <v>348</v>
      </c>
      <c r="D4" s="271" t="s">
        <v>555</v>
      </c>
      <c r="E4" s="289" t="s">
        <v>349</v>
      </c>
      <c r="F4" s="289" t="s">
        <v>350</v>
      </c>
      <c r="G4" s="289" t="s">
        <v>351</v>
      </c>
      <c r="H4" s="289" t="s">
        <v>352</v>
      </c>
      <c r="I4" s="289" t="s">
        <v>353</v>
      </c>
      <c r="J4" s="198" t="s">
        <v>359</v>
      </c>
      <c r="K4" s="289" t="s">
        <v>354</v>
      </c>
      <c r="L4" s="290" t="s">
        <v>355</v>
      </c>
    </row>
    <row r="5" spans="1:12">
      <c r="A5" s="199"/>
      <c r="B5" s="198" t="s">
        <v>321</v>
      </c>
      <c r="C5" s="198" t="s">
        <v>356</v>
      </c>
      <c r="D5" s="272" t="s">
        <v>321</v>
      </c>
      <c r="E5" s="198" t="s">
        <v>357</v>
      </c>
      <c r="F5" s="198"/>
      <c r="G5" s="198" t="s">
        <v>352</v>
      </c>
      <c r="H5" s="198"/>
      <c r="I5" s="198" t="s">
        <v>358</v>
      </c>
      <c r="J5" s="198" t="s">
        <v>363</v>
      </c>
      <c r="K5" s="198" t="s">
        <v>360</v>
      </c>
      <c r="L5" s="200" t="s">
        <v>361</v>
      </c>
    </row>
    <row r="6" spans="1:12">
      <c r="A6" s="199"/>
      <c r="B6" s="198"/>
      <c r="C6" s="198"/>
      <c r="D6" s="198"/>
      <c r="E6" s="198"/>
      <c r="F6" s="198"/>
      <c r="G6" s="198" t="s">
        <v>362</v>
      </c>
      <c r="H6" s="198"/>
      <c r="I6" s="198"/>
      <c r="J6" s="198" t="s">
        <v>365</v>
      </c>
      <c r="K6" s="198" t="s">
        <v>364</v>
      </c>
      <c r="L6" s="200" t="s">
        <v>305</v>
      </c>
    </row>
    <row r="7" spans="1:12">
      <c r="A7" s="199"/>
      <c r="B7" s="198"/>
      <c r="C7" s="198"/>
      <c r="D7" s="198"/>
      <c r="E7" s="198"/>
      <c r="F7" s="198"/>
      <c r="G7" s="198"/>
      <c r="H7" s="198"/>
      <c r="I7" s="198"/>
      <c r="J7" s="198" t="s">
        <v>367</v>
      </c>
      <c r="K7" s="198" t="s">
        <v>366</v>
      </c>
      <c r="L7" s="200" t="s">
        <v>321</v>
      </c>
    </row>
    <row r="8" spans="1:12">
      <c r="A8" s="199"/>
      <c r="B8" s="198"/>
      <c r="C8" s="198"/>
      <c r="D8" s="198"/>
      <c r="E8" s="198"/>
      <c r="F8" s="198"/>
      <c r="G8" s="198"/>
      <c r="H8" s="198"/>
      <c r="I8" s="198"/>
      <c r="J8" s="198" t="s">
        <v>368</v>
      </c>
      <c r="K8" s="198" t="s">
        <v>303</v>
      </c>
      <c r="L8" s="200"/>
    </row>
    <row r="9" spans="1:12">
      <c r="A9" s="197" t="s">
        <v>369</v>
      </c>
      <c r="B9" s="289" t="s">
        <v>370</v>
      </c>
      <c r="C9" s="289" t="s">
        <v>371</v>
      </c>
      <c r="D9" s="271" t="s">
        <v>556</v>
      </c>
      <c r="E9" s="289" t="s">
        <v>372</v>
      </c>
      <c r="F9" s="271" t="s">
        <v>557</v>
      </c>
      <c r="G9" s="289" t="s">
        <v>373</v>
      </c>
      <c r="H9" s="271" t="s">
        <v>558</v>
      </c>
      <c r="I9" s="271" t="s">
        <v>559</v>
      </c>
      <c r="J9" s="289" t="s">
        <v>374</v>
      </c>
      <c r="K9" s="271" t="s">
        <v>560</v>
      </c>
      <c r="L9" s="273" t="s">
        <v>562</v>
      </c>
    </row>
    <row r="10" spans="1:12">
      <c r="A10" s="199"/>
      <c r="B10" s="198" t="s">
        <v>321</v>
      </c>
      <c r="C10" s="198" t="s">
        <v>375</v>
      </c>
      <c r="D10" s="198"/>
      <c r="E10" s="198" t="s">
        <v>376</v>
      </c>
      <c r="F10" s="198"/>
      <c r="G10" s="198" t="s">
        <v>36</v>
      </c>
      <c r="H10" s="272" t="s">
        <v>342</v>
      </c>
      <c r="I10" s="272" t="s">
        <v>343</v>
      </c>
      <c r="J10" s="198" t="s">
        <v>377</v>
      </c>
      <c r="K10" s="272" t="s">
        <v>561</v>
      </c>
      <c r="L10" s="200"/>
    </row>
    <row r="11" spans="1:12">
      <c r="A11" s="199"/>
      <c r="B11" s="198"/>
      <c r="C11" s="198" t="s">
        <v>378</v>
      </c>
      <c r="D11" s="198"/>
      <c r="E11" s="198" t="s">
        <v>379</v>
      </c>
      <c r="F11" s="198"/>
      <c r="G11" s="198" t="s">
        <v>380</v>
      </c>
      <c r="H11" s="198"/>
      <c r="I11" s="198"/>
      <c r="J11" s="198"/>
      <c r="K11" s="272" t="s">
        <v>338</v>
      </c>
      <c r="L11" s="200"/>
    </row>
    <row r="12" spans="1:12">
      <c r="A12" s="199"/>
      <c r="B12" s="198"/>
      <c r="C12" s="198"/>
      <c r="D12" s="198"/>
      <c r="E12" s="198"/>
      <c r="F12" s="198"/>
      <c r="G12" s="198" t="s">
        <v>381</v>
      </c>
      <c r="H12" s="198"/>
      <c r="I12" s="198"/>
      <c r="J12" s="198"/>
      <c r="K12" s="198"/>
      <c r="L12" s="200"/>
    </row>
    <row r="13" spans="1:12">
      <c r="A13" s="364" t="s">
        <v>643</v>
      </c>
      <c r="B13" s="198"/>
      <c r="C13" s="198"/>
      <c r="D13" s="198"/>
      <c r="E13" s="198"/>
      <c r="F13" s="198"/>
      <c r="G13" s="198" t="s">
        <v>382</v>
      </c>
      <c r="H13" s="198"/>
      <c r="I13" s="198"/>
      <c r="J13" s="198"/>
      <c r="K13" s="198"/>
      <c r="L13" s="200"/>
    </row>
    <row r="14" spans="1:12">
      <c r="A14" s="365" t="s">
        <v>644</v>
      </c>
      <c r="B14" s="198"/>
      <c r="C14" s="198"/>
      <c r="D14" s="198"/>
      <c r="E14" s="198"/>
      <c r="F14" s="198"/>
      <c r="G14" s="198" t="s">
        <v>383</v>
      </c>
      <c r="H14" s="198"/>
      <c r="I14" s="198"/>
      <c r="J14" s="198"/>
      <c r="K14" s="198"/>
      <c r="L14" s="200"/>
    </row>
    <row r="15" spans="1:12">
      <c r="A15" s="550" t="s">
        <v>384</v>
      </c>
      <c r="B15" s="457">
        <v>0</v>
      </c>
      <c r="C15" s="458">
        <v>0</v>
      </c>
      <c r="D15" s="284">
        <f>B15-C15</f>
        <v>0</v>
      </c>
      <c r="E15" s="457">
        <v>0</v>
      </c>
      <c r="F15" s="202">
        <f>D15-E15</f>
        <v>0</v>
      </c>
      <c r="G15" s="203">
        <v>0.3</v>
      </c>
      <c r="H15" s="202">
        <f t="shared" ref="H15:H35" si="0">E15*G15</f>
        <v>0</v>
      </c>
      <c r="I15" s="202">
        <f t="shared" ref="I15:I35" si="1">F15+H15</f>
        <v>0</v>
      </c>
      <c r="J15" s="203">
        <v>0.82</v>
      </c>
      <c r="K15" s="202">
        <f>I15*J15 + C15</f>
        <v>0</v>
      </c>
      <c r="L15" s="267">
        <f t="shared" ref="L15:L38" si="2">IF(B15&gt;0, K15/B15, 1)</f>
        <v>1</v>
      </c>
    </row>
    <row r="16" spans="1:12">
      <c r="A16" s="551"/>
      <c r="B16" s="459">
        <v>0</v>
      </c>
      <c r="C16" s="459">
        <v>0</v>
      </c>
      <c r="D16" s="368">
        <f>B16-C16</f>
        <v>0</v>
      </c>
      <c r="E16" s="459">
        <v>0</v>
      </c>
      <c r="F16" s="369">
        <f>D16-E16</f>
        <v>0</v>
      </c>
      <c r="G16" s="370">
        <v>0.3</v>
      </c>
      <c r="H16" s="369">
        <f t="shared" si="0"/>
        <v>0</v>
      </c>
      <c r="I16" s="369">
        <f t="shared" si="1"/>
        <v>0</v>
      </c>
      <c r="J16" s="370">
        <v>0.92</v>
      </c>
      <c r="K16" s="369">
        <f>I16*J16 + C16</f>
        <v>0</v>
      </c>
      <c r="L16" s="371">
        <f t="shared" si="2"/>
        <v>1</v>
      </c>
    </row>
    <row r="17" spans="1:12">
      <c r="A17" s="550" t="s">
        <v>385</v>
      </c>
      <c r="B17" s="460">
        <v>0</v>
      </c>
      <c r="C17" s="460">
        <v>0</v>
      </c>
      <c r="D17" s="284">
        <f t="shared" ref="D17:D38" si="3">B17-C17</f>
        <v>0</v>
      </c>
      <c r="E17" s="457">
        <v>0</v>
      </c>
      <c r="F17" s="202">
        <f t="shared" ref="F17" si="4">D17-E17</f>
        <v>0</v>
      </c>
      <c r="G17" s="203">
        <v>0.3</v>
      </c>
      <c r="H17" s="202">
        <f t="shared" si="0"/>
        <v>0</v>
      </c>
      <c r="I17" s="202">
        <f t="shared" si="1"/>
        <v>0</v>
      </c>
      <c r="J17" s="203">
        <v>0.82</v>
      </c>
      <c r="K17" s="202">
        <f t="shared" ref="K17" si="5">I17*J17 + C17</f>
        <v>0</v>
      </c>
      <c r="L17" s="267">
        <f t="shared" si="2"/>
        <v>1</v>
      </c>
    </row>
    <row r="18" spans="1:12">
      <c r="A18" s="551"/>
      <c r="B18" s="459">
        <v>0</v>
      </c>
      <c r="C18" s="459">
        <v>0</v>
      </c>
      <c r="D18" s="368">
        <f t="shared" si="3"/>
        <v>0</v>
      </c>
      <c r="E18" s="459">
        <v>0</v>
      </c>
      <c r="F18" s="369">
        <f>D18-E18</f>
        <v>0</v>
      </c>
      <c r="G18" s="370">
        <v>0.3</v>
      </c>
      <c r="H18" s="369">
        <f t="shared" si="0"/>
        <v>0</v>
      </c>
      <c r="I18" s="369">
        <f t="shared" si="1"/>
        <v>0</v>
      </c>
      <c r="J18" s="370">
        <v>0.92</v>
      </c>
      <c r="K18" s="369">
        <f>I18*J18 + C18</f>
        <v>0</v>
      </c>
      <c r="L18" s="371">
        <f t="shared" si="2"/>
        <v>1</v>
      </c>
    </row>
    <row r="19" spans="1:12">
      <c r="A19" s="550" t="s">
        <v>386</v>
      </c>
      <c r="B19" s="460">
        <v>16692</v>
      </c>
      <c r="C19" s="460">
        <v>1585</v>
      </c>
      <c r="D19" s="284">
        <f t="shared" si="3"/>
        <v>15107</v>
      </c>
      <c r="E19" s="457">
        <v>5024</v>
      </c>
      <c r="F19" s="202">
        <f t="shared" ref="F19" si="6">D19-E19</f>
        <v>10083</v>
      </c>
      <c r="G19" s="203">
        <v>0.3</v>
      </c>
      <c r="H19" s="202">
        <f t="shared" si="0"/>
        <v>1507.2</v>
      </c>
      <c r="I19" s="202">
        <f t="shared" si="1"/>
        <v>11590.2</v>
      </c>
      <c r="J19" s="203">
        <v>0.82</v>
      </c>
      <c r="K19" s="202">
        <f t="shared" ref="K19" si="7">I19*J19 + C19</f>
        <v>11088.964</v>
      </c>
      <c r="L19" s="267">
        <f t="shared" si="2"/>
        <v>0.66432806134675293</v>
      </c>
    </row>
    <row r="20" spans="1:12">
      <c r="A20" s="551"/>
      <c r="B20" s="459">
        <v>0</v>
      </c>
      <c r="C20" s="459">
        <v>0</v>
      </c>
      <c r="D20" s="368">
        <f t="shared" si="3"/>
        <v>0</v>
      </c>
      <c r="E20" s="459">
        <v>0</v>
      </c>
      <c r="F20" s="369">
        <f>D20-E20</f>
        <v>0</v>
      </c>
      <c r="G20" s="370">
        <v>0.3</v>
      </c>
      <c r="H20" s="369">
        <f t="shared" si="0"/>
        <v>0</v>
      </c>
      <c r="I20" s="369">
        <f t="shared" si="1"/>
        <v>0</v>
      </c>
      <c r="J20" s="370">
        <v>0.92</v>
      </c>
      <c r="K20" s="369">
        <f>I20*J20 + C20</f>
        <v>0</v>
      </c>
      <c r="L20" s="371">
        <f t="shared" si="2"/>
        <v>1</v>
      </c>
    </row>
    <row r="21" spans="1:12">
      <c r="A21" s="550" t="s">
        <v>20</v>
      </c>
      <c r="B21" s="460">
        <v>0</v>
      </c>
      <c r="C21" s="460">
        <v>0</v>
      </c>
      <c r="D21" s="284">
        <f t="shared" si="3"/>
        <v>0</v>
      </c>
      <c r="E21" s="457">
        <v>0</v>
      </c>
      <c r="F21" s="202">
        <f t="shared" ref="F21" si="8">D21-E21</f>
        <v>0</v>
      </c>
      <c r="G21" s="203">
        <v>0.3</v>
      </c>
      <c r="H21" s="202">
        <f t="shared" si="0"/>
        <v>0</v>
      </c>
      <c r="I21" s="202">
        <f t="shared" si="1"/>
        <v>0</v>
      </c>
      <c r="J21" s="203">
        <v>0.82</v>
      </c>
      <c r="K21" s="202">
        <f t="shared" ref="K21" si="9">I21*J21 + C21</f>
        <v>0</v>
      </c>
      <c r="L21" s="267">
        <f t="shared" si="2"/>
        <v>1</v>
      </c>
    </row>
    <row r="22" spans="1:12">
      <c r="A22" s="551"/>
      <c r="B22" s="459">
        <v>0</v>
      </c>
      <c r="C22" s="459">
        <v>0</v>
      </c>
      <c r="D22" s="368">
        <f t="shared" si="3"/>
        <v>0</v>
      </c>
      <c r="E22" s="459">
        <v>0</v>
      </c>
      <c r="F22" s="369">
        <f>D22-E22</f>
        <v>0</v>
      </c>
      <c r="G22" s="370">
        <v>0.3</v>
      </c>
      <c r="H22" s="369">
        <f t="shared" si="0"/>
        <v>0</v>
      </c>
      <c r="I22" s="369">
        <f t="shared" si="1"/>
        <v>0</v>
      </c>
      <c r="J22" s="370">
        <v>0.92</v>
      </c>
      <c r="K22" s="369">
        <f>I22*J22 + C22</f>
        <v>0</v>
      </c>
      <c r="L22" s="371">
        <f t="shared" si="2"/>
        <v>1</v>
      </c>
    </row>
    <row r="23" spans="1:12">
      <c r="A23" s="550" t="s">
        <v>387</v>
      </c>
      <c r="B23" s="460">
        <v>7437</v>
      </c>
      <c r="C23" s="460">
        <v>509</v>
      </c>
      <c r="D23" s="284">
        <f t="shared" si="3"/>
        <v>6928</v>
      </c>
      <c r="E23" s="457">
        <v>2425</v>
      </c>
      <c r="F23" s="202">
        <f t="shared" ref="F23" si="10">D23-E23</f>
        <v>4503</v>
      </c>
      <c r="G23" s="203">
        <v>0.3</v>
      </c>
      <c r="H23" s="202">
        <f t="shared" si="0"/>
        <v>727.5</v>
      </c>
      <c r="I23" s="202">
        <f t="shared" si="1"/>
        <v>5230.5</v>
      </c>
      <c r="J23" s="203">
        <v>0.82</v>
      </c>
      <c r="K23" s="202">
        <f t="shared" ref="K23" si="11">I23*J23 + C23</f>
        <v>4798.0099999999993</v>
      </c>
      <c r="L23" s="267">
        <f t="shared" si="2"/>
        <v>0.64515395993007929</v>
      </c>
    </row>
    <row r="24" spans="1:12">
      <c r="A24" s="551"/>
      <c r="B24" s="459">
        <v>0</v>
      </c>
      <c r="C24" s="459">
        <v>0</v>
      </c>
      <c r="D24" s="368">
        <f t="shared" si="3"/>
        <v>0</v>
      </c>
      <c r="E24" s="459">
        <v>0</v>
      </c>
      <c r="F24" s="369">
        <f>D24-E24</f>
        <v>0</v>
      </c>
      <c r="G24" s="370">
        <v>0.3</v>
      </c>
      <c r="H24" s="369">
        <f t="shared" si="0"/>
        <v>0</v>
      </c>
      <c r="I24" s="369">
        <f t="shared" si="1"/>
        <v>0</v>
      </c>
      <c r="J24" s="370">
        <v>0.92</v>
      </c>
      <c r="K24" s="369">
        <f>I24*J24 + C24</f>
        <v>0</v>
      </c>
      <c r="L24" s="371">
        <f t="shared" si="2"/>
        <v>1</v>
      </c>
    </row>
    <row r="25" spans="1:12">
      <c r="A25" s="550" t="s">
        <v>388</v>
      </c>
      <c r="B25" s="460">
        <v>25406</v>
      </c>
      <c r="C25" s="460">
        <v>2561</v>
      </c>
      <c r="D25" s="284">
        <f t="shared" si="3"/>
        <v>22845</v>
      </c>
      <c r="E25" s="457">
        <v>9152</v>
      </c>
      <c r="F25" s="202">
        <f t="shared" ref="F25" si="12">D25-E25</f>
        <v>13693</v>
      </c>
      <c r="G25" s="203">
        <v>0.3</v>
      </c>
      <c r="H25" s="202">
        <f t="shared" si="0"/>
        <v>2745.6</v>
      </c>
      <c r="I25" s="202">
        <f t="shared" si="1"/>
        <v>16438.599999999999</v>
      </c>
      <c r="J25" s="203">
        <v>0.82</v>
      </c>
      <c r="K25" s="202">
        <f t="shared" ref="K25" si="13">I25*J25 + C25</f>
        <v>16040.651999999998</v>
      </c>
      <c r="L25" s="267">
        <f t="shared" si="2"/>
        <v>0.63137258915216876</v>
      </c>
    </row>
    <row r="26" spans="1:12">
      <c r="A26" s="551"/>
      <c r="B26" s="459">
        <v>0</v>
      </c>
      <c r="C26" s="459">
        <v>0</v>
      </c>
      <c r="D26" s="368">
        <f t="shared" si="3"/>
        <v>0</v>
      </c>
      <c r="E26" s="459">
        <v>0</v>
      </c>
      <c r="F26" s="369">
        <f>D26-E26</f>
        <v>0</v>
      </c>
      <c r="G26" s="370">
        <v>0.3</v>
      </c>
      <c r="H26" s="369">
        <f t="shared" si="0"/>
        <v>0</v>
      </c>
      <c r="I26" s="369">
        <f t="shared" si="1"/>
        <v>0</v>
      </c>
      <c r="J26" s="370">
        <v>0.92</v>
      </c>
      <c r="K26" s="369">
        <f>I26*J26 + C26</f>
        <v>0</v>
      </c>
      <c r="L26" s="371">
        <f t="shared" si="2"/>
        <v>1</v>
      </c>
    </row>
    <row r="27" spans="1:12">
      <c r="A27" s="550" t="s">
        <v>389</v>
      </c>
      <c r="B27" s="460">
        <v>954</v>
      </c>
      <c r="C27" s="460">
        <v>118</v>
      </c>
      <c r="D27" s="284">
        <f t="shared" si="3"/>
        <v>836</v>
      </c>
      <c r="E27" s="457">
        <v>287</v>
      </c>
      <c r="F27" s="202">
        <f t="shared" ref="F27" si="14">D27-E27</f>
        <v>549</v>
      </c>
      <c r="G27" s="203">
        <v>0.35</v>
      </c>
      <c r="H27" s="202">
        <f t="shared" si="0"/>
        <v>100.44999999999999</v>
      </c>
      <c r="I27" s="202">
        <f t="shared" si="1"/>
        <v>649.45000000000005</v>
      </c>
      <c r="J27" s="203">
        <v>0.82</v>
      </c>
      <c r="K27" s="202">
        <f t="shared" ref="K27" si="15">I27*J27 + C27</f>
        <v>650.54899999999998</v>
      </c>
      <c r="L27" s="267">
        <f t="shared" si="2"/>
        <v>0.68191719077568136</v>
      </c>
    </row>
    <row r="28" spans="1:12">
      <c r="A28" s="551"/>
      <c r="B28" s="459">
        <v>0</v>
      </c>
      <c r="C28" s="459">
        <v>0</v>
      </c>
      <c r="D28" s="368">
        <f t="shared" si="3"/>
        <v>0</v>
      </c>
      <c r="E28" s="459">
        <v>0</v>
      </c>
      <c r="F28" s="369">
        <f>D28-E28</f>
        <v>0</v>
      </c>
      <c r="G28" s="370">
        <v>0.35</v>
      </c>
      <c r="H28" s="369">
        <f t="shared" si="0"/>
        <v>0</v>
      </c>
      <c r="I28" s="369">
        <f t="shared" si="1"/>
        <v>0</v>
      </c>
      <c r="J28" s="370">
        <v>0.92</v>
      </c>
      <c r="K28" s="369">
        <f>I28*J28 + C28</f>
        <v>0</v>
      </c>
      <c r="L28" s="371">
        <f t="shared" si="2"/>
        <v>1</v>
      </c>
    </row>
    <row r="29" spans="1:12">
      <c r="A29" s="550" t="s">
        <v>390</v>
      </c>
      <c r="B29" s="460">
        <v>17134</v>
      </c>
      <c r="C29" s="460">
        <v>1182</v>
      </c>
      <c r="D29" s="284">
        <f t="shared" si="3"/>
        <v>15952</v>
      </c>
      <c r="E29" s="457">
        <v>6244</v>
      </c>
      <c r="F29" s="202">
        <f t="shared" ref="F29" si="16">D29-E29</f>
        <v>9708</v>
      </c>
      <c r="G29" s="203">
        <v>0.35</v>
      </c>
      <c r="H29" s="202">
        <f t="shared" si="0"/>
        <v>2185.3999999999996</v>
      </c>
      <c r="I29" s="202">
        <f t="shared" si="1"/>
        <v>11893.4</v>
      </c>
      <c r="J29" s="203">
        <v>0.82</v>
      </c>
      <c r="K29" s="202">
        <f t="shared" ref="K29" si="17">I29*J29 + C29</f>
        <v>10934.588</v>
      </c>
      <c r="L29" s="267">
        <f t="shared" si="2"/>
        <v>0.63818069335823502</v>
      </c>
    </row>
    <row r="30" spans="1:12">
      <c r="A30" s="551"/>
      <c r="B30" s="459">
        <v>0</v>
      </c>
      <c r="C30" s="459">
        <v>0</v>
      </c>
      <c r="D30" s="368">
        <f t="shared" si="3"/>
        <v>0</v>
      </c>
      <c r="E30" s="459">
        <v>0</v>
      </c>
      <c r="F30" s="369">
        <f>D30-E30</f>
        <v>0</v>
      </c>
      <c r="G30" s="370">
        <v>0.35</v>
      </c>
      <c r="H30" s="369">
        <f t="shared" si="0"/>
        <v>0</v>
      </c>
      <c r="I30" s="369">
        <f t="shared" si="1"/>
        <v>0</v>
      </c>
      <c r="J30" s="370">
        <v>0.92</v>
      </c>
      <c r="K30" s="369">
        <f>I30*J30 + C30</f>
        <v>0</v>
      </c>
      <c r="L30" s="371">
        <f t="shared" si="2"/>
        <v>1</v>
      </c>
    </row>
    <row r="31" spans="1:12">
      <c r="A31" s="550" t="s">
        <v>391</v>
      </c>
      <c r="B31" s="460">
        <v>798</v>
      </c>
      <c r="C31" s="460">
        <v>44</v>
      </c>
      <c r="D31" s="284">
        <f t="shared" si="3"/>
        <v>754</v>
      </c>
      <c r="E31" s="457">
        <v>462</v>
      </c>
      <c r="F31" s="202">
        <f t="shared" ref="F31" si="18">D31-E31</f>
        <v>292</v>
      </c>
      <c r="G31" s="203">
        <v>0.35</v>
      </c>
      <c r="H31" s="202">
        <f t="shared" si="0"/>
        <v>161.69999999999999</v>
      </c>
      <c r="I31" s="202">
        <f t="shared" si="1"/>
        <v>453.7</v>
      </c>
      <c r="J31" s="203">
        <v>0.82</v>
      </c>
      <c r="K31" s="202">
        <f t="shared" ref="K31" si="19">I31*J31 + C31</f>
        <v>416.03399999999999</v>
      </c>
      <c r="L31" s="267">
        <f t="shared" si="2"/>
        <v>0.52134586466165411</v>
      </c>
    </row>
    <row r="32" spans="1:12">
      <c r="A32" s="551"/>
      <c r="B32" s="459">
        <v>0</v>
      </c>
      <c r="C32" s="459">
        <v>0</v>
      </c>
      <c r="D32" s="368">
        <f t="shared" si="3"/>
        <v>0</v>
      </c>
      <c r="E32" s="459">
        <v>0</v>
      </c>
      <c r="F32" s="369">
        <f>D32-E32</f>
        <v>0</v>
      </c>
      <c r="G32" s="370">
        <v>0.35</v>
      </c>
      <c r="H32" s="369">
        <f t="shared" si="0"/>
        <v>0</v>
      </c>
      <c r="I32" s="369">
        <f t="shared" si="1"/>
        <v>0</v>
      </c>
      <c r="J32" s="370">
        <v>0.92</v>
      </c>
      <c r="K32" s="369">
        <f>I32*J32 + C32</f>
        <v>0</v>
      </c>
      <c r="L32" s="371">
        <f t="shared" si="2"/>
        <v>1</v>
      </c>
    </row>
    <row r="33" spans="1:12">
      <c r="A33" s="204" t="s">
        <v>392</v>
      </c>
      <c r="B33" s="460">
        <v>771</v>
      </c>
      <c r="C33" s="460">
        <v>0</v>
      </c>
      <c r="D33" s="284">
        <f t="shared" si="3"/>
        <v>771</v>
      </c>
      <c r="E33" s="457">
        <v>288</v>
      </c>
      <c r="F33" s="202">
        <f t="shared" ref="F33:F34" si="20">D33-E33</f>
        <v>483</v>
      </c>
      <c r="G33" s="140">
        <v>0.3</v>
      </c>
      <c r="H33" s="186">
        <f t="shared" si="0"/>
        <v>86.399999999999991</v>
      </c>
      <c r="I33" s="186">
        <f t="shared" si="1"/>
        <v>569.4</v>
      </c>
      <c r="J33" s="140">
        <v>0.82</v>
      </c>
      <c r="K33" s="202">
        <f t="shared" ref="K33:K34" si="21">I33*J33 + C33</f>
        <v>466.90799999999996</v>
      </c>
      <c r="L33" s="268">
        <f t="shared" si="2"/>
        <v>0.60558754863813224</v>
      </c>
    </row>
    <row r="34" spans="1:12">
      <c r="A34" s="550" t="s">
        <v>393</v>
      </c>
      <c r="B34" s="460">
        <v>7493</v>
      </c>
      <c r="C34" s="460">
        <v>316</v>
      </c>
      <c r="D34" s="284">
        <f t="shared" si="3"/>
        <v>7177</v>
      </c>
      <c r="E34" s="457">
        <v>2340</v>
      </c>
      <c r="F34" s="202">
        <f t="shared" si="20"/>
        <v>4837</v>
      </c>
      <c r="G34" s="203">
        <v>0.31</v>
      </c>
      <c r="H34" s="202">
        <f t="shared" si="0"/>
        <v>725.4</v>
      </c>
      <c r="I34" s="202">
        <f t="shared" si="1"/>
        <v>5562.4</v>
      </c>
      <c r="J34" s="203">
        <v>0.82</v>
      </c>
      <c r="K34" s="202">
        <f t="shared" si="21"/>
        <v>4877.1679999999997</v>
      </c>
      <c r="L34" s="267">
        <f t="shared" si="2"/>
        <v>0.65089657013212332</v>
      </c>
    </row>
    <row r="35" spans="1:12">
      <c r="A35" s="551"/>
      <c r="B35" s="459">
        <v>0</v>
      </c>
      <c r="C35" s="459">
        <v>0</v>
      </c>
      <c r="D35" s="368">
        <f t="shared" si="3"/>
        <v>0</v>
      </c>
      <c r="E35" s="459">
        <v>0</v>
      </c>
      <c r="F35" s="369">
        <f>D35-E35</f>
        <v>0</v>
      </c>
      <c r="G35" s="370">
        <v>0.31</v>
      </c>
      <c r="H35" s="369">
        <f t="shared" si="0"/>
        <v>0</v>
      </c>
      <c r="I35" s="369">
        <f t="shared" si="1"/>
        <v>0</v>
      </c>
      <c r="J35" s="370">
        <v>0.92</v>
      </c>
      <c r="K35" s="369">
        <f>I35*J35 + C35</f>
        <v>0</v>
      </c>
      <c r="L35" s="371">
        <f t="shared" si="2"/>
        <v>1</v>
      </c>
    </row>
    <row r="36" spans="1:12">
      <c r="A36" s="201" t="s">
        <v>412</v>
      </c>
      <c r="B36" s="460">
        <v>471</v>
      </c>
      <c r="C36" s="460">
        <v>0</v>
      </c>
      <c r="D36" s="284">
        <f t="shared" si="3"/>
        <v>471</v>
      </c>
      <c r="E36" s="457">
        <v>412</v>
      </c>
      <c r="F36" s="202">
        <f t="shared" ref="F36:F38" si="22">D36-E36</f>
        <v>59</v>
      </c>
      <c r="G36" s="203">
        <v>0.23</v>
      </c>
      <c r="H36" s="202">
        <f>E36*G36</f>
        <v>94.76</v>
      </c>
      <c r="I36" s="202">
        <f>F36+H36</f>
        <v>153.76</v>
      </c>
      <c r="J36" s="203">
        <v>0.82</v>
      </c>
      <c r="K36" s="202">
        <f t="shared" ref="K36:K38" si="23">I36*J36 + C36</f>
        <v>126.08319999999999</v>
      </c>
      <c r="L36" s="267">
        <f t="shared" si="2"/>
        <v>0.26769256900212313</v>
      </c>
    </row>
    <row r="37" spans="1:12" ht="25.5">
      <c r="A37" s="201" t="s">
        <v>413</v>
      </c>
      <c r="B37" s="460">
        <v>24097</v>
      </c>
      <c r="C37" s="460">
        <v>1787</v>
      </c>
      <c r="D37" s="284">
        <f t="shared" si="3"/>
        <v>22310</v>
      </c>
      <c r="E37" s="457">
        <v>9530</v>
      </c>
      <c r="F37" s="202">
        <f t="shared" si="22"/>
        <v>12780</v>
      </c>
      <c r="G37" s="203">
        <v>0.23</v>
      </c>
      <c r="H37" s="202">
        <f>E37*G37</f>
        <v>2191.9</v>
      </c>
      <c r="I37" s="202">
        <f>F37+H37</f>
        <v>14971.9</v>
      </c>
      <c r="J37" s="203">
        <v>0.82</v>
      </c>
      <c r="K37" s="202">
        <f t="shared" si="23"/>
        <v>14063.957999999999</v>
      </c>
      <c r="L37" s="267">
        <f t="shared" si="2"/>
        <v>0.58363937419595791</v>
      </c>
    </row>
    <row r="38" spans="1:12" ht="25.5">
      <c r="A38" s="201" t="s">
        <v>394</v>
      </c>
      <c r="B38" s="460">
        <v>38000</v>
      </c>
      <c r="C38" s="458">
        <v>3147</v>
      </c>
      <c r="D38" s="284">
        <f t="shared" si="3"/>
        <v>34853</v>
      </c>
      <c r="E38" s="461">
        <v>24996</v>
      </c>
      <c r="F38" s="202">
        <f t="shared" si="22"/>
        <v>9857</v>
      </c>
      <c r="G38" s="203">
        <v>0.23</v>
      </c>
      <c r="H38" s="202">
        <f>E38*G38</f>
        <v>5749.08</v>
      </c>
      <c r="I38" s="202">
        <f>F38+H38</f>
        <v>15606.08</v>
      </c>
      <c r="J38" s="203">
        <v>0.82</v>
      </c>
      <c r="K38" s="202">
        <f t="shared" si="23"/>
        <v>15943.9856</v>
      </c>
      <c r="L38" s="267">
        <f t="shared" si="2"/>
        <v>0.41957856842105262</v>
      </c>
    </row>
    <row r="39" spans="1:12" ht="40.5" customHeight="1">
      <c r="A39" s="190"/>
      <c r="B39" s="191"/>
      <c r="C39" s="191"/>
      <c r="D39" s="191"/>
      <c r="E39" s="110"/>
      <c r="F39" s="112"/>
      <c r="G39" s="110"/>
      <c r="H39" s="110"/>
      <c r="I39" s="112"/>
      <c r="J39" s="110"/>
      <c r="K39" s="112"/>
    </row>
    <row r="40" spans="1:12">
      <c r="B40" s="193"/>
    </row>
    <row r="41" spans="1:12">
      <c r="A41" s="194" t="s">
        <v>335</v>
      </c>
    </row>
    <row r="42" spans="1:12">
      <c r="A42" s="192">
        <v>2018</v>
      </c>
    </row>
    <row r="43" spans="1:12">
      <c r="A43" s="334" t="s">
        <v>336</v>
      </c>
      <c r="B43" s="195" t="s">
        <v>337</v>
      </c>
      <c r="C43" s="195" t="s">
        <v>338</v>
      </c>
      <c r="D43" s="195" t="s">
        <v>339</v>
      </c>
      <c r="E43" s="195" t="s">
        <v>339</v>
      </c>
      <c r="F43" s="195" t="s">
        <v>341</v>
      </c>
      <c r="G43" s="195" t="s">
        <v>342</v>
      </c>
      <c r="H43" s="195" t="s">
        <v>343</v>
      </c>
      <c r="I43" s="195" t="s">
        <v>344</v>
      </c>
      <c r="J43" s="195" t="s">
        <v>345</v>
      </c>
      <c r="K43" s="196" t="s">
        <v>346</v>
      </c>
      <c r="L43" s="270" t="s">
        <v>554</v>
      </c>
    </row>
    <row r="44" spans="1:12">
      <c r="A44" s="197" t="s">
        <v>305</v>
      </c>
      <c r="B44" s="289" t="s">
        <v>347</v>
      </c>
      <c r="C44" s="289" t="s">
        <v>348</v>
      </c>
      <c r="D44" s="271" t="s">
        <v>555</v>
      </c>
      <c r="E44" s="289" t="s">
        <v>349</v>
      </c>
      <c r="F44" s="289" t="s">
        <v>350</v>
      </c>
      <c r="G44" s="289" t="s">
        <v>351</v>
      </c>
      <c r="H44" s="289" t="s">
        <v>352</v>
      </c>
      <c r="I44" s="289" t="s">
        <v>353</v>
      </c>
      <c r="J44" s="198" t="s">
        <v>359</v>
      </c>
      <c r="K44" s="289" t="s">
        <v>354</v>
      </c>
      <c r="L44" s="290" t="s">
        <v>355</v>
      </c>
    </row>
    <row r="45" spans="1:12">
      <c r="A45" s="199"/>
      <c r="B45" s="198" t="s">
        <v>321</v>
      </c>
      <c r="C45" s="198" t="s">
        <v>356</v>
      </c>
      <c r="D45" s="272" t="s">
        <v>321</v>
      </c>
      <c r="E45" s="198" t="s">
        <v>357</v>
      </c>
      <c r="F45" s="198"/>
      <c r="G45" s="198" t="s">
        <v>352</v>
      </c>
      <c r="H45" s="198"/>
      <c r="I45" s="198" t="s">
        <v>358</v>
      </c>
      <c r="J45" s="198" t="s">
        <v>363</v>
      </c>
      <c r="K45" s="198" t="s">
        <v>360</v>
      </c>
      <c r="L45" s="200" t="s">
        <v>361</v>
      </c>
    </row>
    <row r="46" spans="1:12">
      <c r="A46" s="199"/>
      <c r="B46" s="198"/>
      <c r="C46" s="198"/>
      <c r="D46" s="198"/>
      <c r="E46" s="198"/>
      <c r="F46" s="198"/>
      <c r="G46" s="198" t="s">
        <v>362</v>
      </c>
      <c r="H46" s="198"/>
      <c r="I46" s="198"/>
      <c r="J46" s="198" t="s">
        <v>365</v>
      </c>
      <c r="K46" s="198" t="s">
        <v>364</v>
      </c>
      <c r="L46" s="200" t="s">
        <v>305</v>
      </c>
    </row>
    <row r="47" spans="1:12">
      <c r="A47" s="199"/>
      <c r="B47" s="198"/>
      <c r="C47" s="198"/>
      <c r="D47" s="198"/>
      <c r="E47" s="198"/>
      <c r="F47" s="198"/>
      <c r="G47" s="198"/>
      <c r="H47" s="198"/>
      <c r="I47" s="198"/>
      <c r="J47" s="198" t="s">
        <v>367</v>
      </c>
      <c r="K47" s="198" t="s">
        <v>366</v>
      </c>
      <c r="L47" s="200" t="s">
        <v>321</v>
      </c>
    </row>
    <row r="48" spans="1:12">
      <c r="A48" s="199"/>
      <c r="B48" s="198"/>
      <c r="C48" s="198"/>
      <c r="D48" s="198"/>
      <c r="E48" s="198"/>
      <c r="F48" s="198"/>
      <c r="G48" s="198"/>
      <c r="H48" s="198"/>
      <c r="I48" s="198"/>
      <c r="J48" s="198" t="s">
        <v>368</v>
      </c>
      <c r="K48" s="198" t="s">
        <v>303</v>
      </c>
      <c r="L48" s="200"/>
    </row>
    <row r="49" spans="1:12">
      <c r="A49" s="197" t="s">
        <v>369</v>
      </c>
      <c r="B49" s="289" t="s">
        <v>370</v>
      </c>
      <c r="C49" s="289" t="s">
        <v>371</v>
      </c>
      <c r="D49" s="271" t="s">
        <v>556</v>
      </c>
      <c r="E49" s="289" t="s">
        <v>372</v>
      </c>
      <c r="F49" s="271" t="s">
        <v>557</v>
      </c>
      <c r="G49" s="289" t="s">
        <v>373</v>
      </c>
      <c r="H49" s="271" t="s">
        <v>558</v>
      </c>
      <c r="I49" s="271" t="s">
        <v>559</v>
      </c>
      <c r="J49" s="289" t="s">
        <v>374</v>
      </c>
      <c r="K49" s="271" t="s">
        <v>560</v>
      </c>
      <c r="L49" s="273" t="s">
        <v>562</v>
      </c>
    </row>
    <row r="50" spans="1:12">
      <c r="A50" s="199"/>
      <c r="B50" s="198" t="s">
        <v>321</v>
      </c>
      <c r="C50" s="198" t="s">
        <v>375</v>
      </c>
      <c r="D50" s="198"/>
      <c r="E50" s="198" t="s">
        <v>376</v>
      </c>
      <c r="F50" s="198"/>
      <c r="G50" s="198" t="s">
        <v>36</v>
      </c>
      <c r="H50" s="272" t="s">
        <v>342</v>
      </c>
      <c r="I50" s="272" t="s">
        <v>343</v>
      </c>
      <c r="J50" s="198" t="s">
        <v>377</v>
      </c>
      <c r="K50" s="272" t="s">
        <v>561</v>
      </c>
      <c r="L50" s="200"/>
    </row>
    <row r="51" spans="1:12">
      <c r="A51" s="199"/>
      <c r="B51" s="198"/>
      <c r="C51" s="198" t="s">
        <v>378</v>
      </c>
      <c r="D51" s="198"/>
      <c r="E51" s="198" t="s">
        <v>379</v>
      </c>
      <c r="F51" s="198"/>
      <c r="G51" s="198" t="s">
        <v>380</v>
      </c>
      <c r="H51" s="198"/>
      <c r="I51" s="198"/>
      <c r="J51" s="198"/>
      <c r="K51" s="272" t="s">
        <v>338</v>
      </c>
      <c r="L51" s="200"/>
    </row>
    <row r="52" spans="1:12">
      <c r="A52" s="199"/>
      <c r="B52" s="198"/>
      <c r="C52" s="198"/>
      <c r="D52" s="198"/>
      <c r="E52" s="198"/>
      <c r="F52" s="198"/>
      <c r="G52" s="198" t="s">
        <v>381</v>
      </c>
      <c r="H52" s="198"/>
      <c r="I52" s="198"/>
      <c r="J52" s="198"/>
      <c r="K52" s="198"/>
      <c r="L52" s="200"/>
    </row>
    <row r="53" spans="1:12">
      <c r="A53" s="364" t="s">
        <v>643</v>
      </c>
      <c r="B53" s="198"/>
      <c r="C53" s="198"/>
      <c r="D53" s="198"/>
      <c r="E53" s="198"/>
      <c r="F53" s="198"/>
      <c r="G53" s="198" t="s">
        <v>382</v>
      </c>
      <c r="H53" s="198"/>
      <c r="I53" s="198"/>
      <c r="J53" s="198"/>
      <c r="K53" s="198"/>
      <c r="L53" s="200"/>
    </row>
    <row r="54" spans="1:12">
      <c r="A54" s="365" t="s">
        <v>644</v>
      </c>
      <c r="B54" s="198"/>
      <c r="C54" s="198"/>
      <c r="D54" s="198"/>
      <c r="E54" s="198"/>
      <c r="F54" s="198"/>
      <c r="G54" s="198" t="s">
        <v>383</v>
      </c>
      <c r="H54" s="198"/>
      <c r="I54" s="198"/>
      <c r="J54" s="198"/>
      <c r="K54" s="198"/>
      <c r="L54" s="200"/>
    </row>
    <row r="55" spans="1:12">
      <c r="A55" s="550" t="s">
        <v>384</v>
      </c>
      <c r="B55" s="461">
        <v>7426</v>
      </c>
      <c r="C55" s="458">
        <v>194</v>
      </c>
      <c r="D55" s="284">
        <f t="shared" ref="D55:D78" si="24">B55-C55</f>
        <v>7232</v>
      </c>
      <c r="E55" s="461">
        <v>319</v>
      </c>
      <c r="F55" s="202">
        <f>D55-E55</f>
        <v>6913</v>
      </c>
      <c r="G55" s="203">
        <v>0.3</v>
      </c>
      <c r="H55" s="202">
        <f t="shared" ref="H55:H75" si="25">E55*G55</f>
        <v>95.7</v>
      </c>
      <c r="I55" s="202">
        <f t="shared" ref="I55:I75" si="26">F55+H55</f>
        <v>7008.7</v>
      </c>
      <c r="J55" s="203">
        <v>0.82</v>
      </c>
      <c r="K55" s="202">
        <f>I55*J55 + C55</f>
        <v>5941.1339999999991</v>
      </c>
      <c r="L55" s="267">
        <f t="shared" ref="L55:L78" si="27">IF(B55&gt;0, K55/B55, 1)</f>
        <v>0.80004497710746014</v>
      </c>
    </row>
    <row r="56" spans="1:12">
      <c r="A56" s="551"/>
      <c r="B56" s="366">
        <v>0</v>
      </c>
      <c r="C56" s="367">
        <v>0</v>
      </c>
      <c r="D56" s="368">
        <f t="shared" si="24"/>
        <v>0</v>
      </c>
      <c r="E56" s="366">
        <v>0</v>
      </c>
      <c r="F56" s="369">
        <f>D56-E56</f>
        <v>0</v>
      </c>
      <c r="G56" s="370">
        <v>0.3</v>
      </c>
      <c r="H56" s="369">
        <f t="shared" si="25"/>
        <v>0</v>
      </c>
      <c r="I56" s="369">
        <f t="shared" si="26"/>
        <v>0</v>
      </c>
      <c r="J56" s="370">
        <v>0.92</v>
      </c>
      <c r="K56" s="369">
        <f>I56*J56 + C56</f>
        <v>0</v>
      </c>
      <c r="L56" s="371">
        <f t="shared" si="27"/>
        <v>1</v>
      </c>
    </row>
    <row r="57" spans="1:12">
      <c r="A57" s="550" t="s">
        <v>385</v>
      </c>
      <c r="B57" s="458">
        <v>0</v>
      </c>
      <c r="C57" s="458">
        <v>0</v>
      </c>
      <c r="D57" s="284">
        <f t="shared" si="24"/>
        <v>0</v>
      </c>
      <c r="E57" s="461">
        <v>0</v>
      </c>
      <c r="F57" s="202">
        <f t="shared" ref="F57" si="28">D57-E57</f>
        <v>0</v>
      </c>
      <c r="G57" s="203">
        <v>0.3</v>
      </c>
      <c r="H57" s="202">
        <f t="shared" si="25"/>
        <v>0</v>
      </c>
      <c r="I57" s="202">
        <f t="shared" si="26"/>
        <v>0</v>
      </c>
      <c r="J57" s="203">
        <v>0.82</v>
      </c>
      <c r="K57" s="202">
        <f t="shared" ref="K57" si="29">I57*J57 + C57</f>
        <v>0</v>
      </c>
      <c r="L57" s="267">
        <f t="shared" si="27"/>
        <v>1</v>
      </c>
    </row>
    <row r="58" spans="1:12">
      <c r="A58" s="551"/>
      <c r="B58" s="366">
        <v>0</v>
      </c>
      <c r="C58" s="367">
        <v>0</v>
      </c>
      <c r="D58" s="368">
        <f t="shared" si="24"/>
        <v>0</v>
      </c>
      <c r="E58" s="366">
        <v>0</v>
      </c>
      <c r="F58" s="369">
        <f>D58-E58</f>
        <v>0</v>
      </c>
      <c r="G58" s="370">
        <v>0.3</v>
      </c>
      <c r="H58" s="369">
        <f t="shared" si="25"/>
        <v>0</v>
      </c>
      <c r="I58" s="369">
        <f t="shared" si="26"/>
        <v>0</v>
      </c>
      <c r="J58" s="370">
        <v>0.92</v>
      </c>
      <c r="K58" s="369">
        <f>I58*J58 + C58</f>
        <v>0</v>
      </c>
      <c r="L58" s="371">
        <f t="shared" si="27"/>
        <v>1</v>
      </c>
    </row>
    <row r="59" spans="1:12">
      <c r="A59" s="550" t="s">
        <v>386</v>
      </c>
      <c r="B59" s="458">
        <v>14295</v>
      </c>
      <c r="C59" s="458">
        <v>617</v>
      </c>
      <c r="D59" s="284">
        <f t="shared" si="24"/>
        <v>13678</v>
      </c>
      <c r="E59" s="461">
        <v>4264</v>
      </c>
      <c r="F59" s="202">
        <f t="shared" ref="F59" si="30">D59-E59</f>
        <v>9414</v>
      </c>
      <c r="G59" s="203">
        <v>0.3</v>
      </c>
      <c r="H59" s="202">
        <f t="shared" si="25"/>
        <v>1279.2</v>
      </c>
      <c r="I59" s="202">
        <f t="shared" si="26"/>
        <v>10693.2</v>
      </c>
      <c r="J59" s="203">
        <v>0.82</v>
      </c>
      <c r="K59" s="202">
        <f t="shared" ref="K59" si="31">I59*J59 + C59</f>
        <v>9385.4240000000009</v>
      </c>
      <c r="L59" s="267">
        <f t="shared" si="27"/>
        <v>0.65655292060160897</v>
      </c>
    </row>
    <row r="60" spans="1:12">
      <c r="A60" s="551"/>
      <c r="B60" s="366">
        <v>0</v>
      </c>
      <c r="C60" s="367">
        <v>0</v>
      </c>
      <c r="D60" s="368">
        <f t="shared" si="24"/>
        <v>0</v>
      </c>
      <c r="E60" s="366">
        <v>0</v>
      </c>
      <c r="F60" s="369">
        <f>D60-E60</f>
        <v>0</v>
      </c>
      <c r="G60" s="370">
        <v>0.3</v>
      </c>
      <c r="H60" s="369">
        <f t="shared" si="25"/>
        <v>0</v>
      </c>
      <c r="I60" s="369">
        <f t="shared" si="26"/>
        <v>0</v>
      </c>
      <c r="J60" s="370">
        <v>0.92</v>
      </c>
      <c r="K60" s="369">
        <f>I60*J60 + C60</f>
        <v>0</v>
      </c>
      <c r="L60" s="371">
        <f t="shared" si="27"/>
        <v>1</v>
      </c>
    </row>
    <row r="61" spans="1:12">
      <c r="A61" s="550" t="s">
        <v>20</v>
      </c>
      <c r="B61" s="458">
        <v>0</v>
      </c>
      <c r="C61" s="458">
        <v>0</v>
      </c>
      <c r="D61" s="284">
        <f t="shared" si="24"/>
        <v>0</v>
      </c>
      <c r="E61" s="461">
        <v>0</v>
      </c>
      <c r="F61" s="202">
        <f t="shared" ref="F61" si="32">D61-E61</f>
        <v>0</v>
      </c>
      <c r="G61" s="203">
        <v>0.3</v>
      </c>
      <c r="H61" s="202">
        <f t="shared" si="25"/>
        <v>0</v>
      </c>
      <c r="I61" s="202">
        <f t="shared" si="26"/>
        <v>0</v>
      </c>
      <c r="J61" s="203">
        <v>0.82</v>
      </c>
      <c r="K61" s="202">
        <f t="shared" ref="K61" si="33">I61*J61 + C61</f>
        <v>0</v>
      </c>
      <c r="L61" s="267">
        <f t="shared" si="27"/>
        <v>1</v>
      </c>
    </row>
    <row r="62" spans="1:12">
      <c r="A62" s="551"/>
      <c r="B62" s="366">
        <v>0</v>
      </c>
      <c r="C62" s="367">
        <v>0</v>
      </c>
      <c r="D62" s="368">
        <f t="shared" si="24"/>
        <v>0</v>
      </c>
      <c r="E62" s="366">
        <v>0</v>
      </c>
      <c r="F62" s="369">
        <f>D62-E62</f>
        <v>0</v>
      </c>
      <c r="G62" s="370">
        <v>0.3</v>
      </c>
      <c r="H62" s="369">
        <f t="shared" si="25"/>
        <v>0</v>
      </c>
      <c r="I62" s="369">
        <f t="shared" si="26"/>
        <v>0</v>
      </c>
      <c r="J62" s="370">
        <v>0.92</v>
      </c>
      <c r="K62" s="369">
        <f>I62*J62 + C62</f>
        <v>0</v>
      </c>
      <c r="L62" s="371">
        <f t="shared" si="27"/>
        <v>1</v>
      </c>
    </row>
    <row r="63" spans="1:12">
      <c r="A63" s="550" t="s">
        <v>387</v>
      </c>
      <c r="B63" s="458">
        <v>9172</v>
      </c>
      <c r="C63" s="458">
        <v>2477</v>
      </c>
      <c r="D63" s="284">
        <f t="shared" si="24"/>
        <v>6695</v>
      </c>
      <c r="E63" s="461">
        <v>1733</v>
      </c>
      <c r="F63" s="202">
        <f t="shared" ref="F63" si="34">D63-E63</f>
        <v>4962</v>
      </c>
      <c r="G63" s="203">
        <v>0.3</v>
      </c>
      <c r="H63" s="202">
        <f t="shared" si="25"/>
        <v>519.9</v>
      </c>
      <c r="I63" s="202">
        <f t="shared" si="26"/>
        <v>5481.9</v>
      </c>
      <c r="J63" s="203">
        <v>0.82</v>
      </c>
      <c r="K63" s="202">
        <f t="shared" ref="K63" si="35">I63*J63 + C63</f>
        <v>6972.1579999999994</v>
      </c>
      <c r="L63" s="267">
        <f t="shared" si="27"/>
        <v>0.76015678150894017</v>
      </c>
    </row>
    <row r="64" spans="1:12">
      <c r="A64" s="551"/>
      <c r="B64" s="366">
        <v>0</v>
      </c>
      <c r="C64" s="367">
        <v>0</v>
      </c>
      <c r="D64" s="368">
        <f t="shared" si="24"/>
        <v>0</v>
      </c>
      <c r="E64" s="366">
        <v>0</v>
      </c>
      <c r="F64" s="369">
        <f>D64-E64</f>
        <v>0</v>
      </c>
      <c r="G64" s="370">
        <v>0.3</v>
      </c>
      <c r="H64" s="369">
        <f t="shared" si="25"/>
        <v>0</v>
      </c>
      <c r="I64" s="369">
        <f t="shared" si="26"/>
        <v>0</v>
      </c>
      <c r="J64" s="370">
        <v>0.92</v>
      </c>
      <c r="K64" s="369">
        <f>I64*J64 + C64</f>
        <v>0</v>
      </c>
      <c r="L64" s="371">
        <f t="shared" si="27"/>
        <v>1</v>
      </c>
    </row>
    <row r="65" spans="1:12">
      <c r="A65" s="550" t="s">
        <v>388</v>
      </c>
      <c r="B65" s="458">
        <v>21005</v>
      </c>
      <c r="C65" s="458">
        <v>2307</v>
      </c>
      <c r="D65" s="284">
        <f t="shared" si="24"/>
        <v>18698</v>
      </c>
      <c r="E65" s="461">
        <v>7235</v>
      </c>
      <c r="F65" s="202">
        <f t="shared" ref="F65" si="36">D65-E65</f>
        <v>11463</v>
      </c>
      <c r="G65" s="203">
        <v>0.3</v>
      </c>
      <c r="H65" s="202">
        <f t="shared" si="25"/>
        <v>2170.5</v>
      </c>
      <c r="I65" s="202">
        <f t="shared" si="26"/>
        <v>13633.5</v>
      </c>
      <c r="J65" s="203">
        <v>0.82</v>
      </c>
      <c r="K65" s="202">
        <f t="shared" ref="K65" si="37">I65*J65 + C65</f>
        <v>13486.47</v>
      </c>
      <c r="L65" s="267">
        <f t="shared" si="27"/>
        <v>0.64205998571768619</v>
      </c>
    </row>
    <row r="66" spans="1:12">
      <c r="A66" s="551"/>
      <c r="B66" s="366">
        <v>0</v>
      </c>
      <c r="C66" s="367">
        <v>0</v>
      </c>
      <c r="D66" s="368">
        <f t="shared" si="24"/>
        <v>0</v>
      </c>
      <c r="E66" s="366">
        <v>0</v>
      </c>
      <c r="F66" s="369">
        <f>D66-E66</f>
        <v>0</v>
      </c>
      <c r="G66" s="370">
        <v>0.3</v>
      </c>
      <c r="H66" s="369">
        <f t="shared" si="25"/>
        <v>0</v>
      </c>
      <c r="I66" s="369">
        <f t="shared" si="26"/>
        <v>0</v>
      </c>
      <c r="J66" s="370">
        <v>0.92</v>
      </c>
      <c r="K66" s="369">
        <f>I66*J66 + C66</f>
        <v>0</v>
      </c>
      <c r="L66" s="371">
        <f t="shared" si="27"/>
        <v>1</v>
      </c>
    </row>
    <row r="67" spans="1:12">
      <c r="A67" s="550" t="s">
        <v>389</v>
      </c>
      <c r="B67" s="458">
        <v>660</v>
      </c>
      <c r="C67" s="458">
        <v>88</v>
      </c>
      <c r="D67" s="284">
        <f t="shared" si="24"/>
        <v>572</v>
      </c>
      <c r="E67" s="461">
        <v>212</v>
      </c>
      <c r="F67" s="202">
        <f t="shared" ref="F67" si="38">D67-E67</f>
        <v>360</v>
      </c>
      <c r="G67" s="203">
        <v>0.35</v>
      </c>
      <c r="H67" s="202">
        <f t="shared" si="25"/>
        <v>74.199999999999989</v>
      </c>
      <c r="I67" s="202">
        <f t="shared" si="26"/>
        <v>434.2</v>
      </c>
      <c r="J67" s="203">
        <v>0.82</v>
      </c>
      <c r="K67" s="202">
        <f t="shared" ref="K67" si="39">I67*J67 + C67</f>
        <v>444.04399999999998</v>
      </c>
      <c r="L67" s="267">
        <f t="shared" si="27"/>
        <v>0.67279393939393939</v>
      </c>
    </row>
    <row r="68" spans="1:12">
      <c r="A68" s="551"/>
      <c r="B68" s="366">
        <v>0</v>
      </c>
      <c r="C68" s="367">
        <v>0</v>
      </c>
      <c r="D68" s="368">
        <f t="shared" si="24"/>
        <v>0</v>
      </c>
      <c r="E68" s="366">
        <v>0</v>
      </c>
      <c r="F68" s="369">
        <f>D68-E68</f>
        <v>0</v>
      </c>
      <c r="G68" s="370">
        <v>0.35</v>
      </c>
      <c r="H68" s="369">
        <f t="shared" si="25"/>
        <v>0</v>
      </c>
      <c r="I68" s="369">
        <f t="shared" si="26"/>
        <v>0</v>
      </c>
      <c r="J68" s="370">
        <v>0.92</v>
      </c>
      <c r="K68" s="369">
        <f>I68*J68 + C68</f>
        <v>0</v>
      </c>
      <c r="L68" s="371">
        <f t="shared" si="27"/>
        <v>1</v>
      </c>
    </row>
    <row r="69" spans="1:12">
      <c r="A69" s="550" t="s">
        <v>390</v>
      </c>
      <c r="B69" s="458">
        <v>15780</v>
      </c>
      <c r="C69" s="458">
        <v>2064</v>
      </c>
      <c r="D69" s="284">
        <f t="shared" si="24"/>
        <v>13716</v>
      </c>
      <c r="E69" s="461">
        <v>4614</v>
      </c>
      <c r="F69" s="202">
        <f t="shared" ref="F69" si="40">D69-E69</f>
        <v>9102</v>
      </c>
      <c r="G69" s="203">
        <v>0.35</v>
      </c>
      <c r="H69" s="202">
        <f t="shared" si="25"/>
        <v>1614.8999999999999</v>
      </c>
      <c r="I69" s="202">
        <f t="shared" si="26"/>
        <v>10716.9</v>
      </c>
      <c r="J69" s="203">
        <v>0.82</v>
      </c>
      <c r="K69" s="202">
        <f t="shared" ref="K69" si="41">I69*J69 + C69</f>
        <v>10851.857999999998</v>
      </c>
      <c r="L69" s="267">
        <f t="shared" si="27"/>
        <v>0.68769695817490484</v>
      </c>
    </row>
    <row r="70" spans="1:12">
      <c r="A70" s="551"/>
      <c r="B70" s="366">
        <v>0</v>
      </c>
      <c r="C70" s="367">
        <v>0</v>
      </c>
      <c r="D70" s="368">
        <f t="shared" si="24"/>
        <v>0</v>
      </c>
      <c r="E70" s="366">
        <v>0</v>
      </c>
      <c r="F70" s="369">
        <f>D70-E70</f>
        <v>0</v>
      </c>
      <c r="G70" s="370">
        <v>0.35</v>
      </c>
      <c r="H70" s="369">
        <f t="shared" si="25"/>
        <v>0</v>
      </c>
      <c r="I70" s="369">
        <f t="shared" si="26"/>
        <v>0</v>
      </c>
      <c r="J70" s="370">
        <v>0.92</v>
      </c>
      <c r="K70" s="369">
        <f>I70*J70 + C70</f>
        <v>0</v>
      </c>
      <c r="L70" s="371">
        <f t="shared" si="27"/>
        <v>1</v>
      </c>
    </row>
    <row r="71" spans="1:12">
      <c r="A71" s="550" t="s">
        <v>391</v>
      </c>
      <c r="B71" s="458">
        <v>813</v>
      </c>
      <c r="C71" s="458">
        <v>5</v>
      </c>
      <c r="D71" s="284">
        <f t="shared" si="24"/>
        <v>808</v>
      </c>
      <c r="E71" s="461">
        <v>406</v>
      </c>
      <c r="F71" s="202">
        <f t="shared" ref="F71" si="42">D71-E71</f>
        <v>402</v>
      </c>
      <c r="G71" s="203">
        <v>0.35</v>
      </c>
      <c r="H71" s="202">
        <f t="shared" si="25"/>
        <v>142.1</v>
      </c>
      <c r="I71" s="202">
        <f t="shared" si="26"/>
        <v>544.1</v>
      </c>
      <c r="J71" s="203">
        <v>0.82</v>
      </c>
      <c r="K71" s="202">
        <f t="shared" ref="K71" si="43">I71*J71 + C71</f>
        <v>451.16199999999998</v>
      </c>
      <c r="L71" s="267">
        <f t="shared" si="27"/>
        <v>0.55493480934809347</v>
      </c>
    </row>
    <row r="72" spans="1:12">
      <c r="A72" s="551"/>
      <c r="B72" s="366">
        <v>0</v>
      </c>
      <c r="C72" s="367">
        <v>0</v>
      </c>
      <c r="D72" s="368">
        <f t="shared" si="24"/>
        <v>0</v>
      </c>
      <c r="E72" s="366">
        <v>0</v>
      </c>
      <c r="F72" s="369">
        <f>D72-E72</f>
        <v>0</v>
      </c>
      <c r="G72" s="370">
        <v>0.35</v>
      </c>
      <c r="H72" s="369">
        <f t="shared" si="25"/>
        <v>0</v>
      </c>
      <c r="I72" s="369">
        <f t="shared" si="26"/>
        <v>0</v>
      </c>
      <c r="J72" s="370">
        <v>0.92</v>
      </c>
      <c r="K72" s="369">
        <f>I72*J72 + C72</f>
        <v>0</v>
      </c>
      <c r="L72" s="371">
        <f t="shared" si="27"/>
        <v>1</v>
      </c>
    </row>
    <row r="73" spans="1:12">
      <c r="A73" s="204" t="s">
        <v>392</v>
      </c>
      <c r="B73" s="458">
        <v>0</v>
      </c>
      <c r="C73" s="458">
        <v>0</v>
      </c>
      <c r="D73" s="284">
        <f t="shared" si="24"/>
        <v>0</v>
      </c>
      <c r="E73" s="461">
        <v>0</v>
      </c>
      <c r="F73" s="202">
        <f t="shared" ref="F73:F74" si="44">D73-E73</f>
        <v>0</v>
      </c>
      <c r="G73" s="140">
        <v>0.3</v>
      </c>
      <c r="H73" s="186">
        <f t="shared" si="25"/>
        <v>0</v>
      </c>
      <c r="I73" s="186">
        <f t="shared" si="26"/>
        <v>0</v>
      </c>
      <c r="J73" s="140">
        <v>0.82</v>
      </c>
      <c r="K73" s="202">
        <f t="shared" ref="K73:K74" si="45">I73*J73 + C73</f>
        <v>0</v>
      </c>
      <c r="L73" s="268">
        <f t="shared" si="27"/>
        <v>1</v>
      </c>
    </row>
    <row r="74" spans="1:12">
      <c r="A74" s="550" t="s">
        <v>393</v>
      </c>
      <c r="B74" s="458">
        <v>8121</v>
      </c>
      <c r="C74" s="458">
        <v>269</v>
      </c>
      <c r="D74" s="284">
        <f t="shared" si="24"/>
        <v>7852</v>
      </c>
      <c r="E74" s="461">
        <v>2352</v>
      </c>
      <c r="F74" s="202">
        <f t="shared" si="44"/>
        <v>5500</v>
      </c>
      <c r="G74" s="203">
        <v>0.31</v>
      </c>
      <c r="H74" s="202">
        <f t="shared" si="25"/>
        <v>729.12</v>
      </c>
      <c r="I74" s="202">
        <f t="shared" si="26"/>
        <v>6229.12</v>
      </c>
      <c r="J74" s="203">
        <v>0.82</v>
      </c>
      <c r="K74" s="202">
        <f t="shared" si="45"/>
        <v>5376.8783999999996</v>
      </c>
      <c r="L74" s="267">
        <f t="shared" si="27"/>
        <v>0.66209560398965639</v>
      </c>
    </row>
    <row r="75" spans="1:12">
      <c r="A75" s="551"/>
      <c r="B75" s="366">
        <v>0</v>
      </c>
      <c r="C75" s="367">
        <v>0</v>
      </c>
      <c r="D75" s="368">
        <f t="shared" si="24"/>
        <v>0</v>
      </c>
      <c r="E75" s="366">
        <v>0</v>
      </c>
      <c r="F75" s="369">
        <f>D75-E75</f>
        <v>0</v>
      </c>
      <c r="G75" s="370">
        <v>0.31</v>
      </c>
      <c r="H75" s="369">
        <f t="shared" si="25"/>
        <v>0</v>
      </c>
      <c r="I75" s="369">
        <f t="shared" si="26"/>
        <v>0</v>
      </c>
      <c r="J75" s="370">
        <v>0.92</v>
      </c>
      <c r="K75" s="369">
        <f>I75*J75 + C75</f>
        <v>0</v>
      </c>
      <c r="L75" s="371">
        <f t="shared" si="27"/>
        <v>1</v>
      </c>
    </row>
    <row r="76" spans="1:12">
      <c r="A76" s="201" t="s">
        <v>412</v>
      </c>
      <c r="B76" s="458">
        <v>539</v>
      </c>
      <c r="C76" s="458">
        <v>0</v>
      </c>
      <c r="D76" s="284">
        <f t="shared" si="24"/>
        <v>539</v>
      </c>
      <c r="E76" s="461">
        <v>497</v>
      </c>
      <c r="F76" s="202">
        <f t="shared" ref="F76:F78" si="46">D76-E76</f>
        <v>42</v>
      </c>
      <c r="G76" s="203">
        <v>0.23</v>
      </c>
      <c r="H76" s="202">
        <f>E76*G76</f>
        <v>114.31</v>
      </c>
      <c r="I76" s="202">
        <f>F76+H76</f>
        <v>156.31</v>
      </c>
      <c r="J76" s="203">
        <v>0.82</v>
      </c>
      <c r="K76" s="202">
        <f t="shared" ref="K76:K78" si="47">I76*J76 + C76</f>
        <v>128.17419999999998</v>
      </c>
      <c r="L76" s="267">
        <f t="shared" si="27"/>
        <v>0.23779999999999998</v>
      </c>
    </row>
    <row r="77" spans="1:12" ht="25.5">
      <c r="A77" s="201" t="s">
        <v>413</v>
      </c>
      <c r="B77" s="458">
        <v>17007</v>
      </c>
      <c r="C77" s="458">
        <v>1026</v>
      </c>
      <c r="D77" s="284">
        <f t="shared" si="24"/>
        <v>15981</v>
      </c>
      <c r="E77" s="461">
        <v>7928</v>
      </c>
      <c r="F77" s="202">
        <f t="shared" si="46"/>
        <v>8053</v>
      </c>
      <c r="G77" s="203">
        <v>0.23</v>
      </c>
      <c r="H77" s="202">
        <f t="shared" ref="H77:H78" si="48">E77*G77</f>
        <v>1823.44</v>
      </c>
      <c r="I77" s="202">
        <f t="shared" ref="I77:I78" si="49">F77+H77</f>
        <v>9876.44</v>
      </c>
      <c r="J77" s="203">
        <v>0.82</v>
      </c>
      <c r="K77" s="202">
        <f t="shared" si="47"/>
        <v>9124.6808000000001</v>
      </c>
      <c r="L77" s="267">
        <f t="shared" si="27"/>
        <v>0.53652500734991471</v>
      </c>
    </row>
    <row r="78" spans="1:12" ht="25.5">
      <c r="A78" s="201" t="s">
        <v>394</v>
      </c>
      <c r="B78" s="458">
        <v>30608</v>
      </c>
      <c r="C78" s="458">
        <v>2648</v>
      </c>
      <c r="D78" s="284">
        <f t="shared" si="24"/>
        <v>27960</v>
      </c>
      <c r="E78" s="461">
        <v>16558</v>
      </c>
      <c r="F78" s="202">
        <f t="shared" si="46"/>
        <v>11402</v>
      </c>
      <c r="G78" s="203">
        <v>0.23</v>
      </c>
      <c r="H78" s="202">
        <f t="shared" si="48"/>
        <v>3808.34</v>
      </c>
      <c r="I78" s="202">
        <f t="shared" si="49"/>
        <v>15210.34</v>
      </c>
      <c r="J78" s="203">
        <v>0.82</v>
      </c>
      <c r="K78" s="202">
        <f t="shared" si="47"/>
        <v>15120.478799999999</v>
      </c>
      <c r="L78" s="267">
        <f t="shared" si="27"/>
        <v>0.49400414270778881</v>
      </c>
    </row>
    <row r="79" spans="1:12" ht="40.5" customHeight="1">
      <c r="A79" s="190"/>
      <c r="D79" s="191"/>
      <c r="F79" s="112"/>
      <c r="G79" s="110"/>
      <c r="H79" s="110"/>
      <c r="I79" s="112"/>
      <c r="J79" s="110"/>
      <c r="K79" s="112"/>
    </row>
    <row r="80" spans="1:12">
      <c r="B80" s="143"/>
    </row>
    <row r="81" spans="1:12">
      <c r="A81" s="192">
        <v>2019</v>
      </c>
      <c r="B81" s="193"/>
    </row>
    <row r="82" spans="1:12">
      <c r="A82" s="194" t="s">
        <v>335</v>
      </c>
    </row>
    <row r="83" spans="1:12">
      <c r="A83" s="334" t="s">
        <v>336</v>
      </c>
      <c r="B83" s="195" t="s">
        <v>337</v>
      </c>
      <c r="C83" s="195" t="s">
        <v>338</v>
      </c>
      <c r="D83" s="195" t="s">
        <v>339</v>
      </c>
      <c r="E83" s="195" t="s">
        <v>340</v>
      </c>
      <c r="F83" s="195" t="s">
        <v>341</v>
      </c>
      <c r="G83" s="195" t="s">
        <v>342</v>
      </c>
      <c r="H83" s="195" t="s">
        <v>343</v>
      </c>
      <c r="I83" s="195" t="s">
        <v>344</v>
      </c>
      <c r="J83" s="195" t="s">
        <v>345</v>
      </c>
      <c r="K83" s="196" t="s">
        <v>346</v>
      </c>
      <c r="L83" s="270" t="s">
        <v>554</v>
      </c>
    </row>
    <row r="84" spans="1:12">
      <c r="A84" s="197" t="s">
        <v>305</v>
      </c>
      <c r="B84" s="289" t="s">
        <v>347</v>
      </c>
      <c r="C84" s="289" t="s">
        <v>348</v>
      </c>
      <c r="D84" s="271" t="s">
        <v>555</v>
      </c>
      <c r="E84" s="289" t="s">
        <v>349</v>
      </c>
      <c r="F84" s="289" t="s">
        <v>350</v>
      </c>
      <c r="G84" s="289" t="s">
        <v>351</v>
      </c>
      <c r="H84" s="289" t="s">
        <v>352</v>
      </c>
      <c r="I84" s="289" t="s">
        <v>353</v>
      </c>
      <c r="J84" s="198" t="s">
        <v>359</v>
      </c>
      <c r="K84" s="289" t="s">
        <v>354</v>
      </c>
      <c r="L84" s="290" t="s">
        <v>355</v>
      </c>
    </row>
    <row r="85" spans="1:12">
      <c r="A85" s="199"/>
      <c r="B85" s="198" t="s">
        <v>321</v>
      </c>
      <c r="C85" s="198" t="s">
        <v>356</v>
      </c>
      <c r="D85" s="272" t="s">
        <v>321</v>
      </c>
      <c r="E85" s="198" t="s">
        <v>357</v>
      </c>
      <c r="F85" s="198"/>
      <c r="G85" s="198" t="s">
        <v>352</v>
      </c>
      <c r="H85" s="198"/>
      <c r="I85" s="198" t="s">
        <v>358</v>
      </c>
      <c r="J85" s="198" t="s">
        <v>363</v>
      </c>
      <c r="K85" s="198" t="s">
        <v>360</v>
      </c>
      <c r="L85" s="200" t="s">
        <v>361</v>
      </c>
    </row>
    <row r="86" spans="1:12">
      <c r="A86" s="199"/>
      <c r="B86" s="198"/>
      <c r="C86" s="198"/>
      <c r="D86" s="198"/>
      <c r="E86" s="198"/>
      <c r="F86" s="198"/>
      <c r="G86" s="198" t="s">
        <v>362</v>
      </c>
      <c r="H86" s="198"/>
      <c r="I86" s="198"/>
      <c r="J86" s="198" t="s">
        <v>365</v>
      </c>
      <c r="K86" s="198" t="s">
        <v>364</v>
      </c>
      <c r="L86" s="200" t="s">
        <v>305</v>
      </c>
    </row>
    <row r="87" spans="1:12">
      <c r="A87" s="199"/>
      <c r="B87" s="198"/>
      <c r="C87" s="198"/>
      <c r="D87" s="198"/>
      <c r="E87" s="198"/>
      <c r="F87" s="198"/>
      <c r="G87" s="198"/>
      <c r="H87" s="198"/>
      <c r="I87" s="198"/>
      <c r="J87" s="198" t="s">
        <v>367</v>
      </c>
      <c r="K87" s="198" t="s">
        <v>366</v>
      </c>
      <c r="L87" s="200" t="s">
        <v>321</v>
      </c>
    </row>
    <row r="88" spans="1:12">
      <c r="A88" s="199"/>
      <c r="B88" s="198"/>
      <c r="C88" s="198"/>
      <c r="D88" s="198"/>
      <c r="E88" s="198"/>
      <c r="F88" s="198"/>
      <c r="G88" s="198"/>
      <c r="H88" s="198"/>
      <c r="I88" s="198"/>
      <c r="J88" s="198" t="s">
        <v>368</v>
      </c>
      <c r="K88" s="198" t="s">
        <v>303</v>
      </c>
      <c r="L88" s="200"/>
    </row>
    <row r="89" spans="1:12">
      <c r="A89" s="197" t="s">
        <v>369</v>
      </c>
      <c r="B89" s="289" t="s">
        <v>370</v>
      </c>
      <c r="C89" s="289" t="s">
        <v>371</v>
      </c>
      <c r="D89" s="271" t="s">
        <v>556</v>
      </c>
      <c r="E89" s="289" t="s">
        <v>372</v>
      </c>
      <c r="F89" s="271" t="s">
        <v>557</v>
      </c>
      <c r="G89" s="289" t="s">
        <v>373</v>
      </c>
      <c r="H89" s="271" t="s">
        <v>558</v>
      </c>
      <c r="I89" s="271" t="s">
        <v>559</v>
      </c>
      <c r="J89" s="289" t="s">
        <v>374</v>
      </c>
      <c r="K89" s="271" t="s">
        <v>560</v>
      </c>
      <c r="L89" s="273" t="s">
        <v>562</v>
      </c>
    </row>
    <row r="90" spans="1:12">
      <c r="A90" s="199"/>
      <c r="B90" s="198" t="s">
        <v>321</v>
      </c>
      <c r="C90" s="198" t="s">
        <v>375</v>
      </c>
      <c r="D90" s="198"/>
      <c r="E90" s="198" t="s">
        <v>376</v>
      </c>
      <c r="F90" s="198"/>
      <c r="G90" s="198" t="s">
        <v>36</v>
      </c>
      <c r="H90" s="272" t="s">
        <v>342</v>
      </c>
      <c r="I90" s="272" t="s">
        <v>343</v>
      </c>
      <c r="J90" s="198" t="s">
        <v>377</v>
      </c>
      <c r="K90" s="272" t="s">
        <v>561</v>
      </c>
      <c r="L90" s="200"/>
    </row>
    <row r="91" spans="1:12">
      <c r="A91" s="199"/>
      <c r="B91" s="198"/>
      <c r="C91" s="198" t="s">
        <v>378</v>
      </c>
      <c r="D91" s="198"/>
      <c r="E91" s="198" t="s">
        <v>379</v>
      </c>
      <c r="F91" s="198"/>
      <c r="G91" s="198" t="s">
        <v>380</v>
      </c>
      <c r="H91" s="198"/>
      <c r="I91" s="198"/>
      <c r="J91" s="198"/>
      <c r="K91" s="272" t="s">
        <v>338</v>
      </c>
      <c r="L91" s="200"/>
    </row>
    <row r="92" spans="1:12">
      <c r="A92" s="199"/>
      <c r="B92" s="198"/>
      <c r="C92" s="198"/>
      <c r="D92" s="198"/>
      <c r="E92" s="198"/>
      <c r="F92" s="198"/>
      <c r="G92" s="198" t="s">
        <v>381</v>
      </c>
      <c r="H92" s="198"/>
      <c r="I92" s="198"/>
      <c r="J92" s="198"/>
      <c r="K92" s="198"/>
      <c r="L92" s="200"/>
    </row>
    <row r="93" spans="1:12">
      <c r="A93" s="364" t="s">
        <v>643</v>
      </c>
      <c r="B93" s="198"/>
      <c r="C93" s="198"/>
      <c r="D93" s="198"/>
      <c r="E93" s="198"/>
      <c r="F93" s="198"/>
      <c r="G93" s="198" t="s">
        <v>382</v>
      </c>
      <c r="H93" s="198"/>
      <c r="I93" s="198"/>
      <c r="J93" s="198"/>
      <c r="K93" s="198"/>
      <c r="L93" s="200"/>
    </row>
    <row r="94" spans="1:12">
      <c r="A94" s="365" t="s">
        <v>644</v>
      </c>
      <c r="B94" s="198"/>
      <c r="C94" s="198"/>
      <c r="D94" s="198"/>
      <c r="E94" s="198"/>
      <c r="F94" s="198"/>
      <c r="G94" s="198" t="s">
        <v>383</v>
      </c>
      <c r="H94" s="198"/>
      <c r="I94" s="198"/>
      <c r="J94" s="198"/>
      <c r="K94" s="198"/>
      <c r="L94" s="200"/>
    </row>
    <row r="95" spans="1:12">
      <c r="A95" s="550" t="s">
        <v>384</v>
      </c>
      <c r="B95" s="467">
        <v>9734</v>
      </c>
      <c r="C95" s="468">
        <v>601</v>
      </c>
      <c r="D95" s="284">
        <f t="shared" ref="D95:D118" si="50">B95-C95</f>
        <v>9133</v>
      </c>
      <c r="E95" s="467">
        <v>279</v>
      </c>
      <c r="F95" s="202">
        <f>D95-E95</f>
        <v>8854</v>
      </c>
      <c r="G95" s="203">
        <v>0.3</v>
      </c>
      <c r="H95" s="202">
        <f t="shared" ref="H95:H115" si="51">E95*G95</f>
        <v>83.7</v>
      </c>
      <c r="I95" s="202">
        <f t="shared" ref="I95:I115" si="52">F95+H95</f>
        <v>8937.7000000000007</v>
      </c>
      <c r="J95" s="203">
        <v>0.82</v>
      </c>
      <c r="K95" s="202">
        <f>I95*J95 + C95</f>
        <v>7929.9139999999998</v>
      </c>
      <c r="L95" s="203">
        <f t="shared" ref="L95:L118" si="53">IF(B95&gt;0, K95/B95, 1)</f>
        <v>0.81466139305527019</v>
      </c>
    </row>
    <row r="96" spans="1:12">
      <c r="A96" s="551"/>
      <c r="B96" s="366">
        <v>1864</v>
      </c>
      <c r="C96" s="367">
        <v>267</v>
      </c>
      <c r="D96" s="368">
        <f t="shared" si="50"/>
        <v>1597</v>
      </c>
      <c r="E96" s="366">
        <v>0</v>
      </c>
      <c r="F96" s="369">
        <f>D96-E96</f>
        <v>1597</v>
      </c>
      <c r="G96" s="370">
        <v>0.3</v>
      </c>
      <c r="H96" s="369">
        <f t="shared" si="51"/>
        <v>0</v>
      </c>
      <c r="I96" s="369">
        <f t="shared" si="52"/>
        <v>1597</v>
      </c>
      <c r="J96" s="370">
        <v>0.92</v>
      </c>
      <c r="K96" s="369">
        <f>I96*J96 + C96</f>
        <v>1736.24</v>
      </c>
      <c r="L96" s="371">
        <f t="shared" si="53"/>
        <v>0.93145922746781118</v>
      </c>
    </row>
    <row r="97" spans="1:12">
      <c r="A97" s="550" t="s">
        <v>385</v>
      </c>
      <c r="B97" s="468">
        <v>0</v>
      </c>
      <c r="C97" s="468">
        <v>0</v>
      </c>
      <c r="D97" s="284">
        <f t="shared" si="50"/>
        <v>0</v>
      </c>
      <c r="E97" s="467">
        <v>0</v>
      </c>
      <c r="F97" s="202">
        <f t="shared" ref="F97" si="54">D97-E97</f>
        <v>0</v>
      </c>
      <c r="G97" s="203">
        <v>0.3</v>
      </c>
      <c r="H97" s="202">
        <f t="shared" si="51"/>
        <v>0</v>
      </c>
      <c r="I97" s="202">
        <f t="shared" si="52"/>
        <v>0</v>
      </c>
      <c r="J97" s="203">
        <v>0.82</v>
      </c>
      <c r="K97" s="202">
        <f t="shared" ref="K97" si="55">I97*J97 + C97</f>
        <v>0</v>
      </c>
      <c r="L97" s="203">
        <f t="shared" si="53"/>
        <v>1</v>
      </c>
    </row>
    <row r="98" spans="1:12">
      <c r="A98" s="551"/>
      <c r="B98" s="366">
        <v>0</v>
      </c>
      <c r="C98" s="367">
        <v>0</v>
      </c>
      <c r="D98" s="368">
        <f t="shared" si="50"/>
        <v>0</v>
      </c>
      <c r="E98" s="366">
        <v>0</v>
      </c>
      <c r="F98" s="369">
        <f>D98-E98</f>
        <v>0</v>
      </c>
      <c r="G98" s="370">
        <v>0.3</v>
      </c>
      <c r="H98" s="369">
        <f t="shared" si="51"/>
        <v>0</v>
      </c>
      <c r="I98" s="369">
        <f t="shared" si="52"/>
        <v>0</v>
      </c>
      <c r="J98" s="370">
        <v>0.92</v>
      </c>
      <c r="K98" s="369">
        <f>I98*J98 + C98</f>
        <v>0</v>
      </c>
      <c r="L98" s="371">
        <f t="shared" si="53"/>
        <v>1</v>
      </c>
    </row>
    <row r="99" spans="1:12">
      <c r="A99" s="550" t="s">
        <v>386</v>
      </c>
      <c r="B99" s="468">
        <v>16468</v>
      </c>
      <c r="C99" s="468">
        <v>655</v>
      </c>
      <c r="D99" s="284">
        <f t="shared" si="50"/>
        <v>15813</v>
      </c>
      <c r="E99" s="467">
        <v>4511</v>
      </c>
      <c r="F99" s="202">
        <f t="shared" ref="F99" si="56">D99-E99</f>
        <v>11302</v>
      </c>
      <c r="G99" s="203">
        <v>0.3</v>
      </c>
      <c r="H99" s="202">
        <f t="shared" si="51"/>
        <v>1353.3</v>
      </c>
      <c r="I99" s="202">
        <f t="shared" si="52"/>
        <v>12655.3</v>
      </c>
      <c r="J99" s="203">
        <v>0.82</v>
      </c>
      <c r="K99" s="202">
        <f t="shared" ref="K99" si="57">I99*J99 + C99</f>
        <v>11032.346</v>
      </c>
      <c r="L99" s="267">
        <f t="shared" si="53"/>
        <v>0.66992628127277143</v>
      </c>
    </row>
    <row r="100" spans="1:12">
      <c r="A100" s="551"/>
      <c r="B100" s="366">
        <v>0</v>
      </c>
      <c r="C100" s="367">
        <v>0</v>
      </c>
      <c r="D100" s="368">
        <f t="shared" si="50"/>
        <v>0</v>
      </c>
      <c r="E100" s="366">
        <v>0</v>
      </c>
      <c r="F100" s="369">
        <f>D100-E100</f>
        <v>0</v>
      </c>
      <c r="G100" s="370">
        <v>0.3</v>
      </c>
      <c r="H100" s="369">
        <f t="shared" si="51"/>
        <v>0</v>
      </c>
      <c r="I100" s="369">
        <f t="shared" si="52"/>
        <v>0</v>
      </c>
      <c r="J100" s="370">
        <v>0.92</v>
      </c>
      <c r="K100" s="369">
        <f>I100*J100 + C100</f>
        <v>0</v>
      </c>
      <c r="L100" s="371">
        <f t="shared" si="53"/>
        <v>1</v>
      </c>
    </row>
    <row r="101" spans="1:12">
      <c r="A101" s="550" t="s">
        <v>20</v>
      </c>
      <c r="B101" s="468">
        <v>5728</v>
      </c>
      <c r="C101" s="468">
        <v>0</v>
      </c>
      <c r="D101" s="284">
        <f t="shared" si="50"/>
        <v>5728</v>
      </c>
      <c r="E101" s="467">
        <v>1094</v>
      </c>
      <c r="F101" s="202">
        <f t="shared" ref="F101" si="58">D101-E101</f>
        <v>4634</v>
      </c>
      <c r="G101" s="203">
        <v>0.3</v>
      </c>
      <c r="H101" s="202">
        <f t="shared" si="51"/>
        <v>328.2</v>
      </c>
      <c r="I101" s="202">
        <f t="shared" si="52"/>
        <v>4962.2</v>
      </c>
      <c r="J101" s="203">
        <v>0.82</v>
      </c>
      <c r="K101" s="202">
        <f t="shared" ref="K101" si="59">I101*J101 + C101</f>
        <v>4069.0039999999995</v>
      </c>
      <c r="L101" s="267">
        <f t="shared" si="53"/>
        <v>0.71037081005586578</v>
      </c>
    </row>
    <row r="102" spans="1:12">
      <c r="A102" s="551"/>
      <c r="B102" s="366">
        <v>44</v>
      </c>
      <c r="C102" s="367">
        <v>0</v>
      </c>
      <c r="D102" s="368">
        <f t="shared" si="50"/>
        <v>44</v>
      </c>
      <c r="E102" s="366">
        <v>0</v>
      </c>
      <c r="F102" s="369">
        <f>D102-E102</f>
        <v>44</v>
      </c>
      <c r="G102" s="370">
        <v>0.3</v>
      </c>
      <c r="H102" s="369">
        <f t="shared" si="51"/>
        <v>0</v>
      </c>
      <c r="I102" s="369">
        <f t="shared" si="52"/>
        <v>44</v>
      </c>
      <c r="J102" s="370">
        <v>0.92</v>
      </c>
      <c r="K102" s="369">
        <f>I102*J102 + C102</f>
        <v>40.480000000000004</v>
      </c>
      <c r="L102" s="371">
        <f t="shared" si="53"/>
        <v>0.92</v>
      </c>
    </row>
    <row r="103" spans="1:12">
      <c r="A103" s="550" t="s">
        <v>387</v>
      </c>
      <c r="B103" s="468">
        <v>8186</v>
      </c>
      <c r="C103" s="468">
        <v>4279</v>
      </c>
      <c r="D103" s="284">
        <f t="shared" si="50"/>
        <v>3907</v>
      </c>
      <c r="E103" s="467">
        <v>1913</v>
      </c>
      <c r="F103" s="202">
        <f t="shared" ref="F103" si="60">D103-E103</f>
        <v>1994</v>
      </c>
      <c r="G103" s="203">
        <v>0.3</v>
      </c>
      <c r="H103" s="202">
        <f t="shared" si="51"/>
        <v>573.9</v>
      </c>
      <c r="I103" s="202">
        <f t="shared" si="52"/>
        <v>2567.9</v>
      </c>
      <c r="J103" s="203">
        <v>0.82</v>
      </c>
      <c r="K103" s="202">
        <f t="shared" ref="K103" si="61">I103*J103 + C103</f>
        <v>6384.6779999999999</v>
      </c>
      <c r="L103" s="267">
        <f t="shared" si="53"/>
        <v>0.77995089176643051</v>
      </c>
    </row>
    <row r="104" spans="1:12">
      <c r="A104" s="551"/>
      <c r="B104" s="366">
        <v>2353</v>
      </c>
      <c r="C104" s="367">
        <v>0</v>
      </c>
      <c r="D104" s="368">
        <f t="shared" si="50"/>
        <v>2353</v>
      </c>
      <c r="E104" s="366">
        <v>0</v>
      </c>
      <c r="F104" s="369">
        <f>D104-E104</f>
        <v>2353</v>
      </c>
      <c r="G104" s="370">
        <v>0.3</v>
      </c>
      <c r="H104" s="369">
        <f t="shared" si="51"/>
        <v>0</v>
      </c>
      <c r="I104" s="369">
        <f t="shared" si="52"/>
        <v>2353</v>
      </c>
      <c r="J104" s="370">
        <v>0.92</v>
      </c>
      <c r="K104" s="369">
        <f>I104*J104 + C104</f>
        <v>2164.7600000000002</v>
      </c>
      <c r="L104" s="371">
        <f t="shared" si="53"/>
        <v>0.92</v>
      </c>
    </row>
    <row r="105" spans="1:12">
      <c r="A105" s="550" t="s">
        <v>388</v>
      </c>
      <c r="B105" s="468">
        <v>24399</v>
      </c>
      <c r="C105" s="468">
        <v>2276</v>
      </c>
      <c r="D105" s="284">
        <f t="shared" si="50"/>
        <v>22123</v>
      </c>
      <c r="E105" s="467">
        <v>8157</v>
      </c>
      <c r="F105" s="202">
        <f t="shared" ref="F105" si="62">D105-E105</f>
        <v>13966</v>
      </c>
      <c r="G105" s="203">
        <v>0.3</v>
      </c>
      <c r="H105" s="202">
        <f t="shared" si="51"/>
        <v>2447.1</v>
      </c>
      <c r="I105" s="202">
        <f t="shared" si="52"/>
        <v>16413.099999999999</v>
      </c>
      <c r="J105" s="203">
        <v>0.82</v>
      </c>
      <c r="K105" s="202">
        <f t="shared" ref="K105" si="63">I105*J105 + C105</f>
        <v>15734.741999999998</v>
      </c>
      <c r="L105" s="267">
        <f t="shared" si="53"/>
        <v>0.64489290544694444</v>
      </c>
    </row>
    <row r="106" spans="1:12">
      <c r="A106" s="551"/>
      <c r="B106" s="366">
        <v>0</v>
      </c>
      <c r="C106" s="367">
        <v>0</v>
      </c>
      <c r="D106" s="368">
        <f t="shared" si="50"/>
        <v>0</v>
      </c>
      <c r="E106" s="366">
        <v>0</v>
      </c>
      <c r="F106" s="369">
        <f>D106-E106</f>
        <v>0</v>
      </c>
      <c r="G106" s="370">
        <v>0.3</v>
      </c>
      <c r="H106" s="369">
        <f t="shared" si="51"/>
        <v>0</v>
      </c>
      <c r="I106" s="369">
        <f t="shared" si="52"/>
        <v>0</v>
      </c>
      <c r="J106" s="370">
        <v>0.92</v>
      </c>
      <c r="K106" s="369">
        <f>I106*J106 + C106</f>
        <v>0</v>
      </c>
      <c r="L106" s="371">
        <f t="shared" si="53"/>
        <v>1</v>
      </c>
    </row>
    <row r="107" spans="1:12">
      <c r="A107" s="550" t="s">
        <v>389</v>
      </c>
      <c r="B107" s="468">
        <v>2399</v>
      </c>
      <c r="C107" s="468">
        <v>1602</v>
      </c>
      <c r="D107" s="284">
        <f t="shared" si="50"/>
        <v>797</v>
      </c>
      <c r="E107" s="467">
        <v>236</v>
      </c>
      <c r="F107" s="202">
        <f t="shared" ref="F107" si="64">D107-E107</f>
        <v>561</v>
      </c>
      <c r="G107" s="203">
        <v>0.35</v>
      </c>
      <c r="H107" s="202">
        <f t="shared" si="51"/>
        <v>82.6</v>
      </c>
      <c r="I107" s="202">
        <f t="shared" si="52"/>
        <v>643.6</v>
      </c>
      <c r="J107" s="203">
        <v>0.82</v>
      </c>
      <c r="K107" s="202">
        <f t="shared" ref="K107" si="65">I107*J107 + C107</f>
        <v>2129.752</v>
      </c>
      <c r="L107" s="267">
        <f t="shared" si="53"/>
        <v>0.88776656940391829</v>
      </c>
    </row>
    <row r="108" spans="1:12">
      <c r="A108" s="551"/>
      <c r="B108" s="366">
        <v>168</v>
      </c>
      <c r="C108" s="367">
        <v>103</v>
      </c>
      <c r="D108" s="368">
        <f t="shared" si="50"/>
        <v>65</v>
      </c>
      <c r="E108" s="366">
        <v>0</v>
      </c>
      <c r="F108" s="369">
        <f>D108-E108</f>
        <v>65</v>
      </c>
      <c r="G108" s="370">
        <v>0.35</v>
      </c>
      <c r="H108" s="369">
        <f t="shared" si="51"/>
        <v>0</v>
      </c>
      <c r="I108" s="369">
        <f t="shared" si="52"/>
        <v>65</v>
      </c>
      <c r="J108" s="370">
        <v>0.92</v>
      </c>
      <c r="K108" s="369">
        <f>I108*J108 + C108</f>
        <v>162.80000000000001</v>
      </c>
      <c r="L108" s="371">
        <f t="shared" si="53"/>
        <v>0.96904761904761916</v>
      </c>
    </row>
    <row r="109" spans="1:12">
      <c r="A109" s="550" t="s">
        <v>390</v>
      </c>
      <c r="B109" s="468">
        <v>28473</v>
      </c>
      <c r="C109" s="468">
        <v>18636</v>
      </c>
      <c r="D109" s="284">
        <f t="shared" si="50"/>
        <v>9837</v>
      </c>
      <c r="E109" s="467">
        <v>2352</v>
      </c>
      <c r="F109" s="202">
        <f t="shared" ref="F109" si="66">D109-E109</f>
        <v>7485</v>
      </c>
      <c r="G109" s="203">
        <v>0.35</v>
      </c>
      <c r="H109" s="202">
        <f t="shared" si="51"/>
        <v>823.19999999999993</v>
      </c>
      <c r="I109" s="202">
        <f t="shared" si="52"/>
        <v>8308.2000000000007</v>
      </c>
      <c r="J109" s="203">
        <v>0.82</v>
      </c>
      <c r="K109" s="202">
        <f t="shared" ref="K109" si="67">I109*J109 + C109</f>
        <v>25448.724000000002</v>
      </c>
      <c r="L109" s="267">
        <f t="shared" si="53"/>
        <v>0.89378442735222852</v>
      </c>
    </row>
    <row r="110" spans="1:12">
      <c r="A110" s="551"/>
      <c r="B110" s="366">
        <v>0</v>
      </c>
      <c r="C110" s="367">
        <v>0</v>
      </c>
      <c r="D110" s="368">
        <f t="shared" si="50"/>
        <v>0</v>
      </c>
      <c r="E110" s="366">
        <v>0</v>
      </c>
      <c r="F110" s="369">
        <f>D110-E110</f>
        <v>0</v>
      </c>
      <c r="G110" s="370">
        <v>0.35</v>
      </c>
      <c r="H110" s="369">
        <f t="shared" si="51"/>
        <v>0</v>
      </c>
      <c r="I110" s="369">
        <f t="shared" si="52"/>
        <v>0</v>
      </c>
      <c r="J110" s="370">
        <v>0.92</v>
      </c>
      <c r="K110" s="369">
        <f>I110*J110 + C110</f>
        <v>0</v>
      </c>
      <c r="L110" s="371">
        <f t="shared" si="53"/>
        <v>1</v>
      </c>
    </row>
    <row r="111" spans="1:12">
      <c r="A111" s="550" t="s">
        <v>391</v>
      </c>
      <c r="B111" s="468">
        <v>584</v>
      </c>
      <c r="C111" s="468">
        <v>97</v>
      </c>
      <c r="D111" s="284">
        <f t="shared" si="50"/>
        <v>487</v>
      </c>
      <c r="E111" s="467">
        <v>160</v>
      </c>
      <c r="F111" s="202">
        <f t="shared" ref="F111" si="68">D111-E111</f>
        <v>327</v>
      </c>
      <c r="G111" s="203">
        <v>0.35</v>
      </c>
      <c r="H111" s="202">
        <f t="shared" si="51"/>
        <v>56</v>
      </c>
      <c r="I111" s="202">
        <f t="shared" si="52"/>
        <v>383</v>
      </c>
      <c r="J111" s="203">
        <v>0.82</v>
      </c>
      <c r="K111" s="202">
        <f t="shared" ref="K111" si="69">I111*J111 + C111</f>
        <v>411.06</v>
      </c>
      <c r="L111" s="267">
        <f t="shared" si="53"/>
        <v>0.70386986301369858</v>
      </c>
    </row>
    <row r="112" spans="1:12">
      <c r="A112" s="551"/>
      <c r="B112" s="366">
        <v>0</v>
      </c>
      <c r="C112" s="367">
        <v>0</v>
      </c>
      <c r="D112" s="368">
        <f t="shared" si="50"/>
        <v>0</v>
      </c>
      <c r="E112" s="366">
        <v>0</v>
      </c>
      <c r="F112" s="369">
        <f>D112-E112</f>
        <v>0</v>
      </c>
      <c r="G112" s="370">
        <v>0.35</v>
      </c>
      <c r="H112" s="369">
        <f t="shared" si="51"/>
        <v>0</v>
      </c>
      <c r="I112" s="369">
        <f t="shared" si="52"/>
        <v>0</v>
      </c>
      <c r="J112" s="370">
        <v>0.92</v>
      </c>
      <c r="K112" s="369">
        <f>I112*J112 + C112</f>
        <v>0</v>
      </c>
      <c r="L112" s="371">
        <f t="shared" si="53"/>
        <v>1</v>
      </c>
    </row>
    <row r="113" spans="1:12">
      <c r="A113" s="204" t="s">
        <v>392</v>
      </c>
      <c r="B113" s="468">
        <v>1320</v>
      </c>
      <c r="C113" s="468">
        <v>0</v>
      </c>
      <c r="D113" s="284">
        <f t="shared" si="50"/>
        <v>1320</v>
      </c>
      <c r="E113" s="467">
        <v>584</v>
      </c>
      <c r="F113" s="202">
        <f t="shared" ref="F113:F114" si="70">D113-E113</f>
        <v>736</v>
      </c>
      <c r="G113" s="140">
        <v>0.3</v>
      </c>
      <c r="H113" s="186">
        <f t="shared" si="51"/>
        <v>175.2</v>
      </c>
      <c r="I113" s="186">
        <f t="shared" si="52"/>
        <v>911.2</v>
      </c>
      <c r="J113" s="140">
        <v>0.82</v>
      </c>
      <c r="K113" s="202">
        <f t="shared" ref="K113:K114" si="71">I113*J113 + C113</f>
        <v>747.18399999999997</v>
      </c>
      <c r="L113" s="268">
        <f t="shared" si="53"/>
        <v>0.5660484848484848</v>
      </c>
    </row>
    <row r="114" spans="1:12">
      <c r="A114" s="550" t="s">
        <v>393</v>
      </c>
      <c r="B114" s="468">
        <v>6708</v>
      </c>
      <c r="C114" s="468">
        <v>2795</v>
      </c>
      <c r="D114" s="284">
        <f t="shared" si="50"/>
        <v>3913</v>
      </c>
      <c r="E114" s="467">
        <v>1216</v>
      </c>
      <c r="F114" s="202">
        <f t="shared" si="70"/>
        <v>2697</v>
      </c>
      <c r="G114" s="203">
        <v>0.31</v>
      </c>
      <c r="H114" s="202">
        <f t="shared" si="51"/>
        <v>376.96</v>
      </c>
      <c r="I114" s="202">
        <f t="shared" si="52"/>
        <v>3073.96</v>
      </c>
      <c r="J114" s="203">
        <v>0.82</v>
      </c>
      <c r="K114" s="202">
        <f t="shared" si="71"/>
        <v>5315.6471999999994</v>
      </c>
      <c r="L114" s="267">
        <f t="shared" si="53"/>
        <v>0.79243398926654729</v>
      </c>
    </row>
    <row r="115" spans="1:12">
      <c r="A115" s="551"/>
      <c r="B115" s="366">
        <v>1033</v>
      </c>
      <c r="C115" s="367">
        <v>530</v>
      </c>
      <c r="D115" s="368">
        <f t="shared" si="50"/>
        <v>503</v>
      </c>
      <c r="E115" s="366">
        <v>0</v>
      </c>
      <c r="F115" s="369">
        <f>D115-E115</f>
        <v>503</v>
      </c>
      <c r="G115" s="370">
        <v>0.31</v>
      </c>
      <c r="H115" s="369">
        <f t="shared" si="51"/>
        <v>0</v>
      </c>
      <c r="I115" s="369">
        <f t="shared" si="52"/>
        <v>503</v>
      </c>
      <c r="J115" s="370">
        <v>0.92</v>
      </c>
      <c r="K115" s="369">
        <f>I115*J115 + C115</f>
        <v>992.76</v>
      </c>
      <c r="L115" s="371">
        <f t="shared" si="53"/>
        <v>0.96104549854791865</v>
      </c>
    </row>
    <row r="116" spans="1:12">
      <c r="A116" s="201" t="s">
        <v>412</v>
      </c>
      <c r="B116" s="468">
        <v>143</v>
      </c>
      <c r="C116" s="468">
        <v>0</v>
      </c>
      <c r="D116" s="284">
        <f t="shared" si="50"/>
        <v>143</v>
      </c>
      <c r="E116" s="467">
        <v>130</v>
      </c>
      <c r="F116" s="202">
        <f t="shared" ref="F116:F118" si="72">D116-E116</f>
        <v>13</v>
      </c>
      <c r="G116" s="203">
        <v>0.23</v>
      </c>
      <c r="H116" s="202">
        <f>E116*G116</f>
        <v>29.900000000000002</v>
      </c>
      <c r="I116" s="202">
        <f>F116+H116</f>
        <v>42.900000000000006</v>
      </c>
      <c r="J116" s="203">
        <v>0.82</v>
      </c>
      <c r="K116" s="202">
        <f t="shared" ref="K116:K118" si="73">I116*J116 + C116</f>
        <v>35.178000000000004</v>
      </c>
      <c r="L116" s="267">
        <f t="shared" si="53"/>
        <v>0.24600000000000002</v>
      </c>
    </row>
    <row r="117" spans="1:12" ht="25.5">
      <c r="A117" s="201" t="s">
        <v>413</v>
      </c>
      <c r="B117" s="464">
        <v>13664</v>
      </c>
      <c r="C117" s="468">
        <v>577</v>
      </c>
      <c r="D117" s="284">
        <f t="shared" si="50"/>
        <v>13087</v>
      </c>
      <c r="E117" s="467">
        <v>3813</v>
      </c>
      <c r="F117" s="202">
        <f t="shared" si="72"/>
        <v>9274</v>
      </c>
      <c r="G117" s="203">
        <v>0.23</v>
      </c>
      <c r="H117" s="202">
        <f>E117*G117</f>
        <v>876.99</v>
      </c>
      <c r="I117" s="202">
        <f>F117+H117</f>
        <v>10150.99</v>
      </c>
      <c r="J117" s="203">
        <v>0.82</v>
      </c>
      <c r="K117" s="202">
        <f t="shared" si="73"/>
        <v>8900.8117999999995</v>
      </c>
      <c r="L117" s="267">
        <f t="shared" si="53"/>
        <v>0.65140601580796254</v>
      </c>
    </row>
    <row r="118" spans="1:12" ht="25.5">
      <c r="A118" s="201" t="s">
        <v>394</v>
      </c>
      <c r="B118" s="468">
        <v>19275</v>
      </c>
      <c r="C118" s="468">
        <v>2427</v>
      </c>
      <c r="D118" s="284">
        <f t="shared" si="50"/>
        <v>16848</v>
      </c>
      <c r="E118" s="467">
        <v>8613</v>
      </c>
      <c r="F118" s="202">
        <f t="shared" si="72"/>
        <v>8235</v>
      </c>
      <c r="G118" s="203">
        <v>0.23</v>
      </c>
      <c r="H118" s="202">
        <f>E118*G118</f>
        <v>1980.99</v>
      </c>
      <c r="I118" s="202">
        <f>F118+H118</f>
        <v>10215.99</v>
      </c>
      <c r="J118" s="203">
        <v>0.82</v>
      </c>
      <c r="K118" s="202">
        <f t="shared" si="73"/>
        <v>10804.111799999999</v>
      </c>
      <c r="L118" s="267">
        <f t="shared" si="53"/>
        <v>0.56052460700389095</v>
      </c>
    </row>
    <row r="119" spans="1:12">
      <c r="B119" s="428"/>
      <c r="C119" s="428"/>
      <c r="E119" s="428"/>
    </row>
    <row r="120" spans="1:12">
      <c r="B120" s="427"/>
      <c r="C120" s="427"/>
      <c r="E120" s="110"/>
    </row>
    <row r="121" spans="1:12">
      <c r="A121" s="192">
        <v>2020</v>
      </c>
      <c r="B121" s="193"/>
    </row>
    <row r="122" spans="1:12">
      <c r="A122" s="194" t="s">
        <v>335</v>
      </c>
    </row>
    <row r="123" spans="1:12">
      <c r="A123" s="334" t="s">
        <v>336</v>
      </c>
      <c r="B123" s="195" t="s">
        <v>337</v>
      </c>
      <c r="C123" s="195" t="s">
        <v>338</v>
      </c>
      <c r="D123" s="195" t="s">
        <v>339</v>
      </c>
      <c r="E123" s="195" t="s">
        <v>340</v>
      </c>
      <c r="F123" s="195" t="s">
        <v>341</v>
      </c>
      <c r="G123" s="195" t="s">
        <v>342</v>
      </c>
      <c r="H123" s="195" t="s">
        <v>343</v>
      </c>
      <c r="I123" s="195" t="s">
        <v>344</v>
      </c>
      <c r="J123" s="195" t="s">
        <v>345</v>
      </c>
      <c r="K123" s="196" t="s">
        <v>346</v>
      </c>
      <c r="L123" s="270" t="s">
        <v>554</v>
      </c>
    </row>
    <row r="124" spans="1:12">
      <c r="A124" s="197" t="s">
        <v>305</v>
      </c>
      <c r="B124" s="289" t="s">
        <v>347</v>
      </c>
      <c r="C124" s="289" t="s">
        <v>348</v>
      </c>
      <c r="D124" s="271" t="s">
        <v>555</v>
      </c>
      <c r="E124" s="289" t="s">
        <v>349</v>
      </c>
      <c r="F124" s="289" t="s">
        <v>350</v>
      </c>
      <c r="G124" s="289" t="s">
        <v>351</v>
      </c>
      <c r="H124" s="289" t="s">
        <v>352</v>
      </c>
      <c r="I124" s="289" t="s">
        <v>353</v>
      </c>
      <c r="J124" s="198" t="s">
        <v>359</v>
      </c>
      <c r="K124" s="289" t="s">
        <v>354</v>
      </c>
      <c r="L124" s="290" t="s">
        <v>355</v>
      </c>
    </row>
    <row r="125" spans="1:12" ht="25.9" customHeight="1">
      <c r="A125" s="199"/>
      <c r="B125" s="198" t="s">
        <v>321</v>
      </c>
      <c r="C125" s="198" t="s">
        <v>356</v>
      </c>
      <c r="D125" s="272" t="s">
        <v>321</v>
      </c>
      <c r="E125" s="198" t="s">
        <v>357</v>
      </c>
      <c r="F125" s="198"/>
      <c r="G125" s="198" t="s">
        <v>352</v>
      </c>
      <c r="H125" s="198"/>
      <c r="I125" s="198" t="s">
        <v>358</v>
      </c>
      <c r="J125" s="198" t="s">
        <v>363</v>
      </c>
      <c r="K125" s="198" t="s">
        <v>360</v>
      </c>
      <c r="L125" s="200" t="s">
        <v>361</v>
      </c>
    </row>
    <row r="126" spans="1:12">
      <c r="A126" s="199"/>
      <c r="B126" s="198"/>
      <c r="C126" s="198"/>
      <c r="D126" s="198"/>
      <c r="E126" s="198"/>
      <c r="F126" s="198"/>
      <c r="G126" s="198" t="s">
        <v>362</v>
      </c>
      <c r="H126" s="198"/>
      <c r="I126" s="198"/>
      <c r="J126" s="198" t="s">
        <v>365</v>
      </c>
      <c r="K126" s="198" t="s">
        <v>364</v>
      </c>
      <c r="L126" s="200" t="s">
        <v>305</v>
      </c>
    </row>
    <row r="127" spans="1:12">
      <c r="A127" s="199"/>
      <c r="B127" s="198"/>
      <c r="C127" s="198"/>
      <c r="D127" s="198"/>
      <c r="E127" s="198"/>
      <c r="F127" s="198"/>
      <c r="G127" s="198"/>
      <c r="H127" s="198"/>
      <c r="I127" s="198"/>
      <c r="J127" s="198" t="s">
        <v>367</v>
      </c>
      <c r="K127" s="198" t="s">
        <v>366</v>
      </c>
      <c r="L127" s="200" t="s">
        <v>321</v>
      </c>
    </row>
    <row r="128" spans="1:12">
      <c r="A128" s="199"/>
      <c r="B128" s="198"/>
      <c r="C128" s="198"/>
      <c r="D128" s="198"/>
      <c r="E128" s="198"/>
      <c r="F128" s="198"/>
      <c r="G128" s="198"/>
      <c r="H128" s="198"/>
      <c r="I128" s="198"/>
      <c r="J128" s="198" t="s">
        <v>368</v>
      </c>
      <c r="K128" s="198" t="s">
        <v>303</v>
      </c>
      <c r="L128" s="200"/>
    </row>
    <row r="129" spans="1:12">
      <c r="A129" s="197" t="s">
        <v>369</v>
      </c>
      <c r="B129" s="289" t="s">
        <v>370</v>
      </c>
      <c r="C129" s="289" t="s">
        <v>371</v>
      </c>
      <c r="D129" s="271" t="s">
        <v>556</v>
      </c>
      <c r="E129" s="289" t="s">
        <v>372</v>
      </c>
      <c r="F129" s="271" t="s">
        <v>557</v>
      </c>
      <c r="G129" s="289" t="s">
        <v>373</v>
      </c>
      <c r="H129" s="271" t="s">
        <v>558</v>
      </c>
      <c r="I129" s="271" t="s">
        <v>559</v>
      </c>
      <c r="J129" s="289" t="s">
        <v>374</v>
      </c>
      <c r="K129" s="271" t="s">
        <v>560</v>
      </c>
      <c r="L129" s="273" t="s">
        <v>562</v>
      </c>
    </row>
    <row r="130" spans="1:12">
      <c r="A130" s="199"/>
      <c r="B130" s="198" t="s">
        <v>321</v>
      </c>
      <c r="C130" s="198" t="s">
        <v>375</v>
      </c>
      <c r="D130" s="198"/>
      <c r="E130" s="198" t="s">
        <v>376</v>
      </c>
      <c r="F130" s="198"/>
      <c r="G130" s="198" t="s">
        <v>36</v>
      </c>
      <c r="H130" s="272" t="s">
        <v>342</v>
      </c>
      <c r="I130" s="272" t="s">
        <v>343</v>
      </c>
      <c r="J130" s="198" t="s">
        <v>377</v>
      </c>
      <c r="K130" s="272" t="s">
        <v>561</v>
      </c>
      <c r="L130" s="200"/>
    </row>
    <row r="131" spans="1:12">
      <c r="A131" s="199"/>
      <c r="B131" s="198"/>
      <c r="C131" s="198" t="s">
        <v>378</v>
      </c>
      <c r="D131" s="198"/>
      <c r="E131" s="198" t="s">
        <v>379</v>
      </c>
      <c r="F131" s="198"/>
      <c r="G131" s="198" t="s">
        <v>380</v>
      </c>
      <c r="H131" s="198"/>
      <c r="I131" s="198"/>
      <c r="J131" s="198"/>
      <c r="K131" s="272" t="s">
        <v>338</v>
      </c>
      <c r="L131" s="200"/>
    </row>
    <row r="132" spans="1:12">
      <c r="A132" s="199"/>
      <c r="B132" s="198"/>
      <c r="C132" s="198"/>
      <c r="D132" s="198"/>
      <c r="E132" s="198"/>
      <c r="F132" s="198"/>
      <c r="G132" s="198" t="s">
        <v>381</v>
      </c>
      <c r="H132" s="198"/>
      <c r="I132" s="198"/>
      <c r="J132" s="198"/>
      <c r="K132" s="198"/>
      <c r="L132" s="200"/>
    </row>
    <row r="133" spans="1:12">
      <c r="A133" s="364" t="s">
        <v>643</v>
      </c>
      <c r="B133" s="198"/>
      <c r="C133" s="198"/>
      <c r="D133" s="198"/>
      <c r="E133" s="198"/>
      <c r="F133" s="198"/>
      <c r="G133" s="198" t="s">
        <v>382</v>
      </c>
      <c r="H133" s="198"/>
      <c r="I133" s="198"/>
      <c r="J133" s="198"/>
      <c r="K133" s="198"/>
      <c r="L133" s="200"/>
    </row>
    <row r="134" spans="1:12">
      <c r="A134" s="365" t="s">
        <v>644</v>
      </c>
      <c r="B134" s="198"/>
      <c r="C134" s="198"/>
      <c r="D134" s="198"/>
      <c r="E134" s="198"/>
      <c r="F134" s="198"/>
      <c r="G134" s="198" t="s">
        <v>383</v>
      </c>
      <c r="H134" s="198"/>
      <c r="I134" s="198"/>
      <c r="J134" s="198"/>
      <c r="K134" s="198"/>
      <c r="L134" s="200"/>
    </row>
    <row r="135" spans="1:12">
      <c r="A135" s="550" t="s">
        <v>384</v>
      </c>
      <c r="B135" s="467">
        <v>5380</v>
      </c>
      <c r="C135" s="468">
        <v>89</v>
      </c>
      <c r="D135" s="284">
        <f t="shared" ref="D135:D158" si="74">B135-C135</f>
        <v>5291</v>
      </c>
      <c r="E135" s="467">
        <v>257</v>
      </c>
      <c r="F135" s="202">
        <f>D135-E135</f>
        <v>5034</v>
      </c>
      <c r="G135" s="203">
        <v>0.3</v>
      </c>
      <c r="H135" s="202">
        <f t="shared" ref="H135:H155" si="75">E135*G135</f>
        <v>77.099999999999994</v>
      </c>
      <c r="I135" s="202">
        <f t="shared" ref="I135:I155" si="76">F135+H135</f>
        <v>5111.1000000000004</v>
      </c>
      <c r="J135" s="203">
        <v>0.82</v>
      </c>
      <c r="K135" s="202">
        <f>I135*J135 + C135</f>
        <v>4280.1019999999999</v>
      </c>
      <c r="L135" s="203">
        <f t="shared" ref="L135:L158" si="77">IF(B135&gt;0, K135/B135, 1)</f>
        <v>0.79555799256505577</v>
      </c>
    </row>
    <row r="136" spans="1:12">
      <c r="A136" s="551"/>
      <c r="B136" s="366">
        <v>1342</v>
      </c>
      <c r="C136" s="367">
        <v>0</v>
      </c>
      <c r="D136" s="368">
        <f t="shared" si="74"/>
        <v>1342</v>
      </c>
      <c r="E136" s="366">
        <v>0</v>
      </c>
      <c r="F136" s="369">
        <f>D136-E136</f>
        <v>1342</v>
      </c>
      <c r="G136" s="370">
        <v>0.3</v>
      </c>
      <c r="H136" s="369">
        <f t="shared" si="75"/>
        <v>0</v>
      </c>
      <c r="I136" s="369">
        <f t="shared" si="76"/>
        <v>1342</v>
      </c>
      <c r="J136" s="370">
        <v>0.92</v>
      </c>
      <c r="K136" s="369">
        <f>I136*J136 + C136</f>
        <v>1234.6400000000001</v>
      </c>
      <c r="L136" s="371">
        <f t="shared" si="77"/>
        <v>0.92</v>
      </c>
    </row>
    <row r="137" spans="1:12">
      <c r="A137" s="550" t="s">
        <v>385</v>
      </c>
      <c r="B137" s="468">
        <v>0</v>
      </c>
      <c r="C137" s="468">
        <v>0</v>
      </c>
      <c r="D137" s="284">
        <f t="shared" si="74"/>
        <v>0</v>
      </c>
      <c r="E137" s="467">
        <v>0</v>
      </c>
      <c r="F137" s="202">
        <f t="shared" ref="F137" si="78">D137-E137</f>
        <v>0</v>
      </c>
      <c r="G137" s="203">
        <v>0.3</v>
      </c>
      <c r="H137" s="202">
        <f t="shared" si="75"/>
        <v>0</v>
      </c>
      <c r="I137" s="202">
        <f t="shared" si="76"/>
        <v>0</v>
      </c>
      <c r="J137" s="203">
        <v>0.82</v>
      </c>
      <c r="K137" s="202">
        <f t="shared" ref="K137" si="79">I137*J137 + C137</f>
        <v>0</v>
      </c>
      <c r="L137" s="203">
        <f t="shared" si="77"/>
        <v>1</v>
      </c>
    </row>
    <row r="138" spans="1:12">
      <c r="A138" s="551"/>
      <c r="B138" s="366">
        <v>0</v>
      </c>
      <c r="C138" s="367">
        <v>0</v>
      </c>
      <c r="D138" s="368">
        <f t="shared" si="74"/>
        <v>0</v>
      </c>
      <c r="E138" s="366">
        <v>0</v>
      </c>
      <c r="F138" s="369">
        <f>D138-E138</f>
        <v>0</v>
      </c>
      <c r="G138" s="370">
        <v>0.3</v>
      </c>
      <c r="H138" s="369">
        <f t="shared" si="75"/>
        <v>0</v>
      </c>
      <c r="I138" s="369">
        <f t="shared" si="76"/>
        <v>0</v>
      </c>
      <c r="J138" s="370">
        <v>0.92</v>
      </c>
      <c r="K138" s="369">
        <f>I138*J138 + C138</f>
        <v>0</v>
      </c>
      <c r="L138" s="371">
        <f t="shared" si="77"/>
        <v>1</v>
      </c>
    </row>
    <row r="139" spans="1:12" ht="12.6" customHeight="1">
      <c r="A139" s="550" t="s">
        <v>386</v>
      </c>
      <c r="B139" s="468">
        <v>19398</v>
      </c>
      <c r="C139" s="468">
        <v>1817</v>
      </c>
      <c r="D139" s="284">
        <f t="shared" si="74"/>
        <v>17581</v>
      </c>
      <c r="E139" s="467">
        <v>7463</v>
      </c>
      <c r="F139" s="202">
        <f t="shared" ref="F139" si="80">D139-E139</f>
        <v>10118</v>
      </c>
      <c r="G139" s="203">
        <v>0.3</v>
      </c>
      <c r="H139" s="202">
        <f t="shared" si="75"/>
        <v>2238.9</v>
      </c>
      <c r="I139" s="202">
        <f t="shared" si="76"/>
        <v>12356.9</v>
      </c>
      <c r="J139" s="203">
        <v>0.82</v>
      </c>
      <c r="K139" s="202">
        <f t="shared" ref="K139" si="81">I139*J139 + C139</f>
        <v>11949.657999999999</v>
      </c>
      <c r="L139" s="267">
        <f t="shared" si="77"/>
        <v>0.61602526033611704</v>
      </c>
    </row>
    <row r="140" spans="1:12" ht="12.6" customHeight="1">
      <c r="A140" s="551"/>
      <c r="B140" s="366">
        <v>0</v>
      </c>
      <c r="C140" s="367">
        <v>0</v>
      </c>
      <c r="D140" s="368">
        <f t="shared" si="74"/>
        <v>0</v>
      </c>
      <c r="E140" s="366">
        <v>0</v>
      </c>
      <c r="F140" s="369">
        <f>D140-E140</f>
        <v>0</v>
      </c>
      <c r="G140" s="370">
        <v>0.3</v>
      </c>
      <c r="H140" s="369">
        <f t="shared" si="75"/>
        <v>0</v>
      </c>
      <c r="I140" s="369">
        <f t="shared" si="76"/>
        <v>0</v>
      </c>
      <c r="J140" s="370">
        <v>0.92</v>
      </c>
      <c r="K140" s="369">
        <f>I140*J140 + C140</f>
        <v>0</v>
      </c>
      <c r="L140" s="371">
        <f t="shared" si="77"/>
        <v>1</v>
      </c>
    </row>
    <row r="141" spans="1:12">
      <c r="A141" s="550" t="s">
        <v>20</v>
      </c>
      <c r="B141" s="468">
        <v>5226</v>
      </c>
      <c r="C141" s="468">
        <v>0</v>
      </c>
      <c r="D141" s="284">
        <f t="shared" si="74"/>
        <v>5226</v>
      </c>
      <c r="E141" s="467">
        <v>1423</v>
      </c>
      <c r="F141" s="202">
        <f t="shared" ref="F141" si="82">D141-E141</f>
        <v>3803</v>
      </c>
      <c r="G141" s="203">
        <v>0.3</v>
      </c>
      <c r="H141" s="202">
        <f t="shared" si="75"/>
        <v>426.9</v>
      </c>
      <c r="I141" s="202">
        <f t="shared" si="76"/>
        <v>4229.8999999999996</v>
      </c>
      <c r="J141" s="203">
        <v>0.82</v>
      </c>
      <c r="K141" s="202">
        <f t="shared" ref="K141" si="83">I141*J141 + C141</f>
        <v>3468.5179999999996</v>
      </c>
      <c r="L141" s="267">
        <f t="shared" si="77"/>
        <v>0.66370417145044003</v>
      </c>
    </row>
    <row r="142" spans="1:12">
      <c r="A142" s="551"/>
      <c r="B142" s="366">
        <v>0</v>
      </c>
      <c r="C142" s="367">
        <v>0</v>
      </c>
      <c r="D142" s="368">
        <f t="shared" si="74"/>
        <v>0</v>
      </c>
      <c r="E142" s="366">
        <v>0</v>
      </c>
      <c r="F142" s="369">
        <f>D142-E142</f>
        <v>0</v>
      </c>
      <c r="G142" s="370">
        <v>0.3</v>
      </c>
      <c r="H142" s="369">
        <f t="shared" si="75"/>
        <v>0</v>
      </c>
      <c r="I142" s="369">
        <f t="shared" si="76"/>
        <v>0</v>
      </c>
      <c r="J142" s="370">
        <v>0.92</v>
      </c>
      <c r="K142" s="369">
        <f>I142*J142 + C142</f>
        <v>0</v>
      </c>
      <c r="L142" s="371">
        <f t="shared" si="77"/>
        <v>1</v>
      </c>
    </row>
    <row r="143" spans="1:12">
      <c r="A143" s="550" t="s">
        <v>387</v>
      </c>
      <c r="B143" s="468">
        <v>7388</v>
      </c>
      <c r="C143" s="468">
        <v>1397</v>
      </c>
      <c r="D143" s="284">
        <f t="shared" si="74"/>
        <v>5991</v>
      </c>
      <c r="E143" s="467">
        <v>2487</v>
      </c>
      <c r="F143" s="202">
        <f t="shared" ref="F143" si="84">D143-E143</f>
        <v>3504</v>
      </c>
      <c r="G143" s="203">
        <v>0.3</v>
      </c>
      <c r="H143" s="202">
        <f t="shared" si="75"/>
        <v>746.1</v>
      </c>
      <c r="I143" s="202">
        <f t="shared" si="76"/>
        <v>4250.1000000000004</v>
      </c>
      <c r="J143" s="203">
        <v>0.82</v>
      </c>
      <c r="K143" s="202">
        <f t="shared" ref="K143" si="85">I143*J143 + C143</f>
        <v>4882.0820000000003</v>
      </c>
      <c r="L143" s="267">
        <f t="shared" si="77"/>
        <v>0.66081239848402817</v>
      </c>
    </row>
    <row r="144" spans="1:12">
      <c r="A144" s="551"/>
      <c r="B144" s="366">
        <v>0</v>
      </c>
      <c r="C144" s="367">
        <v>0</v>
      </c>
      <c r="D144" s="368">
        <f t="shared" si="74"/>
        <v>0</v>
      </c>
      <c r="E144" s="366">
        <v>0</v>
      </c>
      <c r="F144" s="369">
        <f>D144-E144</f>
        <v>0</v>
      </c>
      <c r="G144" s="370">
        <v>0.3</v>
      </c>
      <c r="H144" s="369">
        <f t="shared" si="75"/>
        <v>0</v>
      </c>
      <c r="I144" s="369">
        <f t="shared" si="76"/>
        <v>0</v>
      </c>
      <c r="J144" s="370">
        <v>0.92</v>
      </c>
      <c r="K144" s="369">
        <f>I144*J144 + C144</f>
        <v>0</v>
      </c>
      <c r="L144" s="371">
        <f t="shared" si="77"/>
        <v>1</v>
      </c>
    </row>
    <row r="145" spans="1:12">
      <c r="A145" s="550" t="s">
        <v>388</v>
      </c>
      <c r="B145" s="468">
        <v>26599</v>
      </c>
      <c r="C145" s="468">
        <v>1175</v>
      </c>
      <c r="D145" s="284">
        <f t="shared" si="74"/>
        <v>25424</v>
      </c>
      <c r="E145" s="467">
        <v>11107</v>
      </c>
      <c r="F145" s="202">
        <f t="shared" ref="F145" si="86">D145-E145</f>
        <v>14317</v>
      </c>
      <c r="G145" s="203">
        <v>0.3</v>
      </c>
      <c r="H145" s="202">
        <f t="shared" si="75"/>
        <v>3332.1</v>
      </c>
      <c r="I145" s="202">
        <f t="shared" si="76"/>
        <v>17649.099999999999</v>
      </c>
      <c r="J145" s="203">
        <v>0.82</v>
      </c>
      <c r="K145" s="202">
        <f t="shared" ref="K145" si="87">I145*J145 + C145</f>
        <v>15647.261999999999</v>
      </c>
      <c r="L145" s="267">
        <f t="shared" si="77"/>
        <v>0.58826504755817888</v>
      </c>
    </row>
    <row r="146" spans="1:12">
      <c r="A146" s="551"/>
      <c r="B146" s="366">
        <v>115</v>
      </c>
      <c r="C146" s="367">
        <v>18</v>
      </c>
      <c r="D146" s="368">
        <f t="shared" si="74"/>
        <v>97</v>
      </c>
      <c r="E146" s="366">
        <v>0</v>
      </c>
      <c r="F146" s="369">
        <f>D146-E146</f>
        <v>97</v>
      </c>
      <c r="G146" s="370">
        <v>0.3</v>
      </c>
      <c r="H146" s="369">
        <f t="shared" si="75"/>
        <v>0</v>
      </c>
      <c r="I146" s="369">
        <f t="shared" si="76"/>
        <v>97</v>
      </c>
      <c r="J146" s="370">
        <v>0.92</v>
      </c>
      <c r="K146" s="369">
        <f>I146*J146 + C146</f>
        <v>107.24000000000001</v>
      </c>
      <c r="L146" s="371">
        <f t="shared" si="77"/>
        <v>0.9325217391304349</v>
      </c>
    </row>
    <row r="147" spans="1:12">
      <c r="A147" s="550" t="s">
        <v>389</v>
      </c>
      <c r="B147" s="468">
        <v>1593</v>
      </c>
      <c r="C147" s="468">
        <v>342</v>
      </c>
      <c r="D147" s="284">
        <f t="shared" si="74"/>
        <v>1251</v>
      </c>
      <c r="E147" s="467">
        <v>356</v>
      </c>
      <c r="F147" s="202">
        <f t="shared" ref="F147" si="88">D147-E147</f>
        <v>895</v>
      </c>
      <c r="G147" s="203">
        <v>0.35</v>
      </c>
      <c r="H147" s="202">
        <f t="shared" si="75"/>
        <v>124.6</v>
      </c>
      <c r="I147" s="202">
        <f t="shared" si="76"/>
        <v>1019.6</v>
      </c>
      <c r="J147" s="203">
        <v>0.82</v>
      </c>
      <c r="K147" s="202">
        <f t="shared" ref="K147" si="89">I147*J147 + C147</f>
        <v>1178.0720000000001</v>
      </c>
      <c r="L147" s="267">
        <f t="shared" si="77"/>
        <v>0.73953044569993731</v>
      </c>
    </row>
    <row r="148" spans="1:12">
      <c r="A148" s="551"/>
      <c r="B148" s="366">
        <v>0</v>
      </c>
      <c r="C148" s="367">
        <v>0</v>
      </c>
      <c r="D148" s="368">
        <f t="shared" si="74"/>
        <v>0</v>
      </c>
      <c r="E148" s="366">
        <v>0</v>
      </c>
      <c r="F148" s="369">
        <f>D148-E148</f>
        <v>0</v>
      </c>
      <c r="G148" s="370">
        <v>0.35</v>
      </c>
      <c r="H148" s="369">
        <f t="shared" si="75"/>
        <v>0</v>
      </c>
      <c r="I148" s="369">
        <f t="shared" si="76"/>
        <v>0</v>
      </c>
      <c r="J148" s="370">
        <v>0.92</v>
      </c>
      <c r="K148" s="369">
        <f>I148*J148 + C148</f>
        <v>0</v>
      </c>
      <c r="L148" s="371">
        <f t="shared" si="77"/>
        <v>1</v>
      </c>
    </row>
    <row r="149" spans="1:12">
      <c r="A149" s="550" t="s">
        <v>390</v>
      </c>
      <c r="B149" s="468">
        <v>22053</v>
      </c>
      <c r="C149" s="468">
        <v>3211</v>
      </c>
      <c r="D149" s="284">
        <f t="shared" si="74"/>
        <v>18842</v>
      </c>
      <c r="E149" s="467">
        <v>5770</v>
      </c>
      <c r="F149" s="202">
        <f t="shared" ref="F149" si="90">D149-E149</f>
        <v>13072</v>
      </c>
      <c r="G149" s="203">
        <v>0.35</v>
      </c>
      <c r="H149" s="202">
        <f t="shared" si="75"/>
        <v>2019.4999999999998</v>
      </c>
      <c r="I149" s="202">
        <f t="shared" si="76"/>
        <v>15091.5</v>
      </c>
      <c r="J149" s="203">
        <v>0.82</v>
      </c>
      <c r="K149" s="202">
        <f t="shared" ref="K149" si="91">I149*J149 + C149</f>
        <v>15586.029999999999</v>
      </c>
      <c r="L149" s="267">
        <f t="shared" si="77"/>
        <v>0.70675327619824957</v>
      </c>
    </row>
    <row r="150" spans="1:12">
      <c r="A150" s="551"/>
      <c r="B150" s="366">
        <v>0</v>
      </c>
      <c r="C150" s="367">
        <v>0</v>
      </c>
      <c r="D150" s="368">
        <f t="shared" si="74"/>
        <v>0</v>
      </c>
      <c r="E150" s="366">
        <v>0</v>
      </c>
      <c r="F150" s="369">
        <f>D150-E150</f>
        <v>0</v>
      </c>
      <c r="G150" s="370">
        <v>0.35</v>
      </c>
      <c r="H150" s="369">
        <f t="shared" si="75"/>
        <v>0</v>
      </c>
      <c r="I150" s="369">
        <f t="shared" si="76"/>
        <v>0</v>
      </c>
      <c r="J150" s="370">
        <v>0.92</v>
      </c>
      <c r="K150" s="369">
        <f>I150*J150 + C150</f>
        <v>0</v>
      </c>
      <c r="L150" s="371">
        <f t="shared" si="77"/>
        <v>1</v>
      </c>
    </row>
    <row r="151" spans="1:12">
      <c r="A151" s="550" t="s">
        <v>391</v>
      </c>
      <c r="B151" s="468">
        <v>1190</v>
      </c>
      <c r="C151" s="468">
        <v>111</v>
      </c>
      <c r="D151" s="284">
        <f t="shared" si="74"/>
        <v>1079</v>
      </c>
      <c r="E151" s="467">
        <v>452</v>
      </c>
      <c r="F151" s="202">
        <f t="shared" ref="F151" si="92">D151-E151</f>
        <v>627</v>
      </c>
      <c r="G151" s="203">
        <v>0.35</v>
      </c>
      <c r="H151" s="202">
        <f t="shared" si="75"/>
        <v>158.19999999999999</v>
      </c>
      <c r="I151" s="202">
        <f t="shared" si="76"/>
        <v>785.2</v>
      </c>
      <c r="J151" s="203">
        <v>0.82</v>
      </c>
      <c r="K151" s="202">
        <f t="shared" ref="K151" si="93">I151*J151 + C151</f>
        <v>754.86400000000003</v>
      </c>
      <c r="L151" s="267">
        <f t="shared" si="77"/>
        <v>0.63433949579831939</v>
      </c>
    </row>
    <row r="152" spans="1:12">
      <c r="A152" s="551"/>
      <c r="B152" s="366">
        <v>0</v>
      </c>
      <c r="C152" s="367">
        <v>0</v>
      </c>
      <c r="D152" s="368">
        <f t="shared" si="74"/>
        <v>0</v>
      </c>
      <c r="E152" s="366">
        <v>0</v>
      </c>
      <c r="F152" s="369">
        <f>D152-E152</f>
        <v>0</v>
      </c>
      <c r="G152" s="370">
        <v>0.35</v>
      </c>
      <c r="H152" s="369">
        <f t="shared" si="75"/>
        <v>0</v>
      </c>
      <c r="I152" s="369">
        <f t="shared" si="76"/>
        <v>0</v>
      </c>
      <c r="J152" s="370">
        <v>0.92</v>
      </c>
      <c r="K152" s="369">
        <f>I152*J152 + C152</f>
        <v>0</v>
      </c>
      <c r="L152" s="371">
        <f t="shared" si="77"/>
        <v>1</v>
      </c>
    </row>
    <row r="153" spans="1:12">
      <c r="A153" s="204" t="s">
        <v>392</v>
      </c>
      <c r="B153" s="468">
        <v>3076</v>
      </c>
      <c r="C153" s="468">
        <v>0</v>
      </c>
      <c r="D153" s="284">
        <f t="shared" si="74"/>
        <v>3076</v>
      </c>
      <c r="E153" s="467">
        <v>1109</v>
      </c>
      <c r="F153" s="202">
        <f t="shared" ref="F153:F154" si="94">D153-E153</f>
        <v>1967</v>
      </c>
      <c r="G153" s="140">
        <v>0.3</v>
      </c>
      <c r="H153" s="186">
        <f t="shared" si="75"/>
        <v>332.7</v>
      </c>
      <c r="I153" s="186">
        <f t="shared" si="76"/>
        <v>2299.6999999999998</v>
      </c>
      <c r="J153" s="140">
        <v>0.82</v>
      </c>
      <c r="K153" s="202">
        <f t="shared" ref="K153:K154" si="95">I153*J153 + C153</f>
        <v>1885.7539999999997</v>
      </c>
      <c r="L153" s="268">
        <f t="shared" si="77"/>
        <v>0.61305396618985686</v>
      </c>
    </row>
    <row r="154" spans="1:12">
      <c r="A154" s="550" t="s">
        <v>393</v>
      </c>
      <c r="B154" s="468">
        <v>10070</v>
      </c>
      <c r="C154" s="468">
        <v>3691</v>
      </c>
      <c r="D154" s="284">
        <f t="shared" si="74"/>
        <v>6379</v>
      </c>
      <c r="E154" s="467">
        <v>1586</v>
      </c>
      <c r="F154" s="202">
        <f t="shared" si="94"/>
        <v>4793</v>
      </c>
      <c r="G154" s="203">
        <v>0.31</v>
      </c>
      <c r="H154" s="202">
        <f t="shared" si="75"/>
        <v>491.65999999999997</v>
      </c>
      <c r="I154" s="202">
        <f t="shared" si="76"/>
        <v>5284.66</v>
      </c>
      <c r="J154" s="203">
        <v>0.82</v>
      </c>
      <c r="K154" s="202">
        <f t="shared" si="95"/>
        <v>8024.4211999999998</v>
      </c>
      <c r="L154" s="267">
        <f t="shared" si="77"/>
        <v>0.79686407149950345</v>
      </c>
    </row>
    <row r="155" spans="1:12">
      <c r="A155" s="551"/>
      <c r="B155" s="366">
        <v>0</v>
      </c>
      <c r="C155" s="367">
        <v>0</v>
      </c>
      <c r="D155" s="368">
        <f t="shared" si="74"/>
        <v>0</v>
      </c>
      <c r="E155" s="366">
        <v>0</v>
      </c>
      <c r="F155" s="369">
        <f>D155-E155</f>
        <v>0</v>
      </c>
      <c r="G155" s="370">
        <v>0.31</v>
      </c>
      <c r="H155" s="369">
        <f t="shared" si="75"/>
        <v>0</v>
      </c>
      <c r="I155" s="369">
        <f t="shared" si="76"/>
        <v>0</v>
      </c>
      <c r="J155" s="370">
        <v>0.92</v>
      </c>
      <c r="K155" s="369">
        <f>I155*J155 + C155</f>
        <v>0</v>
      </c>
      <c r="L155" s="371">
        <f t="shared" si="77"/>
        <v>1</v>
      </c>
    </row>
    <row r="156" spans="1:12">
      <c r="A156" s="201" t="s">
        <v>412</v>
      </c>
      <c r="B156" s="468">
        <v>499</v>
      </c>
      <c r="C156" s="468">
        <v>0</v>
      </c>
      <c r="D156" s="284">
        <f t="shared" si="74"/>
        <v>499</v>
      </c>
      <c r="E156" s="467">
        <v>400</v>
      </c>
      <c r="F156" s="202">
        <f t="shared" ref="F156:F158" si="96">D156-E156</f>
        <v>99</v>
      </c>
      <c r="G156" s="203">
        <v>0.23</v>
      </c>
      <c r="H156" s="202">
        <f>E156*G156</f>
        <v>92</v>
      </c>
      <c r="I156" s="202">
        <f>F156+H156</f>
        <v>191</v>
      </c>
      <c r="J156" s="203">
        <v>0.82</v>
      </c>
      <c r="K156" s="202">
        <f t="shared" ref="K156:K158" si="97">I156*J156 + C156</f>
        <v>156.62</v>
      </c>
      <c r="L156" s="267">
        <f t="shared" si="77"/>
        <v>0.31386773547094188</v>
      </c>
    </row>
    <row r="157" spans="1:12" ht="25.5">
      <c r="A157" s="201" t="s">
        <v>413</v>
      </c>
      <c r="B157" s="468">
        <v>18181</v>
      </c>
      <c r="C157" s="468">
        <v>1532</v>
      </c>
      <c r="D157" s="284">
        <f t="shared" si="74"/>
        <v>16649</v>
      </c>
      <c r="E157" s="467">
        <v>6568</v>
      </c>
      <c r="F157" s="202">
        <f t="shared" si="96"/>
        <v>10081</v>
      </c>
      <c r="G157" s="203">
        <v>0.23</v>
      </c>
      <c r="H157" s="202">
        <f t="shared" ref="H157:H158" si="98">E157*G157</f>
        <v>1510.64</v>
      </c>
      <c r="I157" s="202">
        <f t="shared" ref="I157:I158" si="99">F157+H157</f>
        <v>11591.64</v>
      </c>
      <c r="J157" s="203">
        <v>0.82</v>
      </c>
      <c r="K157" s="202">
        <f t="shared" si="97"/>
        <v>11037.144799999998</v>
      </c>
      <c r="L157" s="267">
        <f t="shared" si="77"/>
        <v>0.60707028216269721</v>
      </c>
    </row>
    <row r="158" spans="1:12" ht="25.5">
      <c r="A158" s="201" t="s">
        <v>394</v>
      </c>
      <c r="B158" s="468">
        <v>24486</v>
      </c>
      <c r="C158" s="468">
        <v>2899</v>
      </c>
      <c r="D158" s="284">
        <f t="shared" si="74"/>
        <v>21587</v>
      </c>
      <c r="E158" s="467">
        <v>12764</v>
      </c>
      <c r="F158" s="202">
        <f t="shared" si="96"/>
        <v>8823</v>
      </c>
      <c r="G158" s="203">
        <v>0.23</v>
      </c>
      <c r="H158" s="202">
        <f t="shared" si="98"/>
        <v>2935.7200000000003</v>
      </c>
      <c r="I158" s="202">
        <f t="shared" si="99"/>
        <v>11758.720000000001</v>
      </c>
      <c r="J158" s="203">
        <v>0.82</v>
      </c>
      <c r="K158" s="202">
        <f t="shared" si="97"/>
        <v>12541.1504</v>
      </c>
      <c r="L158" s="267">
        <f t="shared" si="77"/>
        <v>0.51217636200277716</v>
      </c>
    </row>
    <row r="159" spans="1:12">
      <c r="A159" s="190"/>
      <c r="B159" s="428"/>
      <c r="C159" s="428"/>
      <c r="D159" s="164"/>
      <c r="E159" s="428"/>
      <c r="F159" s="145"/>
      <c r="G159" s="112"/>
      <c r="H159" s="145"/>
      <c r="I159" s="145"/>
      <c r="J159" s="112"/>
      <c r="K159" s="145"/>
      <c r="L159" s="266"/>
    </row>
    <row r="160" spans="1:12">
      <c r="A160" s="190"/>
      <c r="B160" s="427"/>
      <c r="C160" s="427"/>
      <c r="D160" s="427"/>
      <c r="E160" s="110"/>
      <c r="F160" s="112"/>
      <c r="G160" s="110"/>
      <c r="H160" s="110"/>
      <c r="I160" s="112"/>
      <c r="J160" s="110"/>
      <c r="K160" s="112"/>
    </row>
    <row r="161" spans="1:12">
      <c r="A161" s="192">
        <v>2021</v>
      </c>
      <c r="B161" s="193"/>
    </row>
    <row r="162" spans="1:12">
      <c r="A162" s="194" t="s">
        <v>335</v>
      </c>
    </row>
    <row r="163" spans="1:12">
      <c r="A163" s="334" t="s">
        <v>336</v>
      </c>
      <c r="B163" s="195" t="s">
        <v>337</v>
      </c>
      <c r="C163" s="195" t="s">
        <v>338</v>
      </c>
      <c r="D163" s="195" t="s">
        <v>339</v>
      </c>
      <c r="E163" s="195" t="s">
        <v>340</v>
      </c>
      <c r="F163" s="195" t="s">
        <v>341</v>
      </c>
      <c r="G163" s="195" t="s">
        <v>342</v>
      </c>
      <c r="H163" s="195" t="s">
        <v>343</v>
      </c>
      <c r="I163" s="195" t="s">
        <v>344</v>
      </c>
      <c r="J163" s="195" t="s">
        <v>345</v>
      </c>
      <c r="K163" s="196" t="s">
        <v>346</v>
      </c>
      <c r="L163" s="270" t="s">
        <v>554</v>
      </c>
    </row>
    <row r="164" spans="1:12">
      <c r="A164" s="197" t="s">
        <v>305</v>
      </c>
      <c r="B164" s="289" t="s">
        <v>347</v>
      </c>
      <c r="C164" s="289" t="s">
        <v>348</v>
      </c>
      <c r="D164" s="271" t="s">
        <v>555</v>
      </c>
      <c r="E164" s="289" t="s">
        <v>349</v>
      </c>
      <c r="F164" s="289" t="s">
        <v>350</v>
      </c>
      <c r="G164" s="289" t="s">
        <v>351</v>
      </c>
      <c r="H164" s="289" t="s">
        <v>352</v>
      </c>
      <c r="I164" s="289" t="s">
        <v>353</v>
      </c>
      <c r="J164" s="198" t="s">
        <v>359</v>
      </c>
      <c r="K164" s="289" t="s">
        <v>354</v>
      </c>
      <c r="L164" s="290" t="s">
        <v>355</v>
      </c>
    </row>
    <row r="165" spans="1:12">
      <c r="A165" s="199"/>
      <c r="B165" s="198" t="s">
        <v>321</v>
      </c>
      <c r="C165" s="198" t="s">
        <v>356</v>
      </c>
      <c r="D165" s="272" t="s">
        <v>321</v>
      </c>
      <c r="E165" s="198" t="s">
        <v>357</v>
      </c>
      <c r="F165" s="198"/>
      <c r="G165" s="198" t="s">
        <v>352</v>
      </c>
      <c r="H165" s="198"/>
      <c r="I165" s="198" t="s">
        <v>358</v>
      </c>
      <c r="J165" s="198" t="s">
        <v>363</v>
      </c>
      <c r="K165" s="198" t="s">
        <v>360</v>
      </c>
      <c r="L165" s="200" t="s">
        <v>361</v>
      </c>
    </row>
    <row r="166" spans="1:12">
      <c r="A166" s="199"/>
      <c r="B166" s="198"/>
      <c r="C166" s="198"/>
      <c r="D166" s="198"/>
      <c r="E166" s="198"/>
      <c r="F166" s="198"/>
      <c r="G166" s="198" t="s">
        <v>362</v>
      </c>
      <c r="H166" s="198"/>
      <c r="I166" s="198"/>
      <c r="J166" s="198" t="s">
        <v>365</v>
      </c>
      <c r="K166" s="198" t="s">
        <v>364</v>
      </c>
      <c r="L166" s="200" t="s">
        <v>305</v>
      </c>
    </row>
    <row r="167" spans="1:12">
      <c r="A167" s="199"/>
      <c r="B167" s="198"/>
      <c r="C167" s="198"/>
      <c r="D167" s="198"/>
      <c r="E167" s="198"/>
      <c r="F167" s="198"/>
      <c r="G167" s="198"/>
      <c r="H167" s="198"/>
      <c r="I167" s="198"/>
      <c r="J167" s="198" t="s">
        <v>367</v>
      </c>
      <c r="K167" s="198" t="s">
        <v>366</v>
      </c>
      <c r="L167" s="200" t="s">
        <v>321</v>
      </c>
    </row>
    <row r="168" spans="1:12">
      <c r="A168" s="199"/>
      <c r="B168" s="198"/>
      <c r="C168" s="198"/>
      <c r="D168" s="198"/>
      <c r="E168" s="198"/>
      <c r="F168" s="198"/>
      <c r="G168" s="198"/>
      <c r="H168" s="198"/>
      <c r="I168" s="198"/>
      <c r="J168" s="198" t="s">
        <v>368</v>
      </c>
      <c r="K168" s="198" t="s">
        <v>303</v>
      </c>
      <c r="L168" s="200"/>
    </row>
    <row r="169" spans="1:12">
      <c r="A169" s="197" t="s">
        <v>369</v>
      </c>
      <c r="B169" s="289" t="s">
        <v>370</v>
      </c>
      <c r="C169" s="289" t="s">
        <v>371</v>
      </c>
      <c r="D169" s="271" t="s">
        <v>556</v>
      </c>
      <c r="E169" s="289" t="s">
        <v>372</v>
      </c>
      <c r="F169" s="271" t="s">
        <v>557</v>
      </c>
      <c r="G169" s="289" t="s">
        <v>373</v>
      </c>
      <c r="H169" s="271" t="s">
        <v>558</v>
      </c>
      <c r="I169" s="271" t="s">
        <v>559</v>
      </c>
      <c r="J169" s="289" t="s">
        <v>374</v>
      </c>
      <c r="K169" s="271" t="s">
        <v>560</v>
      </c>
      <c r="L169" s="273" t="s">
        <v>562</v>
      </c>
    </row>
    <row r="170" spans="1:12">
      <c r="A170" s="199"/>
      <c r="B170" s="198" t="s">
        <v>321</v>
      </c>
      <c r="C170" s="198" t="s">
        <v>375</v>
      </c>
      <c r="D170" s="198"/>
      <c r="E170" s="198" t="s">
        <v>376</v>
      </c>
      <c r="F170" s="198"/>
      <c r="G170" s="198" t="s">
        <v>36</v>
      </c>
      <c r="H170" s="272" t="s">
        <v>342</v>
      </c>
      <c r="I170" s="272" t="s">
        <v>343</v>
      </c>
      <c r="J170" s="198" t="s">
        <v>377</v>
      </c>
      <c r="K170" s="272" t="s">
        <v>561</v>
      </c>
      <c r="L170" s="200"/>
    </row>
    <row r="171" spans="1:12">
      <c r="A171" s="199"/>
      <c r="B171" s="198"/>
      <c r="C171" s="198" t="s">
        <v>378</v>
      </c>
      <c r="D171" s="198"/>
      <c r="E171" s="198" t="s">
        <v>379</v>
      </c>
      <c r="F171" s="198"/>
      <c r="G171" s="198" t="s">
        <v>380</v>
      </c>
      <c r="H171" s="198"/>
      <c r="I171" s="198"/>
      <c r="J171" s="198"/>
      <c r="K171" s="272" t="s">
        <v>338</v>
      </c>
      <c r="L171" s="200"/>
    </row>
    <row r="172" spans="1:12">
      <c r="A172" s="199"/>
      <c r="B172" s="198"/>
      <c r="C172" s="198"/>
      <c r="D172" s="198"/>
      <c r="E172" s="198"/>
      <c r="F172" s="198"/>
      <c r="G172" s="198" t="s">
        <v>381</v>
      </c>
      <c r="H172" s="198"/>
      <c r="I172" s="198"/>
      <c r="J172" s="198"/>
      <c r="K172" s="198"/>
      <c r="L172" s="200"/>
    </row>
    <row r="173" spans="1:12">
      <c r="A173" s="364" t="s">
        <v>643</v>
      </c>
      <c r="B173" s="198"/>
      <c r="C173" s="198"/>
      <c r="D173" s="198"/>
      <c r="E173" s="198"/>
      <c r="F173" s="198"/>
      <c r="G173" s="198" t="s">
        <v>382</v>
      </c>
      <c r="H173" s="198"/>
      <c r="I173" s="198"/>
      <c r="J173" s="198"/>
      <c r="K173" s="198"/>
      <c r="L173" s="200"/>
    </row>
    <row r="174" spans="1:12">
      <c r="A174" s="365" t="s">
        <v>644</v>
      </c>
      <c r="B174" s="198"/>
      <c r="C174" s="198"/>
      <c r="D174" s="198"/>
      <c r="E174" s="198"/>
      <c r="F174" s="198"/>
      <c r="G174" s="198" t="s">
        <v>383</v>
      </c>
      <c r="H174" s="198"/>
      <c r="I174" s="198"/>
      <c r="J174" s="198"/>
      <c r="K174" s="198"/>
      <c r="L174" s="200"/>
    </row>
    <row r="175" spans="1:12">
      <c r="A175" s="550" t="s">
        <v>384</v>
      </c>
      <c r="B175" s="467">
        <v>5111</v>
      </c>
      <c r="C175" s="468">
        <v>44</v>
      </c>
      <c r="D175" s="284">
        <f t="shared" ref="D175:D198" si="100">B175-C175</f>
        <v>5067</v>
      </c>
      <c r="E175" s="467">
        <v>176</v>
      </c>
      <c r="F175" s="202">
        <f>D175-E175</f>
        <v>4891</v>
      </c>
      <c r="G175" s="203">
        <v>0.3</v>
      </c>
      <c r="H175" s="202">
        <f t="shared" ref="H175:H198" si="101">E175*G175</f>
        <v>52.8</v>
      </c>
      <c r="I175" s="202">
        <f t="shared" ref="I175:I198" si="102">F175+H175</f>
        <v>4943.8</v>
      </c>
      <c r="J175" s="203">
        <v>0.82</v>
      </c>
      <c r="K175" s="202">
        <f>I175*J175 + C175</f>
        <v>4097.9159999999993</v>
      </c>
      <c r="L175" s="203">
        <f t="shared" ref="L175:L198" si="103">IF(B175&gt;0, K175/B175, 1)</f>
        <v>0.80178360399139093</v>
      </c>
    </row>
    <row r="176" spans="1:12">
      <c r="A176" s="551"/>
      <c r="B176" s="366">
        <v>877</v>
      </c>
      <c r="C176" s="367">
        <v>0</v>
      </c>
      <c r="D176" s="368">
        <f t="shared" si="100"/>
        <v>877</v>
      </c>
      <c r="E176" s="366">
        <v>0</v>
      </c>
      <c r="F176" s="369">
        <f>D176-E176</f>
        <v>877</v>
      </c>
      <c r="G176" s="370">
        <v>0.3</v>
      </c>
      <c r="H176" s="369">
        <f t="shared" si="101"/>
        <v>0</v>
      </c>
      <c r="I176" s="369">
        <f t="shared" si="102"/>
        <v>877</v>
      </c>
      <c r="J176" s="370">
        <v>0.92</v>
      </c>
      <c r="K176" s="369">
        <f>I176*J176 + C176</f>
        <v>806.84</v>
      </c>
      <c r="L176" s="371">
        <f t="shared" si="103"/>
        <v>0.92</v>
      </c>
    </row>
    <row r="177" spans="1:12">
      <c r="A177" s="550" t="s">
        <v>385</v>
      </c>
      <c r="B177" s="468">
        <v>0</v>
      </c>
      <c r="C177" s="468">
        <v>0</v>
      </c>
      <c r="D177" s="284">
        <f t="shared" si="100"/>
        <v>0</v>
      </c>
      <c r="E177" s="467">
        <v>0</v>
      </c>
      <c r="F177" s="202">
        <f t="shared" ref="F177:F198" si="104">D177-E177</f>
        <v>0</v>
      </c>
      <c r="G177" s="203">
        <v>0.3</v>
      </c>
      <c r="H177" s="202">
        <f t="shared" si="101"/>
        <v>0</v>
      </c>
      <c r="I177" s="202">
        <f t="shared" si="102"/>
        <v>0</v>
      </c>
      <c r="J177" s="203">
        <v>0.82</v>
      </c>
      <c r="K177" s="202">
        <f t="shared" ref="K177:K198" si="105">I177*J177 + C177</f>
        <v>0</v>
      </c>
      <c r="L177" s="203">
        <f t="shared" si="103"/>
        <v>1</v>
      </c>
    </row>
    <row r="178" spans="1:12">
      <c r="A178" s="551"/>
      <c r="B178" s="366">
        <v>0</v>
      </c>
      <c r="C178" s="367">
        <v>0</v>
      </c>
      <c r="D178" s="368">
        <f t="shared" si="100"/>
        <v>0</v>
      </c>
      <c r="E178" s="366">
        <v>0</v>
      </c>
      <c r="F178" s="369">
        <f>D178-E178</f>
        <v>0</v>
      </c>
      <c r="G178" s="370">
        <v>0.3</v>
      </c>
      <c r="H178" s="369">
        <f t="shared" si="101"/>
        <v>0</v>
      </c>
      <c r="I178" s="369">
        <f t="shared" si="102"/>
        <v>0</v>
      </c>
      <c r="J178" s="370">
        <v>0.92</v>
      </c>
      <c r="K178" s="369">
        <f>I178*J178 + C178</f>
        <v>0</v>
      </c>
      <c r="L178" s="371">
        <f t="shared" si="103"/>
        <v>1</v>
      </c>
    </row>
    <row r="179" spans="1:12">
      <c r="A179" s="550" t="s">
        <v>386</v>
      </c>
      <c r="B179" s="468">
        <v>18654</v>
      </c>
      <c r="C179" s="468">
        <v>1823</v>
      </c>
      <c r="D179" s="284">
        <f t="shared" si="100"/>
        <v>16831</v>
      </c>
      <c r="E179" s="467">
        <v>7769</v>
      </c>
      <c r="F179" s="202">
        <f t="shared" si="104"/>
        <v>9062</v>
      </c>
      <c r="G179" s="203">
        <v>0.3</v>
      </c>
      <c r="H179" s="202">
        <f t="shared" si="101"/>
        <v>2330.6999999999998</v>
      </c>
      <c r="I179" s="202">
        <f t="shared" si="102"/>
        <v>11392.7</v>
      </c>
      <c r="J179" s="203">
        <v>0.82</v>
      </c>
      <c r="K179" s="202">
        <f t="shared" si="105"/>
        <v>11165.013999999999</v>
      </c>
      <c r="L179" s="267">
        <f t="shared" si="103"/>
        <v>0.5985318966441513</v>
      </c>
    </row>
    <row r="180" spans="1:12">
      <c r="A180" s="551"/>
      <c r="B180" s="366">
        <v>0</v>
      </c>
      <c r="C180" s="367">
        <v>0</v>
      </c>
      <c r="D180" s="368">
        <f t="shared" si="100"/>
        <v>0</v>
      </c>
      <c r="E180" s="366">
        <v>0</v>
      </c>
      <c r="F180" s="369">
        <f>D180-E180</f>
        <v>0</v>
      </c>
      <c r="G180" s="370">
        <v>0.3</v>
      </c>
      <c r="H180" s="369">
        <f t="shared" si="101"/>
        <v>0</v>
      </c>
      <c r="I180" s="369">
        <f t="shared" si="102"/>
        <v>0</v>
      </c>
      <c r="J180" s="370">
        <v>0.92</v>
      </c>
      <c r="K180" s="369">
        <f>I180*J180 + C180</f>
        <v>0</v>
      </c>
      <c r="L180" s="371">
        <f t="shared" si="103"/>
        <v>1</v>
      </c>
    </row>
    <row r="181" spans="1:12">
      <c r="A181" s="550" t="s">
        <v>20</v>
      </c>
      <c r="B181" s="468">
        <v>5161</v>
      </c>
      <c r="C181" s="468">
        <v>145</v>
      </c>
      <c r="D181" s="284">
        <f t="shared" si="100"/>
        <v>5016</v>
      </c>
      <c r="E181" s="467">
        <v>1741</v>
      </c>
      <c r="F181" s="202">
        <f t="shared" si="104"/>
        <v>3275</v>
      </c>
      <c r="G181" s="203">
        <v>0.3</v>
      </c>
      <c r="H181" s="202">
        <f t="shared" si="101"/>
        <v>522.29999999999995</v>
      </c>
      <c r="I181" s="202">
        <f t="shared" si="102"/>
        <v>3797.3</v>
      </c>
      <c r="J181" s="203">
        <v>0.82</v>
      </c>
      <c r="K181" s="202">
        <f t="shared" si="105"/>
        <v>3258.7860000000001</v>
      </c>
      <c r="L181" s="267">
        <f t="shared" si="103"/>
        <v>0.631425305173416</v>
      </c>
    </row>
    <row r="182" spans="1:12">
      <c r="A182" s="551"/>
      <c r="B182" s="366">
        <v>0</v>
      </c>
      <c r="C182" s="367">
        <v>0</v>
      </c>
      <c r="D182" s="368">
        <f t="shared" si="100"/>
        <v>0</v>
      </c>
      <c r="E182" s="366">
        <v>0</v>
      </c>
      <c r="F182" s="369">
        <f>D182-E182</f>
        <v>0</v>
      </c>
      <c r="G182" s="370">
        <v>0.3</v>
      </c>
      <c r="H182" s="369">
        <f t="shared" si="101"/>
        <v>0</v>
      </c>
      <c r="I182" s="369">
        <f t="shared" si="102"/>
        <v>0</v>
      </c>
      <c r="J182" s="370">
        <v>0.92</v>
      </c>
      <c r="K182" s="369">
        <f>I182*J182 + C182</f>
        <v>0</v>
      </c>
      <c r="L182" s="371">
        <f t="shared" si="103"/>
        <v>1</v>
      </c>
    </row>
    <row r="183" spans="1:12">
      <c r="A183" s="550" t="s">
        <v>387</v>
      </c>
      <c r="B183" s="468">
        <v>7703</v>
      </c>
      <c r="C183" s="468">
        <v>949</v>
      </c>
      <c r="D183" s="284">
        <f t="shared" si="100"/>
        <v>6754</v>
      </c>
      <c r="E183" s="467">
        <v>2716</v>
      </c>
      <c r="F183" s="202">
        <f t="shared" si="104"/>
        <v>4038</v>
      </c>
      <c r="G183" s="203">
        <v>0.3</v>
      </c>
      <c r="H183" s="202">
        <f t="shared" si="101"/>
        <v>814.8</v>
      </c>
      <c r="I183" s="202">
        <f t="shared" si="102"/>
        <v>4852.8</v>
      </c>
      <c r="J183" s="203">
        <v>0.82</v>
      </c>
      <c r="K183" s="202">
        <f t="shared" si="105"/>
        <v>4928.2960000000003</v>
      </c>
      <c r="L183" s="267">
        <f t="shared" si="103"/>
        <v>0.63978917304946126</v>
      </c>
    </row>
    <row r="184" spans="1:12">
      <c r="A184" s="551"/>
      <c r="B184" s="366">
        <v>765</v>
      </c>
      <c r="C184" s="367">
        <v>12</v>
      </c>
      <c r="D184" s="368">
        <f t="shared" si="100"/>
        <v>753</v>
      </c>
      <c r="E184" s="366">
        <v>0</v>
      </c>
      <c r="F184" s="369">
        <f>D184-E184</f>
        <v>753</v>
      </c>
      <c r="G184" s="370">
        <v>0.3</v>
      </c>
      <c r="H184" s="369">
        <f t="shared" si="101"/>
        <v>0</v>
      </c>
      <c r="I184" s="369">
        <f t="shared" si="102"/>
        <v>753</v>
      </c>
      <c r="J184" s="370">
        <v>0.92</v>
      </c>
      <c r="K184" s="369">
        <f>I184*J184 + C184</f>
        <v>704.76</v>
      </c>
      <c r="L184" s="371">
        <f t="shared" si="103"/>
        <v>0.9212549019607843</v>
      </c>
    </row>
    <row r="185" spans="1:12">
      <c r="A185" s="550" t="s">
        <v>388</v>
      </c>
      <c r="B185" s="468">
        <v>25971</v>
      </c>
      <c r="C185" s="468">
        <v>1193</v>
      </c>
      <c r="D185" s="284">
        <f t="shared" si="100"/>
        <v>24778</v>
      </c>
      <c r="E185" s="467">
        <v>10707</v>
      </c>
      <c r="F185" s="202">
        <f t="shared" si="104"/>
        <v>14071</v>
      </c>
      <c r="G185" s="203">
        <v>0.3</v>
      </c>
      <c r="H185" s="202">
        <f t="shared" si="101"/>
        <v>3212.1</v>
      </c>
      <c r="I185" s="202">
        <f t="shared" si="102"/>
        <v>17283.099999999999</v>
      </c>
      <c r="J185" s="203">
        <v>0.82</v>
      </c>
      <c r="K185" s="202">
        <f t="shared" si="105"/>
        <v>15365.141999999998</v>
      </c>
      <c r="L185" s="267">
        <f t="shared" si="103"/>
        <v>0.59162689153286352</v>
      </c>
    </row>
    <row r="186" spans="1:12">
      <c r="A186" s="551"/>
      <c r="B186" s="366">
        <v>0</v>
      </c>
      <c r="C186" s="367">
        <v>0</v>
      </c>
      <c r="D186" s="368">
        <f t="shared" si="100"/>
        <v>0</v>
      </c>
      <c r="E186" s="366">
        <v>0</v>
      </c>
      <c r="F186" s="369">
        <f>D186-E186</f>
        <v>0</v>
      </c>
      <c r="G186" s="370">
        <v>0.3</v>
      </c>
      <c r="H186" s="369">
        <f t="shared" si="101"/>
        <v>0</v>
      </c>
      <c r="I186" s="369">
        <f t="shared" si="102"/>
        <v>0</v>
      </c>
      <c r="J186" s="370">
        <v>0.92</v>
      </c>
      <c r="K186" s="369">
        <f>I186*J186 + C186</f>
        <v>0</v>
      </c>
      <c r="L186" s="371">
        <f t="shared" si="103"/>
        <v>1</v>
      </c>
    </row>
    <row r="187" spans="1:12">
      <c r="A187" s="550" t="s">
        <v>389</v>
      </c>
      <c r="B187" s="468">
        <v>1381</v>
      </c>
      <c r="C187" s="468">
        <v>247</v>
      </c>
      <c r="D187" s="284">
        <f t="shared" si="100"/>
        <v>1134</v>
      </c>
      <c r="E187" s="467">
        <v>322</v>
      </c>
      <c r="F187" s="202">
        <f t="shared" si="104"/>
        <v>812</v>
      </c>
      <c r="G187" s="203">
        <v>0.35</v>
      </c>
      <c r="H187" s="202">
        <f t="shared" si="101"/>
        <v>112.69999999999999</v>
      </c>
      <c r="I187" s="202">
        <f t="shared" si="102"/>
        <v>924.7</v>
      </c>
      <c r="J187" s="203">
        <v>0.82</v>
      </c>
      <c r="K187" s="202">
        <f t="shared" si="105"/>
        <v>1005.254</v>
      </c>
      <c r="L187" s="267">
        <f t="shared" si="103"/>
        <v>0.72791745112237516</v>
      </c>
    </row>
    <row r="188" spans="1:12">
      <c r="A188" s="551"/>
      <c r="B188" s="366">
        <v>0</v>
      </c>
      <c r="C188" s="367">
        <v>0</v>
      </c>
      <c r="D188" s="368">
        <f t="shared" si="100"/>
        <v>0</v>
      </c>
      <c r="E188" s="366">
        <v>0</v>
      </c>
      <c r="F188" s="369">
        <f>D188-E188</f>
        <v>0</v>
      </c>
      <c r="G188" s="370">
        <v>0.35</v>
      </c>
      <c r="H188" s="369">
        <f t="shared" si="101"/>
        <v>0</v>
      </c>
      <c r="I188" s="369">
        <f t="shared" si="102"/>
        <v>0</v>
      </c>
      <c r="J188" s="370">
        <v>0.92</v>
      </c>
      <c r="K188" s="369">
        <f>I188*J188 + C188</f>
        <v>0</v>
      </c>
      <c r="L188" s="371">
        <f t="shared" si="103"/>
        <v>1</v>
      </c>
    </row>
    <row r="189" spans="1:12">
      <c r="A189" s="550" t="s">
        <v>390</v>
      </c>
      <c r="B189" s="468">
        <v>20907</v>
      </c>
      <c r="C189" s="468">
        <v>3189</v>
      </c>
      <c r="D189" s="284">
        <f t="shared" si="100"/>
        <v>17718</v>
      </c>
      <c r="E189" s="467">
        <v>4492</v>
      </c>
      <c r="F189" s="202">
        <f t="shared" si="104"/>
        <v>13226</v>
      </c>
      <c r="G189" s="203">
        <v>0.35</v>
      </c>
      <c r="H189" s="202">
        <f t="shared" si="101"/>
        <v>1572.1999999999998</v>
      </c>
      <c r="I189" s="202">
        <f t="shared" si="102"/>
        <v>14798.2</v>
      </c>
      <c r="J189" s="203">
        <v>0.82</v>
      </c>
      <c r="K189" s="202">
        <f t="shared" si="105"/>
        <v>15323.523999999999</v>
      </c>
      <c r="L189" s="267">
        <f t="shared" si="103"/>
        <v>0.73293748505285305</v>
      </c>
    </row>
    <row r="190" spans="1:12">
      <c r="A190" s="551"/>
      <c r="B190" s="366">
        <v>0</v>
      </c>
      <c r="C190" s="367">
        <v>0</v>
      </c>
      <c r="D190" s="368">
        <f t="shared" si="100"/>
        <v>0</v>
      </c>
      <c r="E190" s="366">
        <v>0</v>
      </c>
      <c r="F190" s="369">
        <f>D190-E190</f>
        <v>0</v>
      </c>
      <c r="G190" s="370">
        <v>0.35</v>
      </c>
      <c r="H190" s="369">
        <f t="shared" si="101"/>
        <v>0</v>
      </c>
      <c r="I190" s="369">
        <f t="shared" si="102"/>
        <v>0</v>
      </c>
      <c r="J190" s="370">
        <v>0.92</v>
      </c>
      <c r="K190" s="369">
        <f>I190*J190 + C190</f>
        <v>0</v>
      </c>
      <c r="L190" s="371">
        <f t="shared" si="103"/>
        <v>1</v>
      </c>
    </row>
    <row r="191" spans="1:12">
      <c r="A191" s="550" t="s">
        <v>391</v>
      </c>
      <c r="B191" s="468">
        <v>904</v>
      </c>
      <c r="C191" s="468">
        <v>117</v>
      </c>
      <c r="D191" s="284">
        <f t="shared" si="100"/>
        <v>787</v>
      </c>
      <c r="E191" s="467">
        <v>300</v>
      </c>
      <c r="F191" s="202">
        <f t="shared" si="104"/>
        <v>487</v>
      </c>
      <c r="G191" s="203">
        <v>0.35</v>
      </c>
      <c r="H191" s="202">
        <f t="shared" si="101"/>
        <v>105</v>
      </c>
      <c r="I191" s="202">
        <f t="shared" si="102"/>
        <v>592</v>
      </c>
      <c r="J191" s="203">
        <v>0.82</v>
      </c>
      <c r="K191" s="202">
        <f t="shared" si="105"/>
        <v>602.44000000000005</v>
      </c>
      <c r="L191" s="267">
        <f t="shared" si="103"/>
        <v>0.66641592920353987</v>
      </c>
    </row>
    <row r="192" spans="1:12">
      <c r="A192" s="551"/>
      <c r="B192" s="366">
        <v>0</v>
      </c>
      <c r="C192" s="367">
        <v>0</v>
      </c>
      <c r="D192" s="368">
        <f t="shared" si="100"/>
        <v>0</v>
      </c>
      <c r="E192" s="366">
        <v>0</v>
      </c>
      <c r="F192" s="369">
        <f>D192-E192</f>
        <v>0</v>
      </c>
      <c r="G192" s="370">
        <v>0.35</v>
      </c>
      <c r="H192" s="369">
        <f t="shared" si="101"/>
        <v>0</v>
      </c>
      <c r="I192" s="369">
        <f t="shared" si="102"/>
        <v>0</v>
      </c>
      <c r="J192" s="370">
        <v>0.92</v>
      </c>
      <c r="K192" s="369">
        <f>I192*J192 + C192</f>
        <v>0</v>
      </c>
      <c r="L192" s="371">
        <f t="shared" si="103"/>
        <v>1</v>
      </c>
    </row>
    <row r="193" spans="1:12">
      <c r="A193" s="204" t="s">
        <v>392</v>
      </c>
      <c r="B193" s="468">
        <v>2593</v>
      </c>
      <c r="C193" s="468">
        <v>0</v>
      </c>
      <c r="D193" s="284">
        <f t="shared" si="100"/>
        <v>2593</v>
      </c>
      <c r="E193" s="467">
        <v>1085</v>
      </c>
      <c r="F193" s="202">
        <f t="shared" si="104"/>
        <v>1508</v>
      </c>
      <c r="G193" s="140">
        <v>0.3</v>
      </c>
      <c r="H193" s="186">
        <f t="shared" si="101"/>
        <v>325.5</v>
      </c>
      <c r="I193" s="186">
        <f t="shared" si="102"/>
        <v>1833.5</v>
      </c>
      <c r="J193" s="140">
        <v>0.82</v>
      </c>
      <c r="K193" s="202">
        <f t="shared" si="105"/>
        <v>1503.4699999999998</v>
      </c>
      <c r="L193" s="268">
        <f t="shared" si="103"/>
        <v>0.57981874276899337</v>
      </c>
    </row>
    <row r="194" spans="1:12">
      <c r="A194" s="550" t="s">
        <v>393</v>
      </c>
      <c r="B194" s="468">
        <v>9551</v>
      </c>
      <c r="C194" s="468">
        <v>2097</v>
      </c>
      <c r="D194" s="284">
        <f t="shared" si="100"/>
        <v>7454</v>
      </c>
      <c r="E194" s="467">
        <v>3066</v>
      </c>
      <c r="F194" s="202">
        <f t="shared" si="104"/>
        <v>4388</v>
      </c>
      <c r="G194" s="203">
        <v>0.31</v>
      </c>
      <c r="H194" s="202">
        <f t="shared" si="101"/>
        <v>950.46</v>
      </c>
      <c r="I194" s="202">
        <f t="shared" si="102"/>
        <v>5338.46</v>
      </c>
      <c r="J194" s="203">
        <v>0.82</v>
      </c>
      <c r="K194" s="202">
        <f t="shared" si="105"/>
        <v>6474.5371999999998</v>
      </c>
      <c r="L194" s="267">
        <f t="shared" si="103"/>
        <v>0.67789102711757931</v>
      </c>
    </row>
    <row r="195" spans="1:12">
      <c r="A195" s="551"/>
      <c r="B195" s="366">
        <v>0</v>
      </c>
      <c r="C195" s="367">
        <v>0</v>
      </c>
      <c r="D195" s="368">
        <f t="shared" si="100"/>
        <v>0</v>
      </c>
      <c r="E195" s="366">
        <v>0</v>
      </c>
      <c r="F195" s="369">
        <f>D195-E195</f>
        <v>0</v>
      </c>
      <c r="G195" s="370">
        <v>0.31</v>
      </c>
      <c r="H195" s="369">
        <f t="shared" si="101"/>
        <v>0</v>
      </c>
      <c r="I195" s="369">
        <f t="shared" si="102"/>
        <v>0</v>
      </c>
      <c r="J195" s="370">
        <v>0.92</v>
      </c>
      <c r="K195" s="369">
        <f>I195*J195 + C195</f>
        <v>0</v>
      </c>
      <c r="L195" s="371">
        <f t="shared" si="103"/>
        <v>1</v>
      </c>
    </row>
    <row r="196" spans="1:12">
      <c r="A196" s="201" t="s">
        <v>412</v>
      </c>
      <c r="B196" s="468">
        <v>980</v>
      </c>
      <c r="C196" s="468">
        <v>0</v>
      </c>
      <c r="D196" s="284">
        <f t="shared" si="100"/>
        <v>980</v>
      </c>
      <c r="E196" s="467">
        <v>846</v>
      </c>
      <c r="F196" s="202">
        <f t="shared" si="104"/>
        <v>134</v>
      </c>
      <c r="G196" s="203">
        <v>0.23</v>
      </c>
      <c r="H196" s="202">
        <f>E196*G196</f>
        <v>194.58</v>
      </c>
      <c r="I196" s="202">
        <f>F196+H196</f>
        <v>328.58000000000004</v>
      </c>
      <c r="J196" s="203">
        <v>0.82</v>
      </c>
      <c r="K196" s="202">
        <f t="shared" si="105"/>
        <v>269.43560000000002</v>
      </c>
      <c r="L196" s="267">
        <f t="shared" si="103"/>
        <v>0.27493428571428574</v>
      </c>
    </row>
    <row r="197" spans="1:12" ht="25.5">
      <c r="A197" s="201" t="s">
        <v>413</v>
      </c>
      <c r="B197" s="468">
        <v>24977</v>
      </c>
      <c r="C197" s="468">
        <v>2286</v>
      </c>
      <c r="D197" s="284">
        <f t="shared" si="100"/>
        <v>22691</v>
      </c>
      <c r="E197" s="467">
        <v>9903</v>
      </c>
      <c r="F197" s="202">
        <f t="shared" si="104"/>
        <v>12788</v>
      </c>
      <c r="G197" s="203">
        <v>0.23</v>
      </c>
      <c r="H197" s="202">
        <f t="shared" si="101"/>
        <v>2277.69</v>
      </c>
      <c r="I197" s="202">
        <f t="shared" si="102"/>
        <v>15065.69</v>
      </c>
      <c r="J197" s="203">
        <v>0.82</v>
      </c>
      <c r="K197" s="202">
        <f t="shared" si="105"/>
        <v>14639.8658</v>
      </c>
      <c r="L197" s="267">
        <f t="shared" si="103"/>
        <v>0.58613387516515192</v>
      </c>
    </row>
    <row r="198" spans="1:12" ht="25.5">
      <c r="A198" s="201" t="s">
        <v>394</v>
      </c>
      <c r="B198" s="468">
        <v>38977</v>
      </c>
      <c r="C198" s="468">
        <v>3703</v>
      </c>
      <c r="D198" s="284">
        <f t="shared" si="100"/>
        <v>35274</v>
      </c>
      <c r="E198" s="467">
        <v>25502</v>
      </c>
      <c r="F198" s="202">
        <f t="shared" si="104"/>
        <v>9772</v>
      </c>
      <c r="G198" s="203">
        <v>0.23</v>
      </c>
      <c r="H198" s="202">
        <f t="shared" si="101"/>
        <v>5865.46</v>
      </c>
      <c r="I198" s="202">
        <f t="shared" si="102"/>
        <v>15637.46</v>
      </c>
      <c r="J198" s="203">
        <v>0.82</v>
      </c>
      <c r="K198" s="202">
        <f t="shared" si="105"/>
        <v>16525.717199999999</v>
      </c>
      <c r="L198" s="267">
        <f t="shared" si="103"/>
        <v>0.42398638171229186</v>
      </c>
    </row>
    <row r="199" spans="1:12">
      <c r="B199" s="143"/>
    </row>
    <row r="200" spans="1:12">
      <c r="B200" s="143"/>
    </row>
    <row r="201" spans="1:12">
      <c r="B201" s="143"/>
    </row>
    <row r="202" spans="1:12">
      <c r="B202" s="143"/>
    </row>
    <row r="203" spans="1:12">
      <c r="B203" s="143"/>
    </row>
    <row r="204" spans="1:12">
      <c r="B204" s="143"/>
    </row>
    <row r="205" spans="1:12">
      <c r="B205" s="143"/>
    </row>
    <row r="206" spans="1:12">
      <c r="B206" s="143"/>
    </row>
    <row r="207" spans="1:12">
      <c r="B207" s="143"/>
    </row>
    <row r="208" spans="1:12">
      <c r="B208" s="143"/>
    </row>
    <row r="209" spans="2:2">
      <c r="B209" s="143"/>
    </row>
    <row r="210" spans="2:2">
      <c r="B210" s="143"/>
    </row>
    <row r="211" spans="2:2">
      <c r="B211" s="143"/>
    </row>
    <row r="212" spans="2:2">
      <c r="B212" s="143"/>
    </row>
    <row r="213" spans="2:2">
      <c r="B213" s="143"/>
    </row>
    <row r="214" spans="2:2">
      <c r="B214" s="143"/>
    </row>
    <row r="215" spans="2:2">
      <c r="B215" s="143"/>
    </row>
    <row r="216" spans="2:2">
      <c r="B216" s="143"/>
    </row>
    <row r="217" spans="2:2">
      <c r="B217" s="143"/>
    </row>
    <row r="218" spans="2:2">
      <c r="B218" s="143"/>
    </row>
    <row r="219" spans="2:2">
      <c r="B219" s="143"/>
    </row>
    <row r="220" spans="2:2">
      <c r="B220" s="143"/>
    </row>
    <row r="221" spans="2:2">
      <c r="B221" s="143"/>
    </row>
    <row r="222" spans="2:2">
      <c r="B222" s="143"/>
    </row>
    <row r="223" spans="2:2">
      <c r="B223" s="143"/>
    </row>
    <row r="224" spans="2:2">
      <c r="B224" s="143"/>
    </row>
    <row r="225" spans="2:2">
      <c r="B225" s="143"/>
    </row>
    <row r="226" spans="2:2">
      <c r="B226" s="143"/>
    </row>
    <row r="227" spans="2:2">
      <c r="B227" s="143"/>
    </row>
    <row r="228" spans="2:2">
      <c r="B228" s="143"/>
    </row>
    <row r="229" spans="2:2">
      <c r="B229" s="143"/>
    </row>
    <row r="230" spans="2:2">
      <c r="B230" s="143"/>
    </row>
    <row r="231" spans="2:2">
      <c r="B231" s="143"/>
    </row>
    <row r="232" spans="2:2">
      <c r="B232" s="143"/>
    </row>
    <row r="233" spans="2:2">
      <c r="B233" s="143"/>
    </row>
    <row r="234" spans="2:2">
      <c r="B234" s="143"/>
    </row>
    <row r="235" spans="2:2">
      <c r="B235" s="143"/>
    </row>
    <row r="236" spans="2:2">
      <c r="B236" s="143"/>
    </row>
    <row r="237" spans="2:2">
      <c r="B237" s="143"/>
    </row>
    <row r="238" spans="2:2">
      <c r="B238" s="143"/>
    </row>
    <row r="239" spans="2:2">
      <c r="B239" s="143"/>
    </row>
    <row r="240" spans="2:2">
      <c r="B240" s="143"/>
    </row>
    <row r="241" spans="2:2">
      <c r="B241" s="143"/>
    </row>
    <row r="242" spans="2:2">
      <c r="B242" s="143"/>
    </row>
    <row r="243" spans="2:2">
      <c r="B243" s="143"/>
    </row>
    <row r="244" spans="2:2">
      <c r="B244" s="143"/>
    </row>
    <row r="245" spans="2:2">
      <c r="B245" s="143"/>
    </row>
    <row r="246" spans="2:2">
      <c r="B246" s="143"/>
    </row>
    <row r="247" spans="2:2">
      <c r="B247" s="143"/>
    </row>
    <row r="248" spans="2:2">
      <c r="B248" s="143"/>
    </row>
    <row r="249" spans="2:2">
      <c r="B249" s="143"/>
    </row>
    <row r="250" spans="2:2">
      <c r="B250" s="143"/>
    </row>
    <row r="251" spans="2:2">
      <c r="B251" s="143"/>
    </row>
    <row r="252" spans="2:2">
      <c r="B252" s="143"/>
    </row>
    <row r="253" spans="2:2">
      <c r="B253" s="143"/>
    </row>
    <row r="254" spans="2:2">
      <c r="B254" s="143"/>
    </row>
    <row r="255" spans="2:2">
      <c r="B255" s="143"/>
    </row>
    <row r="256" spans="2:2">
      <c r="B256" s="143"/>
    </row>
    <row r="257" spans="2:2">
      <c r="B257" s="143"/>
    </row>
    <row r="258" spans="2:2">
      <c r="B258" s="143"/>
    </row>
    <row r="259" spans="2:2">
      <c r="B259" s="143"/>
    </row>
    <row r="260" spans="2:2">
      <c r="B260" s="143"/>
    </row>
    <row r="261" spans="2:2">
      <c r="B261" s="143"/>
    </row>
    <row r="262" spans="2:2">
      <c r="B262" s="143"/>
    </row>
    <row r="263" spans="2:2">
      <c r="B263" s="143"/>
    </row>
    <row r="264" spans="2:2">
      <c r="B264" s="143"/>
    </row>
    <row r="265" spans="2:2">
      <c r="B265" s="143"/>
    </row>
    <row r="266" spans="2:2">
      <c r="B266" s="143"/>
    </row>
    <row r="267" spans="2:2">
      <c r="B267" s="143"/>
    </row>
    <row r="268" spans="2:2">
      <c r="B268" s="143"/>
    </row>
    <row r="269" spans="2:2">
      <c r="B269" s="143"/>
    </row>
    <row r="270" spans="2:2">
      <c r="B270" s="143"/>
    </row>
    <row r="271" spans="2:2">
      <c r="B271" s="143"/>
    </row>
    <row r="272" spans="2:2">
      <c r="B272" s="143"/>
    </row>
    <row r="273" spans="2:2">
      <c r="B273" s="143"/>
    </row>
    <row r="274" spans="2:2">
      <c r="B274" s="143"/>
    </row>
    <row r="275" spans="2:2">
      <c r="B275" s="143"/>
    </row>
    <row r="276" spans="2:2">
      <c r="B276" s="143"/>
    </row>
    <row r="277" spans="2:2">
      <c r="B277" s="143"/>
    </row>
  </sheetData>
  <mergeCells count="50">
    <mergeCell ref="A185:A186"/>
    <mergeCell ref="A187:A188"/>
    <mergeCell ref="A189:A190"/>
    <mergeCell ref="A191:A192"/>
    <mergeCell ref="A194:A195"/>
    <mergeCell ref="A175:A176"/>
    <mergeCell ref="A177:A178"/>
    <mergeCell ref="A179:A180"/>
    <mergeCell ref="A181:A182"/>
    <mergeCell ref="A183:A184"/>
    <mergeCell ref="A145:A146"/>
    <mergeCell ref="A147:A148"/>
    <mergeCell ref="A149:A150"/>
    <mergeCell ref="A151:A152"/>
    <mergeCell ref="A154:A155"/>
    <mergeCell ref="A135:A136"/>
    <mergeCell ref="A137:A138"/>
    <mergeCell ref="A139:A140"/>
    <mergeCell ref="A141:A142"/>
    <mergeCell ref="A143:A144"/>
    <mergeCell ref="A25:A26"/>
    <mergeCell ref="A15:A16"/>
    <mergeCell ref="A17:A18"/>
    <mergeCell ref="A19:A20"/>
    <mergeCell ref="A21:A22"/>
    <mergeCell ref="A23:A24"/>
    <mergeCell ref="A69:A70"/>
    <mergeCell ref="A27:A28"/>
    <mergeCell ref="A29:A30"/>
    <mergeCell ref="A31:A32"/>
    <mergeCell ref="A34:A35"/>
    <mergeCell ref="A55:A56"/>
    <mergeCell ref="A57:A58"/>
    <mergeCell ref="A59:A60"/>
    <mergeCell ref="A61:A62"/>
    <mergeCell ref="A63:A64"/>
    <mergeCell ref="A65:A66"/>
    <mergeCell ref="A67:A68"/>
    <mergeCell ref="A114:A115"/>
    <mergeCell ref="A71:A72"/>
    <mergeCell ref="A74:A75"/>
    <mergeCell ref="A95:A96"/>
    <mergeCell ref="A97:A98"/>
    <mergeCell ref="A99:A100"/>
    <mergeCell ref="A101:A102"/>
    <mergeCell ref="A103:A104"/>
    <mergeCell ref="A105:A106"/>
    <mergeCell ref="A107:A108"/>
    <mergeCell ref="A109:A110"/>
    <mergeCell ref="A111:A112"/>
  </mergeCells>
  <phoneticPr fontId="0" type="noConversion"/>
  <pageMargins left="0.56999999999999995" right="0.54" top="0.75" bottom="0.38" header="0.25" footer="0.34"/>
  <pageSetup scale="49" fitToHeight="5" orientation="landscape" r:id="rId1"/>
  <headerFooter alignWithMargins="0">
    <oddHeader>&amp;LRRCA 
Compact Accounting&amp;RPage &amp;P of &amp;N</oddHeader>
  </headerFooter>
  <rowBreaks count="1" manualBreakCount="1">
    <brk id="79" max="1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R69"/>
  <sheetViews>
    <sheetView topLeftCell="A44" workbookViewId="0">
      <selection activeCell="N42" sqref="N42"/>
    </sheetView>
  </sheetViews>
  <sheetFormatPr defaultRowHeight="12.75"/>
  <cols>
    <col min="1" max="1" width="23.5703125" customWidth="1"/>
    <col min="8" max="8" width="13.7109375" customWidth="1"/>
  </cols>
  <sheetData>
    <row r="1" spans="1:17">
      <c r="A1" t="s">
        <v>531</v>
      </c>
    </row>
    <row r="5" spans="1:17">
      <c r="A5" s="552" t="s">
        <v>532</v>
      </c>
      <c r="B5" s="553"/>
      <c r="C5" s="553"/>
      <c r="D5" s="553"/>
      <c r="E5" s="553"/>
      <c r="F5" s="554"/>
      <c r="G5" s="387"/>
      <c r="H5" s="552" t="s">
        <v>529</v>
      </c>
      <c r="I5" s="553"/>
      <c r="J5" s="553"/>
      <c r="K5" s="553"/>
      <c r="L5" s="553"/>
      <c r="M5" s="554"/>
      <c r="N5" s="388"/>
      <c r="O5" s="388"/>
      <c r="P5" s="388"/>
      <c r="Q5" s="388"/>
    </row>
    <row r="6" spans="1:17">
      <c r="A6" s="109"/>
      <c r="B6" s="386">
        <f>INPUT!C1</f>
        <v>2017</v>
      </c>
      <c r="C6" s="386">
        <f>INPUT!D1</f>
        <v>2018</v>
      </c>
      <c r="D6" s="386">
        <f>INPUT!E1</f>
        <v>2019</v>
      </c>
      <c r="E6" s="386">
        <f>INPUT!F1</f>
        <v>2020</v>
      </c>
      <c r="F6" s="386">
        <f>INPUT!G1</f>
        <v>2021</v>
      </c>
      <c r="G6" s="312"/>
      <c r="H6" s="109"/>
      <c r="I6" s="386">
        <f>INPUT!C1</f>
        <v>2017</v>
      </c>
      <c r="J6" s="386">
        <f>INPUT!D1</f>
        <v>2018</v>
      </c>
      <c r="K6" s="386">
        <f>INPUT!E1</f>
        <v>2019</v>
      </c>
      <c r="L6" s="386">
        <f>INPUT!F1</f>
        <v>2020</v>
      </c>
      <c r="M6" s="386">
        <f>INPUT!G1</f>
        <v>2021</v>
      </c>
    </row>
    <row r="7" spans="1:17">
      <c r="A7" s="2" t="s">
        <v>481</v>
      </c>
      <c r="B7" s="185">
        <f>INPUT!C200</f>
        <v>11314.512396694214</v>
      </c>
      <c r="C7" s="185">
        <f>INPUT!D200</f>
        <v>4619.1074380165282</v>
      </c>
      <c r="D7" s="185">
        <f>INPUT!E200</f>
        <v>13289</v>
      </c>
      <c r="E7" s="185">
        <f>INPUT!F200</f>
        <v>55338.842975206615</v>
      </c>
      <c r="F7" s="185">
        <f>INPUT!G200</f>
        <v>7475</v>
      </c>
      <c r="G7" s="312"/>
      <c r="H7" s="2" t="s">
        <v>14</v>
      </c>
      <c r="I7" s="185">
        <f>MAX(INPUT!C184-'NORTH FORK'!B9-Attachment1!$B6,0)</f>
        <v>0</v>
      </c>
      <c r="J7" s="185">
        <f>MAX(INPUT!D184-'NORTH FORK'!C9-Attachment1!$B6,0)</f>
        <v>0</v>
      </c>
      <c r="K7" s="185">
        <f>MAX(INPUT!E184-'NORTH FORK'!D9-Attachment1!$B6,0)</f>
        <v>0</v>
      </c>
      <c r="L7" s="185">
        <f>MAX(INPUT!F184-'NORTH FORK'!E9-Attachment1!$B6,0)</f>
        <v>0</v>
      </c>
      <c r="M7" s="185">
        <f>MAX(INPUT!G184-'NORTH FORK'!F9-Attachment1!$B6,0)</f>
        <v>0</v>
      </c>
      <c r="N7" s="462" t="s">
        <v>690</v>
      </c>
    </row>
    <row r="8" spans="1:17">
      <c r="A8" s="2" t="s">
        <v>482</v>
      </c>
      <c r="B8" s="185">
        <f>INPUT!C201</f>
        <v>6368.9256198347111</v>
      </c>
      <c r="C8" s="185">
        <f>INPUT!D201</f>
        <v>5520.7933884297527</v>
      </c>
      <c r="D8" s="185">
        <f>INPUT!E201</f>
        <v>6875</v>
      </c>
      <c r="E8" s="185">
        <f>INPUT!F201</f>
        <v>33332.231404958678</v>
      </c>
      <c r="F8" s="185">
        <f>INPUT!G201</f>
        <v>7332</v>
      </c>
      <c r="G8" s="312"/>
      <c r="H8" s="2" t="s">
        <v>515</v>
      </c>
      <c r="I8" s="185">
        <f>MAX(INPUT!C185-Attachment1!$B5,0)</f>
        <v>0</v>
      </c>
      <c r="J8" s="185">
        <f>MAX(INPUT!D185-Attachment1!$B5,0)</f>
        <v>0</v>
      </c>
      <c r="K8" s="185">
        <f>MAX(INPUT!E185-Attachment1!$B5,0)</f>
        <v>0</v>
      </c>
      <c r="L8" s="185">
        <f>MAX(INPUT!F185-Attachment1!$B5,0)</f>
        <v>0</v>
      </c>
      <c r="M8" s="185">
        <f>MAX(INPUT!G185-Attachment1!$B5,0)</f>
        <v>0</v>
      </c>
    </row>
    <row r="9" spans="1:17">
      <c r="A9" s="2" t="s">
        <v>483</v>
      </c>
      <c r="B9" s="185">
        <f>INPUT!C202</f>
        <v>6420.0991735537173</v>
      </c>
      <c r="C9" s="185">
        <f>INPUT!D202</f>
        <v>7386.4462809917322</v>
      </c>
      <c r="D9" s="185">
        <f>INPUT!E202</f>
        <v>61131</v>
      </c>
      <c r="E9" s="185">
        <f>INPUT!F202</f>
        <v>33774.545454545456</v>
      </c>
      <c r="F9" s="185">
        <f>INPUT!G202</f>
        <v>28746</v>
      </c>
      <c r="G9" s="312"/>
      <c r="H9" s="2" t="s">
        <v>516</v>
      </c>
      <c r="I9" s="185">
        <f>MAX(INPUT!C186-Attachment1!$B7,0)</f>
        <v>0</v>
      </c>
      <c r="J9" s="185">
        <f>MAX(INPUT!D186-Attachment1!$B7,0)</f>
        <v>0</v>
      </c>
      <c r="K9" s="185">
        <f>MAX(INPUT!E186-Attachment1!$B7,0)</f>
        <v>0</v>
      </c>
      <c r="L9" s="185">
        <f>MAX(INPUT!F186-Attachment1!$B7,0)</f>
        <v>0</v>
      </c>
      <c r="M9" s="185">
        <f>MAX(INPUT!G186-Attachment1!$B7,0)</f>
        <v>0</v>
      </c>
    </row>
    <row r="10" spans="1:17">
      <c r="A10" s="2" t="s">
        <v>484</v>
      </c>
      <c r="B10" s="185">
        <f>INPUT!C203</f>
        <v>6932.8264462809911</v>
      </c>
      <c r="C10" s="185">
        <f>INPUT!D203</f>
        <v>3658.1157024793401</v>
      </c>
      <c r="D10" s="185">
        <f>INPUT!E203</f>
        <v>21669</v>
      </c>
      <c r="E10" s="185">
        <f>INPUT!F203</f>
        <v>23420.826446280997</v>
      </c>
      <c r="F10" s="185">
        <f>INPUT!G203</f>
        <v>20400</v>
      </c>
      <c r="G10" s="312"/>
      <c r="H10" s="2" t="s">
        <v>517</v>
      </c>
      <c r="I10" s="185">
        <f>MAX(INPUT!C187-ROCK!B9-Attachment1!$B8,0)</f>
        <v>0</v>
      </c>
      <c r="J10" s="185">
        <f>MAX(INPUT!D187-ROCK!C9-Attachment1!$B8,0)</f>
        <v>0</v>
      </c>
      <c r="K10" s="185">
        <f>MAX(INPUT!E187-ROCK!D9-Attachment1!$B8,0)</f>
        <v>0</v>
      </c>
      <c r="L10" s="185">
        <f>MAX(INPUT!F187-ROCK!E9-Attachment1!$B8,0)</f>
        <v>0</v>
      </c>
      <c r="M10" s="185">
        <f>MAX(INPUT!G187-ROCK!F9-Attachment1!$B8,0)</f>
        <v>0</v>
      </c>
      <c r="N10" s="462" t="s">
        <v>690</v>
      </c>
    </row>
    <row r="11" spans="1:17">
      <c r="A11" s="2" t="s">
        <v>485</v>
      </c>
      <c r="B11" s="185">
        <f>INPUT!C204</f>
        <v>33285.818181818177</v>
      </c>
      <c r="C11" s="185">
        <f>INPUT!D204</f>
        <v>2309.3553719008264</v>
      </c>
      <c r="D11" s="185">
        <f>INPUT!E204</f>
        <v>66000</v>
      </c>
      <c r="E11" s="185">
        <f>INPUT!F204</f>
        <v>31731.570247933883</v>
      </c>
      <c r="F11" s="185">
        <f>INPUT!G204</f>
        <v>25198</v>
      </c>
      <c r="G11" s="312"/>
      <c r="H11" s="2" t="s">
        <v>525</v>
      </c>
      <c r="I11" s="185">
        <f>MAX(INPUT!C188-Attachment1!$B9,0)</f>
        <v>0</v>
      </c>
      <c r="J11" s="185">
        <f>MAX(INPUT!D188-Attachment1!$B9,0)</f>
        <v>0</v>
      </c>
      <c r="K11" s="185">
        <f>MAX(INPUT!E188-Attachment1!$B9,0)</f>
        <v>0</v>
      </c>
      <c r="L11" s="185">
        <f>MAX(INPUT!F188-Attachment1!$B9,0)</f>
        <v>0</v>
      </c>
      <c r="M11" s="185">
        <f>MAX(INPUT!G188-Attachment1!$B9,0)</f>
        <v>0</v>
      </c>
    </row>
    <row r="12" spans="1:17">
      <c r="A12" s="2" t="s">
        <v>486</v>
      </c>
      <c r="B12" s="185">
        <f>INPUT!C205</f>
        <v>11955.966942148762</v>
      </c>
      <c r="C12" s="185">
        <f>INPUT!D205</f>
        <v>7600.6611570247942</v>
      </c>
      <c r="D12" s="185">
        <f>INPUT!E205</f>
        <v>69761</v>
      </c>
      <c r="E12" s="185">
        <f>INPUT!F205</f>
        <v>10809.917355371901</v>
      </c>
      <c r="F12" s="185">
        <f>INPUT!G205</f>
        <v>14672</v>
      </c>
      <c r="G12" s="312"/>
      <c r="H12" s="2" t="s">
        <v>518</v>
      </c>
      <c r="I12" s="185">
        <f>MAX(INPUT!C189-Attachment1!$B10,0)</f>
        <v>0</v>
      </c>
      <c r="J12" s="185">
        <f>MAX(INPUT!D189-Attachment1!$B10,0)</f>
        <v>0</v>
      </c>
      <c r="K12" s="185">
        <f>MAX(INPUT!E189-Attachment1!$B10,0)</f>
        <v>0</v>
      </c>
      <c r="L12" s="185">
        <f>MAX(INPUT!F189-Attachment1!$B10,0)</f>
        <v>0</v>
      </c>
      <c r="M12" s="185">
        <f>MAX(INPUT!G189-Attachment1!$B10,0)</f>
        <v>0</v>
      </c>
    </row>
    <row r="13" spans="1:17">
      <c r="A13" s="2" t="s">
        <v>487</v>
      </c>
      <c r="B13" s="185">
        <f>INPUT!C206</f>
        <v>24711.867768595039</v>
      </c>
      <c r="C13" s="185">
        <f>INPUT!D206</f>
        <v>3805.0909090909095</v>
      </c>
      <c r="D13" s="185">
        <f>INPUT!E206</f>
        <v>118015</v>
      </c>
      <c r="E13" s="185">
        <f>INPUT!F206</f>
        <v>30810.644628099173</v>
      </c>
      <c r="F13" s="185">
        <f>INPUT!G206</f>
        <v>8141</v>
      </c>
      <c r="G13" s="312"/>
      <c r="H13" s="2" t="s">
        <v>519</v>
      </c>
      <c r="I13" s="185">
        <f>MAX(INPUT!C190-Attachment1!$B11,0)</f>
        <v>0</v>
      </c>
      <c r="J13" s="185">
        <f>MAX(INPUT!D190-Attachment1!$B11,0)</f>
        <v>0</v>
      </c>
      <c r="K13" s="185">
        <f>MAX(INPUT!E190-Attachment1!$B11,0)</f>
        <v>0</v>
      </c>
      <c r="L13" s="185">
        <f>MAX(INPUT!F190-Attachment1!$B11,0)</f>
        <v>0</v>
      </c>
      <c r="M13" s="185">
        <f>MAX(INPUT!G190-Attachment1!$B11,0)</f>
        <v>0</v>
      </c>
    </row>
    <row r="14" spans="1:17">
      <c r="A14" s="2" t="s">
        <v>488</v>
      </c>
      <c r="B14" s="185">
        <f>INPUT!C207</f>
        <v>5873.8512396694214</v>
      </c>
      <c r="C14" s="185">
        <f>INPUT!D207</f>
        <v>5064.7933884297527</v>
      </c>
      <c r="D14" s="185">
        <f>INPUT!E207</f>
        <v>82834</v>
      </c>
      <c r="E14" s="185">
        <f>INPUT!F207</f>
        <v>8336.9256198347102</v>
      </c>
      <c r="F14" s="185">
        <f>INPUT!G207</f>
        <v>8550</v>
      </c>
      <c r="G14" s="312"/>
      <c r="H14" s="2" t="s">
        <v>520</v>
      </c>
      <c r="I14" s="185">
        <f>MAX(INPUT!C191-Attachment1!$B12,0)</f>
        <v>0</v>
      </c>
      <c r="J14" s="185">
        <f>MAX(INPUT!D191-Attachment1!$B12,0)</f>
        <v>0</v>
      </c>
      <c r="K14" s="185">
        <f>MAX(INPUT!E191-Attachment1!$B12,0)</f>
        <v>0</v>
      </c>
      <c r="L14" s="185">
        <f>MAX(INPUT!F191-Attachment1!$B12,0)</f>
        <v>0</v>
      </c>
      <c r="M14" s="185">
        <f>MAX(INPUT!G191-Attachment1!$B12,0)</f>
        <v>0</v>
      </c>
    </row>
    <row r="15" spans="1:17">
      <c r="A15" s="2" t="s">
        <v>489</v>
      </c>
      <c r="B15" s="185">
        <f>INPUT!C208</f>
        <v>3531.768595041322</v>
      </c>
      <c r="C15" s="185">
        <f>INPUT!D208</f>
        <v>23847.669421487601</v>
      </c>
      <c r="D15" s="185">
        <f>INPUT!E208</f>
        <v>30188</v>
      </c>
      <c r="E15" s="185">
        <f>INPUT!F208</f>
        <v>3488.1322314049585</v>
      </c>
      <c r="F15" s="185">
        <f>INPUT!G208</f>
        <v>3034</v>
      </c>
      <c r="G15" s="312"/>
      <c r="H15" s="2" t="s">
        <v>521</v>
      </c>
      <c r="I15" s="185">
        <f>MAX(INPUT!C192-'MEDICINE CREEK'!B9-Attachment1!$B13,0)</f>
        <v>0</v>
      </c>
      <c r="J15" s="185">
        <f>MAX(INPUT!D192-'MEDICINE CREEK'!C9-Attachment1!$B13,0)</f>
        <v>0</v>
      </c>
      <c r="K15" s="185">
        <f>MAX(INPUT!E192-'MEDICINE CREEK'!D9-Attachment1!$B13,0)</f>
        <v>0</v>
      </c>
      <c r="L15" s="185">
        <f>MAX(INPUT!F192-'MEDICINE CREEK'!E9-Attachment1!$B13,0)</f>
        <v>0</v>
      </c>
      <c r="M15" s="185">
        <f>MAX(INPUT!G192-'MEDICINE CREEK'!F9-Attachment1!$B13,0)</f>
        <v>0</v>
      </c>
      <c r="N15" s="462" t="s">
        <v>690</v>
      </c>
    </row>
    <row r="16" spans="1:17">
      <c r="A16" s="2" t="s">
        <v>490</v>
      </c>
      <c r="B16" s="185">
        <f>INPUT!C209</f>
        <v>8751.6694214876024</v>
      </c>
      <c r="C16" s="185">
        <f>INPUT!D209</f>
        <v>17603.305785123968</v>
      </c>
      <c r="D16" s="185">
        <f>INPUT!E209</f>
        <v>21527</v>
      </c>
      <c r="E16" s="185">
        <f>INPUT!F209</f>
        <v>4297.5867768595044</v>
      </c>
      <c r="F16" s="185">
        <f>INPUT!G209</f>
        <v>2535</v>
      </c>
      <c r="G16" s="312"/>
      <c r="H16" s="2" t="s">
        <v>522</v>
      </c>
      <c r="I16" s="185">
        <f>MAX(INPUT!C193-Attachment1!$B14,0)</f>
        <v>0</v>
      </c>
      <c r="J16" s="185">
        <f>MAX(INPUT!D193-Attachment1!$B14,0)</f>
        <v>0</v>
      </c>
      <c r="K16" s="185">
        <f>MAX(INPUT!E193-Attachment1!$B14,0)</f>
        <v>0</v>
      </c>
      <c r="L16" s="185">
        <f>MAX(INPUT!F193-Attachment1!$B14,0)</f>
        <v>0</v>
      </c>
      <c r="M16" s="185">
        <f>MAX(INPUT!G193-Attachment1!$B14,0)</f>
        <v>0</v>
      </c>
    </row>
    <row r="17" spans="1:18">
      <c r="A17" s="2" t="s">
        <v>491</v>
      </c>
      <c r="B17" s="185">
        <f>INPUT!C210</f>
        <v>2399.2066115702482</v>
      </c>
      <c r="C17" s="185">
        <f>INPUT!D210</f>
        <v>9231.0743801652898</v>
      </c>
      <c r="D17" s="185">
        <f>INPUT!E210</f>
        <v>59330</v>
      </c>
      <c r="E17" s="185">
        <f>INPUT!F210</f>
        <v>7632.3966942148763</v>
      </c>
      <c r="F17" s="185">
        <f>INPUT!G210</f>
        <v>7470</v>
      </c>
      <c r="G17" s="312"/>
      <c r="H17" s="2" t="s">
        <v>523</v>
      </c>
      <c r="I17" s="185">
        <f>MAX(INPUT!C194-Attachment1!$B15,0)</f>
        <v>0</v>
      </c>
      <c r="J17" s="185">
        <f>MAX(INPUT!D194-Attachment1!$B15,0)</f>
        <v>0</v>
      </c>
      <c r="K17" s="185">
        <f>MAX(INPUT!E194-Attachment1!$B15,0)</f>
        <v>15988</v>
      </c>
      <c r="L17" s="185">
        <f>MAX(INPUT!F194-Attachment1!$B15,0)</f>
        <v>0</v>
      </c>
      <c r="M17" s="185">
        <f>MAX(INPUT!G194-Attachment1!$B15,0)</f>
        <v>0</v>
      </c>
    </row>
    <row r="18" spans="1:18" ht="13.5" thickBot="1">
      <c r="A18" s="374" t="s">
        <v>492</v>
      </c>
      <c r="B18" s="375">
        <f>INPUT!C211</f>
        <v>5575.1404958677695</v>
      </c>
      <c r="C18" s="375">
        <f>INPUT!D211</f>
        <v>20215.537190082636</v>
      </c>
      <c r="D18" s="375">
        <f>INPUT!E211</f>
        <v>75757</v>
      </c>
      <c r="E18" s="375">
        <f>INPUT!F211</f>
        <v>8265.1239669421484</v>
      </c>
      <c r="F18" s="375">
        <f>INPUT!G211</f>
        <v>8600</v>
      </c>
      <c r="G18" s="312"/>
      <c r="H18" s="374" t="s">
        <v>524</v>
      </c>
      <c r="I18" s="375">
        <f>MAX(INPUT!C195-Attachment1!$B16,0)</f>
        <v>0</v>
      </c>
      <c r="J18" s="375">
        <f>MAX(INPUT!D195-Attachment1!$B16,0)</f>
        <v>0</v>
      </c>
      <c r="K18" s="375">
        <f>MAX(INPUT!E195-Attachment1!$B16,0)</f>
        <v>25260</v>
      </c>
      <c r="L18" s="375">
        <f>MAX(INPUT!F195-Attachment1!$B16,0)</f>
        <v>0</v>
      </c>
      <c r="M18" s="375">
        <f>MAX(INPUT!G195-Attachment1!$B16,0)</f>
        <v>0</v>
      </c>
    </row>
    <row r="19" spans="1:18" ht="13.5" thickTop="1">
      <c r="A19" s="372" t="s">
        <v>528</v>
      </c>
      <c r="B19" s="373">
        <f>SUM(B7:B18)</f>
        <v>127121.65289256199</v>
      </c>
      <c r="C19" s="373">
        <f>SUM(C7:C18)</f>
        <v>110861.95041322312</v>
      </c>
      <c r="D19" s="373">
        <f>SUM(D7:D18)</f>
        <v>626376</v>
      </c>
      <c r="E19" s="373">
        <f>SUM(E7:E18)</f>
        <v>251238.74380165286</v>
      </c>
      <c r="F19" s="373">
        <f>SUM(F7:F18)</f>
        <v>142153</v>
      </c>
      <c r="G19" s="312"/>
      <c r="H19" s="109" t="s">
        <v>526</v>
      </c>
      <c r="I19" s="376">
        <f>SUM(I7:I18)</f>
        <v>0</v>
      </c>
      <c r="J19" s="376">
        <f>SUM(J7:J18)</f>
        <v>0</v>
      </c>
      <c r="K19" s="376">
        <f>SUM(K7:K18)</f>
        <v>41248</v>
      </c>
      <c r="L19" s="376">
        <f>SUM(L7:L18)</f>
        <v>0</v>
      </c>
      <c r="M19" s="376">
        <f>SUM(M7:M18)</f>
        <v>0</v>
      </c>
    </row>
    <row r="20" spans="1:18">
      <c r="A20" s="2" t="s">
        <v>527</v>
      </c>
      <c r="B20" s="202">
        <f>MAX(0,B19-400000)</f>
        <v>0</v>
      </c>
      <c r="C20" s="202">
        <f>MAX(0,C19-400000)</f>
        <v>0</v>
      </c>
      <c r="D20" s="202">
        <f>MAX(0,D19-400000)</f>
        <v>226376</v>
      </c>
      <c r="E20" s="202">
        <f>MAX(0,E19-400000)</f>
        <v>0</v>
      </c>
      <c r="F20" s="202">
        <f>MAX(0,F19-400000)</f>
        <v>0</v>
      </c>
      <c r="G20" s="21"/>
      <c r="H20" s="21"/>
      <c r="I20" s="21"/>
      <c r="J20" s="21"/>
      <c r="K20" s="21"/>
    </row>
    <row r="22" spans="1:18">
      <c r="A22" s="552" t="s">
        <v>533</v>
      </c>
      <c r="B22" s="553"/>
      <c r="C22" s="553"/>
      <c r="D22" s="553"/>
      <c r="E22" s="553"/>
      <c r="F22" s="554"/>
      <c r="G22" s="387"/>
      <c r="H22" s="552" t="s">
        <v>512</v>
      </c>
      <c r="I22" s="553"/>
      <c r="J22" s="553"/>
      <c r="K22" s="553"/>
      <c r="L22" s="553"/>
      <c r="M22" s="554"/>
      <c r="N22" s="431"/>
      <c r="O22" s="431"/>
      <c r="P22" s="431"/>
      <c r="Q22" s="431"/>
      <c r="R22" s="319"/>
    </row>
    <row r="23" spans="1:18">
      <c r="A23" s="2"/>
      <c r="B23" s="4">
        <f>INPUT!C1</f>
        <v>2017</v>
      </c>
      <c r="C23" s="4">
        <f>INPUT!D1</f>
        <v>2018</v>
      </c>
      <c r="D23" s="4">
        <f>INPUT!E1</f>
        <v>2019</v>
      </c>
      <c r="E23" s="4">
        <f>INPUT!F1</f>
        <v>2020</v>
      </c>
      <c r="F23" s="4">
        <f>INPUT!G1</f>
        <v>2021</v>
      </c>
      <c r="G23" s="12"/>
      <c r="H23" s="2"/>
      <c r="I23" s="4">
        <f>INPUT!C1</f>
        <v>2017</v>
      </c>
      <c r="J23" s="4">
        <f>INPUT!D1</f>
        <v>2018</v>
      </c>
      <c r="K23" s="4">
        <f>INPUT!E1</f>
        <v>2019</v>
      </c>
      <c r="L23" s="4">
        <f>INPUT!F1</f>
        <v>2020</v>
      </c>
      <c r="M23" s="4">
        <f>INPUT!G1</f>
        <v>2021</v>
      </c>
    </row>
    <row r="24" spans="1:18">
      <c r="A24" s="2" t="s">
        <v>535</v>
      </c>
      <c r="B24" s="185">
        <f>SUM(B7:B11)</f>
        <v>64322.181818181809</v>
      </c>
      <c r="C24" s="185">
        <f t="shared" ref="B24:D31" si="0">SUM(C7:C11)</f>
        <v>23493.81818181818</v>
      </c>
      <c r="D24" s="185">
        <f t="shared" si="0"/>
        <v>168964</v>
      </c>
      <c r="E24" s="185">
        <f t="shared" ref="E24:F31" si="1">SUM(E7:E11)</f>
        <v>177598.01652892563</v>
      </c>
      <c r="F24" s="185">
        <f t="shared" si="1"/>
        <v>89151</v>
      </c>
      <c r="G24" s="389"/>
      <c r="H24" s="2" t="s">
        <v>535</v>
      </c>
      <c r="I24" s="185">
        <f t="shared" ref="I24:K31" si="2">IF(B24&gt;325000,1,0)</f>
        <v>0</v>
      </c>
      <c r="J24" s="185">
        <f t="shared" si="2"/>
        <v>0</v>
      </c>
      <c r="K24" s="185">
        <f t="shared" si="2"/>
        <v>0</v>
      </c>
      <c r="L24" s="185">
        <f t="shared" ref="L24:L31" si="3">IF(E24&gt;325000,1,0)</f>
        <v>0</v>
      </c>
      <c r="M24" s="185">
        <f t="shared" ref="M24:M31" si="4">IF(F24&gt;325000,1,0)</f>
        <v>0</v>
      </c>
    </row>
    <row r="25" spans="1:18">
      <c r="A25" s="2" t="s">
        <v>536</v>
      </c>
      <c r="B25" s="185">
        <f t="shared" si="0"/>
        <v>64963.63636363636</v>
      </c>
      <c r="C25" s="185">
        <f t="shared" si="0"/>
        <v>26475.371900826445</v>
      </c>
      <c r="D25" s="185">
        <f t="shared" si="0"/>
        <v>225436</v>
      </c>
      <c r="E25" s="185">
        <f t="shared" si="1"/>
        <v>133069.09090909091</v>
      </c>
      <c r="F25" s="185">
        <f t="shared" si="1"/>
        <v>96348</v>
      </c>
      <c r="G25" s="389"/>
      <c r="H25" s="2" t="s">
        <v>536</v>
      </c>
      <c r="I25" s="185">
        <f t="shared" si="2"/>
        <v>0</v>
      </c>
      <c r="J25" s="185">
        <f t="shared" si="2"/>
        <v>0</v>
      </c>
      <c r="K25" s="185">
        <f t="shared" si="2"/>
        <v>0</v>
      </c>
      <c r="L25" s="185">
        <f t="shared" si="3"/>
        <v>0</v>
      </c>
      <c r="M25" s="185">
        <f t="shared" si="4"/>
        <v>0</v>
      </c>
    </row>
    <row r="26" spans="1:18">
      <c r="A26" s="2" t="s">
        <v>537</v>
      </c>
      <c r="B26" s="185">
        <f t="shared" si="0"/>
        <v>83306.578512396693</v>
      </c>
      <c r="C26" s="185">
        <f t="shared" si="0"/>
        <v>24759.669421487601</v>
      </c>
      <c r="D26" s="185">
        <f t="shared" si="0"/>
        <v>336576</v>
      </c>
      <c r="E26" s="185">
        <f t="shared" si="1"/>
        <v>130547.50413223141</v>
      </c>
      <c r="F26" s="185">
        <f t="shared" si="1"/>
        <v>97157</v>
      </c>
      <c r="G26" s="389"/>
      <c r="H26" s="2" t="s">
        <v>537</v>
      </c>
      <c r="I26" s="185">
        <f t="shared" si="2"/>
        <v>0</v>
      </c>
      <c r="J26" s="185">
        <f t="shared" si="2"/>
        <v>0</v>
      </c>
      <c r="K26" s="185">
        <f t="shared" si="2"/>
        <v>1</v>
      </c>
      <c r="L26" s="185">
        <f t="shared" si="3"/>
        <v>0</v>
      </c>
      <c r="M26" s="185">
        <f t="shared" si="4"/>
        <v>0</v>
      </c>
    </row>
    <row r="27" spans="1:18">
      <c r="A27" s="2" t="s">
        <v>538</v>
      </c>
      <c r="B27" s="185">
        <f t="shared" si="0"/>
        <v>82760.330578512396</v>
      </c>
      <c r="C27" s="185">
        <f t="shared" si="0"/>
        <v>22438.016528925622</v>
      </c>
      <c r="D27" s="185">
        <f t="shared" si="0"/>
        <v>358279</v>
      </c>
      <c r="E27" s="185">
        <f t="shared" si="1"/>
        <v>105109.88429752068</v>
      </c>
      <c r="F27" s="185">
        <f t="shared" si="1"/>
        <v>76961</v>
      </c>
      <c r="G27" s="389"/>
      <c r="H27" s="2" t="s">
        <v>538</v>
      </c>
      <c r="I27" s="185">
        <f t="shared" si="2"/>
        <v>0</v>
      </c>
      <c r="J27" s="185">
        <f t="shared" si="2"/>
        <v>0</v>
      </c>
      <c r="K27" s="185">
        <f t="shared" si="2"/>
        <v>1</v>
      </c>
      <c r="L27" s="185">
        <f t="shared" si="3"/>
        <v>0</v>
      </c>
      <c r="M27" s="185">
        <f t="shared" si="4"/>
        <v>0</v>
      </c>
    </row>
    <row r="28" spans="1:18">
      <c r="A28" s="2" t="s">
        <v>539</v>
      </c>
      <c r="B28" s="185">
        <f t="shared" si="0"/>
        <v>79359.272727272735</v>
      </c>
      <c r="C28" s="185">
        <f t="shared" si="0"/>
        <v>42627.57024793388</v>
      </c>
      <c r="D28" s="185">
        <f t="shared" si="0"/>
        <v>366798</v>
      </c>
      <c r="E28" s="185">
        <f t="shared" si="1"/>
        <v>85177.190082644622</v>
      </c>
      <c r="F28" s="185">
        <f t="shared" si="1"/>
        <v>59595</v>
      </c>
      <c r="G28" s="389"/>
      <c r="H28" s="2" t="s">
        <v>539</v>
      </c>
      <c r="I28" s="185">
        <f t="shared" si="2"/>
        <v>0</v>
      </c>
      <c r="J28" s="185">
        <f t="shared" si="2"/>
        <v>0</v>
      </c>
      <c r="K28" s="185">
        <f t="shared" si="2"/>
        <v>1</v>
      </c>
      <c r="L28" s="185">
        <f t="shared" si="3"/>
        <v>0</v>
      </c>
      <c r="M28" s="185">
        <f t="shared" si="4"/>
        <v>0</v>
      </c>
    </row>
    <row r="29" spans="1:18">
      <c r="A29" s="2" t="s">
        <v>540</v>
      </c>
      <c r="B29" s="185">
        <f t="shared" si="0"/>
        <v>54825.123966942148</v>
      </c>
      <c r="C29" s="185">
        <f t="shared" si="0"/>
        <v>57921.520661157032</v>
      </c>
      <c r="D29" s="185">
        <f t="shared" si="0"/>
        <v>322325</v>
      </c>
      <c r="E29" s="185">
        <f t="shared" si="1"/>
        <v>57743.206611570247</v>
      </c>
      <c r="F29" s="185">
        <f t="shared" si="1"/>
        <v>36932</v>
      </c>
      <c r="G29" s="389"/>
      <c r="H29" s="2" t="s">
        <v>540</v>
      </c>
      <c r="I29" s="185">
        <f t="shared" si="2"/>
        <v>0</v>
      </c>
      <c r="J29" s="185">
        <f t="shared" si="2"/>
        <v>0</v>
      </c>
      <c r="K29" s="185">
        <f t="shared" si="2"/>
        <v>0</v>
      </c>
      <c r="L29" s="185">
        <f t="shared" si="3"/>
        <v>0</v>
      </c>
      <c r="M29" s="185">
        <f t="shared" si="4"/>
        <v>0</v>
      </c>
    </row>
    <row r="30" spans="1:18">
      <c r="A30" s="2" t="s">
        <v>541</v>
      </c>
      <c r="B30" s="185">
        <f t="shared" si="0"/>
        <v>45268.363636363632</v>
      </c>
      <c r="C30" s="185">
        <f t="shared" si="0"/>
        <v>59551.933884297512</v>
      </c>
      <c r="D30" s="185">
        <f t="shared" si="0"/>
        <v>311894</v>
      </c>
      <c r="E30" s="185">
        <f t="shared" si="1"/>
        <v>54565.685950413223</v>
      </c>
      <c r="F30" s="185">
        <f t="shared" si="1"/>
        <v>29730</v>
      </c>
      <c r="G30" s="389"/>
      <c r="H30" s="2" t="s">
        <v>541</v>
      </c>
      <c r="I30" s="185">
        <f t="shared" si="2"/>
        <v>0</v>
      </c>
      <c r="J30" s="185">
        <f t="shared" si="2"/>
        <v>0</v>
      </c>
      <c r="K30" s="185">
        <f t="shared" si="2"/>
        <v>0</v>
      </c>
      <c r="L30" s="185">
        <f t="shared" si="3"/>
        <v>0</v>
      </c>
      <c r="M30" s="185">
        <f t="shared" si="4"/>
        <v>0</v>
      </c>
    </row>
    <row r="31" spans="1:18" ht="13.5" thickBot="1">
      <c r="A31" s="8" t="s">
        <v>542</v>
      </c>
      <c r="B31" s="185">
        <f t="shared" si="0"/>
        <v>26131.636363636364</v>
      </c>
      <c r="C31" s="185">
        <f t="shared" si="0"/>
        <v>75962.380165289243</v>
      </c>
      <c r="D31" s="185">
        <f t="shared" si="0"/>
        <v>269636</v>
      </c>
      <c r="E31" s="185">
        <f t="shared" si="1"/>
        <v>32020.165289256198</v>
      </c>
      <c r="F31" s="185">
        <f t="shared" si="1"/>
        <v>30189</v>
      </c>
      <c r="G31" s="389"/>
      <c r="H31" s="377" t="s">
        <v>542</v>
      </c>
      <c r="I31" s="375">
        <f t="shared" si="2"/>
        <v>0</v>
      </c>
      <c r="J31" s="375">
        <f t="shared" si="2"/>
        <v>0</v>
      </c>
      <c r="K31" s="375">
        <f t="shared" si="2"/>
        <v>0</v>
      </c>
      <c r="L31" s="375">
        <f t="shared" si="3"/>
        <v>0</v>
      </c>
      <c r="M31" s="375">
        <f t="shared" si="4"/>
        <v>0</v>
      </c>
    </row>
    <row r="32" spans="1:18" ht="13.5" thickTop="1">
      <c r="C32" s="312"/>
      <c r="D32" s="312"/>
      <c r="E32" s="312"/>
      <c r="F32" s="312"/>
      <c r="H32" s="109" t="s">
        <v>282</v>
      </c>
      <c r="I32" s="376">
        <f>SUM(I24:I31)</f>
        <v>0</v>
      </c>
      <c r="J32" s="376">
        <f>SUM(J24:J31)</f>
        <v>0</v>
      </c>
      <c r="K32" s="376">
        <f>SUM(K24:K31)</f>
        <v>3</v>
      </c>
      <c r="L32" s="376">
        <f>SUM(L24:L31)</f>
        <v>0</v>
      </c>
      <c r="M32" s="376">
        <f>SUM(M24:M31)</f>
        <v>0</v>
      </c>
    </row>
    <row r="34" spans="1:17">
      <c r="A34" s="552" t="s">
        <v>534</v>
      </c>
      <c r="B34" s="553"/>
      <c r="C34" s="553"/>
      <c r="D34" s="553"/>
      <c r="E34" s="553"/>
      <c r="F34" s="554"/>
      <c r="G34" s="387"/>
      <c r="H34" s="552" t="s">
        <v>514</v>
      </c>
      <c r="I34" s="553"/>
      <c r="J34" s="553"/>
      <c r="K34" s="553"/>
      <c r="L34" s="553"/>
      <c r="M34" s="554"/>
      <c r="N34" s="430"/>
      <c r="O34" s="430"/>
      <c r="P34" s="430"/>
      <c r="Q34" s="430"/>
    </row>
    <row r="35" spans="1:17">
      <c r="A35" s="2"/>
      <c r="B35" s="4">
        <f>INPUT!C1</f>
        <v>2017</v>
      </c>
      <c r="C35" s="4">
        <f>INPUT!D1</f>
        <v>2018</v>
      </c>
      <c r="D35" s="4">
        <f>INPUT!E1</f>
        <v>2019</v>
      </c>
      <c r="E35" s="4">
        <f>INPUT!F1</f>
        <v>2020</v>
      </c>
      <c r="F35" s="4">
        <f>INPUT!G1</f>
        <v>2021</v>
      </c>
      <c r="G35" s="12"/>
      <c r="H35" s="2"/>
      <c r="I35" s="4">
        <f>INPUT!C1</f>
        <v>2017</v>
      </c>
      <c r="J35" s="4">
        <f>INPUT!D1</f>
        <v>2018</v>
      </c>
      <c r="K35" s="4">
        <f>INPUT!E1</f>
        <v>2019</v>
      </c>
      <c r="L35" s="4">
        <f>INPUT!F1</f>
        <v>2020</v>
      </c>
      <c r="M35" s="4">
        <f>INPUT!G1</f>
        <v>2021</v>
      </c>
      <c r="N35" s="319"/>
      <c r="O35" s="319"/>
      <c r="P35" s="319"/>
      <c r="Q35" s="319"/>
    </row>
    <row r="36" spans="1:17">
      <c r="A36" s="2" t="s">
        <v>501</v>
      </c>
      <c r="B36" s="185">
        <f>SUM(B7:B8)</f>
        <v>17683.438016528926</v>
      </c>
      <c r="C36" s="185">
        <f t="shared" ref="B36:D46" si="5">SUM(C7:C8)</f>
        <v>10139.900826446281</v>
      </c>
      <c r="D36" s="185">
        <f t="shared" si="5"/>
        <v>20164</v>
      </c>
      <c r="E36" s="185">
        <f t="shared" ref="E36:F46" si="6">SUM(E7:E8)</f>
        <v>88671.074380165286</v>
      </c>
      <c r="F36" s="185">
        <f t="shared" si="6"/>
        <v>14807</v>
      </c>
      <c r="G36" s="389"/>
      <c r="H36" s="2" t="s">
        <v>501</v>
      </c>
      <c r="I36" s="185">
        <f t="shared" ref="I36:I46" si="7">IF(B36&gt;200000,1,0)</f>
        <v>0</v>
      </c>
      <c r="J36" s="185">
        <f t="shared" ref="J36:J46" si="8">IF(C36&gt;200000,1,0)</f>
        <v>0</v>
      </c>
      <c r="K36" s="185">
        <f t="shared" ref="K36:K46" si="9">IF(D36&gt;200000,1,0)</f>
        <v>0</v>
      </c>
      <c r="L36" s="185">
        <f t="shared" ref="L36:L46" si="10">IF(E36&gt;200000,1,0)</f>
        <v>0</v>
      </c>
      <c r="M36" s="185">
        <f t="shared" ref="M36:M46" si="11">IF(F36&gt;200000,1,0)</f>
        <v>0</v>
      </c>
      <c r="N36" s="319"/>
      <c r="O36" s="319"/>
      <c r="P36" s="319"/>
      <c r="Q36" s="319"/>
    </row>
    <row r="37" spans="1:17">
      <c r="A37" s="2" t="s">
        <v>502</v>
      </c>
      <c r="B37" s="185">
        <f t="shared" si="5"/>
        <v>12789.024793388427</v>
      </c>
      <c r="C37" s="185">
        <f t="shared" si="5"/>
        <v>12907.239669421484</v>
      </c>
      <c r="D37" s="185">
        <f t="shared" si="5"/>
        <v>68006</v>
      </c>
      <c r="E37" s="185">
        <f t="shared" si="6"/>
        <v>67106.776859504142</v>
      </c>
      <c r="F37" s="185">
        <f t="shared" si="6"/>
        <v>36078</v>
      </c>
      <c r="G37" s="389"/>
      <c r="H37" s="2" t="s">
        <v>502</v>
      </c>
      <c r="I37" s="185">
        <f t="shared" si="7"/>
        <v>0</v>
      </c>
      <c r="J37" s="185">
        <f t="shared" si="8"/>
        <v>0</v>
      </c>
      <c r="K37" s="185">
        <f t="shared" si="9"/>
        <v>0</v>
      </c>
      <c r="L37" s="185">
        <f t="shared" si="10"/>
        <v>0</v>
      </c>
      <c r="M37" s="185">
        <f t="shared" si="11"/>
        <v>0</v>
      </c>
      <c r="N37" s="319"/>
      <c r="O37" s="319"/>
      <c r="P37" s="319"/>
      <c r="Q37" s="319"/>
    </row>
    <row r="38" spans="1:17">
      <c r="A38" s="2" t="s">
        <v>503</v>
      </c>
      <c r="B38" s="185">
        <f t="shared" si="5"/>
        <v>13352.925619834708</v>
      </c>
      <c r="C38" s="185">
        <f t="shared" si="5"/>
        <v>11044.561983471072</v>
      </c>
      <c r="D38" s="185">
        <f t="shared" si="5"/>
        <v>82800</v>
      </c>
      <c r="E38" s="185">
        <f t="shared" si="6"/>
        <v>57195.371900826452</v>
      </c>
      <c r="F38" s="185">
        <f t="shared" si="6"/>
        <v>49146</v>
      </c>
      <c r="G38" s="389"/>
      <c r="H38" s="2" t="s">
        <v>503</v>
      </c>
      <c r="I38" s="185">
        <f t="shared" si="7"/>
        <v>0</v>
      </c>
      <c r="J38" s="185">
        <f t="shared" si="8"/>
        <v>0</v>
      </c>
      <c r="K38" s="185">
        <f t="shared" si="9"/>
        <v>0</v>
      </c>
      <c r="L38" s="185">
        <f t="shared" si="10"/>
        <v>0</v>
      </c>
      <c r="M38" s="185">
        <f t="shared" si="11"/>
        <v>0</v>
      </c>
      <c r="N38" s="319"/>
      <c r="O38" s="319"/>
      <c r="P38" s="319"/>
      <c r="Q38" s="319"/>
    </row>
    <row r="39" spans="1:17">
      <c r="A39" s="2" t="s">
        <v>504</v>
      </c>
      <c r="B39" s="185">
        <f t="shared" si="5"/>
        <v>40218.644628099166</v>
      </c>
      <c r="C39" s="185">
        <f t="shared" si="5"/>
        <v>5967.4710743801661</v>
      </c>
      <c r="D39" s="185">
        <f t="shared" si="5"/>
        <v>87669</v>
      </c>
      <c r="E39" s="185">
        <f t="shared" si="6"/>
        <v>55152.396694214884</v>
      </c>
      <c r="F39" s="185">
        <f t="shared" si="6"/>
        <v>45598</v>
      </c>
      <c r="G39" s="389"/>
      <c r="H39" s="2" t="s">
        <v>504</v>
      </c>
      <c r="I39" s="185">
        <f t="shared" si="7"/>
        <v>0</v>
      </c>
      <c r="J39" s="185">
        <f t="shared" si="8"/>
        <v>0</v>
      </c>
      <c r="K39" s="185">
        <f t="shared" si="9"/>
        <v>0</v>
      </c>
      <c r="L39" s="185">
        <f t="shared" si="10"/>
        <v>0</v>
      </c>
      <c r="M39" s="185">
        <f t="shared" si="11"/>
        <v>0</v>
      </c>
      <c r="N39" s="319"/>
      <c r="O39" s="319"/>
      <c r="P39" s="319"/>
      <c r="Q39" s="319"/>
    </row>
    <row r="40" spans="1:17">
      <c r="A40" s="2" t="s">
        <v>505</v>
      </c>
      <c r="B40" s="185">
        <f t="shared" si="5"/>
        <v>45241.78512396694</v>
      </c>
      <c r="C40" s="185">
        <f t="shared" si="5"/>
        <v>9910.0165289256202</v>
      </c>
      <c r="D40" s="185">
        <f t="shared" si="5"/>
        <v>135761</v>
      </c>
      <c r="E40" s="185">
        <f t="shared" si="6"/>
        <v>42541.487603305781</v>
      </c>
      <c r="F40" s="185">
        <f t="shared" si="6"/>
        <v>39870</v>
      </c>
      <c r="G40" s="389"/>
      <c r="H40" s="2" t="s">
        <v>505</v>
      </c>
      <c r="I40" s="185">
        <f t="shared" si="7"/>
        <v>0</v>
      </c>
      <c r="J40" s="185">
        <f t="shared" si="8"/>
        <v>0</v>
      </c>
      <c r="K40" s="185">
        <f t="shared" si="9"/>
        <v>0</v>
      </c>
      <c r="L40" s="185">
        <f t="shared" si="10"/>
        <v>0</v>
      </c>
      <c r="M40" s="185">
        <f t="shared" si="11"/>
        <v>0</v>
      </c>
      <c r="N40" s="319"/>
      <c r="O40" s="319"/>
      <c r="P40" s="319"/>
      <c r="Q40" s="319"/>
    </row>
    <row r="41" spans="1:17">
      <c r="A41" s="2" t="s">
        <v>506</v>
      </c>
      <c r="B41" s="185">
        <f t="shared" si="5"/>
        <v>36667.834710743802</v>
      </c>
      <c r="C41" s="185">
        <f t="shared" si="5"/>
        <v>11405.752066115703</v>
      </c>
      <c r="D41" s="185">
        <f t="shared" si="5"/>
        <v>187776</v>
      </c>
      <c r="E41" s="185">
        <f t="shared" si="6"/>
        <v>41620.561983471074</v>
      </c>
      <c r="F41" s="185">
        <f t="shared" si="6"/>
        <v>22813</v>
      </c>
      <c r="G41" s="389"/>
      <c r="H41" s="2" t="s">
        <v>506</v>
      </c>
      <c r="I41" s="185">
        <f t="shared" si="7"/>
        <v>0</v>
      </c>
      <c r="J41" s="185">
        <f t="shared" si="8"/>
        <v>0</v>
      </c>
      <c r="K41" s="185">
        <f t="shared" si="9"/>
        <v>0</v>
      </c>
      <c r="L41" s="185">
        <f t="shared" si="10"/>
        <v>0</v>
      </c>
      <c r="M41" s="185">
        <f t="shared" si="11"/>
        <v>0</v>
      </c>
      <c r="N41" s="319"/>
      <c r="O41" s="319"/>
      <c r="P41" s="319"/>
      <c r="Q41" s="319"/>
    </row>
    <row r="42" spans="1:17">
      <c r="A42" s="2" t="s">
        <v>507</v>
      </c>
      <c r="B42" s="185">
        <f t="shared" si="5"/>
        <v>30585.719008264459</v>
      </c>
      <c r="C42" s="185">
        <f t="shared" si="5"/>
        <v>8869.8842975206626</v>
      </c>
      <c r="D42" s="185">
        <f t="shared" si="5"/>
        <v>200849</v>
      </c>
      <c r="E42" s="185">
        <f t="shared" si="6"/>
        <v>39147.57024793388</v>
      </c>
      <c r="F42" s="185">
        <f t="shared" si="6"/>
        <v>16691</v>
      </c>
      <c r="G42" s="389"/>
      <c r="H42" s="2" t="s">
        <v>507</v>
      </c>
      <c r="I42" s="185">
        <f t="shared" si="7"/>
        <v>0</v>
      </c>
      <c r="J42" s="185">
        <f t="shared" si="8"/>
        <v>0</v>
      </c>
      <c r="K42" s="185">
        <f t="shared" si="9"/>
        <v>1</v>
      </c>
      <c r="L42" s="185">
        <f t="shared" si="10"/>
        <v>0</v>
      </c>
      <c r="M42" s="185">
        <f t="shared" si="11"/>
        <v>0</v>
      </c>
      <c r="N42" s="319"/>
      <c r="O42" s="319"/>
      <c r="P42" s="319"/>
      <c r="Q42" s="319"/>
    </row>
    <row r="43" spans="1:17">
      <c r="A43" s="2" t="s">
        <v>508</v>
      </c>
      <c r="B43" s="185">
        <f t="shared" si="5"/>
        <v>9405.6198347107438</v>
      </c>
      <c r="C43" s="185">
        <f t="shared" si="5"/>
        <v>28912.462809917353</v>
      </c>
      <c r="D43" s="185">
        <f t="shared" si="5"/>
        <v>113022</v>
      </c>
      <c r="E43" s="185">
        <f t="shared" si="6"/>
        <v>11825.057851239668</v>
      </c>
      <c r="F43" s="185">
        <f t="shared" si="6"/>
        <v>11584</v>
      </c>
      <c r="G43" s="389"/>
      <c r="H43" s="2" t="s">
        <v>508</v>
      </c>
      <c r="I43" s="185">
        <f t="shared" si="7"/>
        <v>0</v>
      </c>
      <c r="J43" s="185">
        <f t="shared" si="8"/>
        <v>0</v>
      </c>
      <c r="K43" s="185">
        <f t="shared" si="9"/>
        <v>0</v>
      </c>
      <c r="L43" s="185">
        <f t="shared" si="10"/>
        <v>0</v>
      </c>
      <c r="M43" s="185">
        <f t="shared" si="11"/>
        <v>0</v>
      </c>
      <c r="N43" s="319"/>
      <c r="O43" s="319"/>
      <c r="P43" s="319"/>
      <c r="Q43" s="319"/>
    </row>
    <row r="44" spans="1:17">
      <c r="A44" s="2" t="s">
        <v>509</v>
      </c>
      <c r="B44" s="185">
        <f t="shared" si="5"/>
        <v>12283.438016528924</v>
      </c>
      <c r="C44" s="185">
        <f t="shared" si="5"/>
        <v>41450.975206611569</v>
      </c>
      <c r="D44" s="185">
        <f t="shared" si="5"/>
        <v>51715</v>
      </c>
      <c r="E44" s="185">
        <f t="shared" si="6"/>
        <v>7785.7190082644629</v>
      </c>
      <c r="F44" s="185">
        <f t="shared" si="6"/>
        <v>5569</v>
      </c>
      <c r="G44" s="389"/>
      <c r="H44" s="2" t="s">
        <v>509</v>
      </c>
      <c r="I44" s="185">
        <f t="shared" si="7"/>
        <v>0</v>
      </c>
      <c r="J44" s="185">
        <f t="shared" si="8"/>
        <v>0</v>
      </c>
      <c r="K44" s="185">
        <f t="shared" si="9"/>
        <v>0</v>
      </c>
      <c r="L44" s="185">
        <f t="shared" si="10"/>
        <v>0</v>
      </c>
      <c r="M44" s="185">
        <f t="shared" si="11"/>
        <v>0</v>
      </c>
      <c r="N44" s="319"/>
      <c r="O44" s="319"/>
      <c r="P44" s="319"/>
      <c r="Q44" s="319"/>
    </row>
    <row r="45" spans="1:17">
      <c r="A45" s="2" t="s">
        <v>510</v>
      </c>
      <c r="B45" s="185">
        <f t="shared" si="5"/>
        <v>11150.876033057852</v>
      </c>
      <c r="C45" s="185">
        <f t="shared" si="5"/>
        <v>26834.380165289258</v>
      </c>
      <c r="D45" s="185">
        <f t="shared" si="5"/>
        <v>80857</v>
      </c>
      <c r="E45" s="185">
        <f t="shared" si="6"/>
        <v>11929.983471074382</v>
      </c>
      <c r="F45" s="185">
        <f t="shared" si="6"/>
        <v>10005</v>
      </c>
      <c r="G45" s="389"/>
      <c r="H45" s="2" t="s">
        <v>510</v>
      </c>
      <c r="I45" s="185">
        <f t="shared" si="7"/>
        <v>0</v>
      </c>
      <c r="J45" s="185">
        <f t="shared" si="8"/>
        <v>0</v>
      </c>
      <c r="K45" s="185">
        <f t="shared" si="9"/>
        <v>0</v>
      </c>
      <c r="L45" s="185">
        <f t="shared" si="10"/>
        <v>0</v>
      </c>
      <c r="M45" s="185">
        <f t="shared" si="11"/>
        <v>0</v>
      </c>
      <c r="N45" s="319"/>
      <c r="O45" s="319"/>
      <c r="P45" s="319"/>
      <c r="Q45" s="319"/>
    </row>
    <row r="46" spans="1:17" ht="13.5" thickBot="1">
      <c r="A46" s="2" t="s">
        <v>511</v>
      </c>
      <c r="B46" s="185">
        <f t="shared" si="5"/>
        <v>7974.3471074380177</v>
      </c>
      <c r="C46" s="185">
        <f t="shared" si="5"/>
        <v>29446.611570247926</v>
      </c>
      <c r="D46" s="185">
        <f t="shared" si="5"/>
        <v>135087</v>
      </c>
      <c r="E46" s="185">
        <f t="shared" si="6"/>
        <v>15897.520661157025</v>
      </c>
      <c r="F46" s="185">
        <f t="shared" si="6"/>
        <v>16070</v>
      </c>
      <c r="G46" s="389"/>
      <c r="H46" s="374" t="s">
        <v>511</v>
      </c>
      <c r="I46" s="375">
        <f t="shared" si="7"/>
        <v>0</v>
      </c>
      <c r="J46" s="375">
        <f t="shared" si="8"/>
        <v>0</v>
      </c>
      <c r="K46" s="375">
        <f t="shared" si="9"/>
        <v>0</v>
      </c>
      <c r="L46" s="375">
        <f t="shared" si="10"/>
        <v>0</v>
      </c>
      <c r="M46" s="375">
        <f t="shared" si="11"/>
        <v>0</v>
      </c>
      <c r="N46" s="319"/>
      <c r="O46" s="319"/>
      <c r="P46" s="319"/>
      <c r="Q46" s="319"/>
    </row>
    <row r="47" spans="1:17" ht="13.5" thickTop="1">
      <c r="E47" s="312"/>
      <c r="F47" s="312"/>
      <c r="G47" s="312"/>
      <c r="H47" s="109" t="s">
        <v>282</v>
      </c>
      <c r="I47" s="376">
        <f>SUM(I36:I46)</f>
        <v>0</v>
      </c>
      <c r="J47" s="376">
        <f>SUM(J36:J46)</f>
        <v>0</v>
      </c>
      <c r="K47" s="376">
        <f>SUM(K36:K46)</f>
        <v>1</v>
      </c>
      <c r="L47" s="376">
        <f>SUM(L36:L46)</f>
        <v>0</v>
      </c>
      <c r="M47" s="376">
        <f>SUM(M36:M46)</f>
        <v>0</v>
      </c>
      <c r="N47" s="319"/>
      <c r="O47" s="319"/>
      <c r="P47" s="319"/>
      <c r="Q47" s="319"/>
    </row>
    <row r="48" spans="1:17">
      <c r="E48" s="312"/>
      <c r="F48" s="312"/>
      <c r="G48" s="312"/>
    </row>
    <row r="49" spans="1:17">
      <c r="C49" s="312"/>
      <c r="D49" s="312"/>
      <c r="E49" s="312"/>
      <c r="H49" s="552" t="s">
        <v>513</v>
      </c>
      <c r="I49" s="553"/>
      <c r="J49" s="553"/>
      <c r="K49" s="553"/>
      <c r="L49" s="553"/>
      <c r="M49" s="554"/>
      <c r="N49" s="387"/>
      <c r="O49" s="387"/>
      <c r="P49" s="387"/>
      <c r="Q49" s="387"/>
    </row>
    <row r="50" spans="1:17">
      <c r="C50" s="312"/>
      <c r="D50" s="312"/>
      <c r="E50" s="312"/>
      <c r="H50" s="2"/>
      <c r="I50" s="4">
        <f>INPUT!C1</f>
        <v>2017</v>
      </c>
      <c r="J50" s="4">
        <f>INPUT!D1</f>
        <v>2018</v>
      </c>
      <c r="K50" s="4">
        <f>INPUT!E1</f>
        <v>2019</v>
      </c>
      <c r="L50" s="4">
        <f>INPUT!F1</f>
        <v>2020</v>
      </c>
      <c r="M50" s="4">
        <f>INPUT!G1</f>
        <v>2021</v>
      </c>
    </row>
    <row r="51" spans="1:17">
      <c r="C51" s="312"/>
      <c r="D51" s="312"/>
      <c r="E51" s="312"/>
      <c r="H51" s="2" t="s">
        <v>530</v>
      </c>
      <c r="I51" s="185">
        <f>I32+I47</f>
        <v>0</v>
      </c>
      <c r="J51" s="185">
        <f>J32+J47</f>
        <v>0</v>
      </c>
      <c r="K51" s="185">
        <f>K32+K47</f>
        <v>4</v>
      </c>
      <c r="L51" s="185">
        <f>L32+L47</f>
        <v>0</v>
      </c>
      <c r="M51" s="185">
        <f>M32+M47</f>
        <v>0</v>
      </c>
    </row>
    <row r="55" spans="1:17">
      <c r="A55" s="552" t="s">
        <v>500</v>
      </c>
      <c r="B55" s="553"/>
      <c r="C55" s="553"/>
      <c r="D55" s="553"/>
      <c r="E55" s="553"/>
      <c r="F55" s="554"/>
      <c r="G55" s="387"/>
      <c r="H55" s="387"/>
      <c r="I55" s="387"/>
      <c r="J55" s="387"/>
    </row>
    <row r="56" spans="1:17">
      <c r="A56" s="2"/>
      <c r="B56" s="4">
        <f>INPUT!C1</f>
        <v>2017</v>
      </c>
      <c r="C56" s="4">
        <f>INPUT!D1</f>
        <v>2018</v>
      </c>
      <c r="D56" s="4">
        <f>INPUT!E1</f>
        <v>2019</v>
      </c>
      <c r="E56" s="4">
        <f>INPUT!F1</f>
        <v>2020</v>
      </c>
      <c r="F56" s="4">
        <f>INPUT!G1</f>
        <v>2021</v>
      </c>
    </row>
    <row r="57" spans="1:17">
      <c r="A57" s="8" t="s">
        <v>96</v>
      </c>
      <c r="B57" s="46">
        <f t="shared" ref="B57:B68" si="12">IF(I$51=0,0,IF(I$19&gt;B$20,I7*(B$20/I$19),I7))</f>
        <v>0</v>
      </c>
      <c r="C57" s="46">
        <f t="shared" ref="C57:C68" si="13">IF(J$51=0,0,IF(J$19&gt;C$20,J7*(C$20/J$19),J7))</f>
        <v>0</v>
      </c>
      <c r="D57" s="46">
        <f t="shared" ref="D57:D68" si="14">IF(K$51=0,0,IF(K$19&gt;D$20,K7*(D$20/K$19),K7))</f>
        <v>0</v>
      </c>
      <c r="E57" s="46">
        <f t="shared" ref="E57:E68" si="15">IF(L$51=0,0,IF(L$19&gt;E$20,L7*(E$20/L$19),L7))</f>
        <v>0</v>
      </c>
      <c r="F57" s="46">
        <f t="shared" ref="F57:F68" si="16">IF(M$51=0,0,IF(M$19&gt;F$20,M7*(F$20/M$19),M7))</f>
        <v>0</v>
      </c>
    </row>
    <row r="58" spans="1:17">
      <c r="A58" s="8" t="s">
        <v>97</v>
      </c>
      <c r="B58" s="46">
        <f t="shared" si="12"/>
        <v>0</v>
      </c>
      <c r="C58" s="46">
        <f t="shared" si="13"/>
        <v>0</v>
      </c>
      <c r="D58" s="46">
        <f t="shared" si="14"/>
        <v>0</v>
      </c>
      <c r="E58" s="46">
        <f t="shared" si="15"/>
        <v>0</v>
      </c>
      <c r="F58" s="46">
        <f t="shared" si="16"/>
        <v>0</v>
      </c>
    </row>
    <row r="59" spans="1:17">
      <c r="A59" s="8" t="s">
        <v>98</v>
      </c>
      <c r="B59" s="46">
        <f t="shared" si="12"/>
        <v>0</v>
      </c>
      <c r="C59" s="46">
        <f t="shared" si="13"/>
        <v>0</v>
      </c>
      <c r="D59" s="46">
        <f t="shared" si="14"/>
        <v>0</v>
      </c>
      <c r="E59" s="46">
        <f t="shared" si="15"/>
        <v>0</v>
      </c>
      <c r="F59" s="46">
        <f t="shared" si="16"/>
        <v>0</v>
      </c>
    </row>
    <row r="60" spans="1:17">
      <c r="A60" s="8" t="s">
        <v>99</v>
      </c>
      <c r="B60" s="46">
        <f t="shared" si="12"/>
        <v>0</v>
      </c>
      <c r="C60" s="46">
        <f t="shared" si="13"/>
        <v>0</v>
      </c>
      <c r="D60" s="46">
        <f t="shared" si="14"/>
        <v>0</v>
      </c>
      <c r="E60" s="46">
        <f t="shared" si="15"/>
        <v>0</v>
      </c>
      <c r="F60" s="46">
        <f t="shared" si="16"/>
        <v>0</v>
      </c>
    </row>
    <row r="61" spans="1:17">
      <c r="A61" s="8" t="s">
        <v>100</v>
      </c>
      <c r="B61" s="46">
        <f t="shared" si="12"/>
        <v>0</v>
      </c>
      <c r="C61" s="46">
        <f t="shared" si="13"/>
        <v>0</v>
      </c>
      <c r="D61" s="46">
        <f t="shared" si="14"/>
        <v>0</v>
      </c>
      <c r="E61" s="46">
        <f t="shared" si="15"/>
        <v>0</v>
      </c>
      <c r="F61" s="46">
        <f t="shared" si="16"/>
        <v>0</v>
      </c>
    </row>
    <row r="62" spans="1:17">
      <c r="A62" s="8" t="s">
        <v>101</v>
      </c>
      <c r="B62" s="46">
        <f t="shared" si="12"/>
        <v>0</v>
      </c>
      <c r="C62" s="46">
        <f t="shared" si="13"/>
        <v>0</v>
      </c>
      <c r="D62" s="46">
        <f t="shared" si="14"/>
        <v>0</v>
      </c>
      <c r="E62" s="46">
        <f t="shared" si="15"/>
        <v>0</v>
      </c>
      <c r="F62" s="46">
        <f t="shared" si="16"/>
        <v>0</v>
      </c>
    </row>
    <row r="63" spans="1:17">
      <c r="A63" s="8" t="s">
        <v>102</v>
      </c>
      <c r="B63" s="46">
        <f t="shared" si="12"/>
        <v>0</v>
      </c>
      <c r="C63" s="46">
        <f t="shared" si="13"/>
        <v>0</v>
      </c>
      <c r="D63" s="46">
        <f t="shared" si="14"/>
        <v>0</v>
      </c>
      <c r="E63" s="46">
        <f t="shared" si="15"/>
        <v>0</v>
      </c>
      <c r="F63" s="46">
        <f t="shared" si="16"/>
        <v>0</v>
      </c>
    </row>
    <row r="64" spans="1:17">
      <c r="A64" s="8" t="s">
        <v>103</v>
      </c>
      <c r="B64" s="46">
        <f t="shared" si="12"/>
        <v>0</v>
      </c>
      <c r="C64" s="46">
        <f t="shared" si="13"/>
        <v>0</v>
      </c>
      <c r="D64" s="46">
        <f t="shared" si="14"/>
        <v>0</v>
      </c>
      <c r="E64" s="46">
        <f t="shared" si="15"/>
        <v>0</v>
      </c>
      <c r="F64" s="46">
        <f t="shared" si="16"/>
        <v>0</v>
      </c>
    </row>
    <row r="65" spans="1:7">
      <c r="A65" s="8" t="s">
        <v>104</v>
      </c>
      <c r="B65" s="46">
        <f t="shared" si="12"/>
        <v>0</v>
      </c>
      <c r="C65" s="46">
        <f t="shared" si="13"/>
        <v>0</v>
      </c>
      <c r="D65" s="46">
        <f t="shared" si="14"/>
        <v>0</v>
      </c>
      <c r="E65" s="46">
        <f t="shared" si="15"/>
        <v>0</v>
      </c>
      <c r="F65" s="46">
        <f t="shared" si="16"/>
        <v>0</v>
      </c>
    </row>
    <row r="66" spans="1:7">
      <c r="A66" s="8" t="s">
        <v>105</v>
      </c>
      <c r="B66" s="46">
        <f t="shared" si="12"/>
        <v>0</v>
      </c>
      <c r="C66" s="46">
        <f t="shared" si="13"/>
        <v>0</v>
      </c>
      <c r="D66" s="46">
        <f t="shared" si="14"/>
        <v>0</v>
      </c>
      <c r="E66" s="46">
        <f t="shared" si="15"/>
        <v>0</v>
      </c>
      <c r="F66" s="46">
        <f t="shared" si="16"/>
        <v>0</v>
      </c>
    </row>
    <row r="67" spans="1:7">
      <c r="A67" s="8" t="s">
        <v>106</v>
      </c>
      <c r="B67" s="46">
        <f t="shared" si="12"/>
        <v>0</v>
      </c>
      <c r="C67" s="46">
        <f t="shared" si="13"/>
        <v>0</v>
      </c>
      <c r="D67" s="46">
        <f t="shared" si="14"/>
        <v>15988</v>
      </c>
      <c r="E67" s="46">
        <f t="shared" si="15"/>
        <v>0</v>
      </c>
      <c r="F67" s="46">
        <f t="shared" si="16"/>
        <v>0</v>
      </c>
    </row>
    <row r="68" spans="1:7">
      <c r="A68" s="8" t="s">
        <v>107</v>
      </c>
      <c r="B68" s="46">
        <f t="shared" si="12"/>
        <v>0</v>
      </c>
      <c r="C68" s="46">
        <f t="shared" si="13"/>
        <v>0</v>
      </c>
      <c r="D68" s="46">
        <f t="shared" si="14"/>
        <v>25260</v>
      </c>
      <c r="E68" s="46">
        <f t="shared" si="15"/>
        <v>0</v>
      </c>
      <c r="F68" s="46">
        <f t="shared" si="16"/>
        <v>0</v>
      </c>
    </row>
    <row r="69" spans="1:7">
      <c r="A69" s="33" t="s">
        <v>108</v>
      </c>
      <c r="B69" s="378">
        <f>IF(I$51=0,0,B20-SUM(B57:B68))</f>
        <v>0</v>
      </c>
      <c r="C69" s="378">
        <f>IF(J$51=0,0,C20-SUM(C57:C68))</f>
        <v>0</v>
      </c>
      <c r="D69" s="378">
        <f>IF(K$51=0,0,D20-SUM(D57:D68))</f>
        <v>185128</v>
      </c>
      <c r="E69" s="378">
        <f>IF(L$51=0,0,E20-SUM(E57:E68))</f>
        <v>0</v>
      </c>
      <c r="F69" s="378">
        <f>IF(M$51=0,0,F20-SUM(F57:F68))</f>
        <v>0</v>
      </c>
      <c r="G69" s="463" t="s">
        <v>689</v>
      </c>
    </row>
  </sheetData>
  <mergeCells count="8">
    <mergeCell ref="H22:M22"/>
    <mergeCell ref="A22:F22"/>
    <mergeCell ref="A5:F5"/>
    <mergeCell ref="H5:M5"/>
    <mergeCell ref="A55:F55"/>
    <mergeCell ref="H34:M34"/>
    <mergeCell ref="H49:M49"/>
    <mergeCell ref="A34:F34"/>
  </mergeCells>
  <phoneticPr fontId="43" type="noConversion"/>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67"/>
  <sheetViews>
    <sheetView zoomScale="80" zoomScaleNormal="80" workbookViewId="0">
      <pane ySplit="1" topLeftCell="A18" activePane="bottomLeft" state="frozen"/>
      <selection pane="bottomLeft" activeCell="L32" sqref="L32"/>
    </sheetView>
  </sheetViews>
  <sheetFormatPr defaultRowHeight="12.75"/>
  <cols>
    <col min="1" max="1" width="68.85546875" customWidth="1"/>
    <col min="2" max="4" width="9.140625" style="319"/>
  </cols>
  <sheetData>
    <row r="1" spans="1:6" ht="15.75">
      <c r="A1" s="37" t="s">
        <v>156</v>
      </c>
      <c r="B1" s="194">
        <f>INPUT!C1</f>
        <v>2017</v>
      </c>
      <c r="C1" s="194">
        <f>INPUT!D1</f>
        <v>2018</v>
      </c>
      <c r="D1" s="194">
        <f>INPUT!E1</f>
        <v>2019</v>
      </c>
      <c r="E1" s="194">
        <f>INPUT!F1</f>
        <v>2020</v>
      </c>
      <c r="F1" s="194">
        <f>INPUT!G1</f>
        <v>2021</v>
      </c>
    </row>
    <row r="3" spans="1:6" ht="15.75">
      <c r="A3" s="9" t="s">
        <v>157</v>
      </c>
    </row>
    <row r="4" spans="1:6">
      <c r="A4" s="7" t="s">
        <v>158</v>
      </c>
    </row>
    <row r="5" spans="1:6">
      <c r="A5" s="31" t="str">
        <f>INPUT!B47</f>
        <v>Imported Water Nebraska</v>
      </c>
      <c r="B5" s="145">
        <f>+INPUT!C47</f>
        <v>0</v>
      </c>
      <c r="C5" s="145">
        <f>+INPUT!D47</f>
        <v>0</v>
      </c>
      <c r="D5" s="145">
        <f>+INPUT!E47</f>
        <v>0</v>
      </c>
      <c r="E5" s="145">
        <f>+INPUT!F47</f>
        <v>0</v>
      </c>
      <c r="F5" s="145">
        <f>+INPUT!G47</f>
        <v>0</v>
      </c>
    </row>
    <row r="6" spans="1:6">
      <c r="A6" s="31" t="str">
        <f>INPUT!B4</f>
        <v>GW CBCU Colorado</v>
      </c>
      <c r="B6" s="145">
        <f>+INPUT!C4</f>
        <v>16906</v>
      </c>
      <c r="C6" s="145">
        <f>+INPUT!D4</f>
        <v>17365</v>
      </c>
      <c r="D6" s="145">
        <f>+INPUT!E4</f>
        <v>17492</v>
      </c>
      <c r="E6" s="145">
        <f>+INPUT!F4</f>
        <v>17390</v>
      </c>
      <c r="F6" s="145">
        <f>+INPUT!G4</f>
        <v>17951</v>
      </c>
    </row>
    <row r="7" spans="1:6">
      <c r="A7" s="31" t="str">
        <f>INPUT!B5</f>
        <v>GW CBCU Kansas</v>
      </c>
      <c r="B7" s="145">
        <f>+INPUT!C5</f>
        <v>0</v>
      </c>
      <c r="C7" s="145">
        <f>+INPUT!D5</f>
        <v>0</v>
      </c>
      <c r="D7" s="145">
        <f>+INPUT!E5</f>
        <v>0</v>
      </c>
      <c r="E7" s="145">
        <f>+INPUT!F5</f>
        <v>0</v>
      </c>
      <c r="F7" s="145">
        <f>+INPUT!G5</f>
        <v>0</v>
      </c>
    </row>
    <row r="8" spans="1:6" ht="12" customHeight="1">
      <c r="A8" s="31" t="str">
        <f>INPUT!B6</f>
        <v>GW CBCU Nebraska</v>
      </c>
      <c r="B8" s="145">
        <f>+INPUT!C6</f>
        <v>1174</v>
      </c>
      <c r="C8" s="145">
        <f>+INPUT!D6</f>
        <v>1205</v>
      </c>
      <c r="D8" s="145">
        <f>+INPUT!E6</f>
        <v>1229</v>
      </c>
      <c r="E8" s="145">
        <f>+INPUT!F6</f>
        <v>1246</v>
      </c>
      <c r="F8" s="145">
        <f>+INPUT!G6</f>
        <v>1272</v>
      </c>
    </row>
    <row r="9" spans="1:6" ht="12" customHeight="1">
      <c r="A9" s="31" t="s">
        <v>564</v>
      </c>
      <c r="B9" s="145">
        <f>RWS_CWSA!X16</f>
        <v>11330</v>
      </c>
      <c r="C9" s="145">
        <f>RWS_CWSA!X17</f>
        <v>13578</v>
      </c>
      <c r="D9" s="145">
        <f>RWS_CWSA!X18</f>
        <v>8905</v>
      </c>
      <c r="E9" s="145">
        <f>RWS_CWSA!X19</f>
        <v>6218</v>
      </c>
      <c r="F9" s="145">
        <f>RWS_CWSA!X20</f>
        <v>9390</v>
      </c>
    </row>
    <row r="10" spans="1:6">
      <c r="A10" s="4" t="s">
        <v>160</v>
      </c>
      <c r="B10" s="145"/>
      <c r="C10" s="145"/>
      <c r="D10" s="145"/>
      <c r="E10" s="145"/>
      <c r="F10" s="145"/>
    </row>
    <row r="11" spans="1:6">
      <c r="A11" s="34" t="str">
        <f>INPUT!B184</f>
        <v>North Fork Republican River At Colorado-Nebraska State Line</v>
      </c>
      <c r="B11" s="145">
        <f>+INPUT!C184</f>
        <v>26046</v>
      </c>
      <c r="C11" s="145">
        <f>+INPUT!D184</f>
        <v>32580</v>
      </c>
      <c r="D11" s="145">
        <f>+INPUT!E184</f>
        <v>25436</v>
      </c>
      <c r="E11" s="145">
        <f>+INPUT!F184</f>
        <v>22984.165289256216</v>
      </c>
      <c r="F11" s="145">
        <f>+INPUT!G184</f>
        <v>25846</v>
      </c>
    </row>
    <row r="12" spans="1:6">
      <c r="A12" s="34" t="str">
        <f>INPUT!B233</f>
        <v>Haigler Canal Diversions - Colorado</v>
      </c>
      <c r="B12" s="145">
        <f>+INPUT!C233</f>
        <v>0</v>
      </c>
      <c r="C12" s="145">
        <f>+INPUT!D233</f>
        <v>0</v>
      </c>
      <c r="D12" s="145">
        <f>+INPUT!E233</f>
        <v>0</v>
      </c>
      <c r="E12" s="145">
        <f>+INPUT!F233</f>
        <v>0</v>
      </c>
      <c r="F12" s="145">
        <f>+INPUT!G233</f>
        <v>0</v>
      </c>
    </row>
    <row r="13" spans="1:6">
      <c r="A13" s="34" t="str">
        <f>INPUT!B63</f>
        <v>SW Diversions - Irrigation -Non-Federal Canals- Colorado</v>
      </c>
      <c r="B13" s="145">
        <f>+INPUT!C63</f>
        <v>406</v>
      </c>
      <c r="C13" s="145">
        <f>+INPUT!D63</f>
        <v>463</v>
      </c>
      <c r="D13" s="145">
        <f>+INPUT!E63</f>
        <v>217</v>
      </c>
      <c r="E13" s="145">
        <f>+INPUT!F63</f>
        <v>301</v>
      </c>
      <c r="F13" s="145">
        <f>+INPUT!G63</f>
        <v>195</v>
      </c>
    </row>
    <row r="14" spans="1:6">
      <c r="A14" s="49" t="str">
        <f>INPUT!B64</f>
        <v>SW Diversions - Irrigation - Small Pumps - Colorado</v>
      </c>
      <c r="B14" s="153">
        <f>INPUT!C64</f>
        <v>26</v>
      </c>
      <c r="C14" s="153">
        <f>INPUT!D64</f>
        <v>16</v>
      </c>
      <c r="D14" s="153">
        <f>INPUT!E64</f>
        <v>19</v>
      </c>
      <c r="E14" s="153">
        <f>INPUT!F64</f>
        <v>24</v>
      </c>
      <c r="F14" s="153">
        <f>INPUT!G64</f>
        <v>22</v>
      </c>
    </row>
    <row r="15" spans="1:6">
      <c r="A15" s="34" t="str">
        <f>INPUT!B65</f>
        <v>SW Diversions - M&amp;I - Colorado</v>
      </c>
      <c r="B15" s="145">
        <f>+INPUT!C65</f>
        <v>0</v>
      </c>
      <c r="C15" s="145">
        <f>+INPUT!D65</f>
        <v>0</v>
      </c>
      <c r="D15" s="145">
        <f>+INPUT!E65</f>
        <v>0</v>
      </c>
      <c r="E15" s="145">
        <f>+INPUT!F65</f>
        <v>0</v>
      </c>
      <c r="F15" s="145">
        <f>+INPUT!G65</f>
        <v>0</v>
      </c>
    </row>
    <row r="16" spans="1:6">
      <c r="A16" s="34" t="str">
        <f>INPUT!B234</f>
        <v>Haigler Canal Diversions - Nebraska</v>
      </c>
      <c r="B16" s="145">
        <f>+INPUT!C234</f>
        <v>4732</v>
      </c>
      <c r="C16" s="145">
        <f>+INPUT!D234</f>
        <v>3676</v>
      </c>
      <c r="D16" s="145">
        <f>+INPUT!E234</f>
        <v>3963</v>
      </c>
      <c r="E16" s="145">
        <f>+INPUT!F234</f>
        <v>5288</v>
      </c>
      <c r="F16" s="145">
        <f>+INPUT!G234</f>
        <v>5640</v>
      </c>
    </row>
    <row r="17" spans="1:6">
      <c r="A17" s="34" t="str">
        <f>INPUT!B154</f>
        <v>Non-Federal Reservoir Evaporation - Colorado</v>
      </c>
      <c r="B17" s="145">
        <f>+INPUT!C154</f>
        <v>38</v>
      </c>
      <c r="C17" s="145">
        <f>+INPUT!D154</f>
        <v>38</v>
      </c>
      <c r="D17" s="145">
        <f>+INPUT!E154</f>
        <v>40</v>
      </c>
      <c r="E17" s="145">
        <f>+INPUT!F154</f>
        <v>40</v>
      </c>
      <c r="F17" s="145">
        <f>+INPUT!G154</f>
        <v>39</v>
      </c>
    </row>
    <row r="18" spans="1:6">
      <c r="A18" s="136" t="str">
        <f>+FLOOD!A57</f>
        <v>North Fork Flood Flow</v>
      </c>
      <c r="B18" s="145">
        <f>+FLOOD!B57</f>
        <v>0</v>
      </c>
      <c r="C18" s="145">
        <f>+FLOOD!C57</f>
        <v>0</v>
      </c>
      <c r="D18" s="145">
        <f>+FLOOD!D57</f>
        <v>0</v>
      </c>
      <c r="E18" s="145">
        <f>+FLOOD!E57</f>
        <v>0</v>
      </c>
      <c r="F18" s="145">
        <f>+FLOOD!F57</f>
        <v>0</v>
      </c>
    </row>
    <row r="19" spans="1:6">
      <c r="A19" s="5" t="s">
        <v>66</v>
      </c>
      <c r="B19" s="145"/>
      <c r="C19" s="145"/>
      <c r="D19" s="145"/>
      <c r="E19" s="145"/>
      <c r="F19" s="145"/>
    </row>
    <row r="20" spans="1:6" ht="15.75">
      <c r="A20" s="9" t="s">
        <v>241</v>
      </c>
      <c r="B20" s="145"/>
      <c r="C20" s="145"/>
      <c r="D20" s="145"/>
      <c r="E20" s="145"/>
      <c r="F20" s="145"/>
    </row>
    <row r="21" spans="1:6">
      <c r="A21" s="7" t="s">
        <v>0</v>
      </c>
      <c r="B21" s="145"/>
      <c r="C21" s="145"/>
      <c r="D21" s="145"/>
      <c r="E21" s="145"/>
      <c r="F21" s="145"/>
    </row>
    <row r="22" spans="1:6">
      <c r="A22" s="43" t="str">
        <f>(LEFT(INPUT!B233,13)) &amp; " "&amp;"CBCU"</f>
        <v>Haigler Canal CBCU</v>
      </c>
      <c r="B22" s="145">
        <f>B12*CanalCUPercent3</f>
        <v>0</v>
      </c>
      <c r="C22" s="145">
        <f>C12*CanalCUPercent4</f>
        <v>0</v>
      </c>
      <c r="D22" s="145">
        <f>D12*CanalCUPercent5</f>
        <v>0</v>
      </c>
      <c r="E22" s="145">
        <f>E12*CanalCUPercent5</f>
        <v>0</v>
      </c>
      <c r="F22" s="145">
        <f>F12*CanalCUPercent5</f>
        <v>0</v>
      </c>
    </row>
    <row r="23" spans="1:6">
      <c r="A23" s="2" t="s">
        <v>230</v>
      </c>
      <c r="B23" s="145">
        <f>B13* CanalCUPercent3</f>
        <v>243.6</v>
      </c>
      <c r="C23" s="145">
        <f>C13* CanalCUPercent4</f>
        <v>277.8</v>
      </c>
      <c r="D23" s="145">
        <f>D13* CanalCUPercent5</f>
        <v>130.19999999999999</v>
      </c>
      <c r="E23" s="145">
        <f>E13* CanalCUPercent5</f>
        <v>180.6</v>
      </c>
      <c r="F23" s="145">
        <f>F13* CanalCUPercent5</f>
        <v>117</v>
      </c>
    </row>
    <row r="24" spans="1:6">
      <c r="A24" s="2" t="s">
        <v>231</v>
      </c>
      <c r="B24" s="145">
        <f>B14* PumperCUPercent3</f>
        <v>19.5</v>
      </c>
      <c r="C24" s="145">
        <f>C14* PumperCUPercent4</f>
        <v>12</v>
      </c>
      <c r="D24" s="145">
        <f>D14* PumperCUPercent5</f>
        <v>14.25</v>
      </c>
      <c r="E24" s="145">
        <f>E14* PumperCUPercent5</f>
        <v>18</v>
      </c>
      <c r="F24" s="145">
        <f>F14* PumperCUPercent5</f>
        <v>16.5</v>
      </c>
    </row>
    <row r="25" spans="1:6">
      <c r="A25" s="2" t="s">
        <v>232</v>
      </c>
      <c r="B25" s="145">
        <f>B15* MI_CUPercent3</f>
        <v>0</v>
      </c>
      <c r="C25" s="145">
        <f>C15* MI_CUPercent4</f>
        <v>0</v>
      </c>
      <c r="D25" s="145">
        <f>D15* MI_CUPercent5</f>
        <v>0</v>
      </c>
      <c r="E25" s="145">
        <f>E15* MI_CUPercent5</f>
        <v>0</v>
      </c>
      <c r="F25" s="145">
        <f>F15* MI_CUPercent5</f>
        <v>0</v>
      </c>
    </row>
    <row r="26" spans="1:6">
      <c r="A26" s="8" t="s">
        <v>424</v>
      </c>
      <c r="B26" s="145">
        <f>+B17</f>
        <v>38</v>
      </c>
      <c r="C26" s="145">
        <f>+C17</f>
        <v>38</v>
      </c>
      <c r="D26" s="145">
        <f>+D17</f>
        <v>40</v>
      </c>
      <c r="E26" s="145">
        <f>+E17</f>
        <v>40</v>
      </c>
      <c r="F26" s="145">
        <f>+F17</f>
        <v>39</v>
      </c>
    </row>
    <row r="27" spans="1:6">
      <c r="A27" s="2" t="s">
        <v>218</v>
      </c>
      <c r="B27" s="151">
        <f>B22+B23+B24+B25+B26</f>
        <v>301.10000000000002</v>
      </c>
      <c r="C27" s="151">
        <f>C22+C23+C24+C25+C26</f>
        <v>327.8</v>
      </c>
      <c r="D27" s="151">
        <f>D22+D23+D24+D25+D26</f>
        <v>184.45</v>
      </c>
      <c r="E27" s="151">
        <f>E22+E23+E24+E25+E26</f>
        <v>238.6</v>
      </c>
      <c r="F27" s="151">
        <f>F22+F23+F24+F25+F26</f>
        <v>172.5</v>
      </c>
    </row>
    <row r="28" spans="1:6">
      <c r="A28" s="2" t="s">
        <v>219</v>
      </c>
      <c r="B28" s="151">
        <f>B6</f>
        <v>16906</v>
      </c>
      <c r="C28" s="151">
        <f>C6</f>
        <v>17365</v>
      </c>
      <c r="D28" s="151">
        <f>D6</f>
        <v>17492</v>
      </c>
      <c r="E28" s="151">
        <f>E6</f>
        <v>17390</v>
      </c>
      <c r="F28" s="151">
        <f>F6</f>
        <v>17951</v>
      </c>
    </row>
    <row r="29" spans="1:6">
      <c r="A29" s="2" t="s">
        <v>234</v>
      </c>
      <c r="B29" s="145">
        <f>(ROUND(SUM(B27:B28),-1))</f>
        <v>17210</v>
      </c>
      <c r="C29" s="145">
        <f>(ROUND(SUM(C27:C28),-1))</f>
        <v>17690</v>
      </c>
      <c r="D29" s="145">
        <f>(ROUND(SUM(D27:D28),-1))</f>
        <v>17680</v>
      </c>
      <c r="E29" s="145">
        <f>(ROUND(SUM(E27:E28),-1))</f>
        <v>17630</v>
      </c>
      <c r="F29" s="145">
        <f>(ROUND(SUM(F27:F28),-1))</f>
        <v>18120</v>
      </c>
    </row>
    <row r="30" spans="1:6">
      <c r="A30" s="2" t="s">
        <v>66</v>
      </c>
      <c r="B30" s="145"/>
      <c r="C30" s="145"/>
      <c r="D30" s="145"/>
      <c r="E30" s="145"/>
      <c r="F30" s="145"/>
    </row>
    <row r="31" spans="1:6">
      <c r="A31" s="7" t="s">
        <v>161</v>
      </c>
      <c r="B31" s="145"/>
      <c r="C31" s="145"/>
      <c r="D31" s="145"/>
      <c r="E31" s="145"/>
      <c r="F31" s="145"/>
    </row>
    <row r="32" spans="1:6">
      <c r="A32" s="2" t="str">
        <f>A28</f>
        <v>GW CBCU</v>
      </c>
      <c r="B32" s="151">
        <f>B7</f>
        <v>0</v>
      </c>
      <c r="C32" s="151">
        <f>C7</f>
        <v>0</v>
      </c>
      <c r="D32" s="151">
        <f>D7</f>
        <v>0</v>
      </c>
      <c r="E32" s="151">
        <f>E7</f>
        <v>0</v>
      </c>
      <c r="F32" s="151">
        <f>F7</f>
        <v>0</v>
      </c>
    </row>
    <row r="33" spans="1:6">
      <c r="A33" s="2" t="str">
        <f>A29</f>
        <v>Total CBCU</v>
      </c>
      <c r="B33" s="145">
        <f>(ROUND(SUM(B32:B32),-1))</f>
        <v>0</v>
      </c>
      <c r="C33" s="145">
        <f>(ROUND(SUM(C32:C32),-1))</f>
        <v>0</v>
      </c>
      <c r="D33" s="145">
        <f>(ROUND(SUM(D32:D32),-1))</f>
        <v>0</v>
      </c>
      <c r="E33" s="145">
        <f>(ROUND(SUM(E32:E32),-1))</f>
        <v>0</v>
      </c>
      <c r="F33" s="145">
        <f>(ROUND(SUM(F32:F32),-1))</f>
        <v>0</v>
      </c>
    </row>
    <row r="34" spans="1:6">
      <c r="A34" s="2" t="s">
        <v>66</v>
      </c>
      <c r="B34" s="145"/>
      <c r="C34" s="145"/>
      <c r="D34" s="145"/>
      <c r="E34" s="145"/>
      <c r="F34" s="145"/>
    </row>
    <row r="35" spans="1:6">
      <c r="A35" s="7" t="s">
        <v>1</v>
      </c>
      <c r="B35" s="145"/>
      <c r="C35" s="145"/>
      <c r="D35" s="145"/>
      <c r="E35" s="145"/>
      <c r="F35" s="145"/>
    </row>
    <row r="36" spans="1:6">
      <c r="A36" s="11" t="str">
        <f>A22</f>
        <v>Haigler Canal CBCU</v>
      </c>
      <c r="B36" s="145">
        <f>+B16*CanalCUPercent3</f>
        <v>2839.2</v>
      </c>
      <c r="C36" s="145">
        <f>+C16*CanalCUPercent4</f>
        <v>2205.6</v>
      </c>
      <c r="D36" s="145">
        <f>+D16*CanalCUPercent5</f>
        <v>2377.7999999999997</v>
      </c>
      <c r="E36" s="145">
        <f>+E16*CanalCUPercent5</f>
        <v>3172.7999999999997</v>
      </c>
      <c r="F36" s="145">
        <f>+F16*CanalCUPercent5</f>
        <v>3384</v>
      </c>
    </row>
    <row r="37" spans="1:6" ht="13.5" customHeight="1">
      <c r="A37" s="2" t="str">
        <f>A27</f>
        <v>SW CBCU</v>
      </c>
      <c r="B37" s="151">
        <f>B36</f>
        <v>2839.2</v>
      </c>
      <c r="C37" s="151">
        <f>C36</f>
        <v>2205.6</v>
      </c>
      <c r="D37" s="151">
        <f>D36</f>
        <v>2377.7999999999997</v>
      </c>
      <c r="E37" s="151">
        <f>E36</f>
        <v>3172.7999999999997</v>
      </c>
      <c r="F37" s="151">
        <f>F36</f>
        <v>3384</v>
      </c>
    </row>
    <row r="38" spans="1:6">
      <c r="A38" s="2" t="str">
        <f>A28</f>
        <v>GW CBCU</v>
      </c>
      <c r="B38" s="151">
        <f>B8</f>
        <v>1174</v>
      </c>
      <c r="C38" s="151">
        <f>C8</f>
        <v>1205</v>
      </c>
      <c r="D38" s="151">
        <f>D8</f>
        <v>1229</v>
      </c>
      <c r="E38" s="151">
        <f>E8</f>
        <v>1246</v>
      </c>
      <c r="F38" s="151">
        <f>F8</f>
        <v>1272</v>
      </c>
    </row>
    <row r="39" spans="1:6">
      <c r="A39" s="2" t="str">
        <f>A29</f>
        <v>Total CBCU</v>
      </c>
      <c r="B39" s="145">
        <f>(ROUND(SUM(B37:B38),-1))</f>
        <v>4010</v>
      </c>
      <c r="C39" s="145">
        <f>(ROUND(SUM(C37:C38),-1))</f>
        <v>3410</v>
      </c>
      <c r="D39" s="145">
        <f>(ROUND(SUM(D37:D38),-1))</f>
        <v>3610</v>
      </c>
      <c r="E39" s="145">
        <f>(ROUND(SUM(E37:E38),-1))</f>
        <v>4420</v>
      </c>
      <c r="F39" s="145">
        <f>(ROUND(SUM(F37:F38),-1))</f>
        <v>4660</v>
      </c>
    </row>
    <row r="40" spans="1:6">
      <c r="A40" s="8" t="s">
        <v>66</v>
      </c>
      <c r="B40" s="145"/>
      <c r="C40" s="145"/>
      <c r="D40" s="145"/>
      <c r="E40" s="145"/>
      <c r="F40" s="145"/>
    </row>
    <row r="41" spans="1:6">
      <c r="A41" s="4" t="s">
        <v>162</v>
      </c>
      <c r="B41" s="145"/>
      <c r="C41" s="145"/>
      <c r="D41" s="145"/>
      <c r="E41" s="145"/>
      <c r="F41" s="145"/>
    </row>
    <row r="42" spans="1:6">
      <c r="A42" s="8" t="s">
        <v>220</v>
      </c>
      <c r="B42" s="145">
        <f>+B27+B37</f>
        <v>3140.2999999999997</v>
      </c>
      <c r="C42" s="145">
        <f>+C27+C37</f>
        <v>2533.4</v>
      </c>
      <c r="D42" s="145">
        <f>+D27+D37</f>
        <v>2562.2499999999995</v>
      </c>
      <c r="E42" s="145">
        <f>+E27+E37</f>
        <v>3411.3999999999996</v>
      </c>
      <c r="F42" s="145">
        <f>+F27+F37</f>
        <v>3556.5</v>
      </c>
    </row>
    <row r="43" spans="1:6">
      <c r="A43" s="8" t="s">
        <v>221</v>
      </c>
      <c r="B43" s="145">
        <f>+B28+B32+B38</f>
        <v>18080</v>
      </c>
      <c r="C43" s="145">
        <f>+C28+C32+C38</f>
        <v>18570</v>
      </c>
      <c r="D43" s="145">
        <f>+D28+D32+D38</f>
        <v>18721</v>
      </c>
      <c r="E43" s="145">
        <f>+E28+E32+E38</f>
        <v>18636</v>
      </c>
      <c r="F43" s="145">
        <f>+F28+F32+F38</f>
        <v>19223</v>
      </c>
    </row>
    <row r="44" spans="1:6">
      <c r="A44" s="8" t="s">
        <v>222</v>
      </c>
      <c r="B44" s="145">
        <f>SUM(B42:B43)</f>
        <v>21220.3</v>
      </c>
      <c r="C44" s="145">
        <f>SUM(C42:C43)</f>
        <v>21103.4</v>
      </c>
      <c r="D44" s="145">
        <f>SUM(D42:D43)</f>
        <v>21283.25</v>
      </c>
      <c r="E44" s="145">
        <f>SUM(E42:E43)</f>
        <v>22047.4</v>
      </c>
      <c r="F44" s="145">
        <f>SUM(F42:F43)</f>
        <v>22779.5</v>
      </c>
    </row>
    <row r="45" spans="1:6">
      <c r="A45" s="8" t="s">
        <v>66</v>
      </c>
      <c r="B45" s="145"/>
      <c r="C45" s="145"/>
      <c r="D45" s="145"/>
      <c r="E45" s="145"/>
      <c r="F45" s="145"/>
    </row>
    <row r="46" spans="1:6" ht="15.75">
      <c r="A46" s="10" t="s">
        <v>10</v>
      </c>
      <c r="B46" s="145"/>
      <c r="C46" s="145"/>
      <c r="D46" s="145"/>
      <c r="E46" s="145"/>
      <c r="F46" s="145"/>
    </row>
    <row r="47" spans="1:6">
      <c r="A47" s="2" t="str">
        <f t="shared" ref="A47:F47" si="0">A11</f>
        <v>North Fork Republican River At Colorado-Nebraska State Line</v>
      </c>
      <c r="B47" s="145">
        <f t="shared" si="0"/>
        <v>26046</v>
      </c>
      <c r="C47" s="145">
        <f t="shared" si="0"/>
        <v>32580</v>
      </c>
      <c r="D47" s="145">
        <f t="shared" si="0"/>
        <v>25436</v>
      </c>
      <c r="E47" s="145">
        <f t="shared" si="0"/>
        <v>22984.165289256216</v>
      </c>
      <c r="F47" s="145">
        <f t="shared" si="0"/>
        <v>25846</v>
      </c>
    </row>
    <row r="48" spans="1:6">
      <c r="A48" s="2" t="s">
        <v>164</v>
      </c>
      <c r="B48" s="145">
        <f>B16-B36</f>
        <v>1892.8000000000002</v>
      </c>
      <c r="C48" s="145">
        <f>C16-C36</f>
        <v>1470.4</v>
      </c>
      <c r="D48" s="145">
        <f>D16-D36</f>
        <v>1585.2000000000003</v>
      </c>
      <c r="E48" s="145">
        <f>E16-E36</f>
        <v>2115.2000000000003</v>
      </c>
      <c r="F48" s="145">
        <f>F16-F36</f>
        <v>2256</v>
      </c>
    </row>
    <row r="49" spans="1:6">
      <c r="A49" s="2" t="s">
        <v>223</v>
      </c>
      <c r="B49" s="145">
        <f>+B29</f>
        <v>17210</v>
      </c>
      <c r="C49" s="145">
        <f>+C29</f>
        <v>17690</v>
      </c>
      <c r="D49" s="145">
        <f>+D29</f>
        <v>17680</v>
      </c>
      <c r="E49" s="145">
        <f>+E29</f>
        <v>17630</v>
      </c>
      <c r="F49" s="145">
        <f>+F29</f>
        <v>18120</v>
      </c>
    </row>
    <row r="50" spans="1:6">
      <c r="A50" s="2" t="s">
        <v>224</v>
      </c>
      <c r="B50" s="145">
        <f>+B33</f>
        <v>0</v>
      </c>
      <c r="C50" s="145">
        <f>+C33</f>
        <v>0</v>
      </c>
      <c r="D50" s="145">
        <f>+D33</f>
        <v>0</v>
      </c>
      <c r="E50" s="145">
        <f>+E33</f>
        <v>0</v>
      </c>
      <c r="F50" s="145">
        <f>+F33</f>
        <v>0</v>
      </c>
    </row>
    <row r="51" spans="1:6">
      <c r="A51" s="2" t="s">
        <v>225</v>
      </c>
      <c r="B51" s="145">
        <f>+B39</f>
        <v>4010</v>
      </c>
      <c r="C51" s="145">
        <f>+C39</f>
        <v>3410</v>
      </c>
      <c r="D51" s="145">
        <f>+D39</f>
        <v>3610</v>
      </c>
      <c r="E51" s="145">
        <f>+E39</f>
        <v>4420</v>
      </c>
      <c r="F51" s="145">
        <f>+F39</f>
        <v>4660</v>
      </c>
    </row>
    <row r="52" spans="1:6">
      <c r="A52" s="2" t="s">
        <v>163</v>
      </c>
      <c r="B52" s="151">
        <f>+B5</f>
        <v>0</v>
      </c>
      <c r="C52" s="151">
        <f>+C5</f>
        <v>0</v>
      </c>
      <c r="D52" s="151">
        <f>+D5</f>
        <v>0</v>
      </c>
      <c r="E52" s="151">
        <f>+E5</f>
        <v>0</v>
      </c>
      <c r="F52" s="151">
        <f>+F5</f>
        <v>0</v>
      </c>
    </row>
    <row r="53" spans="1:6">
      <c r="A53" s="48" t="s">
        <v>564</v>
      </c>
      <c r="B53" s="151">
        <f>B9</f>
        <v>11330</v>
      </c>
      <c r="C53" s="151">
        <f>C9</f>
        <v>13578</v>
      </c>
      <c r="D53" s="151">
        <f>D9</f>
        <v>8905</v>
      </c>
      <c r="E53" s="151">
        <f>E9</f>
        <v>6218</v>
      </c>
      <c r="F53" s="151">
        <f>F9</f>
        <v>9390</v>
      </c>
    </row>
    <row r="54" spans="1:6">
      <c r="A54" s="8" t="s">
        <v>10</v>
      </c>
      <c r="B54" s="145">
        <f>ROUND(SUM(B47:B51)-B52-B53,-1)</f>
        <v>37830</v>
      </c>
      <c r="C54" s="145">
        <f>ROUND(SUM(C47:C51)-C52-C53,-1)</f>
        <v>41570</v>
      </c>
      <c r="D54" s="145">
        <f>ROUND(SUM(D47:D51)-D52-D53,-1)</f>
        <v>39410</v>
      </c>
      <c r="E54" s="145">
        <f>ROUND(SUM(E47:E51)-E52-E53,-1)</f>
        <v>40930</v>
      </c>
      <c r="F54" s="145">
        <f>ROUND(SUM(F47:F51)-F52-F53,-1)</f>
        <v>41490</v>
      </c>
    </row>
    <row r="55" spans="1:6">
      <c r="A55" s="2" t="s">
        <v>165</v>
      </c>
      <c r="B55" s="145">
        <f>B18</f>
        <v>0</v>
      </c>
      <c r="C55" s="145">
        <f>C18</f>
        <v>0</v>
      </c>
      <c r="D55" s="145">
        <f>D18</f>
        <v>0</v>
      </c>
      <c r="E55" s="145">
        <f>E18</f>
        <v>0</v>
      </c>
      <c r="F55" s="145">
        <f>F18</f>
        <v>0</v>
      </c>
    </row>
    <row r="56" spans="1:6">
      <c r="A56" s="2" t="s">
        <v>11</v>
      </c>
      <c r="B56" s="145">
        <f>ROUND(+B54-B55,-1)</f>
        <v>37830</v>
      </c>
      <c r="C56" s="145">
        <f>ROUND(+C54-C55,-1)</f>
        <v>41570</v>
      </c>
      <c r="D56" s="145">
        <f>ROUND(+D54-D55,-1)</f>
        <v>39410</v>
      </c>
      <c r="E56" s="145">
        <f>ROUND(+E54-E55,-1)</f>
        <v>40930</v>
      </c>
      <c r="F56" s="145">
        <f>ROUND(+F54-F55,-1)</f>
        <v>41490</v>
      </c>
    </row>
    <row r="57" spans="1:6">
      <c r="A57" s="8" t="s">
        <v>66</v>
      </c>
      <c r="B57" s="145"/>
      <c r="C57" s="145"/>
      <c r="D57" s="145"/>
      <c r="E57" s="145"/>
      <c r="F57" s="145"/>
    </row>
    <row r="58" spans="1:6" ht="15.75">
      <c r="A58" s="10" t="s">
        <v>12</v>
      </c>
      <c r="B58" s="154"/>
      <c r="C58" s="154"/>
      <c r="D58" s="154"/>
      <c r="E58" s="154"/>
      <c r="F58" s="154"/>
    </row>
    <row r="59" spans="1:6">
      <c r="A59" s="2" t="s">
        <v>166</v>
      </c>
      <c r="B59" s="117">
        <f>'T2'!$D3</f>
        <v>0.224</v>
      </c>
      <c r="C59" s="117">
        <f>'T2'!$D3</f>
        <v>0.224</v>
      </c>
      <c r="D59" s="117">
        <f>'T2'!$D3</f>
        <v>0.224</v>
      </c>
      <c r="E59" s="117">
        <f>'T2'!$D3</f>
        <v>0.224</v>
      </c>
      <c r="F59" s="117">
        <f>'T2'!$D3</f>
        <v>0.224</v>
      </c>
    </row>
    <row r="60" spans="1:6">
      <c r="A60" s="2" t="s">
        <v>27</v>
      </c>
      <c r="B60" s="145">
        <f>ROUND(+B56*B59,-1)</f>
        <v>8470</v>
      </c>
      <c r="C60" s="145">
        <f>ROUND(+C56*C59,-1)</f>
        <v>9310</v>
      </c>
      <c r="D60" s="145">
        <f>ROUND(+D56*D59,-1)</f>
        <v>8830</v>
      </c>
      <c r="E60" s="145">
        <f>ROUND(+E56*E59,-1)</f>
        <v>9170</v>
      </c>
      <c r="F60" s="145">
        <f>ROUND(+F56*F59,-1)</f>
        <v>9290</v>
      </c>
    </row>
    <row r="61" spans="1:6">
      <c r="A61" s="2" t="s">
        <v>167</v>
      </c>
      <c r="B61" s="117">
        <f>'T2'!$F3</f>
        <v>0</v>
      </c>
      <c r="C61" s="117">
        <f>'T2'!$F3</f>
        <v>0</v>
      </c>
      <c r="D61" s="117">
        <f>'T2'!$F3</f>
        <v>0</v>
      </c>
      <c r="E61" s="117">
        <f>'T2'!$F3</f>
        <v>0</v>
      </c>
      <c r="F61" s="117">
        <f>'T2'!$F3</f>
        <v>0</v>
      </c>
    </row>
    <row r="62" spans="1:6">
      <c r="A62" s="2" t="s">
        <v>29</v>
      </c>
      <c r="B62" s="145">
        <f>ROUND(B56*B61,-1)</f>
        <v>0</v>
      </c>
      <c r="C62" s="145">
        <f>ROUND(C56*C61,-1)</f>
        <v>0</v>
      </c>
      <c r="D62" s="145">
        <f>ROUND(D56*D61,-1)</f>
        <v>0</v>
      </c>
      <c r="E62" s="145">
        <f>ROUND(E56*E61,-1)</f>
        <v>0</v>
      </c>
      <c r="F62" s="145">
        <f>ROUND(F56*F61,-1)</f>
        <v>0</v>
      </c>
    </row>
    <row r="63" spans="1:6">
      <c r="A63" s="2" t="s">
        <v>168</v>
      </c>
      <c r="B63" s="117">
        <f>'T2'!$H3</f>
        <v>0.246</v>
      </c>
      <c r="C63" s="117">
        <f>'T2'!$H3</f>
        <v>0.246</v>
      </c>
      <c r="D63" s="117">
        <f>'T2'!$H3</f>
        <v>0.246</v>
      </c>
      <c r="E63" s="117">
        <f>'T2'!$H3</f>
        <v>0.246</v>
      </c>
      <c r="F63" s="117">
        <f>'T2'!$H3</f>
        <v>0.246</v>
      </c>
    </row>
    <row r="64" spans="1:6">
      <c r="A64" s="2" t="s">
        <v>30</v>
      </c>
      <c r="B64" s="145">
        <f>ROUND(B56*B63,-1)</f>
        <v>9310</v>
      </c>
      <c r="C64" s="145">
        <f>ROUND(C56*C63,-1)</f>
        <v>10230</v>
      </c>
      <c r="D64" s="145">
        <f>ROUND(D56*D63,-1)</f>
        <v>9690</v>
      </c>
      <c r="E64" s="145">
        <f>ROUND(E56*E63,-1)</f>
        <v>10070</v>
      </c>
      <c r="F64" s="145">
        <f>ROUND(F56*F63,-1)</f>
        <v>10210</v>
      </c>
    </row>
    <row r="65" spans="1:6">
      <c r="A65" s="2" t="s">
        <v>169</v>
      </c>
      <c r="B65" s="145">
        <f>+B60+B62+B64</f>
        <v>17780</v>
      </c>
      <c r="C65" s="145">
        <f>+C60+C62+C64</f>
        <v>19540</v>
      </c>
      <c r="D65" s="145">
        <f>+D60+D62+D64</f>
        <v>18520</v>
      </c>
      <c r="E65" s="145">
        <f>+E60+E62+E64</f>
        <v>19240</v>
      </c>
      <c r="F65" s="145">
        <f>+F60+F62+F64</f>
        <v>19500</v>
      </c>
    </row>
    <row r="66" spans="1:6">
      <c r="A66" s="2" t="s">
        <v>170</v>
      </c>
      <c r="B66" s="117">
        <f>'T2'!$J3</f>
        <v>0.53</v>
      </c>
      <c r="C66" s="117">
        <f>'T2'!$J3</f>
        <v>0.53</v>
      </c>
      <c r="D66" s="117">
        <f>'T2'!$J3</f>
        <v>0.53</v>
      </c>
      <c r="E66" s="117">
        <f>'T2'!$J3</f>
        <v>0.53</v>
      </c>
      <c r="F66" s="117">
        <f>'T2'!$J3</f>
        <v>0.53</v>
      </c>
    </row>
    <row r="67" spans="1:6">
      <c r="A67" s="2" t="s">
        <v>171</v>
      </c>
      <c r="B67" s="145">
        <f>+B56-B60-B62-B64</f>
        <v>20050</v>
      </c>
      <c r="C67" s="145">
        <f>+C56-C60-C62-C64</f>
        <v>22030</v>
      </c>
      <c r="D67" s="145">
        <f>+D56-D60-D62-D64</f>
        <v>20890</v>
      </c>
      <c r="E67" s="145">
        <f>+E56-E60-E62-E64</f>
        <v>21690</v>
      </c>
      <c r="F67" s="145">
        <f>+F56-F60-F62-F64</f>
        <v>21990</v>
      </c>
    </row>
  </sheetData>
  <phoneticPr fontId="0" type="noConversion"/>
  <printOptions headings="1"/>
  <pageMargins left="0.75" right="0.75" top="0.75" bottom="0.5" header="0.25" footer="0.5"/>
  <pageSetup paperSize="3" fitToHeight="2" orientation="portrait" r:id="rId1"/>
  <headerFooter alignWithMargins="0">
    <oddHeader>&amp;LRRCA
Compact Accounting&amp;C&amp;A SUB-BASIN&amp;RPage &amp;P of &amp;N</oddHeader>
  </headerFooter>
  <rowBreaks count="1" manualBreakCount="1">
    <brk id="44" max="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78"/>
  <sheetViews>
    <sheetView workbookViewId="0">
      <pane ySplit="1" topLeftCell="A35" activePane="bottomLeft" state="frozen"/>
      <selection pane="bottomLeft" activeCell="I1" sqref="I1:I1048576"/>
    </sheetView>
  </sheetViews>
  <sheetFormatPr defaultRowHeight="12.75"/>
  <cols>
    <col min="1" max="1" width="69.42578125" customWidth="1"/>
  </cols>
  <sheetData>
    <row r="1" spans="1:6" ht="15.75">
      <c r="A1" s="37" t="s">
        <v>199</v>
      </c>
      <c r="B1" s="194">
        <f>INPUT!C1</f>
        <v>2017</v>
      </c>
      <c r="C1" s="194">
        <f>INPUT!D1</f>
        <v>2018</v>
      </c>
      <c r="D1" s="194">
        <f>INPUT!E1</f>
        <v>2019</v>
      </c>
      <c r="E1" s="194">
        <f>INPUT!F1</f>
        <v>2020</v>
      </c>
      <c r="F1" s="194">
        <f>INPUT!G1</f>
        <v>2021</v>
      </c>
    </row>
    <row r="2" spans="1:6">
      <c r="A2" t="s">
        <v>66</v>
      </c>
      <c r="E2" s="312"/>
      <c r="F2" s="312"/>
    </row>
    <row r="3" spans="1:6" ht="15.75">
      <c r="A3" s="9" t="s">
        <v>157</v>
      </c>
      <c r="E3" s="312"/>
      <c r="F3" s="312"/>
    </row>
    <row r="4" spans="1:6">
      <c r="A4" s="7" t="s">
        <v>158</v>
      </c>
      <c r="E4" s="312"/>
      <c r="F4" s="312"/>
    </row>
    <row r="5" spans="1:6">
      <c r="A5" s="31" t="str">
        <f>INPUT!B48</f>
        <v>Imported Water Nebraska</v>
      </c>
      <c r="B5" s="145">
        <f>+INPUT!C48</f>
        <v>0</v>
      </c>
      <c r="C5" s="145">
        <f>+INPUT!D48</f>
        <v>0</v>
      </c>
      <c r="D5" s="145">
        <f>+INPUT!E48</f>
        <v>0</v>
      </c>
      <c r="E5" s="145">
        <f>+INPUT!F48</f>
        <v>0</v>
      </c>
      <c r="F5" s="145">
        <f>+INPUT!G48</f>
        <v>0</v>
      </c>
    </row>
    <row r="6" spans="1:6">
      <c r="A6" s="31" t="str">
        <f>INPUT!B7</f>
        <v>GW CBCU Colorado</v>
      </c>
      <c r="B6" s="145">
        <f>+INPUT!C7</f>
        <v>2102</v>
      </c>
      <c r="C6" s="145">
        <f>+INPUT!D7</f>
        <v>2639</v>
      </c>
      <c r="D6" s="145">
        <f>+INPUT!E7</f>
        <v>2084</v>
      </c>
      <c r="E6" s="145">
        <f>+INPUT!F7</f>
        <v>1646</v>
      </c>
      <c r="F6" s="145">
        <f>+INPUT!G7</f>
        <v>1443</v>
      </c>
    </row>
    <row r="7" spans="1:6">
      <c r="A7" s="31" t="str">
        <f>INPUT!B8</f>
        <v>GW CBCU Kansas</v>
      </c>
      <c r="B7" s="145">
        <f>+INPUT!C8</f>
        <v>157</v>
      </c>
      <c r="C7" s="145">
        <f>+INPUT!D8</f>
        <v>178</v>
      </c>
      <c r="D7" s="145">
        <f>+INPUT!E8</f>
        <v>111</v>
      </c>
      <c r="E7" s="145">
        <f>+INPUT!F8</f>
        <v>81</v>
      </c>
      <c r="F7" s="145">
        <f>+INPUT!G8</f>
        <v>115</v>
      </c>
    </row>
    <row r="8" spans="1:6" ht="12" customHeight="1">
      <c r="A8" s="31" t="str">
        <f>INPUT!B9</f>
        <v>GW CBCU Nebraska</v>
      </c>
      <c r="B8" s="145">
        <f>+INPUT!C9</f>
        <v>77</v>
      </c>
      <c r="C8" s="145">
        <f>+INPUT!D9</f>
        <v>112</v>
      </c>
      <c r="D8" s="145">
        <f>+INPUT!E9</f>
        <v>76</v>
      </c>
      <c r="E8" s="145">
        <f>+INPUT!F9</f>
        <v>73</v>
      </c>
      <c r="F8" s="145">
        <f>+INPUT!G9</f>
        <v>110</v>
      </c>
    </row>
    <row r="9" spans="1:6" ht="12" customHeight="1">
      <c r="A9" s="38" t="s">
        <v>66</v>
      </c>
      <c r="B9" s="145"/>
      <c r="C9" s="145"/>
      <c r="D9" s="145"/>
      <c r="E9" s="145"/>
      <c r="F9" s="145"/>
    </row>
    <row r="10" spans="1:6">
      <c r="A10" s="4" t="s">
        <v>160</v>
      </c>
      <c r="B10" s="145"/>
      <c r="C10" s="145"/>
      <c r="D10" s="145"/>
      <c r="E10" s="145"/>
      <c r="F10" s="145"/>
    </row>
    <row r="11" spans="1:6">
      <c r="A11" s="31" t="str">
        <f>+INPUT!B185</f>
        <v>Arikaree River At Haigler</v>
      </c>
      <c r="B11" s="145">
        <f>+INPUT!C185</f>
        <v>646</v>
      </c>
      <c r="C11" s="145">
        <f>+INPUT!D185</f>
        <v>821</v>
      </c>
      <c r="D11" s="145">
        <f>+INPUT!E185</f>
        <v>1113</v>
      </c>
      <c r="E11" s="145">
        <f>+INPUT!F185</f>
        <v>1656.6148760330564</v>
      </c>
      <c r="F11" s="145">
        <f>+INPUT!G185</f>
        <v>1635</v>
      </c>
    </row>
    <row r="12" spans="1:6">
      <c r="A12" s="31" t="str">
        <f>INPUT!B66</f>
        <v>SW Diversions - Irrigation -Non-Federal Canals- Colorado</v>
      </c>
      <c r="B12" s="145">
        <f>INPUT!C66</f>
        <v>20</v>
      </c>
      <c r="C12" s="145">
        <f>INPUT!D66</f>
        <v>0</v>
      </c>
      <c r="D12" s="145">
        <f>INPUT!E66</f>
        <v>0</v>
      </c>
      <c r="E12" s="145">
        <f>INPUT!F66</f>
        <v>0</v>
      </c>
      <c r="F12" s="145">
        <f>INPUT!G66</f>
        <v>0</v>
      </c>
    </row>
    <row r="13" spans="1:6">
      <c r="A13" s="50" t="str">
        <f>INPUT!B67</f>
        <v>SW Diversions - Irrigation - Small Pumps - Colorado</v>
      </c>
      <c r="B13" s="151">
        <f>INPUT!C67</f>
        <v>0</v>
      </c>
      <c r="C13" s="151">
        <f>INPUT!D67</f>
        <v>0</v>
      </c>
      <c r="D13" s="151">
        <f>INPUT!E67</f>
        <v>0</v>
      </c>
      <c r="E13" s="151">
        <f>INPUT!F67</f>
        <v>0</v>
      </c>
      <c r="F13" s="151">
        <f>INPUT!G67</f>
        <v>0</v>
      </c>
    </row>
    <row r="14" spans="1:6">
      <c r="A14" s="50" t="str">
        <f>+INPUT!B68</f>
        <v>SW Diversions - M&amp;I - Colorado</v>
      </c>
      <c r="B14" s="151">
        <f>+INPUT!C68</f>
        <v>0</v>
      </c>
      <c r="C14" s="151">
        <f>+INPUT!D68</f>
        <v>0</v>
      </c>
      <c r="D14" s="151">
        <f>+INPUT!E68</f>
        <v>0</v>
      </c>
      <c r="E14" s="151">
        <f>+INPUT!F68</f>
        <v>0</v>
      </c>
      <c r="F14" s="151">
        <f>+INPUT!G68</f>
        <v>0</v>
      </c>
    </row>
    <row r="15" spans="1:6">
      <c r="A15" s="50" t="str">
        <f>+INPUT!B69</f>
        <v>SW Diversions - Irrigation - Non-Federal Canals- Kansas</v>
      </c>
      <c r="B15" s="151">
        <f>+INPUT!C69</f>
        <v>0</v>
      </c>
      <c r="C15" s="151">
        <f>+INPUT!D69</f>
        <v>0</v>
      </c>
      <c r="D15" s="151">
        <f>+INPUT!E69</f>
        <v>0</v>
      </c>
      <c r="E15" s="151">
        <f>+INPUT!F69</f>
        <v>0</v>
      </c>
      <c r="F15" s="151">
        <f>+INPUT!G69</f>
        <v>0</v>
      </c>
    </row>
    <row r="16" spans="1:6">
      <c r="A16" s="50" t="str">
        <f>+INPUT!B70</f>
        <v>SW Diversions - Irrigation - Small Pumps - Kansas</v>
      </c>
      <c r="B16" s="151">
        <f>+INPUT!C70</f>
        <v>0</v>
      </c>
      <c r="C16" s="151">
        <f>+INPUT!D70</f>
        <v>0</v>
      </c>
      <c r="D16" s="151">
        <f>+INPUT!E70</f>
        <v>0</v>
      </c>
      <c r="E16" s="151">
        <f>+INPUT!F70</f>
        <v>0</v>
      </c>
      <c r="F16" s="151">
        <f>+INPUT!G70</f>
        <v>0</v>
      </c>
    </row>
    <row r="17" spans="1:6">
      <c r="A17" s="50" t="str">
        <f>+INPUT!B71</f>
        <v>SW Diversions - M&amp;I - Kansas</v>
      </c>
      <c r="B17" s="151">
        <f>+INPUT!C71</f>
        <v>0</v>
      </c>
      <c r="C17" s="151">
        <f>+INPUT!D71</f>
        <v>0</v>
      </c>
      <c r="D17" s="151">
        <f>+INPUT!E71</f>
        <v>0</v>
      </c>
      <c r="E17" s="151">
        <f>+INPUT!F71</f>
        <v>0</v>
      </c>
      <c r="F17" s="151">
        <f>+INPUT!G71</f>
        <v>0</v>
      </c>
    </row>
    <row r="18" spans="1:6">
      <c r="A18" s="50" t="str">
        <f>+INPUT!B72</f>
        <v>SW Diversions - Irrigation - Non-Federal Canals - Nebraska</v>
      </c>
      <c r="B18" s="151">
        <f>+INPUT!C72</f>
        <v>0</v>
      </c>
      <c r="C18" s="151">
        <f>+INPUT!D72</f>
        <v>0</v>
      </c>
      <c r="D18" s="151">
        <f>+INPUT!E72</f>
        <v>0</v>
      </c>
      <c r="E18" s="151">
        <f>+INPUT!F72</f>
        <v>0</v>
      </c>
      <c r="F18" s="151">
        <f>+INPUT!G72</f>
        <v>0</v>
      </c>
    </row>
    <row r="19" spans="1:6">
      <c r="A19" s="31" t="str">
        <f>+INPUT!B73</f>
        <v>SW Diversions - Irrigation - Small Pumps - Nebraska</v>
      </c>
      <c r="B19" s="145">
        <f>+INPUT!C73</f>
        <v>0</v>
      </c>
      <c r="C19" s="145">
        <f>+INPUT!D73</f>
        <v>0</v>
      </c>
      <c r="D19" s="145">
        <f>+INPUT!E73</f>
        <v>0</v>
      </c>
      <c r="E19" s="145">
        <f>+INPUT!F73</f>
        <v>0</v>
      </c>
      <c r="F19" s="145">
        <f>+INPUT!G73</f>
        <v>0</v>
      </c>
    </row>
    <row r="20" spans="1:6">
      <c r="A20" s="31" t="str">
        <f>+INPUT!B74</f>
        <v>SW Diversions - M&amp;I - Nebraska</v>
      </c>
      <c r="B20" s="145">
        <f>+INPUT!C74</f>
        <v>0</v>
      </c>
      <c r="C20" s="145">
        <f>+INPUT!D74</f>
        <v>0</v>
      </c>
      <c r="D20" s="145">
        <f>+INPUT!E74</f>
        <v>0</v>
      </c>
      <c r="E20" s="145">
        <f>+INPUT!F74</f>
        <v>0</v>
      </c>
      <c r="F20" s="145">
        <f>+INPUT!G74</f>
        <v>0</v>
      </c>
    </row>
    <row r="21" spans="1:6">
      <c r="A21" s="31" t="str">
        <f>+INPUT!B155</f>
        <v>Non-Federal Reservoir Evaporation - Colorado</v>
      </c>
      <c r="B21" s="145">
        <f>+INPUT!C155</f>
        <v>0</v>
      </c>
      <c r="C21" s="145">
        <f>+INPUT!D155</f>
        <v>0</v>
      </c>
      <c r="D21" s="145">
        <f>+INPUT!E155</f>
        <v>0</v>
      </c>
      <c r="E21" s="145">
        <f>+INPUT!F155</f>
        <v>0</v>
      </c>
      <c r="F21" s="145">
        <f>+INPUT!G155</f>
        <v>0</v>
      </c>
    </row>
    <row r="22" spans="1:6">
      <c r="A22" s="31" t="str">
        <f>+INPUT!B156</f>
        <v>Non-Federal Reservoir Evaporation - Kansas</v>
      </c>
      <c r="B22" s="145">
        <f>+INPUT!C156</f>
        <v>11</v>
      </c>
      <c r="C22" s="145">
        <f>+INPUT!D156</f>
        <v>12.149672055208329</v>
      </c>
      <c r="D22" s="145">
        <f>+INPUT!E156</f>
        <v>12</v>
      </c>
      <c r="E22" s="145">
        <f>+INPUT!F156</f>
        <v>18.850000000000001</v>
      </c>
      <c r="F22" s="145">
        <f>+INPUT!G156</f>
        <v>15.63</v>
      </c>
    </row>
    <row r="23" spans="1:6">
      <c r="A23" s="31" t="str">
        <f>+INPUT!B157</f>
        <v>Non-Federal Reservoir Evaporation - Nebraska</v>
      </c>
      <c r="B23" s="145">
        <f>+INPUT!C157</f>
        <v>0</v>
      </c>
      <c r="C23" s="145">
        <f>+INPUT!D157</f>
        <v>0</v>
      </c>
      <c r="D23" s="145">
        <f>+INPUT!E157</f>
        <v>0</v>
      </c>
      <c r="E23" s="145">
        <f>+INPUT!F157</f>
        <v>0</v>
      </c>
      <c r="F23" s="145">
        <f>+INPUT!G157</f>
        <v>0</v>
      </c>
    </row>
    <row r="24" spans="1:6">
      <c r="A24" s="136" t="str">
        <f>+FLOOD!A58</f>
        <v>Arikaree Flood Flow</v>
      </c>
      <c r="B24" s="145">
        <f>+FLOOD!B58</f>
        <v>0</v>
      </c>
      <c r="C24" s="145">
        <f>+FLOOD!C58</f>
        <v>0</v>
      </c>
      <c r="D24" s="145">
        <f>+FLOOD!D58</f>
        <v>0</v>
      </c>
      <c r="E24" s="145">
        <f>+FLOOD!E58</f>
        <v>0</v>
      </c>
      <c r="F24" s="145">
        <f>+FLOOD!F58</f>
        <v>0</v>
      </c>
    </row>
    <row r="25" spans="1:6">
      <c r="A25" s="5" t="s">
        <v>66</v>
      </c>
      <c r="B25" s="145"/>
      <c r="C25" s="145"/>
      <c r="D25" s="145"/>
      <c r="E25" s="145"/>
      <c r="F25" s="145"/>
    </row>
    <row r="26" spans="1:6" ht="15.75">
      <c r="A26" s="9" t="s">
        <v>241</v>
      </c>
      <c r="B26" s="145"/>
      <c r="C26" s="145"/>
      <c r="D26" s="145"/>
      <c r="E26" s="145"/>
      <c r="F26" s="145"/>
    </row>
    <row r="27" spans="1:6">
      <c r="A27" s="7" t="s">
        <v>0</v>
      </c>
      <c r="B27" s="145"/>
      <c r="C27" s="145"/>
      <c r="D27" s="145"/>
      <c r="E27" s="145"/>
      <c r="F27" s="145"/>
    </row>
    <row r="28" spans="1:6">
      <c r="A28" s="46" t="str">
        <f>'NORTH FORK'!A23</f>
        <v>SW CBCU - Irrigation - Non Federal Canals</v>
      </c>
      <c r="B28" s="155">
        <f>B12*CanalCUPercent1</f>
        <v>12</v>
      </c>
      <c r="C28" s="155">
        <f>C12*CanalCUPercent2</f>
        <v>0</v>
      </c>
      <c r="D28" s="155">
        <f>D12*CanalCUPercent3</f>
        <v>0</v>
      </c>
      <c r="E28" s="155">
        <f>E12*CanalCUPercent4</f>
        <v>0</v>
      </c>
      <c r="F28" s="155">
        <f>F12*CanalCUPercent5</f>
        <v>0</v>
      </c>
    </row>
    <row r="29" spans="1:6">
      <c r="A29" s="46" t="str">
        <f>'NORTH FORK'!A24</f>
        <v>SW CBCU - Irrigation - Small Pumps</v>
      </c>
      <c r="B29" s="155">
        <f>B13*PumperCUPercent1</f>
        <v>0</v>
      </c>
      <c r="C29" s="155">
        <f>C13*PumperCUPercent2</f>
        <v>0</v>
      </c>
      <c r="D29" s="155">
        <f>D13*PumperCUPercent3</f>
        <v>0</v>
      </c>
      <c r="E29" s="155">
        <f>E13*PumperCUPercent4</f>
        <v>0</v>
      </c>
      <c r="F29" s="155">
        <f>F13*PumperCUPercent5</f>
        <v>0</v>
      </c>
    </row>
    <row r="30" spans="1:6">
      <c r="A30" s="46" t="str">
        <f>'NORTH FORK'!A25</f>
        <v>SW CBCU - M&amp;I</v>
      </c>
      <c r="B30" s="155">
        <f>B14*MI_CUPercent1</f>
        <v>0</v>
      </c>
      <c r="C30" s="155">
        <f>C14*MI_CUPercent2</f>
        <v>0</v>
      </c>
      <c r="D30" s="155">
        <f>D14*MI_CUPercent3</f>
        <v>0</v>
      </c>
      <c r="E30" s="155">
        <f>E14*MI_CUPercent4</f>
        <v>0</v>
      </c>
      <c r="F30" s="155">
        <f>F14*MI_CUPercent5</f>
        <v>0</v>
      </c>
    </row>
    <row r="31" spans="1:6">
      <c r="A31" s="46" t="str">
        <f>'NORTH FORK'!A26</f>
        <v>Non-Federal Reservoir Evaporation</v>
      </c>
      <c r="B31" s="146">
        <f>B21</f>
        <v>0</v>
      </c>
      <c r="C31" s="146">
        <f>C21</f>
        <v>0</v>
      </c>
      <c r="D31" s="146">
        <f>D21</f>
        <v>0</v>
      </c>
      <c r="E31" s="146">
        <f>E21</f>
        <v>0</v>
      </c>
      <c r="F31" s="146">
        <f>F21</f>
        <v>0</v>
      </c>
    </row>
    <row r="32" spans="1:6">
      <c r="A32" s="46" t="str">
        <f>'NORTH FORK'!A27</f>
        <v>SW CBCU</v>
      </c>
      <c r="B32" s="146">
        <f>B28+B29+B30+B31</f>
        <v>12</v>
      </c>
      <c r="C32" s="146">
        <f>C28+C29+C30+C31</f>
        <v>0</v>
      </c>
      <c r="D32" s="146">
        <f>D28+D29+D30+D31</f>
        <v>0</v>
      </c>
      <c r="E32" s="146">
        <f>E28+E29+E30+E31</f>
        <v>0</v>
      </c>
      <c r="F32" s="146">
        <f>F28+F29+F30+F31</f>
        <v>0</v>
      </c>
    </row>
    <row r="33" spans="1:6">
      <c r="A33" s="46" t="str">
        <f>'NORTH FORK'!A28</f>
        <v>GW CBCU</v>
      </c>
      <c r="B33" s="146">
        <f>B6</f>
        <v>2102</v>
      </c>
      <c r="C33" s="146">
        <f>C6</f>
        <v>2639</v>
      </c>
      <c r="D33" s="146">
        <f>D6</f>
        <v>2084</v>
      </c>
      <c r="E33" s="146">
        <f>E6</f>
        <v>1646</v>
      </c>
      <c r="F33" s="146">
        <f>F6</f>
        <v>1443</v>
      </c>
    </row>
    <row r="34" spans="1:6">
      <c r="A34" s="46" t="str">
        <f>'NORTH FORK'!A29</f>
        <v>Total CBCU</v>
      </c>
      <c r="B34" s="146">
        <f>(ROUND(SUM(B32:B33),-1))</f>
        <v>2110</v>
      </c>
      <c r="C34" s="146">
        <f>(ROUND(SUM(C32:C33),-1))</f>
        <v>2640</v>
      </c>
      <c r="D34" s="146">
        <f>(ROUND(SUM(D32:D33),-1))</f>
        <v>2080</v>
      </c>
      <c r="E34" s="146">
        <f>(ROUND(SUM(E32:E33),-1))</f>
        <v>1650</v>
      </c>
      <c r="F34" s="146">
        <f>(ROUND(SUM(F32:F33),-1))</f>
        <v>1440</v>
      </c>
    </row>
    <row r="35" spans="1:6">
      <c r="A35" s="46" t="s">
        <v>66</v>
      </c>
      <c r="B35" s="146"/>
      <c r="C35" s="146"/>
      <c r="D35" s="146"/>
      <c r="E35" s="146"/>
      <c r="F35" s="146"/>
    </row>
    <row r="36" spans="1:6">
      <c r="A36" s="51" t="s">
        <v>161</v>
      </c>
      <c r="B36" s="156"/>
      <c r="C36" s="156"/>
      <c r="D36" s="156"/>
      <c r="E36" s="156"/>
      <c r="F36" s="156"/>
    </row>
    <row r="37" spans="1:6">
      <c r="A37" s="53" t="str">
        <f t="shared" ref="A37:A43" si="0">A28</f>
        <v>SW CBCU - Irrigation - Non Federal Canals</v>
      </c>
      <c r="B37" s="156">
        <f>B15*CanalCUPercent1</f>
        <v>0</v>
      </c>
      <c r="C37" s="156">
        <f>C15*CanalCUPercent2</f>
        <v>0</v>
      </c>
      <c r="D37" s="156">
        <f>D15*CanalCUPercent3</f>
        <v>0</v>
      </c>
      <c r="E37" s="156">
        <f>E15*CanalCUPercent4</f>
        <v>0</v>
      </c>
      <c r="F37" s="156">
        <f>F15*CanalCUPercent5</f>
        <v>0</v>
      </c>
    </row>
    <row r="38" spans="1:6">
      <c r="A38" s="52" t="str">
        <f t="shared" si="0"/>
        <v>SW CBCU - Irrigation - Small Pumps</v>
      </c>
      <c r="B38" s="156">
        <f>B16*PumperCUPercent1</f>
        <v>0</v>
      </c>
      <c r="C38" s="156">
        <f>C16*PumperCUPercent2</f>
        <v>0</v>
      </c>
      <c r="D38" s="156">
        <f>D16*PumperCUPercent3</f>
        <v>0</v>
      </c>
      <c r="E38" s="156">
        <f>E16*PumperCUPercent4</f>
        <v>0</v>
      </c>
      <c r="F38" s="156">
        <f>F16*PumperCUPercent5</f>
        <v>0</v>
      </c>
    </row>
    <row r="39" spans="1:6">
      <c r="A39" s="52" t="str">
        <f t="shared" si="0"/>
        <v>SW CBCU - M&amp;I</v>
      </c>
      <c r="B39" s="156">
        <f>B17*MI_CUPercent1</f>
        <v>0</v>
      </c>
      <c r="C39" s="156">
        <f>C17*MI_CUPercent2</f>
        <v>0</v>
      </c>
      <c r="D39" s="156">
        <f>D17*MI_CUPercent3</f>
        <v>0</v>
      </c>
      <c r="E39" s="156">
        <f>E17*MI_CUPercent4</f>
        <v>0</v>
      </c>
      <c r="F39" s="156">
        <f>F17*MI_CUPercent5</f>
        <v>0</v>
      </c>
    </row>
    <row r="40" spans="1:6">
      <c r="A40" s="52" t="str">
        <f t="shared" si="0"/>
        <v>Non-Federal Reservoir Evaporation</v>
      </c>
      <c r="B40" s="156">
        <f>B22</f>
        <v>11</v>
      </c>
      <c r="C40" s="156">
        <f>C22</f>
        <v>12.149672055208329</v>
      </c>
      <c r="D40" s="156">
        <f>D22</f>
        <v>12</v>
      </c>
      <c r="E40" s="156">
        <f>E22</f>
        <v>18.850000000000001</v>
      </c>
      <c r="F40" s="156">
        <f>F22</f>
        <v>15.63</v>
      </c>
    </row>
    <row r="41" spans="1:6">
      <c r="A41" s="52" t="str">
        <f t="shared" si="0"/>
        <v>SW CBCU</v>
      </c>
      <c r="B41" s="156">
        <f>B37+B38+B39+B40</f>
        <v>11</v>
      </c>
      <c r="C41" s="156">
        <f>C37+C38+C39+C40</f>
        <v>12.149672055208329</v>
      </c>
      <c r="D41" s="156">
        <f>D37+D38+D39+D40</f>
        <v>12</v>
      </c>
      <c r="E41" s="156">
        <f>E37+E38+E39+E40</f>
        <v>18.850000000000001</v>
      </c>
      <c r="F41" s="156">
        <f>F37+F38+F39+F40</f>
        <v>15.63</v>
      </c>
    </row>
    <row r="42" spans="1:6">
      <c r="A42" s="52" t="str">
        <f t="shared" si="0"/>
        <v>GW CBCU</v>
      </c>
      <c r="B42" s="156">
        <f>B7</f>
        <v>157</v>
      </c>
      <c r="C42" s="156">
        <f>C7</f>
        <v>178</v>
      </c>
      <c r="D42" s="156">
        <f>D7</f>
        <v>111</v>
      </c>
      <c r="E42" s="156">
        <f>E7</f>
        <v>81</v>
      </c>
      <c r="F42" s="156">
        <f>F7</f>
        <v>115</v>
      </c>
    </row>
    <row r="43" spans="1:6">
      <c r="A43" s="52" t="str">
        <f t="shared" si="0"/>
        <v>Total CBCU</v>
      </c>
      <c r="B43" s="156">
        <f>(ROUND(SUM(B41:B42),-1))</f>
        <v>170</v>
      </c>
      <c r="C43" s="156">
        <f>(ROUND(SUM(C41:C42),-1))</f>
        <v>190</v>
      </c>
      <c r="D43" s="156">
        <f>(ROUND(SUM(D41:D42),-1))</f>
        <v>120</v>
      </c>
      <c r="E43" s="156">
        <f>(ROUND(SUM(E41:E42),-1))</f>
        <v>100</v>
      </c>
      <c r="F43" s="156">
        <f>(ROUND(SUM(F41:F42),-1))</f>
        <v>130</v>
      </c>
    </row>
    <row r="44" spans="1:6">
      <c r="A44" s="52" t="s">
        <v>66</v>
      </c>
      <c r="B44" s="156"/>
      <c r="C44" s="156"/>
      <c r="D44" s="156"/>
      <c r="E44" s="156"/>
      <c r="F44" s="156"/>
    </row>
    <row r="45" spans="1:6">
      <c r="A45" s="51" t="s">
        <v>1</v>
      </c>
      <c r="B45" s="156"/>
      <c r="C45" s="156"/>
      <c r="D45" s="156"/>
      <c r="E45" s="156"/>
      <c r="F45" s="156"/>
    </row>
    <row r="46" spans="1:6">
      <c r="A46" s="52" t="str">
        <f t="shared" ref="A46:A52" si="1">A28</f>
        <v>SW CBCU - Irrigation - Non Federal Canals</v>
      </c>
      <c r="B46" s="156">
        <f>B18*CanalCUPercent1</f>
        <v>0</v>
      </c>
      <c r="C46" s="156">
        <f>C18*CanalCUPercent2</f>
        <v>0</v>
      </c>
      <c r="D46" s="156">
        <f>D18*CanalCUPercent3</f>
        <v>0</v>
      </c>
      <c r="E46" s="156">
        <f>E18*CanalCUPercent4</f>
        <v>0</v>
      </c>
      <c r="F46" s="156">
        <f>F18*CanalCUPercent5</f>
        <v>0</v>
      </c>
    </row>
    <row r="47" spans="1:6">
      <c r="A47" s="52" t="str">
        <f t="shared" si="1"/>
        <v>SW CBCU - Irrigation - Small Pumps</v>
      </c>
      <c r="B47" s="156">
        <f>B19*PumperCUPercent1</f>
        <v>0</v>
      </c>
      <c r="C47" s="156">
        <f>C19*PumperCUPercent2</f>
        <v>0</v>
      </c>
      <c r="D47" s="156">
        <f>D19*PumperCUPercent3</f>
        <v>0</v>
      </c>
      <c r="E47" s="156">
        <f>E19*PumperCUPercent4</f>
        <v>0</v>
      </c>
      <c r="F47" s="156">
        <f>F19*PumperCUPercent5</f>
        <v>0</v>
      </c>
    </row>
    <row r="48" spans="1:6">
      <c r="A48" s="52" t="str">
        <f t="shared" si="1"/>
        <v>SW CBCU - M&amp;I</v>
      </c>
      <c r="B48" s="156">
        <f>B20*MI_CUPercent1</f>
        <v>0</v>
      </c>
      <c r="C48" s="156">
        <f>C20*MI_CUPercent2</f>
        <v>0</v>
      </c>
      <c r="D48" s="156">
        <f>D20*MI_CUPercent3</f>
        <v>0</v>
      </c>
      <c r="E48" s="156">
        <f>E20*MI_CUPercent4</f>
        <v>0</v>
      </c>
      <c r="F48" s="156">
        <f>F20*MI_CUPercent5</f>
        <v>0</v>
      </c>
    </row>
    <row r="49" spans="1:6">
      <c r="A49" s="52" t="str">
        <f t="shared" si="1"/>
        <v>Non-Federal Reservoir Evaporation</v>
      </c>
      <c r="B49" s="156">
        <f>B23</f>
        <v>0</v>
      </c>
      <c r="C49" s="156">
        <f>C23</f>
        <v>0</v>
      </c>
      <c r="D49" s="156">
        <f>D23</f>
        <v>0</v>
      </c>
      <c r="E49" s="156">
        <f>E23</f>
        <v>0</v>
      </c>
      <c r="F49" s="156">
        <f>F23</f>
        <v>0</v>
      </c>
    </row>
    <row r="50" spans="1:6">
      <c r="A50" s="52" t="str">
        <f t="shared" si="1"/>
        <v>SW CBCU</v>
      </c>
      <c r="B50" s="156">
        <f>B46+B47+B48+B49</f>
        <v>0</v>
      </c>
      <c r="C50" s="156">
        <f>C46+C47+C48+C49</f>
        <v>0</v>
      </c>
      <c r="D50" s="156">
        <f>D46+D47+D48+D49</f>
        <v>0</v>
      </c>
      <c r="E50" s="156">
        <f>E46+E47+E48+E49</f>
        <v>0</v>
      </c>
      <c r="F50" s="156">
        <f>F46+F47+F48+F49</f>
        <v>0</v>
      </c>
    </row>
    <row r="51" spans="1:6">
      <c r="A51" s="52" t="str">
        <f t="shared" si="1"/>
        <v>GW CBCU</v>
      </c>
      <c r="B51" s="156">
        <f>B8</f>
        <v>77</v>
      </c>
      <c r="C51" s="156">
        <f>C8</f>
        <v>112</v>
      </c>
      <c r="D51" s="156">
        <f>D8</f>
        <v>76</v>
      </c>
      <c r="E51" s="156">
        <f>E8</f>
        <v>73</v>
      </c>
      <c r="F51" s="156">
        <f>F8</f>
        <v>110</v>
      </c>
    </row>
    <row r="52" spans="1:6">
      <c r="A52" s="52" t="str">
        <f t="shared" si="1"/>
        <v>Total CBCU</v>
      </c>
      <c r="B52" s="156">
        <f>(ROUND(SUM(B50:B51),-1))</f>
        <v>80</v>
      </c>
      <c r="C52" s="156">
        <f>(ROUND(SUM(C50:C51),-1))</f>
        <v>110</v>
      </c>
      <c r="D52" s="156">
        <f>(ROUND(SUM(D50:D51),-1))</f>
        <v>80</v>
      </c>
      <c r="E52" s="156">
        <f>(ROUND(SUM(E50:E51),-1))</f>
        <v>70</v>
      </c>
      <c r="F52" s="156">
        <f>(ROUND(SUM(F50:F51),-1))</f>
        <v>110</v>
      </c>
    </row>
    <row r="53" spans="1:6">
      <c r="A53" s="55" t="s">
        <v>66</v>
      </c>
      <c r="B53" s="156"/>
      <c r="C53" s="156"/>
      <c r="D53" s="156"/>
      <c r="E53" s="156"/>
      <c r="F53" s="156"/>
    </row>
    <row r="54" spans="1:6">
      <c r="A54" s="56" t="s">
        <v>162</v>
      </c>
      <c r="B54" s="156"/>
      <c r="C54" s="156"/>
      <c r="D54" s="156"/>
      <c r="E54" s="156"/>
      <c r="F54" s="156"/>
    </row>
    <row r="55" spans="1:6">
      <c r="A55" s="55" t="str">
        <f>'NORTH FORK'!A42</f>
        <v>Total SW CBCU</v>
      </c>
      <c r="B55" s="156">
        <f t="shared" ref="B55:D56" si="2">+B32+B41+B50</f>
        <v>23</v>
      </c>
      <c r="C55" s="156">
        <f t="shared" si="2"/>
        <v>12.149672055208329</v>
      </c>
      <c r="D55" s="156">
        <f t="shared" si="2"/>
        <v>12</v>
      </c>
      <c r="E55" s="156">
        <f>+E32+E41+E50</f>
        <v>18.850000000000001</v>
      </c>
      <c r="F55" s="156">
        <f>+F32+F41+F50</f>
        <v>15.63</v>
      </c>
    </row>
    <row r="56" spans="1:6">
      <c r="A56" s="55" t="str">
        <f>'NORTH FORK'!A43</f>
        <v>Total GW CBCU</v>
      </c>
      <c r="B56" s="156">
        <f t="shared" si="2"/>
        <v>2336</v>
      </c>
      <c r="C56" s="156">
        <f t="shared" si="2"/>
        <v>2929</v>
      </c>
      <c r="D56" s="156">
        <f t="shared" si="2"/>
        <v>2271</v>
      </c>
      <c r="E56" s="156">
        <f>+E33+E42+E51</f>
        <v>1800</v>
      </c>
      <c r="F56" s="156">
        <f>+F33+F42+F51</f>
        <v>1668</v>
      </c>
    </row>
    <row r="57" spans="1:6">
      <c r="A57" s="55" t="str">
        <f>'NORTH FORK'!A44</f>
        <v>Total Basin CBCU</v>
      </c>
      <c r="B57" s="156">
        <f>(ROUND(SUM(B55:B56),-1))</f>
        <v>2360</v>
      </c>
      <c r="C57" s="156">
        <f>(ROUND(SUM(C55:C56),-1))</f>
        <v>2940</v>
      </c>
      <c r="D57" s="156">
        <f>(ROUND(SUM(D55:D56),-1))</f>
        <v>2280</v>
      </c>
      <c r="E57" s="156">
        <f>(ROUND(SUM(E55:E56),-1))</f>
        <v>1820</v>
      </c>
      <c r="F57" s="156">
        <f>(ROUND(SUM(F55:F56),-1))</f>
        <v>1680</v>
      </c>
    </row>
    <row r="58" spans="1:6">
      <c r="A58" s="55" t="s">
        <v>66</v>
      </c>
      <c r="B58" s="156"/>
      <c r="C58" s="156"/>
      <c r="D58" s="156"/>
      <c r="E58" s="156"/>
      <c r="F58" s="156"/>
    </row>
    <row r="59" spans="1:6" ht="15.75">
      <c r="A59" s="57" t="s">
        <v>10</v>
      </c>
      <c r="B59" s="157"/>
      <c r="C59" s="157"/>
      <c r="D59" s="157"/>
      <c r="E59" s="157"/>
      <c r="F59" s="157"/>
    </row>
    <row r="60" spans="1:6">
      <c r="A60" s="58" t="str">
        <f t="shared" ref="A60:F60" si="3">A11</f>
        <v>Arikaree River At Haigler</v>
      </c>
      <c r="B60" s="157">
        <f t="shared" si="3"/>
        <v>646</v>
      </c>
      <c r="C60" s="157">
        <f t="shared" si="3"/>
        <v>821</v>
      </c>
      <c r="D60" s="157">
        <f t="shared" si="3"/>
        <v>1113</v>
      </c>
      <c r="E60" s="157">
        <f t="shared" si="3"/>
        <v>1656.6148760330564</v>
      </c>
      <c r="F60" s="157">
        <f t="shared" si="3"/>
        <v>1635</v>
      </c>
    </row>
    <row r="61" spans="1:6">
      <c r="A61" s="58" t="str">
        <f>'NORTH FORK'!A49</f>
        <v>Colorado CBCU</v>
      </c>
      <c r="B61" s="157">
        <f>+B34</f>
        <v>2110</v>
      </c>
      <c r="C61" s="157">
        <f>+C34</f>
        <v>2640</v>
      </c>
      <c r="D61" s="157">
        <f>+D34</f>
        <v>2080</v>
      </c>
      <c r="E61" s="157">
        <f>+E34</f>
        <v>1650</v>
      </c>
      <c r="F61" s="157">
        <f>+F34</f>
        <v>1440</v>
      </c>
    </row>
    <row r="62" spans="1:6">
      <c r="A62" s="58" t="str">
        <f>'NORTH FORK'!A50</f>
        <v>Kansas CBCU</v>
      </c>
      <c r="B62" s="157">
        <f>+B43</f>
        <v>170</v>
      </c>
      <c r="C62" s="157">
        <f>+C43</f>
        <v>190</v>
      </c>
      <c r="D62" s="157">
        <f>+D43</f>
        <v>120</v>
      </c>
      <c r="E62" s="157">
        <f>+E43</f>
        <v>100</v>
      </c>
      <c r="F62" s="157">
        <f>+F43</f>
        <v>130</v>
      </c>
    </row>
    <row r="63" spans="1:6">
      <c r="A63" s="58" t="str">
        <f>'NORTH FORK'!A51</f>
        <v>Nebraska CBCU</v>
      </c>
      <c r="B63" s="157">
        <f>+B52</f>
        <v>80</v>
      </c>
      <c r="C63" s="157">
        <f>+C52</f>
        <v>110</v>
      </c>
      <c r="D63" s="157">
        <f>+D52</f>
        <v>80</v>
      </c>
      <c r="E63" s="157">
        <f>+E52</f>
        <v>70</v>
      </c>
      <c r="F63" s="157">
        <f>+F52</f>
        <v>110</v>
      </c>
    </row>
    <row r="64" spans="1:6">
      <c r="A64" s="58" t="str">
        <f>'NORTH FORK'!A52</f>
        <v>Imported Water</v>
      </c>
      <c r="B64" s="157">
        <f>+B5</f>
        <v>0</v>
      </c>
      <c r="C64" s="157">
        <f>+C5</f>
        <v>0</v>
      </c>
      <c r="D64" s="157">
        <f>+D5</f>
        <v>0</v>
      </c>
      <c r="E64" s="157">
        <f>+E5</f>
        <v>0</v>
      </c>
      <c r="F64" s="157">
        <f>+F5</f>
        <v>0</v>
      </c>
    </row>
    <row r="65" spans="1:6">
      <c r="A65" s="58" t="str">
        <f>'NORTH FORK'!A54</f>
        <v>Virgin Water Supply</v>
      </c>
      <c r="B65" s="157">
        <f>ROUND(SUM(B60:B63)-B64,-1)</f>
        <v>3010</v>
      </c>
      <c r="C65" s="157">
        <f>ROUND(SUM(C60:C63)-C64,-1)</f>
        <v>3760</v>
      </c>
      <c r="D65" s="157">
        <f>ROUND(SUM(D60:D63)-D64,-1)</f>
        <v>3390</v>
      </c>
      <c r="E65" s="157">
        <f>ROUND(SUM(E60:E63)-E64,-1)</f>
        <v>3480</v>
      </c>
      <c r="F65" s="157">
        <f>ROUND(SUM(F60:F63)-F64,-1)</f>
        <v>3320</v>
      </c>
    </row>
    <row r="66" spans="1:6">
      <c r="A66" s="58" t="str">
        <f>'NORTH FORK'!A55</f>
        <v>Adjustment For Flood Flows</v>
      </c>
      <c r="B66" s="157">
        <f>B24</f>
        <v>0</v>
      </c>
      <c r="C66" s="157">
        <f>C24</f>
        <v>0</v>
      </c>
      <c r="D66" s="157">
        <f>D24</f>
        <v>0</v>
      </c>
      <c r="E66" s="157">
        <f>E24</f>
        <v>0</v>
      </c>
      <c r="F66" s="157">
        <f>F24</f>
        <v>0</v>
      </c>
    </row>
    <row r="67" spans="1:6">
      <c r="A67" s="58" t="str">
        <f>'NORTH FORK'!A56</f>
        <v>Computed Water Supply</v>
      </c>
      <c r="B67" s="157">
        <f>ROUND(+B65-B66,-1)</f>
        <v>3010</v>
      </c>
      <c r="C67" s="157">
        <f>ROUND(+C65-C66,-1)</f>
        <v>3760</v>
      </c>
      <c r="D67" s="157">
        <f>ROUND(+D65-D66,-1)</f>
        <v>3390</v>
      </c>
      <c r="E67" s="157">
        <f>ROUND(+E65-E66,-1)</f>
        <v>3480</v>
      </c>
      <c r="F67" s="157">
        <f>ROUND(+F65-F66,-1)</f>
        <v>3320</v>
      </c>
    </row>
    <row r="68" spans="1:6">
      <c r="A68" s="60" t="s">
        <v>66</v>
      </c>
      <c r="B68" s="157"/>
      <c r="C68" s="157"/>
      <c r="D68" s="157"/>
      <c r="E68" s="157"/>
      <c r="F68" s="157"/>
    </row>
    <row r="69" spans="1:6" ht="15.75">
      <c r="A69" s="57" t="s">
        <v>12</v>
      </c>
      <c r="B69" s="158"/>
      <c r="C69" s="158"/>
      <c r="D69" s="158"/>
      <c r="E69" s="158"/>
      <c r="F69" s="158"/>
    </row>
    <row r="70" spans="1:6">
      <c r="A70" s="52" t="str">
        <f>'NORTH FORK'!A59</f>
        <v>Colorado Percent Of Allocation</v>
      </c>
      <c r="B70" s="119">
        <f>'T2'!$D4</f>
        <v>0.78500000000000003</v>
      </c>
      <c r="C70" s="119">
        <f>'T2'!$D4</f>
        <v>0.78500000000000003</v>
      </c>
      <c r="D70" s="119">
        <f>'T2'!$D4</f>
        <v>0.78500000000000003</v>
      </c>
      <c r="E70" s="119">
        <f>'T2'!$D4</f>
        <v>0.78500000000000003</v>
      </c>
      <c r="F70" s="119">
        <f>'T2'!$D4</f>
        <v>0.78500000000000003</v>
      </c>
    </row>
    <row r="71" spans="1:6">
      <c r="A71" s="52" t="str">
        <f>'NORTH FORK'!A60</f>
        <v>Colorado Allocation</v>
      </c>
      <c r="B71" s="156">
        <f>ROUND(+B67*B70,-1)</f>
        <v>2360</v>
      </c>
      <c r="C71" s="156">
        <f>ROUND(+C67*C70,-1)</f>
        <v>2950</v>
      </c>
      <c r="D71" s="156">
        <f>ROUND(+D67*D70,-1)</f>
        <v>2660</v>
      </c>
      <c r="E71" s="156">
        <f>ROUND(+E67*E70,-1)</f>
        <v>2730</v>
      </c>
      <c r="F71" s="156">
        <f>ROUND(+F67*F70,-1)</f>
        <v>2610</v>
      </c>
    </row>
    <row r="72" spans="1:6">
      <c r="A72" s="52" t="str">
        <f>'NORTH FORK'!A61</f>
        <v>Kansas Percent Of Allocation</v>
      </c>
      <c r="B72" s="119">
        <f>'T2'!$F4</f>
        <v>5.0999999999999997E-2</v>
      </c>
      <c r="C72" s="119">
        <f>'T2'!$F4</f>
        <v>5.0999999999999997E-2</v>
      </c>
      <c r="D72" s="119">
        <f>'T2'!$F4</f>
        <v>5.0999999999999997E-2</v>
      </c>
      <c r="E72" s="119">
        <f>'T2'!$F4</f>
        <v>5.0999999999999997E-2</v>
      </c>
      <c r="F72" s="119">
        <f>'T2'!$F4</f>
        <v>5.0999999999999997E-2</v>
      </c>
    </row>
    <row r="73" spans="1:6">
      <c r="A73" s="52" t="str">
        <f>'NORTH FORK'!A62</f>
        <v>Kansas Allocation</v>
      </c>
      <c r="B73" s="156">
        <f>ROUND(B67*B72,-1)</f>
        <v>150</v>
      </c>
      <c r="C73" s="156">
        <f>ROUND(C67*C72,-1)</f>
        <v>190</v>
      </c>
      <c r="D73" s="156">
        <f>ROUND(D67*D72,-1)</f>
        <v>170</v>
      </c>
      <c r="E73" s="156">
        <f>ROUND(E67*E72,-1)</f>
        <v>180</v>
      </c>
      <c r="F73" s="156">
        <f>ROUND(F67*F72,-1)</f>
        <v>170</v>
      </c>
    </row>
    <row r="74" spans="1:6">
      <c r="A74" s="52" t="str">
        <f>'NORTH FORK'!A63</f>
        <v>Nebraska Percent Of Allocation</v>
      </c>
      <c r="B74" s="119">
        <f>'T2'!$H4</f>
        <v>0.16800000000000001</v>
      </c>
      <c r="C74" s="119">
        <f>'T2'!$H4</f>
        <v>0.16800000000000001</v>
      </c>
      <c r="D74" s="119">
        <f>'T2'!$H4</f>
        <v>0.16800000000000001</v>
      </c>
      <c r="E74" s="119">
        <f>'T2'!$H4</f>
        <v>0.16800000000000001</v>
      </c>
      <c r="F74" s="119">
        <f>'T2'!$H4</f>
        <v>0.16800000000000001</v>
      </c>
    </row>
    <row r="75" spans="1:6">
      <c r="A75" s="52" t="str">
        <f>'NORTH FORK'!A64</f>
        <v>Nebraska Allocation</v>
      </c>
      <c r="B75" s="156">
        <f>ROUND(B67*B74,-1)</f>
        <v>510</v>
      </c>
      <c r="C75" s="156">
        <f>ROUND(C67*C74,-1)</f>
        <v>630</v>
      </c>
      <c r="D75" s="156">
        <f>ROUND(D67*D74,-1)</f>
        <v>570</v>
      </c>
      <c r="E75" s="156">
        <f>ROUND(E67*E74,-1)</f>
        <v>580</v>
      </c>
      <c r="F75" s="156">
        <f>ROUND(F67*F74,-1)</f>
        <v>560</v>
      </c>
    </row>
    <row r="76" spans="1:6">
      <c r="A76" s="52" t="str">
        <f>'NORTH FORK'!A65</f>
        <v>Total Basin Allocation</v>
      </c>
      <c r="B76" s="156">
        <f>+B71+B73+B75</f>
        <v>3020</v>
      </c>
      <c r="C76" s="156">
        <f>+C71+C73+C75</f>
        <v>3770</v>
      </c>
      <c r="D76" s="156">
        <f>+D71+D73+D75</f>
        <v>3400</v>
      </c>
      <c r="E76" s="156">
        <f>+E71+E73+E75</f>
        <v>3490</v>
      </c>
      <c r="F76" s="156">
        <f>+F71+F73+F75</f>
        <v>3340</v>
      </c>
    </row>
    <row r="77" spans="1:6">
      <c r="A77" s="52" t="str">
        <f>'NORTH FORK'!A66</f>
        <v>Percent Of Supply Not Allocated</v>
      </c>
      <c r="B77" s="119">
        <f>'T2'!$J4</f>
        <v>-4.0000000000000001E-3</v>
      </c>
      <c r="C77" s="119">
        <f>'T2'!$J4</f>
        <v>-4.0000000000000001E-3</v>
      </c>
      <c r="D77" s="119">
        <f>'T2'!$J4</f>
        <v>-4.0000000000000001E-3</v>
      </c>
      <c r="E77" s="119">
        <f>'T2'!$J4</f>
        <v>-4.0000000000000001E-3</v>
      </c>
      <c r="F77" s="119">
        <f>'T2'!$J4</f>
        <v>-4.0000000000000001E-3</v>
      </c>
    </row>
    <row r="78" spans="1:6">
      <c r="A78" s="52" t="str">
        <f>'NORTH FORK'!A67</f>
        <v>Quantity Of Unallocated Supply</v>
      </c>
      <c r="B78" s="156">
        <f>+B67-B71-B73-B75</f>
        <v>-10</v>
      </c>
      <c r="C78" s="156">
        <f>+C67-C71-C73-C75</f>
        <v>-10</v>
      </c>
      <c r="D78" s="156">
        <f>+D67-D71-D73-D75</f>
        <v>-10</v>
      </c>
      <c r="E78" s="156">
        <f>+E67-E71-E73-E75</f>
        <v>-10</v>
      </c>
      <c r="F78" s="156">
        <f>+F67-F71-F73-F75</f>
        <v>-20</v>
      </c>
    </row>
  </sheetData>
  <phoneticPr fontId="0" type="noConversion"/>
  <printOptions headings="1"/>
  <pageMargins left="0.75" right="0.75" top="0.75" bottom="0.5" header="0.25" footer="0.5"/>
  <pageSetup paperSize="3" fitToHeight="2" orientation="portrait" r:id="rId1"/>
  <headerFooter alignWithMargins="0">
    <oddHeader>&amp;LRRCA
Compact Accounting&amp;C&amp;A SUB-BASIN&amp;RPage &amp;P of &amp;N</oddHeader>
  </headerFooter>
  <rowBreaks count="1" manualBreakCount="1">
    <brk id="52" max="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F71"/>
  <sheetViews>
    <sheetView workbookViewId="0">
      <pane ySplit="1" topLeftCell="A2" activePane="bottomLeft" state="frozen"/>
      <selection pane="bottomLeft" activeCell="B1" sqref="B1:F1"/>
    </sheetView>
  </sheetViews>
  <sheetFormatPr defaultRowHeight="12.75"/>
  <cols>
    <col min="1" max="1" width="69.85546875" customWidth="1"/>
  </cols>
  <sheetData>
    <row r="1" spans="1:6" ht="15.75">
      <c r="A1" s="37" t="s">
        <v>211</v>
      </c>
      <c r="B1" s="194">
        <f>INPUT!C1</f>
        <v>2017</v>
      </c>
      <c r="C1" s="194">
        <f>INPUT!D1</f>
        <v>2018</v>
      </c>
      <c r="D1" s="194">
        <f>INPUT!E1</f>
        <v>2019</v>
      </c>
      <c r="E1" s="194">
        <f>INPUT!F1</f>
        <v>2020</v>
      </c>
      <c r="F1" s="194">
        <f>INPUT!G1</f>
        <v>2021</v>
      </c>
    </row>
    <row r="2" spans="1:6">
      <c r="A2" t="s">
        <v>66</v>
      </c>
      <c r="E2" s="312"/>
      <c r="F2" s="312"/>
    </row>
    <row r="3" spans="1:6" ht="15.75">
      <c r="A3" s="9" t="s">
        <v>157</v>
      </c>
      <c r="E3" s="312"/>
      <c r="F3" s="312"/>
    </row>
    <row r="4" spans="1:6">
      <c r="A4" s="7" t="s">
        <v>158</v>
      </c>
      <c r="E4" s="312"/>
      <c r="F4" s="312"/>
    </row>
    <row r="5" spans="1:6">
      <c r="A5" s="31" t="str">
        <f>INPUT!B49</f>
        <v>Imported Water Nebraska</v>
      </c>
      <c r="B5" s="145">
        <f>+INPUT!C49</f>
        <v>0</v>
      </c>
      <c r="C5" s="145">
        <f>+INPUT!D49</f>
        <v>0</v>
      </c>
      <c r="D5" s="145">
        <f>+INPUT!E49</f>
        <v>0</v>
      </c>
      <c r="E5" s="145">
        <f>+INPUT!F49</f>
        <v>0</v>
      </c>
      <c r="F5" s="145">
        <f>+INPUT!G49</f>
        <v>0</v>
      </c>
    </row>
    <row r="6" spans="1:6">
      <c r="A6" s="31" t="str">
        <f>+INPUT!B10</f>
        <v>GW CBCU Colorado</v>
      </c>
      <c r="B6" s="145">
        <f>+INPUT!C10</f>
        <v>502</v>
      </c>
      <c r="C6" s="145">
        <f>+INPUT!D10</f>
        <v>521</v>
      </c>
      <c r="D6" s="145">
        <f>+INPUT!E10</f>
        <v>537</v>
      </c>
      <c r="E6" s="145">
        <f>+INPUT!F10</f>
        <v>482</v>
      </c>
      <c r="F6" s="145">
        <f>+INPUT!G10</f>
        <v>437</v>
      </c>
    </row>
    <row r="7" spans="1:6">
      <c r="A7" s="31" t="str">
        <f>+INPUT!B11</f>
        <v>GW CBCU Kansas</v>
      </c>
      <c r="B7" s="145">
        <f>+INPUT!C11</f>
        <v>0</v>
      </c>
      <c r="C7" s="145">
        <f>+INPUT!D11</f>
        <v>0</v>
      </c>
      <c r="D7" s="145">
        <f>+INPUT!E11</f>
        <v>0</v>
      </c>
      <c r="E7" s="145">
        <f>+INPUT!F11</f>
        <v>0</v>
      </c>
      <c r="F7" s="145">
        <f>+INPUT!G11</f>
        <v>0</v>
      </c>
    </row>
    <row r="8" spans="1:6" ht="12" customHeight="1">
      <c r="A8" s="31" t="str">
        <f>+INPUT!B12</f>
        <v>GW CBCU Nebraska</v>
      </c>
      <c r="B8" s="145">
        <f>+INPUT!C12</f>
        <v>3544</v>
      </c>
      <c r="C8" s="145">
        <f>+INPUT!D12</f>
        <v>3601</v>
      </c>
      <c r="D8" s="145">
        <f>+INPUT!E12</f>
        <v>3660</v>
      </c>
      <c r="E8" s="145">
        <f>+INPUT!F12</f>
        <v>3603</v>
      </c>
      <c r="F8" s="145">
        <f>+INPUT!G12</f>
        <v>3569</v>
      </c>
    </row>
    <row r="9" spans="1:6">
      <c r="A9" s="2" t="s">
        <v>66</v>
      </c>
      <c r="B9" s="145"/>
      <c r="C9" s="145"/>
      <c r="D9" s="145"/>
      <c r="E9" s="145"/>
      <c r="F9" s="145"/>
    </row>
    <row r="10" spans="1:6">
      <c r="A10" s="4" t="s">
        <v>160</v>
      </c>
      <c r="B10" s="145"/>
      <c r="C10" s="145"/>
      <c r="D10" s="145"/>
      <c r="E10" s="145"/>
      <c r="F10" s="145"/>
    </row>
    <row r="11" spans="1:6">
      <c r="A11" s="31" t="str">
        <f>+INPUT!B186</f>
        <v>Buffalo Creek Near Haigler</v>
      </c>
      <c r="B11" s="145">
        <f>+INPUT!C186</f>
        <v>1282</v>
      </c>
      <c r="C11" s="145">
        <f>+INPUT!D186</f>
        <v>1858</v>
      </c>
      <c r="D11" s="145">
        <f>+INPUT!E186</f>
        <v>1355</v>
      </c>
      <c r="E11" s="145">
        <f>+INPUT!F186</f>
        <v>2143.4181818181801</v>
      </c>
      <c r="F11" s="145">
        <f>+INPUT!G186</f>
        <v>1583</v>
      </c>
    </row>
    <row r="12" spans="1:6">
      <c r="A12" s="31" t="str">
        <f>INPUT!B75</f>
        <v>SW Diversions - Irrigation -Non-Federal Canals- Colorado</v>
      </c>
      <c r="B12" s="145">
        <f>INPUT!C75</f>
        <v>0</v>
      </c>
      <c r="C12" s="145">
        <f>INPUT!D75</f>
        <v>0</v>
      </c>
      <c r="D12" s="145">
        <f>INPUT!E75</f>
        <v>0</v>
      </c>
      <c r="E12" s="145">
        <f>INPUT!F75</f>
        <v>0</v>
      </c>
      <c r="F12" s="145">
        <f>INPUT!G75</f>
        <v>0</v>
      </c>
    </row>
    <row r="13" spans="1:6">
      <c r="A13" s="31" t="str">
        <f>INPUT!B76</f>
        <v>SW Diversions - Irrigation - Small Pumps - Colorado</v>
      </c>
      <c r="B13" s="145">
        <f>INPUT!C76</f>
        <v>0</v>
      </c>
      <c r="C13" s="145">
        <f>INPUT!D76</f>
        <v>0</v>
      </c>
      <c r="D13" s="145">
        <f>INPUT!E76</f>
        <v>0</v>
      </c>
      <c r="E13" s="145">
        <f>INPUT!F76</f>
        <v>0</v>
      </c>
      <c r="F13" s="145">
        <f>INPUT!G76</f>
        <v>0</v>
      </c>
    </row>
    <row r="14" spans="1:6">
      <c r="A14" s="31" t="str">
        <f>INPUT!B77</f>
        <v>SW Diversions - M&amp;I - Colorado</v>
      </c>
      <c r="B14" s="145">
        <f>INPUT!C77</f>
        <v>0</v>
      </c>
      <c r="C14" s="145">
        <f>INPUT!D77</f>
        <v>0</v>
      </c>
      <c r="D14" s="145">
        <f>INPUT!E77</f>
        <v>0</v>
      </c>
      <c r="E14" s="145">
        <f>INPUT!F77</f>
        <v>0</v>
      </c>
      <c r="F14" s="145">
        <f>INPUT!G77</f>
        <v>0</v>
      </c>
    </row>
    <row r="15" spans="1:6">
      <c r="A15" s="50" t="str">
        <f>+INPUT!B78</f>
        <v>SW Diversions - Irrigation - Non-Federal Canals - Nebraska</v>
      </c>
      <c r="B15" s="151">
        <f>+INPUT!C78</f>
        <v>400.26</v>
      </c>
      <c r="C15" s="151">
        <f>+INPUT!D78</f>
        <v>240.5</v>
      </c>
      <c r="D15" s="151">
        <f>+INPUT!E78</f>
        <v>295</v>
      </c>
      <c r="E15" s="151">
        <f>+INPUT!F78</f>
        <v>91.63</v>
      </c>
      <c r="F15" s="151">
        <f>+INPUT!G78</f>
        <v>98</v>
      </c>
    </row>
    <row r="16" spans="1:6">
      <c r="A16" s="50" t="str">
        <f>+INPUT!B79</f>
        <v>SW Diversions - Irrigation - Small Pumps - Nebraska</v>
      </c>
      <c r="B16" s="151">
        <f>+INPUT!C79</f>
        <v>1.9458</v>
      </c>
      <c r="C16" s="151">
        <f>+INPUT!D79</f>
        <v>4.1958333333333302</v>
      </c>
      <c r="D16" s="151">
        <f>+INPUT!E79</f>
        <v>0</v>
      </c>
      <c r="E16" s="151">
        <f>+INPUT!F79</f>
        <v>4.3174999999999999</v>
      </c>
      <c r="F16" s="151">
        <f>+INPUT!G79</f>
        <v>6</v>
      </c>
    </row>
    <row r="17" spans="1:6">
      <c r="A17" s="50" t="str">
        <f>+INPUT!B80</f>
        <v>SW Diversions - M&amp;I - Nebraska</v>
      </c>
      <c r="B17" s="151">
        <f>+INPUT!C80</f>
        <v>0</v>
      </c>
      <c r="C17" s="151">
        <f>+INPUT!D80</f>
        <v>0</v>
      </c>
      <c r="D17" s="151">
        <f>+INPUT!E80</f>
        <v>0</v>
      </c>
      <c r="E17" s="151">
        <f>+INPUT!F80</f>
        <v>0</v>
      </c>
      <c r="F17" s="151">
        <f>+INPUT!G80</f>
        <v>0</v>
      </c>
    </row>
    <row r="18" spans="1:6">
      <c r="A18" s="50" t="str">
        <f>+INPUT!B158</f>
        <v>Non-Federal Reservoir Evaporation - Colorado</v>
      </c>
      <c r="B18" s="151">
        <f>+INPUT!C158</f>
        <v>0</v>
      </c>
      <c r="C18" s="151">
        <f>+INPUT!D158</f>
        <v>0</v>
      </c>
      <c r="D18" s="151">
        <f>+INPUT!E158</f>
        <v>0</v>
      </c>
      <c r="E18" s="151">
        <f>+INPUT!F158</f>
        <v>0</v>
      </c>
      <c r="F18" s="151">
        <f>+INPUT!G158</f>
        <v>0</v>
      </c>
    </row>
    <row r="19" spans="1:6">
      <c r="A19" s="50" t="str">
        <f>+INPUT!B159</f>
        <v>Non-Federal Reservoir Evaporation - Nebraska</v>
      </c>
      <c r="B19" s="151">
        <f>+INPUT!C159</f>
        <v>6.6659416670000002</v>
      </c>
      <c r="C19" s="151">
        <f>+INPUT!D159</f>
        <v>7.66926666666666</v>
      </c>
      <c r="D19" s="151">
        <f>+INPUT!E159</f>
        <v>7</v>
      </c>
      <c r="E19" s="151">
        <f>+INPUT!F159</f>
        <v>12.827374999999996</v>
      </c>
      <c r="F19" s="151">
        <f>+INPUT!G159</f>
        <v>11</v>
      </c>
    </row>
    <row r="20" spans="1:6">
      <c r="A20" s="137" t="str">
        <f>+FLOOD!A59</f>
        <v>Buffalo Flood Flow</v>
      </c>
      <c r="B20" s="151">
        <f>+FLOOD!B59</f>
        <v>0</v>
      </c>
      <c r="C20" s="151">
        <f>+FLOOD!C59</f>
        <v>0</v>
      </c>
      <c r="D20" s="151">
        <f>+FLOOD!D59</f>
        <v>0</v>
      </c>
      <c r="E20" s="151">
        <f>+FLOOD!E59</f>
        <v>0</v>
      </c>
      <c r="F20" s="151">
        <f>+FLOOD!F59</f>
        <v>0</v>
      </c>
    </row>
    <row r="21" spans="1:6">
      <c r="A21" s="61" t="s">
        <v>66</v>
      </c>
      <c r="B21" s="151"/>
      <c r="C21" s="151"/>
      <c r="D21" s="151"/>
      <c r="E21" s="151"/>
      <c r="F21" s="151"/>
    </row>
    <row r="22" spans="1:6" ht="15.75">
      <c r="A22" s="9" t="s">
        <v>241</v>
      </c>
      <c r="B22" s="151"/>
      <c r="C22" s="151"/>
      <c r="D22" s="151"/>
      <c r="E22" s="151"/>
      <c r="F22" s="151"/>
    </row>
    <row r="23" spans="1:6">
      <c r="A23" s="7" t="s">
        <v>0</v>
      </c>
      <c r="B23" s="151"/>
      <c r="C23" s="151"/>
      <c r="D23" s="151"/>
      <c r="E23" s="151"/>
      <c r="F23" s="151"/>
    </row>
    <row r="24" spans="1:6">
      <c r="A24" s="11" t="str">
        <f t="shared" ref="A24:D26" si="0">A12</f>
        <v>SW Diversions - Irrigation -Non-Federal Canals- Colorado</v>
      </c>
      <c r="B24" s="159">
        <f t="shared" si="0"/>
        <v>0</v>
      </c>
      <c r="C24" s="159">
        <f t="shared" si="0"/>
        <v>0</v>
      </c>
      <c r="D24" s="159">
        <f t="shared" si="0"/>
        <v>0</v>
      </c>
      <c r="E24" s="159">
        <f t="shared" ref="E24:F26" si="1">E12</f>
        <v>0</v>
      </c>
      <c r="F24" s="159">
        <f t="shared" si="1"/>
        <v>0</v>
      </c>
    </row>
    <row r="25" spans="1:6">
      <c r="A25" s="11" t="str">
        <f t="shared" si="0"/>
        <v>SW Diversions - Irrigation - Small Pumps - Colorado</v>
      </c>
      <c r="B25" s="159">
        <f t="shared" si="0"/>
        <v>0</v>
      </c>
      <c r="C25" s="159">
        <f t="shared" si="0"/>
        <v>0</v>
      </c>
      <c r="D25" s="159">
        <f t="shared" si="0"/>
        <v>0</v>
      </c>
      <c r="E25" s="159">
        <f t="shared" si="1"/>
        <v>0</v>
      </c>
      <c r="F25" s="159">
        <f t="shared" si="1"/>
        <v>0</v>
      </c>
    </row>
    <row r="26" spans="1:6">
      <c r="A26" s="11" t="str">
        <f t="shared" si="0"/>
        <v>SW Diversions - M&amp;I - Colorado</v>
      </c>
      <c r="B26" s="159">
        <f t="shared" si="0"/>
        <v>0</v>
      </c>
      <c r="C26" s="159">
        <f t="shared" si="0"/>
        <v>0</v>
      </c>
      <c r="D26" s="159">
        <f t="shared" si="0"/>
        <v>0</v>
      </c>
      <c r="E26" s="159">
        <f t="shared" si="1"/>
        <v>0</v>
      </c>
      <c r="F26" s="159">
        <f t="shared" si="1"/>
        <v>0</v>
      </c>
    </row>
    <row r="27" spans="1:6">
      <c r="A27" s="11" t="str">
        <f t="shared" ref="A27:F27" si="2">A18</f>
        <v>Non-Federal Reservoir Evaporation - Colorado</v>
      </c>
      <c r="B27" s="159">
        <f t="shared" si="2"/>
        <v>0</v>
      </c>
      <c r="C27" s="159">
        <f t="shared" si="2"/>
        <v>0</v>
      </c>
      <c r="D27" s="159">
        <f t="shared" si="2"/>
        <v>0</v>
      </c>
      <c r="E27" s="159">
        <f t="shared" si="2"/>
        <v>0</v>
      </c>
      <c r="F27" s="159">
        <f t="shared" si="2"/>
        <v>0</v>
      </c>
    </row>
    <row r="28" spans="1:6">
      <c r="A28" s="13" t="s">
        <v>218</v>
      </c>
      <c r="B28" s="151">
        <f>B24+B25+B26+B27</f>
        <v>0</v>
      </c>
      <c r="C28" s="151">
        <f>C24+C25+C26+C27</f>
        <v>0</v>
      </c>
      <c r="D28" s="151">
        <f>D24+D25+D26+D27</f>
        <v>0</v>
      </c>
      <c r="E28" s="151">
        <f>E24+E25+E26+E27</f>
        <v>0</v>
      </c>
      <c r="F28" s="151">
        <f>F24+F25+F26+F27</f>
        <v>0</v>
      </c>
    </row>
    <row r="29" spans="1:6">
      <c r="A29" s="13" t="str">
        <f>'NORTH FORK'!A28</f>
        <v>GW CBCU</v>
      </c>
      <c r="B29" s="151">
        <f>+B6</f>
        <v>502</v>
      </c>
      <c r="C29" s="151">
        <f>+C6</f>
        <v>521</v>
      </c>
      <c r="D29" s="151">
        <f>+D6</f>
        <v>537</v>
      </c>
      <c r="E29" s="151">
        <f>+E6</f>
        <v>482</v>
      </c>
      <c r="F29" s="151">
        <f>+F6</f>
        <v>437</v>
      </c>
    </row>
    <row r="30" spans="1:6">
      <c r="A30" s="13" t="str">
        <f>'NORTH FORK'!A29</f>
        <v>Total CBCU</v>
      </c>
      <c r="B30" s="151">
        <f>(ROUND(SUM(B28:B29),-1))</f>
        <v>500</v>
      </c>
      <c r="C30" s="151">
        <f>(ROUND(SUM(C28:C29),-1))</f>
        <v>520</v>
      </c>
      <c r="D30" s="151">
        <f>(ROUND(SUM(D28:D29),-1))</f>
        <v>540</v>
      </c>
      <c r="E30" s="151">
        <f>(ROUND(SUM(E28:E29),-1))</f>
        <v>480</v>
      </c>
      <c r="F30" s="151">
        <f>(ROUND(SUM(F28:F29),-1))</f>
        <v>440</v>
      </c>
    </row>
    <row r="31" spans="1:6">
      <c r="B31" s="151"/>
      <c r="C31" s="151"/>
      <c r="D31" s="151"/>
      <c r="E31" s="151"/>
      <c r="F31" s="151"/>
    </row>
    <row r="32" spans="1:6">
      <c r="A32" s="7" t="s">
        <v>161</v>
      </c>
      <c r="B32" s="151"/>
      <c r="C32" s="151"/>
      <c r="D32" s="151"/>
      <c r="E32" s="151"/>
      <c r="F32" s="151"/>
    </row>
    <row r="33" spans="1:6">
      <c r="A33" s="13" t="str">
        <f>'NORTH FORK'!A28</f>
        <v>GW CBCU</v>
      </c>
      <c r="B33" s="151">
        <f>+B7</f>
        <v>0</v>
      </c>
      <c r="C33" s="151">
        <f>+C7</f>
        <v>0</v>
      </c>
      <c r="D33" s="151">
        <f>+D7</f>
        <v>0</v>
      </c>
      <c r="E33" s="151">
        <f>+E7</f>
        <v>0</v>
      </c>
      <c r="F33" s="151">
        <f>+F7</f>
        <v>0</v>
      </c>
    </row>
    <row r="34" spans="1:6">
      <c r="A34" s="13" t="str">
        <f>'NORTH FORK'!A29</f>
        <v>Total CBCU</v>
      </c>
      <c r="B34" s="151">
        <f>(ROUND(SUM(B33:B33),-1))</f>
        <v>0</v>
      </c>
      <c r="C34" s="151">
        <f>(ROUND(SUM(C33:C33),-1))</f>
        <v>0</v>
      </c>
      <c r="D34" s="151">
        <f>(ROUND(SUM(D33:D33),-1))</f>
        <v>0</v>
      </c>
      <c r="E34" s="151">
        <f>(ROUND(SUM(E33:E33),-1))</f>
        <v>0</v>
      </c>
      <c r="F34" s="151">
        <f>(ROUND(SUM(F33:F33),-1))</f>
        <v>0</v>
      </c>
    </row>
    <row r="35" spans="1:6">
      <c r="A35" s="13" t="s">
        <v>66</v>
      </c>
      <c r="B35" s="151"/>
      <c r="C35" s="151"/>
      <c r="D35" s="151"/>
      <c r="E35" s="151"/>
      <c r="F35" s="151"/>
    </row>
    <row r="36" spans="1:6">
      <c r="A36" s="7" t="s">
        <v>1</v>
      </c>
      <c r="B36" s="151"/>
      <c r="C36" s="151"/>
      <c r="D36" s="151"/>
      <c r="E36" s="151"/>
      <c r="F36" s="151"/>
    </row>
    <row r="37" spans="1:6">
      <c r="A37" s="11" t="str">
        <f>'NORTH FORK'!A23</f>
        <v>SW CBCU - Irrigation - Non Federal Canals</v>
      </c>
      <c r="B37" s="151">
        <f>B15*CanalCUPercent1</f>
        <v>240.15599999999998</v>
      </c>
      <c r="C37" s="151">
        <f>C15*CanalCUPercent2</f>
        <v>144.29999999999998</v>
      </c>
      <c r="D37" s="151">
        <f>D15*CanalCUPercent3</f>
        <v>177</v>
      </c>
      <c r="E37" s="151">
        <f>E15*CanalCUPercent4</f>
        <v>54.977999999999994</v>
      </c>
      <c r="F37" s="151">
        <f>F15*CanalCUPercent5</f>
        <v>58.8</v>
      </c>
    </row>
    <row r="38" spans="1:6">
      <c r="A38" s="11" t="str">
        <f>'NORTH FORK'!A24</f>
        <v>SW CBCU - Irrigation - Small Pumps</v>
      </c>
      <c r="B38" s="151">
        <f>B16*PumperCUPercent1</f>
        <v>1.4593499999999999</v>
      </c>
      <c r="C38" s="151">
        <f>C16*PumperCUPercent2</f>
        <v>3.1468749999999979</v>
      </c>
      <c r="D38" s="151">
        <f>D16*PumperCUPercent3</f>
        <v>0</v>
      </c>
      <c r="E38" s="151">
        <f>E16*PumperCUPercent4</f>
        <v>3.2381250000000001</v>
      </c>
      <c r="F38" s="151">
        <f>F16*PumperCUPercent5</f>
        <v>4.5</v>
      </c>
    </row>
    <row r="39" spans="1:6">
      <c r="A39" s="11" t="str">
        <f>'NORTH FORK'!A25</f>
        <v>SW CBCU - M&amp;I</v>
      </c>
      <c r="B39" s="151">
        <f>B17*MI_CUPercent1</f>
        <v>0</v>
      </c>
      <c r="C39" s="151">
        <f>C17*MI_CUPercent2</f>
        <v>0</v>
      </c>
      <c r="D39" s="151">
        <f>D17*MI_CUPercent3</f>
        <v>0</v>
      </c>
      <c r="E39" s="151">
        <f>E17*MI_CUPercent4</f>
        <v>0</v>
      </c>
      <c r="F39" s="151">
        <f>F17*MI_CUPercent5</f>
        <v>0</v>
      </c>
    </row>
    <row r="40" spans="1:6">
      <c r="A40" s="41" t="str">
        <f>'NORTH FORK'!A26</f>
        <v>Non-Federal Reservoir Evaporation</v>
      </c>
      <c r="B40" s="151">
        <f>B19</f>
        <v>6.6659416670000002</v>
      </c>
      <c r="C40" s="151">
        <f>C19</f>
        <v>7.66926666666666</v>
      </c>
      <c r="D40" s="151">
        <f>D19</f>
        <v>7</v>
      </c>
      <c r="E40" s="151">
        <f>E19</f>
        <v>12.827374999999996</v>
      </c>
      <c r="F40" s="151">
        <f>F19</f>
        <v>11</v>
      </c>
    </row>
    <row r="41" spans="1:6">
      <c r="A41" s="45" t="str">
        <f>'NORTH FORK'!A27</f>
        <v>SW CBCU</v>
      </c>
      <c r="B41" s="151">
        <f>B37+B38+B39+B40</f>
        <v>248.28129166699998</v>
      </c>
      <c r="C41" s="151">
        <f>C37+C38+C39+C40</f>
        <v>155.11614166666664</v>
      </c>
      <c r="D41" s="151">
        <f>D37+D38+D39+D40</f>
        <v>184</v>
      </c>
      <c r="E41" s="151">
        <f>E37+E38+E39+E40</f>
        <v>71.043499999999995</v>
      </c>
      <c r="F41" s="151">
        <f>F37+F38+F39+F40</f>
        <v>74.3</v>
      </c>
    </row>
    <row r="42" spans="1:6">
      <c r="A42" s="13" t="str">
        <f>'NORTH FORK'!A28</f>
        <v>GW CBCU</v>
      </c>
      <c r="B42" s="151">
        <f>+B8</f>
        <v>3544</v>
      </c>
      <c r="C42" s="151">
        <f>+C8</f>
        <v>3601</v>
      </c>
      <c r="D42" s="151">
        <f>+D8</f>
        <v>3660</v>
      </c>
      <c r="E42" s="151">
        <f>+E8</f>
        <v>3603</v>
      </c>
      <c r="F42" s="151">
        <f>+F8</f>
        <v>3569</v>
      </c>
    </row>
    <row r="43" spans="1:6">
      <c r="A43" s="13" t="str">
        <f>'NORTH FORK'!A29</f>
        <v>Total CBCU</v>
      </c>
      <c r="B43" s="151">
        <f>(ROUND(SUM(B41:B42),-1))</f>
        <v>3790</v>
      </c>
      <c r="C43" s="151">
        <f>(ROUND(SUM(C41:C42),-1))</f>
        <v>3760</v>
      </c>
      <c r="D43" s="151">
        <f>(ROUND(SUM(D41:D42),-1))</f>
        <v>3840</v>
      </c>
      <c r="E43" s="151">
        <f>(ROUND(SUM(E41:E42),-1))</f>
        <v>3670</v>
      </c>
      <c r="F43" s="151">
        <f>(ROUND(SUM(F41:F42),-1))</f>
        <v>3640</v>
      </c>
    </row>
    <row r="44" spans="1:6">
      <c r="A44" s="45" t="s">
        <v>66</v>
      </c>
      <c r="B44" s="151"/>
      <c r="C44" s="151"/>
      <c r="D44" s="151"/>
      <c r="E44" s="151"/>
      <c r="F44" s="151"/>
    </row>
    <row r="45" spans="1:6">
      <c r="A45" s="4" t="s">
        <v>162</v>
      </c>
      <c r="B45" s="151"/>
      <c r="C45" s="151"/>
      <c r="D45" s="151"/>
      <c r="E45" s="151"/>
      <c r="F45" s="151"/>
    </row>
    <row r="46" spans="1:6">
      <c r="A46" s="45" t="str">
        <f>'NORTH FORK'!A42</f>
        <v>Total SW CBCU</v>
      </c>
      <c r="B46" s="151">
        <f>+B41+B28</f>
        <v>248.28129166699998</v>
      </c>
      <c r="C46" s="151">
        <f>+C41+C28</f>
        <v>155.11614166666664</v>
      </c>
      <c r="D46" s="151">
        <f>+D41+D28</f>
        <v>184</v>
      </c>
      <c r="E46" s="151">
        <f>+E41+E28</f>
        <v>71.043499999999995</v>
      </c>
      <c r="F46" s="151">
        <f>+F41+F28</f>
        <v>74.3</v>
      </c>
    </row>
    <row r="47" spans="1:6">
      <c r="A47" s="45" t="str">
        <f>'NORTH FORK'!A43</f>
        <v>Total GW CBCU</v>
      </c>
      <c r="B47" s="151">
        <f>+B29+B33+B42</f>
        <v>4046</v>
      </c>
      <c r="C47" s="151">
        <f>+C29+C33+C42</f>
        <v>4122</v>
      </c>
      <c r="D47" s="151">
        <f>+D29+D33+D42</f>
        <v>4197</v>
      </c>
      <c r="E47" s="151">
        <f>+E29+E33+E42</f>
        <v>4085</v>
      </c>
      <c r="F47" s="151">
        <f>+F29+F33+F42</f>
        <v>4006</v>
      </c>
    </row>
    <row r="48" spans="1:6">
      <c r="A48" s="45" t="str">
        <f>'NORTH FORK'!A44</f>
        <v>Total Basin CBCU</v>
      </c>
      <c r="B48" s="151">
        <f>(ROUND(SUM(B46:B47),-1))</f>
        <v>4290</v>
      </c>
      <c r="C48" s="151">
        <f>(ROUND(SUM(C46:C47),-1))</f>
        <v>4280</v>
      </c>
      <c r="D48" s="151">
        <f>(ROUND(SUM(D46:D47),-1))</f>
        <v>4380</v>
      </c>
      <c r="E48" s="151">
        <f>(ROUND(SUM(E46:E47),-1))</f>
        <v>4160</v>
      </c>
      <c r="F48" s="151">
        <f>(ROUND(SUM(F46:F47),-1))</f>
        <v>4080</v>
      </c>
    </row>
    <row r="49" spans="1:6">
      <c r="A49" s="45" t="s">
        <v>66</v>
      </c>
      <c r="B49" s="151"/>
      <c r="C49" s="151"/>
      <c r="D49" s="151"/>
      <c r="E49" s="151"/>
      <c r="F49" s="151"/>
    </row>
    <row r="50" spans="1:6" ht="15.75">
      <c r="A50" s="10" t="s">
        <v>10</v>
      </c>
      <c r="B50" s="151"/>
      <c r="C50" s="151"/>
      <c r="D50" s="151"/>
      <c r="E50" s="151"/>
      <c r="F50" s="151"/>
    </row>
    <row r="51" spans="1:6">
      <c r="A51" s="62" t="str">
        <f t="shared" ref="A51:F51" si="3">A11</f>
        <v>Buffalo Creek Near Haigler</v>
      </c>
      <c r="B51" s="151">
        <f t="shared" si="3"/>
        <v>1282</v>
      </c>
      <c r="C51" s="151">
        <f t="shared" si="3"/>
        <v>1858</v>
      </c>
      <c r="D51" s="151">
        <f t="shared" si="3"/>
        <v>1355</v>
      </c>
      <c r="E51" s="151">
        <f t="shared" si="3"/>
        <v>2143.4181818181801</v>
      </c>
      <c r="F51" s="151">
        <f t="shared" si="3"/>
        <v>1583</v>
      </c>
    </row>
    <row r="52" spans="1:6">
      <c r="A52" s="13" t="str">
        <f>'NORTH FORK'!A49</f>
        <v>Colorado CBCU</v>
      </c>
      <c r="B52" s="151">
        <f>+B30</f>
        <v>500</v>
      </c>
      <c r="C52" s="151">
        <f>+C30</f>
        <v>520</v>
      </c>
      <c r="D52" s="151">
        <f>+D30</f>
        <v>540</v>
      </c>
      <c r="E52" s="151">
        <f>+E30</f>
        <v>480</v>
      </c>
      <c r="F52" s="151">
        <f>+F30</f>
        <v>440</v>
      </c>
    </row>
    <row r="53" spans="1:6">
      <c r="A53" s="2" t="str">
        <f>'NORTH FORK'!A50</f>
        <v>Kansas CBCU</v>
      </c>
      <c r="B53" s="145">
        <f>+B34</f>
        <v>0</v>
      </c>
      <c r="C53" s="145">
        <f>+C34</f>
        <v>0</v>
      </c>
      <c r="D53" s="145">
        <f>+D34</f>
        <v>0</v>
      </c>
      <c r="E53" s="145">
        <f>+E34</f>
        <v>0</v>
      </c>
      <c r="F53" s="145">
        <f>+F34</f>
        <v>0</v>
      </c>
    </row>
    <row r="54" spans="1:6">
      <c r="A54" s="2" t="str">
        <f>'NORTH FORK'!A51</f>
        <v>Nebraska CBCU</v>
      </c>
      <c r="B54" s="145">
        <f>+B43</f>
        <v>3790</v>
      </c>
      <c r="C54" s="145">
        <f>+C43</f>
        <v>3760</v>
      </c>
      <c r="D54" s="145">
        <f>+D43</f>
        <v>3840</v>
      </c>
      <c r="E54" s="145">
        <f>+E43</f>
        <v>3670</v>
      </c>
      <c r="F54" s="145">
        <f>+F43</f>
        <v>3640</v>
      </c>
    </row>
    <row r="55" spans="1:6">
      <c r="A55" s="2" t="str">
        <f>'NORTH FORK'!A52</f>
        <v>Imported Water</v>
      </c>
      <c r="B55" s="151">
        <f>+B5</f>
        <v>0</v>
      </c>
      <c r="C55" s="151">
        <f>+C5</f>
        <v>0</v>
      </c>
      <c r="D55" s="151">
        <f>+D5</f>
        <v>0</v>
      </c>
      <c r="E55" s="151">
        <f>+E5</f>
        <v>0</v>
      </c>
      <c r="F55" s="151">
        <f>+F5</f>
        <v>0</v>
      </c>
    </row>
    <row r="56" spans="1:6">
      <c r="A56" s="2" t="str">
        <f>'NORTH FORK'!A54</f>
        <v>Virgin Water Supply</v>
      </c>
      <c r="B56" s="145">
        <f>ROUND(SUM(B51:B54)-B55,-1)</f>
        <v>5570</v>
      </c>
      <c r="C56" s="145">
        <f>ROUND(SUM(C51:C54)-C55,-1)</f>
        <v>6140</v>
      </c>
      <c r="D56" s="145">
        <f>ROUND(SUM(D51:D54)-D55,-1)</f>
        <v>5740</v>
      </c>
      <c r="E56" s="145">
        <f>ROUND(SUM(E51:E54)-E55,-1)</f>
        <v>6290</v>
      </c>
      <c r="F56" s="145">
        <f>ROUND(SUM(F51:F54)-F55,-1)</f>
        <v>5660</v>
      </c>
    </row>
    <row r="57" spans="1:6">
      <c r="A57" s="2" t="str">
        <f>'NORTH FORK'!A55</f>
        <v>Adjustment For Flood Flows</v>
      </c>
      <c r="B57" s="145">
        <f>B20</f>
        <v>0</v>
      </c>
      <c r="C57" s="145">
        <f>C20</f>
        <v>0</v>
      </c>
      <c r="D57" s="145">
        <f>D20</f>
        <v>0</v>
      </c>
      <c r="E57" s="145">
        <f>E20</f>
        <v>0</v>
      </c>
      <c r="F57" s="145">
        <f>F20</f>
        <v>0</v>
      </c>
    </row>
    <row r="58" spans="1:6">
      <c r="A58" s="2" t="str">
        <f>'NORTH FORK'!A56</f>
        <v>Computed Water Supply</v>
      </c>
      <c r="B58" s="145">
        <f>ROUND(+B56-B57,-1)</f>
        <v>5570</v>
      </c>
      <c r="C58" s="145">
        <f>ROUND(+C56-C57,-1)</f>
        <v>6140</v>
      </c>
      <c r="D58" s="145">
        <f>ROUND(+D56-D57,-1)</f>
        <v>5740</v>
      </c>
      <c r="E58" s="145">
        <f>ROUND(+E56-E57,-1)</f>
        <v>6290</v>
      </c>
      <c r="F58" s="145">
        <f>ROUND(+F56-F57,-1)</f>
        <v>5660</v>
      </c>
    </row>
    <row r="59" spans="1:6">
      <c r="A59" s="8" t="s">
        <v>66</v>
      </c>
      <c r="B59" s="145"/>
      <c r="C59" s="145"/>
      <c r="D59" s="145"/>
      <c r="E59" s="145"/>
      <c r="F59" s="145"/>
    </row>
    <row r="60" spans="1:6" ht="15.75">
      <c r="A60" s="10" t="s">
        <v>12</v>
      </c>
      <c r="B60" s="154"/>
      <c r="C60" s="154"/>
      <c r="D60" s="154"/>
      <c r="E60" s="154"/>
      <c r="F60" s="154"/>
    </row>
    <row r="61" spans="1:6">
      <c r="A61" s="8" t="str">
        <f>'NORTH FORK'!A59</f>
        <v>Colorado Percent Of Allocation</v>
      </c>
      <c r="B61" s="117">
        <f>'T2'!$D5</f>
        <v>0</v>
      </c>
      <c r="C61" s="117">
        <f>'T2'!$D5</f>
        <v>0</v>
      </c>
      <c r="D61" s="117">
        <f>'T2'!$D5</f>
        <v>0</v>
      </c>
      <c r="E61" s="117">
        <f>'T2'!$D5</f>
        <v>0</v>
      </c>
      <c r="F61" s="117">
        <f>'T2'!$D5</f>
        <v>0</v>
      </c>
    </row>
    <row r="62" spans="1:6">
      <c r="A62" s="8" t="str">
        <f>'NORTH FORK'!A60</f>
        <v>Colorado Allocation</v>
      </c>
      <c r="B62" s="145">
        <f>ROUND(+B58*B61,-1)</f>
        <v>0</v>
      </c>
      <c r="C62" s="145">
        <f>ROUND(+C58*C61,-1)</f>
        <v>0</v>
      </c>
      <c r="D62" s="145">
        <f>ROUND(+D58*D61,-1)</f>
        <v>0</v>
      </c>
      <c r="E62" s="145">
        <f>ROUND(+E58*E61,-1)</f>
        <v>0</v>
      </c>
      <c r="F62" s="145">
        <f>ROUND(+F58*F61,-1)</f>
        <v>0</v>
      </c>
    </row>
    <row r="63" spans="1:6">
      <c r="A63" s="8" t="str">
        <f>'NORTH FORK'!A61</f>
        <v>Kansas Percent Of Allocation</v>
      </c>
      <c r="B63" s="117">
        <f>'T2'!$F5</f>
        <v>0</v>
      </c>
      <c r="C63" s="117">
        <f>'T2'!$F5</f>
        <v>0</v>
      </c>
      <c r="D63" s="117">
        <f>'T2'!$F5</f>
        <v>0</v>
      </c>
      <c r="E63" s="117">
        <f>'T2'!$F5</f>
        <v>0</v>
      </c>
      <c r="F63" s="117">
        <f>'T2'!$F5</f>
        <v>0</v>
      </c>
    </row>
    <row r="64" spans="1:6">
      <c r="A64" s="8" t="str">
        <f>'NORTH FORK'!A62</f>
        <v>Kansas Allocation</v>
      </c>
      <c r="B64" s="145">
        <f>ROUND(B58*B63,-1)</f>
        <v>0</v>
      </c>
      <c r="C64" s="145">
        <f>ROUND(C58*C63,-1)</f>
        <v>0</v>
      </c>
      <c r="D64" s="145">
        <f>ROUND(D58*D63,-1)</f>
        <v>0</v>
      </c>
      <c r="E64" s="145">
        <f>ROUND(E58*E63,-1)</f>
        <v>0</v>
      </c>
      <c r="F64" s="145">
        <f>ROUND(F58*F63,-1)</f>
        <v>0</v>
      </c>
    </row>
    <row r="65" spans="1:6">
      <c r="A65" s="8" t="str">
        <f>'NORTH FORK'!A63</f>
        <v>Nebraska Percent Of Allocation</v>
      </c>
      <c r="B65" s="117">
        <f>'T2'!$H5</f>
        <v>0.33</v>
      </c>
      <c r="C65" s="117">
        <f>'T2'!$H5</f>
        <v>0.33</v>
      </c>
      <c r="D65" s="117">
        <f>'T2'!$H5</f>
        <v>0.33</v>
      </c>
      <c r="E65" s="117">
        <f>'T2'!$H5</f>
        <v>0.33</v>
      </c>
      <c r="F65" s="117">
        <f>'T2'!$H5</f>
        <v>0.33</v>
      </c>
    </row>
    <row r="66" spans="1:6">
      <c r="A66" s="8" t="str">
        <f>'NORTH FORK'!A64</f>
        <v>Nebraska Allocation</v>
      </c>
      <c r="B66" s="145">
        <f>ROUND(B58*B65,-1)</f>
        <v>1840</v>
      </c>
      <c r="C66" s="145">
        <f>ROUND(C58*C65,-1)</f>
        <v>2030</v>
      </c>
      <c r="D66" s="145">
        <f>ROUND(D58*D65,-1)</f>
        <v>1890</v>
      </c>
      <c r="E66" s="145">
        <f>ROUND(E58*E65,-1)</f>
        <v>2080</v>
      </c>
      <c r="F66" s="145">
        <f>ROUND(F58*F65,-1)</f>
        <v>1870</v>
      </c>
    </row>
    <row r="67" spans="1:6">
      <c r="A67" s="8" t="str">
        <f>'NORTH FORK'!A65</f>
        <v>Total Basin Allocation</v>
      </c>
      <c r="B67" s="145">
        <f>+B62+B64+B66</f>
        <v>1840</v>
      </c>
      <c r="C67" s="145">
        <f>+C62+C64+C66</f>
        <v>2030</v>
      </c>
      <c r="D67" s="145">
        <f>+D62+D64+D66</f>
        <v>1890</v>
      </c>
      <c r="E67" s="145">
        <f>+E62+E64+E66</f>
        <v>2080</v>
      </c>
      <c r="F67" s="145">
        <f>+F62+F64+F66</f>
        <v>1870</v>
      </c>
    </row>
    <row r="68" spans="1:6">
      <c r="A68" s="8" t="str">
        <f>'NORTH FORK'!A66</f>
        <v>Percent Of Supply Not Allocated</v>
      </c>
      <c r="B68" s="117">
        <f>'T2'!$J5</f>
        <v>0.67</v>
      </c>
      <c r="C68" s="117">
        <f>'T2'!$J5</f>
        <v>0.67</v>
      </c>
      <c r="D68" s="117">
        <f>'T2'!$J5</f>
        <v>0.67</v>
      </c>
      <c r="E68" s="117">
        <f>'T2'!$J5</f>
        <v>0.67</v>
      </c>
      <c r="F68" s="117">
        <f>'T2'!$J5</f>
        <v>0.67</v>
      </c>
    </row>
    <row r="69" spans="1:6">
      <c r="A69" s="8" t="str">
        <f>'NORTH FORK'!A67</f>
        <v>Quantity Of Unallocated Supply</v>
      </c>
      <c r="B69" s="145">
        <f>+B58-B62-B64-B66</f>
        <v>3730</v>
      </c>
      <c r="C69" s="145">
        <f>+C58-C62-C64-C66</f>
        <v>4110</v>
      </c>
      <c r="D69" s="145">
        <f>+D58-D62-D64-D66</f>
        <v>3850</v>
      </c>
      <c r="E69" s="145">
        <f>+E58-E62-E64-E66</f>
        <v>4210</v>
      </c>
      <c r="F69" s="145">
        <f>+F58-F62-F64-F66</f>
        <v>3790</v>
      </c>
    </row>
    <row r="70" spans="1:6">
      <c r="A70" s="14"/>
    </row>
    <row r="71" spans="1:6">
      <c r="A71" s="14"/>
    </row>
  </sheetData>
  <phoneticPr fontId="0" type="noConversion"/>
  <printOptions headings="1"/>
  <pageMargins left="0.75" right="0.75" top="0.75" bottom="0.5" header="0.25" footer="0.5"/>
  <pageSetup paperSize="3" fitToHeight="2" orientation="portrait" r:id="rId1"/>
  <headerFooter alignWithMargins="0">
    <oddHeader>&amp;LRRCA
Compact Accounting&amp;C&amp;A SUB-BASIN&amp;RPage &amp;P of &amp;N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F61"/>
  <sheetViews>
    <sheetView zoomScale="80" zoomScaleNormal="80" workbookViewId="0">
      <pane ySplit="1" topLeftCell="A23" activePane="bottomLeft" state="frozen"/>
      <selection pane="bottomLeft" activeCell="J1" sqref="J1:M1048576"/>
    </sheetView>
  </sheetViews>
  <sheetFormatPr defaultRowHeight="12.75"/>
  <cols>
    <col min="1" max="1" width="69.7109375" customWidth="1"/>
    <col min="2" max="4" width="9.140625" style="319"/>
  </cols>
  <sheetData>
    <row r="1" spans="1:6" ht="15.75">
      <c r="A1" s="37" t="s">
        <v>210</v>
      </c>
      <c r="B1" s="194">
        <f>INPUT!C1</f>
        <v>2017</v>
      </c>
      <c r="C1" s="194">
        <f>INPUT!D1</f>
        <v>2018</v>
      </c>
      <c r="D1" s="194">
        <f>INPUT!E1</f>
        <v>2019</v>
      </c>
      <c r="E1" s="194">
        <f>INPUT!F1</f>
        <v>2020</v>
      </c>
      <c r="F1" s="194">
        <f>INPUT!G1</f>
        <v>2021</v>
      </c>
    </row>
    <row r="2" spans="1:6">
      <c r="A2" t="s">
        <v>66</v>
      </c>
      <c r="E2" s="319"/>
      <c r="F2" s="319"/>
    </row>
    <row r="3" spans="1:6" ht="15.75">
      <c r="A3" s="9" t="s">
        <v>157</v>
      </c>
      <c r="E3" s="319"/>
      <c r="F3" s="319"/>
    </row>
    <row r="4" spans="1:6">
      <c r="A4" s="7" t="s">
        <v>158</v>
      </c>
      <c r="E4" s="319"/>
      <c r="F4" s="319"/>
    </row>
    <row r="5" spans="1:6">
      <c r="A5" s="31" t="str">
        <f>+INPUT!B50</f>
        <v>Imported Water Nebraska</v>
      </c>
      <c r="B5" s="145">
        <f>+INPUT!C50</f>
        <v>0</v>
      </c>
      <c r="C5" s="145">
        <f>+INPUT!D50</f>
        <v>0</v>
      </c>
      <c r="D5" s="145">
        <f>+INPUT!E50</f>
        <v>0</v>
      </c>
      <c r="E5" s="145">
        <f>+INPUT!F50</f>
        <v>0</v>
      </c>
      <c r="F5" s="145">
        <f>+INPUT!G50</f>
        <v>0</v>
      </c>
    </row>
    <row r="6" spans="1:6">
      <c r="A6" s="31" t="str">
        <f>+INPUT!B13</f>
        <v>GW CBCU Colorado</v>
      </c>
      <c r="B6" s="145">
        <f>+INPUT!C13</f>
        <v>112</v>
      </c>
      <c r="C6" s="145">
        <f>+INPUT!D13</f>
        <v>123</v>
      </c>
      <c r="D6" s="145">
        <f>+INPUT!E13</f>
        <v>134</v>
      </c>
      <c r="E6" s="145">
        <f>+INPUT!F13</f>
        <v>94</v>
      </c>
      <c r="F6" s="145">
        <f>+INPUT!G13</f>
        <v>82</v>
      </c>
    </row>
    <row r="7" spans="1:6">
      <c r="A7" s="31" t="str">
        <f>+INPUT!B14</f>
        <v>GW CBCU Kansas</v>
      </c>
      <c r="B7" s="145">
        <f>+INPUT!C14</f>
        <v>0</v>
      </c>
      <c r="C7" s="145">
        <f>+INPUT!D14</f>
        <v>0</v>
      </c>
      <c r="D7" s="145">
        <f>+INPUT!E14</f>
        <v>0</v>
      </c>
      <c r="E7" s="145">
        <f>+INPUT!F14</f>
        <v>0</v>
      </c>
      <c r="F7" s="145">
        <f>+INPUT!G14</f>
        <v>0</v>
      </c>
    </row>
    <row r="8" spans="1:6" ht="12" customHeight="1">
      <c r="A8" s="31" t="str">
        <f>+INPUT!B15</f>
        <v>GW CBCU Nebraska</v>
      </c>
      <c r="B8" s="145">
        <f>+INPUT!C15</f>
        <v>5064</v>
      </c>
      <c r="C8" s="145">
        <f>+INPUT!D15</f>
        <v>5200</v>
      </c>
      <c r="D8" s="145">
        <f>+INPUT!E15</f>
        <v>5293</v>
      </c>
      <c r="E8" s="145">
        <f>+INPUT!F15</f>
        <v>5190</v>
      </c>
      <c r="F8" s="145">
        <f>+INPUT!G15</f>
        <v>5113</v>
      </c>
    </row>
    <row r="9" spans="1:6" ht="12" customHeight="1">
      <c r="A9" s="31" t="s">
        <v>564</v>
      </c>
      <c r="B9" s="145">
        <f>RWS_CWSA!Z16</f>
        <v>4563</v>
      </c>
      <c r="C9" s="145">
        <f>RWS_CWSA!Z17</f>
        <v>0</v>
      </c>
      <c r="D9" s="145">
        <f>RWS_CWSA!Z18</f>
        <v>0</v>
      </c>
      <c r="E9" s="145">
        <f>RWS_CWSA!Z19</f>
        <v>0</v>
      </c>
      <c r="F9" s="145">
        <f>RWS_CWSA!Z20</f>
        <v>0</v>
      </c>
    </row>
    <row r="10" spans="1:6">
      <c r="A10" s="4" t="s">
        <v>160</v>
      </c>
      <c r="B10" s="145"/>
      <c r="C10" s="145"/>
      <c r="D10" s="145"/>
      <c r="E10" s="145"/>
      <c r="F10" s="145"/>
    </row>
    <row r="11" spans="1:6">
      <c r="A11" s="31" t="str">
        <f>+INPUT!B187</f>
        <v>Rock Creek At Parks</v>
      </c>
      <c r="B11" s="145">
        <f>+INPUT!C187</f>
        <v>8686</v>
      </c>
      <c r="C11" s="145">
        <f>+INPUT!D187</f>
        <v>4095</v>
      </c>
      <c r="D11" s="145">
        <f>+INPUT!E187</f>
        <v>3748</v>
      </c>
      <c r="E11" s="145">
        <f>+INPUT!F187</f>
        <v>4049</v>
      </c>
      <c r="F11" s="145">
        <f>+INPUT!G187</f>
        <v>3583</v>
      </c>
    </row>
    <row r="12" spans="1:6">
      <c r="A12" s="31" t="str">
        <f>+INPUT!B81</f>
        <v>SW Diversions - Irrigation - Non-Federal Canals - Nebraska</v>
      </c>
      <c r="B12" s="145">
        <f>+INPUT!C81</f>
        <v>0</v>
      </c>
      <c r="C12" s="145">
        <f>+INPUT!D81</f>
        <v>0</v>
      </c>
      <c r="D12" s="145">
        <f>+INPUT!E81</f>
        <v>0</v>
      </c>
      <c r="E12" s="145">
        <f>+INPUT!F81</f>
        <v>0</v>
      </c>
      <c r="F12" s="145">
        <f>+INPUT!G81</f>
        <v>0</v>
      </c>
    </row>
    <row r="13" spans="1:6">
      <c r="A13" s="31" t="str">
        <f>+INPUT!B82</f>
        <v>SW Diversions - Irrigation - Small Pumps - Nebraska</v>
      </c>
      <c r="B13" s="145">
        <f>+INPUT!C82</f>
        <v>0</v>
      </c>
      <c r="C13" s="145">
        <f>+INPUT!D82</f>
        <v>0</v>
      </c>
      <c r="D13" s="145">
        <f>+INPUT!E82</f>
        <v>0</v>
      </c>
      <c r="E13" s="145">
        <f>+INPUT!F82</f>
        <v>0.11700270819034</v>
      </c>
      <c r="F13" s="145">
        <f>+INPUT!G82</f>
        <v>0</v>
      </c>
    </row>
    <row r="14" spans="1:6">
      <c r="A14" s="31" t="str">
        <f>+INPUT!B83</f>
        <v>SW Diversions - M&amp;I - Nebraska</v>
      </c>
      <c r="B14" s="145">
        <f>+INPUT!C83</f>
        <v>0</v>
      </c>
      <c r="C14" s="145">
        <f>+INPUT!D83</f>
        <v>0</v>
      </c>
      <c r="D14" s="145">
        <f>+INPUT!E83</f>
        <v>0</v>
      </c>
      <c r="E14" s="145">
        <f>+INPUT!F83</f>
        <v>0</v>
      </c>
      <c r="F14" s="145">
        <f>+INPUT!G83</f>
        <v>0</v>
      </c>
    </row>
    <row r="15" spans="1:6">
      <c r="A15" s="31" t="str">
        <f>+INPUT!B160</f>
        <v>Non-Federal Reservoir Evaporation - Nebraska</v>
      </c>
      <c r="B15" s="145">
        <f>+INPUT!C160</f>
        <v>97.501833329999997</v>
      </c>
      <c r="C15" s="145">
        <f>+INPUT!D160</f>
        <v>87.498319999999893</v>
      </c>
      <c r="D15" s="145">
        <f>+INPUT!E160</f>
        <v>88</v>
      </c>
      <c r="E15" s="145">
        <f>+INPUT!F160</f>
        <v>152.37366666666662</v>
      </c>
      <c r="F15" s="145">
        <f>+INPUT!G160</f>
        <v>127</v>
      </c>
    </row>
    <row r="16" spans="1:6">
      <c r="A16" s="136" t="str">
        <f>+FLOOD!A60</f>
        <v>Rock Flood Flow</v>
      </c>
      <c r="B16" s="145">
        <f>+FLOOD!B60</f>
        <v>0</v>
      </c>
      <c r="C16" s="145">
        <f>+FLOOD!C60</f>
        <v>0</v>
      </c>
      <c r="D16" s="145">
        <f>+FLOOD!D60</f>
        <v>0</v>
      </c>
      <c r="E16" s="145">
        <f>+FLOOD!E60</f>
        <v>0</v>
      </c>
      <c r="F16" s="145">
        <f>+FLOOD!F60</f>
        <v>0</v>
      </c>
    </row>
    <row r="17" spans="1:6">
      <c r="A17" s="5" t="s">
        <v>66</v>
      </c>
      <c r="B17" s="145"/>
      <c r="C17" s="145"/>
      <c r="D17" s="145"/>
      <c r="E17" s="145"/>
      <c r="F17" s="145"/>
    </row>
    <row r="18" spans="1:6" ht="15.75">
      <c r="A18" s="9" t="s">
        <v>241</v>
      </c>
      <c r="B18" s="145"/>
      <c r="C18" s="145"/>
      <c r="D18" s="145"/>
      <c r="E18" s="145"/>
      <c r="F18" s="145"/>
    </row>
    <row r="19" spans="1:6">
      <c r="A19" s="7" t="s">
        <v>0</v>
      </c>
      <c r="B19" s="145"/>
      <c r="C19" s="145"/>
      <c r="D19" s="145"/>
      <c r="E19" s="145"/>
      <c r="F19" s="145"/>
    </row>
    <row r="20" spans="1:6">
      <c r="A20" s="2" t="str">
        <f>'NORTH FORK'!A28</f>
        <v>GW CBCU</v>
      </c>
      <c r="B20" s="145">
        <f>+B6</f>
        <v>112</v>
      </c>
      <c r="C20" s="145">
        <f>+C6</f>
        <v>123</v>
      </c>
      <c r="D20" s="145">
        <f>+D6</f>
        <v>134</v>
      </c>
      <c r="E20" s="145">
        <f>+E6</f>
        <v>94</v>
      </c>
      <c r="F20" s="145">
        <f>+F6</f>
        <v>82</v>
      </c>
    </row>
    <row r="21" spans="1:6">
      <c r="A21" s="2" t="str">
        <f>'NORTH FORK'!A29</f>
        <v>Total CBCU</v>
      </c>
      <c r="B21" s="145">
        <f>(ROUND(SUM(B20:B20),-1))</f>
        <v>110</v>
      </c>
      <c r="C21" s="145">
        <f>(ROUND(SUM(C20:C20),-1))</f>
        <v>120</v>
      </c>
      <c r="D21" s="145">
        <f>(ROUND(SUM(D20:D20),-1))</f>
        <v>130</v>
      </c>
      <c r="E21" s="145">
        <f>(ROUND(SUM(E20:E20),-1))</f>
        <v>90</v>
      </c>
      <c r="F21" s="145">
        <f>(ROUND(SUM(F20:F20),-1))</f>
        <v>80</v>
      </c>
    </row>
    <row r="22" spans="1:6">
      <c r="A22" s="2" t="s">
        <v>66</v>
      </c>
      <c r="B22" s="145"/>
      <c r="C22" s="145"/>
      <c r="D22" s="145"/>
      <c r="E22" s="145"/>
      <c r="F22" s="145"/>
    </row>
    <row r="23" spans="1:6">
      <c r="A23" s="7" t="s">
        <v>161</v>
      </c>
      <c r="B23" s="145"/>
      <c r="C23" s="145"/>
      <c r="D23" s="145"/>
      <c r="E23" s="145"/>
      <c r="F23" s="145"/>
    </row>
    <row r="24" spans="1:6">
      <c r="A24" s="2" t="str">
        <f>'NORTH FORK'!A28</f>
        <v>GW CBCU</v>
      </c>
      <c r="B24" s="145">
        <f>+B7</f>
        <v>0</v>
      </c>
      <c r="C24" s="145">
        <f>+C7</f>
        <v>0</v>
      </c>
      <c r="D24" s="145">
        <f>+D7</f>
        <v>0</v>
      </c>
      <c r="E24" s="145">
        <f>+E7</f>
        <v>0</v>
      </c>
      <c r="F24" s="145">
        <f>+F7</f>
        <v>0</v>
      </c>
    </row>
    <row r="25" spans="1:6">
      <c r="A25" s="2" t="str">
        <f>'NORTH FORK'!A29</f>
        <v>Total CBCU</v>
      </c>
      <c r="B25" s="145">
        <f>(ROUND(SUM(B24:B24),-1))</f>
        <v>0</v>
      </c>
      <c r="C25" s="145">
        <f>(ROUND(SUM(C24:C24),-1))</f>
        <v>0</v>
      </c>
      <c r="D25" s="145">
        <f>(ROUND(SUM(D24:D24),-1))</f>
        <v>0</v>
      </c>
      <c r="E25" s="145">
        <f>(ROUND(SUM(E24:E24),-1))</f>
        <v>0</v>
      </c>
      <c r="F25" s="145">
        <f>(ROUND(SUM(F24:F24),-1))</f>
        <v>0</v>
      </c>
    </row>
    <row r="26" spans="1:6">
      <c r="A26" s="2" t="s">
        <v>66</v>
      </c>
      <c r="B26" s="145"/>
      <c r="C26" s="145"/>
      <c r="D26" s="145"/>
      <c r="E26" s="145"/>
      <c r="F26" s="145"/>
    </row>
    <row r="27" spans="1:6">
      <c r="A27" s="7" t="s">
        <v>1</v>
      </c>
      <c r="B27" s="145"/>
      <c r="C27" s="145"/>
      <c r="D27" s="145"/>
      <c r="E27" s="145"/>
      <c r="F27" s="145"/>
    </row>
    <row r="28" spans="1:6">
      <c r="A28" s="42" t="str">
        <f>A12</f>
        <v>SW Diversions - Irrigation - Non-Federal Canals - Nebraska</v>
      </c>
      <c r="B28" s="151">
        <f>B12*CanalCUPercent1</f>
        <v>0</v>
      </c>
      <c r="C28" s="151">
        <f>C12*CanalCUPercent2</f>
        <v>0</v>
      </c>
      <c r="D28" s="151">
        <f>D12*CanalCUPercent3</f>
        <v>0</v>
      </c>
      <c r="E28" s="151">
        <f>E12*CanalCUPercent4</f>
        <v>0</v>
      </c>
      <c r="F28" s="151">
        <f>F12*CanalCUPercent5</f>
        <v>0</v>
      </c>
    </row>
    <row r="29" spans="1:6">
      <c r="A29" s="13" t="str">
        <f>'NORTH FORK'!A24</f>
        <v>SW CBCU - Irrigation - Small Pumps</v>
      </c>
      <c r="B29" s="151">
        <f>B13*PumperCUPercent1</f>
        <v>0</v>
      </c>
      <c r="C29" s="151">
        <f>C13*PumperCUPercent2</f>
        <v>0</v>
      </c>
      <c r="D29" s="151">
        <f>D13*PumperCUPercent3</f>
        <v>0</v>
      </c>
      <c r="E29" s="151">
        <f>E13*PumperCUPercent4</f>
        <v>8.775203114275501E-2</v>
      </c>
      <c r="F29" s="151">
        <f>F13*PumperCUPercent5</f>
        <v>0</v>
      </c>
    </row>
    <row r="30" spans="1:6">
      <c r="A30" s="13" t="str">
        <f>'NORTH FORK'!A25</f>
        <v>SW CBCU - M&amp;I</v>
      </c>
      <c r="B30" s="151">
        <f>B14*MI_CUPercent1</f>
        <v>0</v>
      </c>
      <c r="C30" s="151">
        <f>C14*MI_CUPercent2</f>
        <v>0</v>
      </c>
      <c r="D30" s="151">
        <f>D14*MI_CUPercent3</f>
        <v>0</v>
      </c>
      <c r="E30" s="151">
        <f>E14*MI_CUPercent4</f>
        <v>0</v>
      </c>
      <c r="F30" s="151">
        <f>F14*MI_CUPercent5</f>
        <v>0</v>
      </c>
    </row>
    <row r="31" spans="1:6">
      <c r="A31" s="13" t="str">
        <f>'NORTH FORK'!A26</f>
        <v>Non-Federal Reservoir Evaporation</v>
      </c>
      <c r="B31" s="151">
        <f>B15</f>
        <v>97.501833329999997</v>
      </c>
      <c r="C31" s="151">
        <f>C15</f>
        <v>87.498319999999893</v>
      </c>
      <c r="D31" s="151">
        <f>D15</f>
        <v>88</v>
      </c>
      <c r="E31" s="151">
        <f>E15</f>
        <v>152.37366666666662</v>
      </c>
      <c r="F31" s="151">
        <f>F15</f>
        <v>127</v>
      </c>
    </row>
    <row r="32" spans="1:6">
      <c r="A32" s="13" t="str">
        <f>'NORTH FORK'!A27</f>
        <v>SW CBCU</v>
      </c>
      <c r="B32" s="151">
        <f>B28+B29+B30+B31</f>
        <v>97.501833329999997</v>
      </c>
      <c r="C32" s="151">
        <f>C28+C29+C30+C31</f>
        <v>87.498319999999893</v>
      </c>
      <c r="D32" s="151">
        <f>D28+D29+D30+D31</f>
        <v>88</v>
      </c>
      <c r="E32" s="151">
        <f>E28+E29+E30+E31</f>
        <v>152.46141869780936</v>
      </c>
      <c r="F32" s="151">
        <f>F28+F29+F30+F31</f>
        <v>127</v>
      </c>
    </row>
    <row r="33" spans="1:6">
      <c r="A33" s="13" t="str">
        <f>'NORTH FORK'!A28</f>
        <v>GW CBCU</v>
      </c>
      <c r="B33" s="151">
        <f>+B8</f>
        <v>5064</v>
      </c>
      <c r="C33" s="151">
        <f>+C8</f>
        <v>5200</v>
      </c>
      <c r="D33" s="151">
        <f>+D8</f>
        <v>5293</v>
      </c>
      <c r="E33" s="151">
        <f>+E8</f>
        <v>5190</v>
      </c>
      <c r="F33" s="151">
        <f>+F8</f>
        <v>5113</v>
      </c>
    </row>
    <row r="34" spans="1:6">
      <c r="A34" s="13" t="str">
        <f>'NORTH FORK'!A29</f>
        <v>Total CBCU</v>
      </c>
      <c r="B34" s="151">
        <f>(ROUND(SUM(B32:B33),-1))</f>
        <v>5160</v>
      </c>
      <c r="C34" s="151">
        <f>(ROUND(SUM(C32:C33),-1))</f>
        <v>5290</v>
      </c>
      <c r="D34" s="151">
        <f>(ROUND(SUM(D32:D33),-1))</f>
        <v>5380</v>
      </c>
      <c r="E34" s="151">
        <f>(ROUND(SUM(E32:E33),-1))</f>
        <v>5340</v>
      </c>
      <c r="F34" s="151">
        <f>(ROUND(SUM(F32:F33),-1))</f>
        <v>5240</v>
      </c>
    </row>
    <row r="35" spans="1:6">
      <c r="A35" s="45" t="s">
        <v>66</v>
      </c>
      <c r="B35" s="151"/>
      <c r="C35" s="151"/>
      <c r="D35" s="151"/>
      <c r="E35" s="151"/>
      <c r="F35" s="151"/>
    </row>
    <row r="36" spans="1:6">
      <c r="A36" s="4" t="s">
        <v>162</v>
      </c>
      <c r="B36" s="151"/>
      <c r="C36" s="151"/>
      <c r="D36" s="151"/>
      <c r="E36" s="151"/>
      <c r="F36" s="151"/>
    </row>
    <row r="37" spans="1:6">
      <c r="A37" s="45" t="str">
        <f>'NORTH FORK'!A42</f>
        <v>Total SW CBCU</v>
      </c>
      <c r="B37" s="151">
        <f>+B32</f>
        <v>97.501833329999997</v>
      </c>
      <c r="C37" s="151">
        <f>+C32</f>
        <v>87.498319999999893</v>
      </c>
      <c r="D37" s="151">
        <f>+D32</f>
        <v>88</v>
      </c>
      <c r="E37" s="151">
        <f>+E32</f>
        <v>152.46141869780936</v>
      </c>
      <c r="F37" s="151">
        <f>+F32</f>
        <v>127</v>
      </c>
    </row>
    <row r="38" spans="1:6">
      <c r="A38" s="45" t="str">
        <f>'NORTH FORK'!A43</f>
        <v>Total GW CBCU</v>
      </c>
      <c r="B38" s="151">
        <f>+B20+B24+B33</f>
        <v>5176</v>
      </c>
      <c r="C38" s="151">
        <f>+C20+C24+C33</f>
        <v>5323</v>
      </c>
      <c r="D38" s="151">
        <f>+D20+D24+D33</f>
        <v>5427</v>
      </c>
      <c r="E38" s="151">
        <f>+E20+E24+E33</f>
        <v>5284</v>
      </c>
      <c r="F38" s="151">
        <f>+F20+F24+F33</f>
        <v>5195</v>
      </c>
    </row>
    <row r="39" spans="1:6">
      <c r="A39" s="45" t="str">
        <f>'NORTH FORK'!A44</f>
        <v>Total Basin CBCU</v>
      </c>
      <c r="B39" s="151">
        <f>(ROUND(SUM(B37:B38),-1))</f>
        <v>5270</v>
      </c>
      <c r="C39" s="151">
        <f>(ROUND(SUM(C37:C38),-1))</f>
        <v>5410</v>
      </c>
      <c r="D39" s="151">
        <f>(ROUND(SUM(D37:D38),-1))</f>
        <v>5520</v>
      </c>
      <c r="E39" s="151">
        <f>(ROUND(SUM(E37:E38),-1))</f>
        <v>5440</v>
      </c>
      <c r="F39" s="151">
        <f>(ROUND(SUM(F37:F38),-1))</f>
        <v>5320</v>
      </c>
    </row>
    <row r="40" spans="1:6">
      <c r="A40" s="45" t="s">
        <v>66</v>
      </c>
      <c r="B40" s="151"/>
      <c r="C40" s="151"/>
      <c r="D40" s="151"/>
      <c r="E40" s="151"/>
      <c r="F40" s="151"/>
    </row>
    <row r="41" spans="1:6" ht="15.75">
      <c r="A41" s="10" t="s">
        <v>10</v>
      </c>
      <c r="B41" s="151"/>
      <c r="C41" s="151"/>
      <c r="D41" s="151"/>
      <c r="E41" s="151"/>
      <c r="F41" s="151"/>
    </row>
    <row r="42" spans="1:6">
      <c r="A42" s="13" t="str">
        <f t="shared" ref="A42:F42" si="0">A11</f>
        <v>Rock Creek At Parks</v>
      </c>
      <c r="B42" s="151">
        <f t="shared" si="0"/>
        <v>8686</v>
      </c>
      <c r="C42" s="151">
        <f t="shared" si="0"/>
        <v>4095</v>
      </c>
      <c r="D42" s="151">
        <f t="shared" si="0"/>
        <v>3748</v>
      </c>
      <c r="E42" s="151">
        <f t="shared" si="0"/>
        <v>4049</v>
      </c>
      <c r="F42" s="151">
        <f t="shared" si="0"/>
        <v>3583</v>
      </c>
    </row>
    <row r="43" spans="1:6">
      <c r="A43" s="13" t="str">
        <f>'NORTH FORK'!A49</f>
        <v>Colorado CBCU</v>
      </c>
      <c r="B43" s="151">
        <f>+B21</f>
        <v>110</v>
      </c>
      <c r="C43" s="151">
        <f>+C21</f>
        <v>120</v>
      </c>
      <c r="D43" s="151">
        <f>+D21</f>
        <v>130</v>
      </c>
      <c r="E43" s="151">
        <f>+E21</f>
        <v>90</v>
      </c>
      <c r="F43" s="151">
        <f>+F21</f>
        <v>80</v>
      </c>
    </row>
    <row r="44" spans="1:6">
      <c r="A44" s="13" t="str">
        <f>'NORTH FORK'!A50</f>
        <v>Kansas CBCU</v>
      </c>
      <c r="B44" s="151">
        <f>+B25</f>
        <v>0</v>
      </c>
      <c r="C44" s="151">
        <f>+C25</f>
        <v>0</v>
      </c>
      <c r="D44" s="151">
        <f>+D25</f>
        <v>0</v>
      </c>
      <c r="E44" s="151">
        <f>+E25</f>
        <v>0</v>
      </c>
      <c r="F44" s="151">
        <f>+F25</f>
        <v>0</v>
      </c>
    </row>
    <row r="45" spans="1:6">
      <c r="A45" s="13" t="str">
        <f>'NORTH FORK'!A51</f>
        <v>Nebraska CBCU</v>
      </c>
      <c r="B45" s="151">
        <f>+B34</f>
        <v>5160</v>
      </c>
      <c r="C45" s="151">
        <f>+C34</f>
        <v>5290</v>
      </c>
      <c r="D45" s="151">
        <f>+D34</f>
        <v>5380</v>
      </c>
      <c r="E45" s="151">
        <f>+E34</f>
        <v>5340</v>
      </c>
      <c r="F45" s="151">
        <f>+F34</f>
        <v>5240</v>
      </c>
    </row>
    <row r="46" spans="1:6">
      <c r="A46" s="13" t="str">
        <f>'NORTH FORK'!A52</f>
        <v>Imported Water</v>
      </c>
      <c r="B46" s="151">
        <f>B5</f>
        <v>0</v>
      </c>
      <c r="C46" s="151">
        <f>C5</f>
        <v>0</v>
      </c>
      <c r="D46" s="151">
        <f>D5</f>
        <v>0</v>
      </c>
      <c r="E46" s="151">
        <f>E5</f>
        <v>0</v>
      </c>
      <c r="F46" s="151">
        <f>F5</f>
        <v>0</v>
      </c>
    </row>
    <row r="47" spans="1:6">
      <c r="A47" s="48" t="s">
        <v>564</v>
      </c>
      <c r="B47" s="151">
        <f>B9</f>
        <v>4563</v>
      </c>
      <c r="C47" s="151">
        <f>C9</f>
        <v>0</v>
      </c>
      <c r="D47" s="151">
        <f>D9</f>
        <v>0</v>
      </c>
      <c r="E47" s="151">
        <f>E9</f>
        <v>0</v>
      </c>
      <c r="F47" s="151">
        <f>F9</f>
        <v>0</v>
      </c>
    </row>
    <row r="48" spans="1:6">
      <c r="A48" s="13" t="str">
        <f>'NORTH FORK'!A54</f>
        <v>Virgin Water Supply</v>
      </c>
      <c r="B48" s="151">
        <f>ROUND(SUM(B42:B45)-B46-B47,-1)</f>
        <v>9390</v>
      </c>
      <c r="C48" s="151">
        <f>ROUND(SUM(C42:C45)-C46-C47,-1)</f>
        <v>9510</v>
      </c>
      <c r="D48" s="151">
        <f>ROUND(SUM(D42:D45)-D46-D47,-1)</f>
        <v>9260</v>
      </c>
      <c r="E48" s="151">
        <f>ROUND(SUM(E42:E45)-E46-E47,-1)</f>
        <v>9480</v>
      </c>
      <c r="F48" s="151">
        <f>ROUND(SUM(F42:F45)-F46-F47,-1)</f>
        <v>8900</v>
      </c>
    </row>
    <row r="49" spans="1:6">
      <c r="A49" s="13" t="str">
        <f>'NORTH FORK'!A55</f>
        <v>Adjustment For Flood Flows</v>
      </c>
      <c r="B49" s="151">
        <f>B16</f>
        <v>0</v>
      </c>
      <c r="C49" s="151">
        <f>C16</f>
        <v>0</v>
      </c>
      <c r="D49" s="151">
        <f>D16</f>
        <v>0</v>
      </c>
      <c r="E49" s="151">
        <f>E16</f>
        <v>0</v>
      </c>
      <c r="F49" s="151">
        <f>F16</f>
        <v>0</v>
      </c>
    </row>
    <row r="50" spans="1:6">
      <c r="A50" s="13" t="str">
        <f>'NORTH FORK'!A56</f>
        <v>Computed Water Supply</v>
      </c>
      <c r="B50" s="151">
        <f>ROUND(+B48-B49,-1)</f>
        <v>9390</v>
      </c>
      <c r="C50" s="151">
        <f>ROUND(+C48-C49,-1)</f>
        <v>9510</v>
      </c>
      <c r="D50" s="151">
        <f>ROUND(+D48-D49,-1)</f>
        <v>9260</v>
      </c>
      <c r="E50" s="151">
        <f>ROUND(+E48-E49,-1)</f>
        <v>9480</v>
      </c>
      <c r="F50" s="151">
        <f>ROUND(+F48-F49,-1)</f>
        <v>8900</v>
      </c>
    </row>
    <row r="51" spans="1:6">
      <c r="A51" s="8" t="s">
        <v>66</v>
      </c>
      <c r="B51" s="145"/>
      <c r="C51" s="145"/>
      <c r="D51" s="145"/>
      <c r="E51" s="145"/>
      <c r="F51" s="145"/>
    </row>
    <row r="52" spans="1:6" ht="15.75">
      <c r="A52" s="10" t="s">
        <v>12</v>
      </c>
      <c r="B52" s="154"/>
      <c r="C52" s="154"/>
      <c r="D52" s="154"/>
      <c r="E52" s="154"/>
      <c r="F52" s="154"/>
    </row>
    <row r="53" spans="1:6">
      <c r="A53" s="2" t="str">
        <f>'NORTH FORK'!A59</f>
        <v>Colorado Percent Of Allocation</v>
      </c>
      <c r="B53" s="117">
        <f>'T2'!$D6</f>
        <v>0</v>
      </c>
      <c r="C53" s="117">
        <f>'T2'!$D6</f>
        <v>0</v>
      </c>
      <c r="D53" s="117">
        <f>'T2'!$D6</f>
        <v>0</v>
      </c>
      <c r="E53" s="117">
        <f>'T2'!$D6</f>
        <v>0</v>
      </c>
      <c r="F53" s="117">
        <f>'T2'!$D6</f>
        <v>0</v>
      </c>
    </row>
    <row r="54" spans="1:6">
      <c r="A54" s="2" t="str">
        <f>'NORTH FORK'!A60</f>
        <v>Colorado Allocation</v>
      </c>
      <c r="B54" s="145">
        <f>ROUND(+B50*B53,-1)</f>
        <v>0</v>
      </c>
      <c r="C54" s="145">
        <f>ROUND(+C50*C53,-1)</f>
        <v>0</v>
      </c>
      <c r="D54" s="145">
        <f>ROUND(+D50*D53,-1)</f>
        <v>0</v>
      </c>
      <c r="E54" s="145">
        <f>ROUND(+E50*E53,-1)</f>
        <v>0</v>
      </c>
      <c r="F54" s="145">
        <f>ROUND(+F50*F53,-1)</f>
        <v>0</v>
      </c>
    </row>
    <row r="55" spans="1:6">
      <c r="A55" s="2" t="str">
        <f>'NORTH FORK'!A61</f>
        <v>Kansas Percent Of Allocation</v>
      </c>
      <c r="B55" s="117">
        <f>'T2'!$F6</f>
        <v>0</v>
      </c>
      <c r="C55" s="117">
        <f>'T2'!$F6</f>
        <v>0</v>
      </c>
      <c r="D55" s="117">
        <f>'T2'!$F6</f>
        <v>0</v>
      </c>
      <c r="E55" s="117">
        <f>'T2'!$F6</f>
        <v>0</v>
      </c>
      <c r="F55" s="117">
        <f>'T2'!$F6</f>
        <v>0</v>
      </c>
    </row>
    <row r="56" spans="1:6">
      <c r="A56" s="2" t="str">
        <f>'NORTH FORK'!A62</f>
        <v>Kansas Allocation</v>
      </c>
      <c r="B56" s="145">
        <f>ROUND(B50*B55,-1)</f>
        <v>0</v>
      </c>
      <c r="C56" s="145">
        <f>ROUND(C50*C55,-1)</f>
        <v>0</v>
      </c>
      <c r="D56" s="145">
        <f>ROUND(D50*D55,-1)</f>
        <v>0</v>
      </c>
      <c r="E56" s="145">
        <f>ROUND(E50*E55,-1)</f>
        <v>0</v>
      </c>
      <c r="F56" s="145">
        <f>ROUND(F50*F55,-1)</f>
        <v>0</v>
      </c>
    </row>
    <row r="57" spans="1:6">
      <c r="A57" s="2" t="str">
        <f>'NORTH FORK'!A63</f>
        <v>Nebraska Percent Of Allocation</v>
      </c>
      <c r="B57" s="117">
        <f>'T2'!$H6</f>
        <v>0.4</v>
      </c>
      <c r="C57" s="117">
        <f>'T2'!$H6</f>
        <v>0.4</v>
      </c>
      <c r="D57" s="117">
        <f>'T2'!$H6</f>
        <v>0.4</v>
      </c>
      <c r="E57" s="117">
        <f>'T2'!$H6</f>
        <v>0.4</v>
      </c>
      <c r="F57" s="117">
        <f>'T2'!$H6</f>
        <v>0.4</v>
      </c>
    </row>
    <row r="58" spans="1:6">
      <c r="A58" s="2" t="str">
        <f>'NORTH FORK'!A64</f>
        <v>Nebraska Allocation</v>
      </c>
      <c r="B58" s="145">
        <f>ROUND(B50*B57,-1)</f>
        <v>3760</v>
      </c>
      <c r="C58" s="145">
        <f>ROUND(C50*C57,-1)</f>
        <v>3800</v>
      </c>
      <c r="D58" s="145">
        <f>ROUND(D50*D57,-1)</f>
        <v>3700</v>
      </c>
      <c r="E58" s="145">
        <f>ROUND(E50*E57,-1)</f>
        <v>3790</v>
      </c>
      <c r="F58" s="145">
        <f>ROUND(F50*F57,-1)</f>
        <v>3560</v>
      </c>
    </row>
    <row r="59" spans="1:6">
      <c r="A59" s="2" t="str">
        <f>'NORTH FORK'!A65</f>
        <v>Total Basin Allocation</v>
      </c>
      <c r="B59" s="145">
        <f>+B54+B56+B58</f>
        <v>3760</v>
      </c>
      <c r="C59" s="145">
        <f>+C54+C56+C58</f>
        <v>3800</v>
      </c>
      <c r="D59" s="145">
        <f>+D54+D56+D58</f>
        <v>3700</v>
      </c>
      <c r="E59" s="145">
        <f>+E54+E56+E58</f>
        <v>3790</v>
      </c>
      <c r="F59" s="145">
        <f>+F54+F56+F58</f>
        <v>3560</v>
      </c>
    </row>
    <row r="60" spans="1:6">
      <c r="A60" s="2" t="str">
        <f>'NORTH FORK'!A66</f>
        <v>Percent Of Supply Not Allocated</v>
      </c>
      <c r="B60" s="117">
        <f>'T2'!$J6</f>
        <v>0.6</v>
      </c>
      <c r="C60" s="117">
        <f>'T2'!$J6</f>
        <v>0.6</v>
      </c>
      <c r="D60" s="117">
        <f>'T2'!$J6</f>
        <v>0.6</v>
      </c>
      <c r="E60" s="117">
        <f>'T2'!$J6</f>
        <v>0.6</v>
      </c>
      <c r="F60" s="117">
        <f>'T2'!$J6</f>
        <v>0.6</v>
      </c>
    </row>
    <row r="61" spans="1:6">
      <c r="A61" s="2" t="str">
        <f>'NORTH FORK'!A67</f>
        <v>Quantity Of Unallocated Supply</v>
      </c>
      <c r="B61" s="145">
        <f>+B50-B54-B56-B58</f>
        <v>5630</v>
      </c>
      <c r="C61" s="145">
        <f>+C50-C54-C56-C58</f>
        <v>5710</v>
      </c>
      <c r="D61" s="145">
        <f>+D50-D54-D56-D58</f>
        <v>5560</v>
      </c>
      <c r="E61" s="145">
        <f>+E50-E54-E56-E58</f>
        <v>5690</v>
      </c>
      <c r="F61" s="145">
        <f>+F50-F54-F56-F58</f>
        <v>5340</v>
      </c>
    </row>
  </sheetData>
  <phoneticPr fontId="0" type="noConversion"/>
  <printOptions headings="1"/>
  <pageMargins left="0.75" right="0.75" top="0.75" bottom="0.5" header="0.25" footer="0.5"/>
  <pageSetup paperSize="3" orientation="portrait" r:id="rId1"/>
  <headerFooter alignWithMargins="0">
    <oddHeader>&amp;LRRCA
Compact Accounting&amp;C&amp;A SUB-BASIN&amp;RPage &amp;P of &amp;N</oddHeader>
  </headerFooter>
  <rowBreaks count="1" manualBreakCount="1">
    <brk id="50" max="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F84"/>
  <sheetViews>
    <sheetView workbookViewId="0">
      <pane ySplit="1" topLeftCell="A2" activePane="bottomLeft" state="frozen"/>
      <selection pane="bottomLeft" activeCell="B1" sqref="B1:F1"/>
    </sheetView>
  </sheetViews>
  <sheetFormatPr defaultRowHeight="12.75"/>
  <cols>
    <col min="1" max="1" width="69.42578125" customWidth="1"/>
  </cols>
  <sheetData>
    <row r="1" spans="1:6" ht="15.75">
      <c r="A1" s="37" t="s">
        <v>209</v>
      </c>
      <c r="B1" s="194">
        <f>INPUT!C1</f>
        <v>2017</v>
      </c>
      <c r="C1" s="194">
        <f>INPUT!D1</f>
        <v>2018</v>
      </c>
      <c r="D1" s="194">
        <f>INPUT!E1</f>
        <v>2019</v>
      </c>
      <c r="E1" s="194">
        <f>INPUT!F1</f>
        <v>2020</v>
      </c>
      <c r="F1" s="194">
        <f>INPUT!G1</f>
        <v>2021</v>
      </c>
    </row>
    <row r="2" spans="1:6">
      <c r="A2" t="s">
        <v>66</v>
      </c>
      <c r="E2" s="312"/>
      <c r="F2" s="312"/>
    </row>
    <row r="3" spans="1:6" ht="15.75">
      <c r="A3" s="9" t="s">
        <v>157</v>
      </c>
      <c r="E3" s="312"/>
      <c r="F3" s="312"/>
    </row>
    <row r="4" spans="1:6">
      <c r="A4" s="7" t="s">
        <v>158</v>
      </c>
      <c r="E4" s="312"/>
      <c r="F4" s="312"/>
    </row>
    <row r="5" spans="1:6">
      <c r="A5" s="31" t="str">
        <f>+INPUT!B51</f>
        <v>Imported Water Nebraska</v>
      </c>
      <c r="B5" s="145">
        <f>+INPUT!C51</f>
        <v>0</v>
      </c>
      <c r="C5" s="145">
        <f>+INPUT!D51</f>
        <v>0</v>
      </c>
      <c r="D5" s="145">
        <f>+INPUT!E51</f>
        <v>0</v>
      </c>
      <c r="E5" s="145">
        <f>+INPUT!F51</f>
        <v>0</v>
      </c>
      <c r="F5" s="145">
        <f>+INPUT!G51</f>
        <v>0</v>
      </c>
    </row>
    <row r="6" spans="1:6">
      <c r="A6" s="31" t="str">
        <f>+INPUT!B16</f>
        <v>GW CBCU Colorado</v>
      </c>
      <c r="B6" s="145">
        <f>+INPUT!C16</f>
        <v>13537</v>
      </c>
      <c r="C6" s="145">
        <f>+INPUT!D16</f>
        <v>14602</v>
      </c>
      <c r="D6" s="145">
        <f>+INPUT!E16</f>
        <v>13154</v>
      </c>
      <c r="E6" s="145">
        <f>+INPUT!F16</f>
        <v>11037</v>
      </c>
      <c r="F6" s="145">
        <f>+INPUT!G16</f>
        <v>13764</v>
      </c>
    </row>
    <row r="7" spans="1:6">
      <c r="A7" s="31" t="str">
        <f>+INPUT!B17</f>
        <v>GW CBCU Kansas</v>
      </c>
      <c r="B7" s="145">
        <f>+INPUT!C17</f>
        <v>4637</v>
      </c>
      <c r="C7" s="145">
        <f>+INPUT!D17</f>
        <v>6630</v>
      </c>
      <c r="D7" s="145">
        <f>+INPUT!E17</f>
        <v>3366</v>
      </c>
      <c r="E7" s="145">
        <f>+INPUT!F17</f>
        <v>3490</v>
      </c>
      <c r="F7" s="145">
        <f>+INPUT!G17</f>
        <v>5176</v>
      </c>
    </row>
    <row r="8" spans="1:6" ht="12" customHeight="1">
      <c r="A8" s="31" t="str">
        <f>+INPUT!B18</f>
        <v>GW CBCU Nebraska</v>
      </c>
      <c r="B8" s="145">
        <f>+INPUT!C18</f>
        <v>699</v>
      </c>
      <c r="C8" s="145">
        <f>+INPUT!D18</f>
        <v>974</v>
      </c>
      <c r="D8" s="145">
        <f>+INPUT!E18</f>
        <v>607</v>
      </c>
      <c r="E8" s="145">
        <f>+INPUT!F18</f>
        <v>717</v>
      </c>
      <c r="F8" s="145">
        <f>+INPUT!G18</f>
        <v>774</v>
      </c>
    </row>
    <row r="9" spans="1:6" ht="12" customHeight="1">
      <c r="A9" s="8" t="s">
        <v>66</v>
      </c>
      <c r="B9" s="145"/>
      <c r="C9" s="145"/>
      <c r="D9" s="145"/>
      <c r="E9" s="145"/>
      <c r="F9" s="145"/>
    </row>
    <row r="10" spans="1:6">
      <c r="A10" s="4" t="s">
        <v>160</v>
      </c>
      <c r="B10" s="145"/>
      <c r="C10" s="145"/>
      <c r="D10" s="145"/>
      <c r="E10" s="145"/>
      <c r="F10" s="145"/>
    </row>
    <row r="11" spans="1:6">
      <c r="A11" s="31" t="str">
        <f>+INPUT!B188</f>
        <v>South Fork Republican River Near Benkelman</v>
      </c>
      <c r="B11" s="145">
        <f>+INPUT!C188</f>
        <v>2385</v>
      </c>
      <c r="C11" s="145">
        <f>+INPUT!D188</f>
        <v>1970</v>
      </c>
      <c r="D11" s="145">
        <f>+INPUT!E188</f>
        <v>2385</v>
      </c>
      <c r="E11" s="145">
        <f>+INPUT!F188</f>
        <v>7229.355371900826</v>
      </c>
      <c r="F11" s="145">
        <f>+INPUT!G188</f>
        <v>321</v>
      </c>
    </row>
    <row r="12" spans="1:6">
      <c r="A12" s="31" t="str">
        <f>+INPUT!B215</f>
        <v>Bonny Reservoir Evaporation</v>
      </c>
      <c r="B12" s="145">
        <f>+INPUT!C215</f>
        <v>0</v>
      </c>
      <c r="C12" s="145">
        <f>+INPUT!D215</f>
        <v>0</v>
      </c>
      <c r="D12" s="145">
        <f>+INPUT!E215</f>
        <v>0</v>
      </c>
      <c r="E12" s="145">
        <f>+INPUT!F215</f>
        <v>0</v>
      </c>
      <c r="F12" s="145">
        <f>+INPUT!G215</f>
        <v>0</v>
      </c>
    </row>
    <row r="13" spans="1:6">
      <c r="A13" s="31" t="str">
        <f>+INPUT!B216</f>
        <v>Bonny Reservoir Change In Storage</v>
      </c>
      <c r="B13" s="145">
        <f>+INPUT!C216</f>
        <v>0</v>
      </c>
      <c r="C13" s="145">
        <f>+INPUT!D216</f>
        <v>0</v>
      </c>
      <c r="D13" s="145">
        <f>+INPUT!E216</f>
        <v>0</v>
      </c>
      <c r="E13" s="145">
        <f>+INPUT!F216</f>
        <v>0</v>
      </c>
      <c r="F13" s="145">
        <f>+INPUT!G216</f>
        <v>0</v>
      </c>
    </row>
    <row r="14" spans="1:6">
      <c r="A14" s="31" t="str">
        <f>+INPUT!B236</f>
        <v>Hale Ditch Diversions</v>
      </c>
      <c r="B14" s="145">
        <f>+INPUT!C236</f>
        <v>716</v>
      </c>
      <c r="C14" s="145">
        <f>+INPUT!D236</f>
        <v>594</v>
      </c>
      <c r="D14" s="145">
        <f>+INPUT!E236</f>
        <v>0</v>
      </c>
      <c r="E14" s="145">
        <f>+INPUT!F236</f>
        <v>0</v>
      </c>
      <c r="F14" s="145">
        <f>+INPUT!G236</f>
        <v>0</v>
      </c>
    </row>
    <row r="15" spans="1:6">
      <c r="A15" s="31" t="str">
        <f>+INPUT!B84</f>
        <v>SW Diversions - Irrigation -Non-Federal Canals- Colorado</v>
      </c>
      <c r="B15" s="145">
        <f>+INPUT!C84</f>
        <v>0</v>
      </c>
      <c r="C15" s="145">
        <f>+INPUT!D84</f>
        <v>0</v>
      </c>
      <c r="D15" s="145">
        <f>+INPUT!E84</f>
        <v>0</v>
      </c>
      <c r="E15" s="145">
        <f>+INPUT!F84</f>
        <v>0</v>
      </c>
      <c r="F15" s="145">
        <f>+INPUT!G84</f>
        <v>0</v>
      </c>
    </row>
    <row r="16" spans="1:6">
      <c r="A16" s="50" t="str">
        <f>+INPUT!B85</f>
        <v>SW Diversions - Irrigation - Small Pumps - Colorado</v>
      </c>
      <c r="B16" s="151">
        <f>+INPUT!C85</f>
        <v>0</v>
      </c>
      <c r="C16" s="151">
        <f>+INPUT!D85</f>
        <v>0</v>
      </c>
      <c r="D16" s="151">
        <f>+INPUT!E85</f>
        <v>0</v>
      </c>
      <c r="E16" s="151">
        <f>+INPUT!F85</f>
        <v>0</v>
      </c>
      <c r="F16" s="151">
        <f>+INPUT!G85</f>
        <v>0</v>
      </c>
    </row>
    <row r="17" spans="1:6">
      <c r="A17" s="50" t="str">
        <f>+INPUT!B86</f>
        <v>SW Diversions - M&amp;I - Colorado</v>
      </c>
      <c r="B17" s="151">
        <f>+INPUT!C86</f>
        <v>0</v>
      </c>
      <c r="C17" s="151">
        <f>+INPUT!D86</f>
        <v>0</v>
      </c>
      <c r="D17" s="151">
        <f>+INPUT!E86</f>
        <v>0</v>
      </c>
      <c r="E17" s="151">
        <f>+INPUT!F86</f>
        <v>0</v>
      </c>
      <c r="F17" s="151">
        <f>+INPUT!G86</f>
        <v>0</v>
      </c>
    </row>
    <row r="18" spans="1:6">
      <c r="A18" s="50" t="str">
        <f>+INPUT!B87</f>
        <v>SW Diversions - Irrigation - Non-Federal Canals- Kansas</v>
      </c>
      <c r="B18" s="151">
        <f>+INPUT!C87</f>
        <v>0</v>
      </c>
      <c r="C18" s="151">
        <f>+INPUT!D87</f>
        <v>0</v>
      </c>
      <c r="D18" s="151">
        <f>+INPUT!E87</f>
        <v>0</v>
      </c>
      <c r="E18" s="151">
        <f>+INPUT!F87</f>
        <v>0</v>
      </c>
      <c r="F18" s="151">
        <f>+INPUT!G87</f>
        <v>0</v>
      </c>
    </row>
    <row r="19" spans="1:6">
      <c r="A19" s="50" t="str">
        <f>+INPUT!B88</f>
        <v>SW Diversions - Irrigation - Small Pumps - Kansas</v>
      </c>
      <c r="B19" s="151">
        <f>+INPUT!C88</f>
        <v>0</v>
      </c>
      <c r="C19" s="151">
        <f>+INPUT!D88</f>
        <v>0</v>
      </c>
      <c r="D19" s="151">
        <f>+INPUT!E88</f>
        <v>0</v>
      </c>
      <c r="E19" s="151">
        <f>+INPUT!F88</f>
        <v>0</v>
      </c>
      <c r="F19" s="151">
        <f>+INPUT!G88</f>
        <v>0</v>
      </c>
    </row>
    <row r="20" spans="1:6">
      <c r="A20" s="50" t="str">
        <f>+INPUT!B89</f>
        <v>SW Diversions - M&amp;I - Kansas</v>
      </c>
      <c r="B20" s="151">
        <f>+INPUT!C89</f>
        <v>0</v>
      </c>
      <c r="C20" s="151">
        <f>+INPUT!D89</f>
        <v>0</v>
      </c>
      <c r="D20" s="151">
        <f>+INPUT!E89</f>
        <v>0</v>
      </c>
      <c r="E20" s="151">
        <f>+INPUT!F89</f>
        <v>0</v>
      </c>
      <c r="F20" s="151">
        <f>+INPUT!G89</f>
        <v>0</v>
      </c>
    </row>
    <row r="21" spans="1:6">
      <c r="A21" s="50" t="str">
        <f>+INPUT!B90</f>
        <v>SW Diversions - Irrigation - Non-Federal Canals - Nebraska</v>
      </c>
      <c r="B21" s="151">
        <f>+INPUT!C90</f>
        <v>0</v>
      </c>
      <c r="C21" s="151">
        <f>+INPUT!D90</f>
        <v>0</v>
      </c>
      <c r="D21" s="151">
        <f>+INPUT!E90</f>
        <v>0</v>
      </c>
      <c r="E21" s="151">
        <f>+INPUT!F90</f>
        <v>0</v>
      </c>
      <c r="F21" s="151">
        <f>+INPUT!G90</f>
        <v>0</v>
      </c>
    </row>
    <row r="22" spans="1:6">
      <c r="A22" s="50" t="str">
        <f>+INPUT!B91</f>
        <v>SW Diversions - Irrigation - Small Pumps - Nebraska</v>
      </c>
      <c r="B22" s="151">
        <f>+INPUT!C91</f>
        <v>0</v>
      </c>
      <c r="C22" s="151">
        <f>+INPUT!D91</f>
        <v>0</v>
      </c>
      <c r="D22" s="151">
        <f>+INPUT!E91</f>
        <v>0</v>
      </c>
      <c r="E22" s="151">
        <f>+INPUT!F91</f>
        <v>0</v>
      </c>
      <c r="F22" s="151">
        <f>+INPUT!G91</f>
        <v>0</v>
      </c>
    </row>
    <row r="23" spans="1:6">
      <c r="A23" s="50" t="str">
        <f>INPUT!B92</f>
        <v>SW Diversions - M&amp;I - Nebraska</v>
      </c>
      <c r="B23" s="151">
        <f>INPUT!C92</f>
        <v>0</v>
      </c>
      <c r="C23" s="151">
        <f>INPUT!D92</f>
        <v>0</v>
      </c>
      <c r="D23" s="151">
        <f>INPUT!E92</f>
        <v>0</v>
      </c>
      <c r="E23" s="151">
        <f>INPUT!F92</f>
        <v>0</v>
      </c>
      <c r="F23" s="151">
        <f>INPUT!G92</f>
        <v>0</v>
      </c>
    </row>
    <row r="24" spans="1:6">
      <c r="A24" s="50" t="str">
        <f>+INPUT!B161</f>
        <v>Non-Federal Reservoir Evaporation - Colorado</v>
      </c>
      <c r="B24" s="151">
        <f>+INPUT!C161</f>
        <v>14</v>
      </c>
      <c r="C24" s="151">
        <f>+INPUT!D161</f>
        <v>0</v>
      </c>
      <c r="D24" s="151">
        <f>+INPUT!E161</f>
        <v>0</v>
      </c>
      <c r="E24" s="151">
        <f>+INPUT!F161</f>
        <v>0</v>
      </c>
      <c r="F24" s="151">
        <f>+INPUT!G161</f>
        <v>0</v>
      </c>
    </row>
    <row r="25" spans="1:6">
      <c r="A25" s="50" t="str">
        <f>+INPUT!B162</f>
        <v>Non-Federal Reservoir Evaporation - Kansas</v>
      </c>
      <c r="B25" s="151">
        <f>+INPUT!C162</f>
        <v>96</v>
      </c>
      <c r="C25" s="151">
        <f>+INPUT!D162</f>
        <v>106.31038709374998</v>
      </c>
      <c r="D25" s="151">
        <f>+INPUT!E162</f>
        <v>107</v>
      </c>
      <c r="E25" s="151">
        <f>+INPUT!F162</f>
        <v>164.96</v>
      </c>
      <c r="F25" s="151">
        <f>+INPUT!G162</f>
        <v>136.74</v>
      </c>
    </row>
    <row r="26" spans="1:6">
      <c r="A26" s="50" t="str">
        <f>+INPUT!B163</f>
        <v>Non-Federal Reservoir Evaporation - Nebraska</v>
      </c>
      <c r="B26" s="151">
        <f>+INPUT!C163</f>
        <v>0</v>
      </c>
      <c r="C26" s="151">
        <f>+INPUT!D163</f>
        <v>0</v>
      </c>
      <c r="D26" s="151">
        <f>+INPUT!E163</f>
        <v>0</v>
      </c>
      <c r="E26" s="151">
        <f>+INPUT!F163</f>
        <v>0</v>
      </c>
      <c r="F26" s="151">
        <f>+INPUT!G163</f>
        <v>0</v>
      </c>
    </row>
    <row r="27" spans="1:6">
      <c r="A27" s="137" t="str">
        <f>+FLOOD!A61</f>
        <v>Southfork Flood Flow</v>
      </c>
      <c r="B27" s="151">
        <f>+FLOOD!B61</f>
        <v>0</v>
      </c>
      <c r="C27" s="151">
        <f>+FLOOD!C61</f>
        <v>0</v>
      </c>
      <c r="D27" s="151">
        <f>+FLOOD!D61</f>
        <v>0</v>
      </c>
      <c r="E27" s="151">
        <f>+FLOOD!E61</f>
        <v>0</v>
      </c>
      <c r="F27" s="151">
        <f>+FLOOD!F61</f>
        <v>0</v>
      </c>
    </row>
    <row r="28" spans="1:6">
      <c r="A28" s="61" t="s">
        <v>66</v>
      </c>
      <c r="B28" s="151"/>
      <c r="C28" s="151"/>
      <c r="D28" s="151"/>
      <c r="E28" s="151"/>
      <c r="F28" s="151"/>
    </row>
    <row r="29" spans="1:6" ht="15.75">
      <c r="A29" s="9" t="s">
        <v>241</v>
      </c>
      <c r="B29" s="151"/>
      <c r="C29" s="151"/>
      <c r="D29" s="151"/>
      <c r="E29" s="151"/>
      <c r="F29" s="151"/>
    </row>
    <row r="30" spans="1:6">
      <c r="A30" s="7" t="s">
        <v>0</v>
      </c>
      <c r="B30" s="151"/>
      <c r="C30" s="151"/>
      <c r="D30" s="151"/>
      <c r="E30" s="151"/>
      <c r="F30" s="151"/>
    </row>
    <row r="31" spans="1:6">
      <c r="A31" s="11" t="s">
        <v>233</v>
      </c>
      <c r="B31" s="151">
        <f>+B14*CanalCUPercent1</f>
        <v>429.59999999999997</v>
      </c>
      <c r="C31" s="151">
        <f>+C14*CanalCUPercent2</f>
        <v>356.4</v>
      </c>
      <c r="D31" s="151">
        <f>+D14*CanalCUPercent3</f>
        <v>0</v>
      </c>
      <c r="E31" s="151">
        <f>+E14*CanalCUPercent4</f>
        <v>0</v>
      </c>
      <c r="F31" s="151">
        <f>+F14*CanalCUPercent5</f>
        <v>0</v>
      </c>
    </row>
    <row r="32" spans="1:6">
      <c r="A32" s="13" t="str">
        <f>'NORTH FORK'!A23</f>
        <v>SW CBCU - Irrigation - Non Federal Canals</v>
      </c>
      <c r="B32" s="160">
        <f>B15*CanalCUPercent1</f>
        <v>0</v>
      </c>
      <c r="C32" s="160">
        <f>C15*CanalCUPercent2</f>
        <v>0</v>
      </c>
      <c r="D32" s="160">
        <f>D15*CanalCUPercent3</f>
        <v>0</v>
      </c>
      <c r="E32" s="160">
        <f>E15*CanalCUPercent4</f>
        <v>0</v>
      </c>
      <c r="F32" s="160">
        <f>F15*CanalCUPercent5</f>
        <v>0</v>
      </c>
    </row>
    <row r="33" spans="1:6">
      <c r="A33" s="13" t="str">
        <f>'NORTH FORK'!A24</f>
        <v>SW CBCU - Irrigation - Small Pumps</v>
      </c>
      <c r="B33" s="160">
        <f>B16*PumperCUPercent1</f>
        <v>0</v>
      </c>
      <c r="C33" s="160">
        <f>C16*PumperCUPercent2</f>
        <v>0</v>
      </c>
      <c r="D33" s="160">
        <f>D16*PumperCUPercent3</f>
        <v>0</v>
      </c>
      <c r="E33" s="160">
        <f>E16*PumperCUPercent4</f>
        <v>0</v>
      </c>
      <c r="F33" s="160">
        <f>F16*PumperCUPercent5</f>
        <v>0</v>
      </c>
    </row>
    <row r="34" spans="1:6">
      <c r="A34" s="13" t="str">
        <f>'NORTH FORK'!A25</f>
        <v>SW CBCU - M&amp;I</v>
      </c>
      <c r="B34" s="151">
        <f>+B17*MI_CUPercent1</f>
        <v>0</v>
      </c>
      <c r="C34" s="151">
        <f>+C17*MI_CUPercent2</f>
        <v>0</v>
      </c>
      <c r="D34" s="151">
        <f>+D17*MI_CUPercent3</f>
        <v>0</v>
      </c>
      <c r="E34" s="151">
        <f>+E17*MI_CUPercent4</f>
        <v>0</v>
      </c>
      <c r="F34" s="151">
        <f>+F17*MI_CUPercent5</f>
        <v>0</v>
      </c>
    </row>
    <row r="35" spans="1:6">
      <c r="A35" s="13" t="str">
        <f>'NORTH FORK'!A26</f>
        <v>Non-Federal Reservoir Evaporation</v>
      </c>
      <c r="B35" s="151">
        <f>+B24</f>
        <v>14</v>
      </c>
      <c r="C35" s="151">
        <f>+C24</f>
        <v>0</v>
      </c>
      <c r="D35" s="151">
        <f>+D24</f>
        <v>0</v>
      </c>
      <c r="E35" s="151">
        <f>+E24</f>
        <v>0</v>
      </c>
      <c r="F35" s="151">
        <f>+F24</f>
        <v>0</v>
      </c>
    </row>
    <row r="36" spans="1:6">
      <c r="A36" s="45" t="str">
        <f>A12</f>
        <v>Bonny Reservoir Evaporation</v>
      </c>
      <c r="B36" s="151">
        <f>+B12</f>
        <v>0</v>
      </c>
      <c r="C36" s="151">
        <f>+C12</f>
        <v>0</v>
      </c>
      <c r="D36" s="151">
        <f>+D12</f>
        <v>0</v>
      </c>
      <c r="E36" s="151">
        <f>+E12</f>
        <v>0</v>
      </c>
      <c r="F36" s="151">
        <f>+F12</f>
        <v>0</v>
      </c>
    </row>
    <row r="37" spans="1:6">
      <c r="A37" s="13" t="str">
        <f>'NORTH FORK'!A27</f>
        <v>SW CBCU</v>
      </c>
      <c r="B37" s="151">
        <f>B31+B32+B33+B34+B35+B36</f>
        <v>443.59999999999997</v>
      </c>
      <c r="C37" s="151">
        <f>C31+C32+C33+C34+C35+C36</f>
        <v>356.4</v>
      </c>
      <c r="D37" s="151">
        <f>D31+D32+D33+D34+D35+D36</f>
        <v>0</v>
      </c>
      <c r="E37" s="151">
        <f>E31+E32+E33+E34+E35+E36</f>
        <v>0</v>
      </c>
      <c r="F37" s="151">
        <f>F31+F32+F33+F34+F35+F36</f>
        <v>0</v>
      </c>
    </row>
    <row r="38" spans="1:6">
      <c r="A38" s="13" t="str">
        <f>'NORTH FORK'!A28</f>
        <v>GW CBCU</v>
      </c>
      <c r="B38" s="151">
        <f>+B6</f>
        <v>13537</v>
      </c>
      <c r="C38" s="151">
        <f>+C6</f>
        <v>14602</v>
      </c>
      <c r="D38" s="151">
        <f>+D6</f>
        <v>13154</v>
      </c>
      <c r="E38" s="151">
        <f>+E6</f>
        <v>11037</v>
      </c>
      <c r="F38" s="151">
        <f>+F6</f>
        <v>13764</v>
      </c>
    </row>
    <row r="39" spans="1:6">
      <c r="A39" s="13" t="str">
        <f>'NORTH FORK'!A29</f>
        <v>Total CBCU</v>
      </c>
      <c r="B39" s="151">
        <f>(ROUND(SUM(B37:B38),-1))</f>
        <v>13980</v>
      </c>
      <c r="C39" s="151">
        <f>(ROUND(SUM(C37:C38),-1))</f>
        <v>14960</v>
      </c>
      <c r="D39" s="151">
        <f>(ROUND(SUM(D37:D38),-1))</f>
        <v>13150</v>
      </c>
      <c r="E39" s="151">
        <f>(ROUND(SUM(E37:E38),-1))</f>
        <v>11040</v>
      </c>
      <c r="F39" s="151">
        <f>(ROUND(SUM(F37:F38),-1))</f>
        <v>13760</v>
      </c>
    </row>
    <row r="40" spans="1:6">
      <c r="A40" s="13" t="s">
        <v>66</v>
      </c>
      <c r="B40" s="151"/>
      <c r="C40" s="151"/>
      <c r="D40" s="151"/>
      <c r="E40" s="151"/>
      <c r="F40" s="151"/>
    </row>
    <row r="41" spans="1:6">
      <c r="A41" s="7" t="s">
        <v>161</v>
      </c>
      <c r="B41" s="151"/>
      <c r="C41" s="151"/>
      <c r="D41" s="151"/>
      <c r="E41" s="151"/>
      <c r="F41" s="151"/>
    </row>
    <row r="42" spans="1:6">
      <c r="A42" s="13" t="str">
        <f>'NORTH FORK'!A23</f>
        <v>SW CBCU - Irrigation - Non Federal Canals</v>
      </c>
      <c r="B42" s="151">
        <f>+B18*CanalCUPercent1</f>
        <v>0</v>
      </c>
      <c r="C42" s="151">
        <f>+C18*CanalCUPercent2</f>
        <v>0</v>
      </c>
      <c r="D42" s="151">
        <f>+D18*CanalCUPercent3</f>
        <v>0</v>
      </c>
      <c r="E42" s="151">
        <f>+E18*CanalCUPercent4</f>
        <v>0</v>
      </c>
      <c r="F42" s="151">
        <f>+F18*CanalCUPercent5</f>
        <v>0</v>
      </c>
    </row>
    <row r="43" spans="1:6">
      <c r="A43" s="13" t="str">
        <f>'NORTH FORK'!A24</f>
        <v>SW CBCU - Irrigation - Small Pumps</v>
      </c>
      <c r="B43" s="151">
        <f>+B19*PumperCUPercent1</f>
        <v>0</v>
      </c>
      <c r="C43" s="151">
        <f>+C19*PumperCUPercent2</f>
        <v>0</v>
      </c>
      <c r="D43" s="151">
        <f>+D19*PumperCUPercent3</f>
        <v>0</v>
      </c>
      <c r="E43" s="151">
        <f>+E19*PumperCUPercent4</f>
        <v>0</v>
      </c>
      <c r="F43" s="151">
        <f>+F19*PumperCUPercent5</f>
        <v>0</v>
      </c>
    </row>
    <row r="44" spans="1:6">
      <c r="A44" s="13" t="str">
        <f>'NORTH FORK'!A25</f>
        <v>SW CBCU - M&amp;I</v>
      </c>
      <c r="B44" s="151">
        <f>+B20*MI_CUPercent1</f>
        <v>0</v>
      </c>
      <c r="C44" s="151">
        <f>+C20*MI_CUPercent2</f>
        <v>0</v>
      </c>
      <c r="D44" s="151">
        <f>+D20*MI_CUPercent3</f>
        <v>0</v>
      </c>
      <c r="E44" s="151">
        <f>+E20*MI_CUPercent4</f>
        <v>0</v>
      </c>
      <c r="F44" s="151">
        <f>+F20*MI_CUPercent5</f>
        <v>0</v>
      </c>
    </row>
    <row r="45" spans="1:6">
      <c r="A45" s="13" t="str">
        <f>'NORTH FORK'!A26</f>
        <v>Non-Federal Reservoir Evaporation</v>
      </c>
      <c r="B45" s="151">
        <f>B25</f>
        <v>96</v>
      </c>
      <c r="C45" s="151">
        <f>C25</f>
        <v>106.31038709374998</v>
      </c>
      <c r="D45" s="151">
        <f>D25</f>
        <v>107</v>
      </c>
      <c r="E45" s="151">
        <f>E25</f>
        <v>164.96</v>
      </c>
      <c r="F45" s="151">
        <f>F25</f>
        <v>136.74</v>
      </c>
    </row>
    <row r="46" spans="1:6">
      <c r="A46" s="13" t="str">
        <f>'NORTH FORK'!A27</f>
        <v>SW CBCU</v>
      </c>
      <c r="B46" s="151">
        <f>B42+B43+B44+B45</f>
        <v>96</v>
      </c>
      <c r="C46" s="151">
        <f>C42+C43+C44+C45</f>
        <v>106.31038709374998</v>
      </c>
      <c r="D46" s="151">
        <f>D42+D43+D44+D45</f>
        <v>107</v>
      </c>
      <c r="E46" s="151">
        <f>E42+E43+E44+E45</f>
        <v>164.96</v>
      </c>
      <c r="F46" s="151">
        <f>F42+F43+F44+F45</f>
        <v>136.74</v>
      </c>
    </row>
    <row r="47" spans="1:6">
      <c r="A47" s="2" t="str">
        <f>'NORTH FORK'!A28</f>
        <v>GW CBCU</v>
      </c>
      <c r="B47" s="145">
        <f>+B7</f>
        <v>4637</v>
      </c>
      <c r="C47" s="145">
        <f>+C7</f>
        <v>6630</v>
      </c>
      <c r="D47" s="145">
        <f>+D7</f>
        <v>3366</v>
      </c>
      <c r="E47" s="145">
        <f>+E7</f>
        <v>3490</v>
      </c>
      <c r="F47" s="145">
        <f>+F7</f>
        <v>5176</v>
      </c>
    </row>
    <row r="48" spans="1:6">
      <c r="A48" s="2" t="str">
        <f>'NORTH FORK'!A29</f>
        <v>Total CBCU</v>
      </c>
      <c r="B48" s="145">
        <f>(ROUND(SUM(B46:B47),-1))</f>
        <v>4730</v>
      </c>
      <c r="C48" s="145">
        <f>(ROUND(SUM(C46:C47),-1))</f>
        <v>6740</v>
      </c>
      <c r="D48" s="145">
        <f>(ROUND(SUM(D46:D47),-1))</f>
        <v>3470</v>
      </c>
      <c r="E48" s="145">
        <f>(ROUND(SUM(E46:E47),-1))</f>
        <v>3650</v>
      </c>
      <c r="F48" s="145">
        <f>(ROUND(SUM(F46:F47),-1))</f>
        <v>5310</v>
      </c>
    </row>
    <row r="49" spans="1:6">
      <c r="A49" s="2" t="s">
        <v>66</v>
      </c>
      <c r="B49" s="145"/>
      <c r="C49" s="145"/>
      <c r="D49" s="145"/>
      <c r="E49" s="145"/>
      <c r="F49" s="145"/>
    </row>
    <row r="50" spans="1:6">
      <c r="A50" s="7" t="s">
        <v>1</v>
      </c>
      <c r="B50" s="145"/>
      <c r="C50" s="145"/>
      <c r="D50" s="145"/>
      <c r="E50" s="145"/>
      <c r="F50" s="145"/>
    </row>
    <row r="51" spans="1:6">
      <c r="A51" s="13" t="str">
        <f>'NORTH FORK'!A23</f>
        <v>SW CBCU - Irrigation - Non Federal Canals</v>
      </c>
      <c r="B51" s="145">
        <f>B21*CanalCUPercent1</f>
        <v>0</v>
      </c>
      <c r="C51" s="145">
        <f>C21*CanalCUPercent2</f>
        <v>0</v>
      </c>
      <c r="D51" s="145">
        <f>D21*CanalCUPercent3</f>
        <v>0</v>
      </c>
      <c r="E51" s="145">
        <f>E21*CanalCUPercent4</f>
        <v>0</v>
      </c>
      <c r="F51" s="145">
        <f>F21*CanalCUPercent5</f>
        <v>0</v>
      </c>
    </row>
    <row r="52" spans="1:6">
      <c r="A52" s="2" t="str">
        <f>'NORTH FORK'!A24</f>
        <v>SW CBCU - Irrigation - Small Pumps</v>
      </c>
      <c r="B52" s="145">
        <f>B22*PumperCUPercent1</f>
        <v>0</v>
      </c>
      <c r="C52" s="145">
        <f>C22*PumperCUPercent2</f>
        <v>0</v>
      </c>
      <c r="D52" s="145">
        <f>D22*PumperCUPercent3</f>
        <v>0</v>
      </c>
      <c r="E52" s="145">
        <f>E22*PumperCUPercent4</f>
        <v>0</v>
      </c>
      <c r="F52" s="145">
        <f>F22*PumperCUPercent5</f>
        <v>0</v>
      </c>
    </row>
    <row r="53" spans="1:6">
      <c r="A53" s="2" t="str">
        <f>'NORTH FORK'!A25</f>
        <v>SW CBCU - M&amp;I</v>
      </c>
      <c r="B53" s="145">
        <f>B23*MI_CUPercent1</f>
        <v>0</v>
      </c>
      <c r="C53" s="145">
        <f>C23*MI_CUPercent2</f>
        <v>0</v>
      </c>
      <c r="D53" s="145">
        <f>D23*MI_CUPercent3</f>
        <v>0</v>
      </c>
      <c r="E53" s="145">
        <f>E23*MI_CUPercent4</f>
        <v>0</v>
      </c>
      <c r="F53" s="145">
        <f>F23*MI_CUPercent5</f>
        <v>0</v>
      </c>
    </row>
    <row r="54" spans="1:6">
      <c r="A54" s="2" t="str">
        <f>'NORTH FORK'!A26</f>
        <v>Non-Federal Reservoir Evaporation</v>
      </c>
      <c r="B54" s="145">
        <f>B26</f>
        <v>0</v>
      </c>
      <c r="C54" s="145">
        <f>C26</f>
        <v>0</v>
      </c>
      <c r="D54" s="145">
        <f>D26</f>
        <v>0</v>
      </c>
      <c r="E54" s="145">
        <f>E26</f>
        <v>0</v>
      </c>
      <c r="F54" s="145">
        <f>F26</f>
        <v>0</v>
      </c>
    </row>
    <row r="55" spans="1:6">
      <c r="A55" s="2" t="str">
        <f>'NORTH FORK'!A27</f>
        <v>SW CBCU</v>
      </c>
      <c r="B55" s="161">
        <f>B51+B52+B53+B54</f>
        <v>0</v>
      </c>
      <c r="C55" s="161">
        <f>C51+C52+C53+C54</f>
        <v>0</v>
      </c>
      <c r="D55" s="161">
        <f>D51+D52+D53+D54</f>
        <v>0</v>
      </c>
      <c r="E55" s="161">
        <f>E51+E52+E53+E54</f>
        <v>0</v>
      </c>
      <c r="F55" s="161">
        <f>F51+F52+F53+F54</f>
        <v>0</v>
      </c>
    </row>
    <row r="56" spans="1:6">
      <c r="A56" s="2" t="str">
        <f>'NORTH FORK'!A28</f>
        <v>GW CBCU</v>
      </c>
      <c r="B56" s="145">
        <f>+B8</f>
        <v>699</v>
      </c>
      <c r="C56" s="145">
        <f>+C8</f>
        <v>974</v>
      </c>
      <c r="D56" s="145">
        <f>+D8</f>
        <v>607</v>
      </c>
      <c r="E56" s="145">
        <f>+E8</f>
        <v>717</v>
      </c>
      <c r="F56" s="145">
        <f>+F8</f>
        <v>774</v>
      </c>
    </row>
    <row r="57" spans="1:6">
      <c r="A57" s="2" t="str">
        <f>'NORTH FORK'!A29</f>
        <v>Total CBCU</v>
      </c>
      <c r="B57" s="145">
        <f>(ROUND(SUM(B55:B56),-1))</f>
        <v>700</v>
      </c>
      <c r="C57" s="145">
        <f>(ROUND(SUM(C55:C56),-1))</f>
        <v>970</v>
      </c>
      <c r="D57" s="145">
        <f>(ROUND(SUM(D55:D56),-1))</f>
        <v>610</v>
      </c>
      <c r="E57" s="145">
        <f>(ROUND(SUM(E55:E56),-1))</f>
        <v>720</v>
      </c>
      <c r="F57" s="145">
        <f>(ROUND(SUM(F55:F56),-1))</f>
        <v>770</v>
      </c>
    </row>
    <row r="58" spans="1:6">
      <c r="A58" s="8" t="s">
        <v>66</v>
      </c>
      <c r="B58" s="145"/>
      <c r="C58" s="145"/>
      <c r="D58" s="145"/>
      <c r="E58" s="145"/>
      <c r="F58" s="145"/>
    </row>
    <row r="59" spans="1:6">
      <c r="A59" s="4" t="s">
        <v>162</v>
      </c>
      <c r="B59" s="145"/>
      <c r="C59" s="145"/>
      <c r="D59" s="145"/>
      <c r="E59" s="145"/>
      <c r="F59" s="145"/>
    </row>
    <row r="60" spans="1:6">
      <c r="A60" s="8" t="str">
        <f>'NORTH FORK'!A42</f>
        <v>Total SW CBCU</v>
      </c>
      <c r="B60" s="145">
        <f t="shared" ref="B60:D61" si="0">+B37+B46+B55</f>
        <v>539.59999999999991</v>
      </c>
      <c r="C60" s="145">
        <f t="shared" si="0"/>
        <v>462.71038709374994</v>
      </c>
      <c r="D60" s="145">
        <f t="shared" si="0"/>
        <v>107</v>
      </c>
      <c r="E60" s="145">
        <f>+E37+E46+E55</f>
        <v>164.96</v>
      </c>
      <c r="F60" s="145">
        <f>+F37+F46+F55</f>
        <v>136.74</v>
      </c>
    </row>
    <row r="61" spans="1:6">
      <c r="A61" s="8" t="str">
        <f>'NORTH FORK'!A43</f>
        <v>Total GW CBCU</v>
      </c>
      <c r="B61" s="145">
        <f t="shared" si="0"/>
        <v>18873</v>
      </c>
      <c r="C61" s="145">
        <f t="shared" si="0"/>
        <v>22206</v>
      </c>
      <c r="D61" s="145">
        <f t="shared" si="0"/>
        <v>17127</v>
      </c>
      <c r="E61" s="145">
        <f>+E38+E47+E56</f>
        <v>15244</v>
      </c>
      <c r="F61" s="145">
        <f>+F38+F47+F56</f>
        <v>19714</v>
      </c>
    </row>
    <row r="62" spans="1:6">
      <c r="A62" s="8" t="str">
        <f>'NORTH FORK'!A44</f>
        <v>Total Basin CBCU</v>
      </c>
      <c r="B62" s="145">
        <f>(ROUND(SUM(B60:B61),-1))</f>
        <v>19410</v>
      </c>
      <c r="C62" s="145">
        <f>(ROUND(SUM(C60:C61),-1))</f>
        <v>22670</v>
      </c>
      <c r="D62" s="145">
        <f>(ROUND(SUM(D60:D61),-1))</f>
        <v>17230</v>
      </c>
      <c r="E62" s="145">
        <f>(ROUND(SUM(E60:E61),-1))</f>
        <v>15410</v>
      </c>
      <c r="F62" s="145">
        <f>(ROUND(SUM(F60:F61),-1))</f>
        <v>19850</v>
      </c>
    </row>
    <row r="63" spans="1:6">
      <c r="A63" s="8" t="s">
        <v>66</v>
      </c>
      <c r="B63" s="145"/>
      <c r="C63" s="145"/>
      <c r="D63" s="145"/>
      <c r="E63" s="145"/>
      <c r="F63" s="145"/>
    </row>
    <row r="64" spans="1:6" ht="15.75">
      <c r="A64" s="10" t="s">
        <v>10</v>
      </c>
      <c r="B64" s="145"/>
      <c r="C64" s="145"/>
      <c r="D64" s="145"/>
      <c r="E64" s="145"/>
      <c r="F64" s="145"/>
    </row>
    <row r="65" spans="1:6">
      <c r="A65" s="2" t="str">
        <f t="shared" ref="A65:F65" si="1">A11</f>
        <v>South Fork Republican River Near Benkelman</v>
      </c>
      <c r="B65" s="145">
        <f t="shared" si="1"/>
        <v>2385</v>
      </c>
      <c r="C65" s="145">
        <f t="shared" si="1"/>
        <v>1970</v>
      </c>
      <c r="D65" s="145">
        <f t="shared" si="1"/>
        <v>2385</v>
      </c>
      <c r="E65" s="145">
        <f t="shared" si="1"/>
        <v>7229.355371900826</v>
      </c>
      <c r="F65" s="145">
        <f t="shared" si="1"/>
        <v>321</v>
      </c>
    </row>
    <row r="66" spans="1:6">
      <c r="A66" s="2" t="str">
        <f>'NORTH FORK'!A49</f>
        <v>Colorado CBCU</v>
      </c>
      <c r="B66" s="145">
        <f>+B39</f>
        <v>13980</v>
      </c>
      <c r="C66" s="145">
        <f>+C39</f>
        <v>14960</v>
      </c>
      <c r="D66" s="145">
        <f>+D39</f>
        <v>13150</v>
      </c>
      <c r="E66" s="145">
        <f>+E39</f>
        <v>11040</v>
      </c>
      <c r="F66" s="145">
        <f>+F39</f>
        <v>13760</v>
      </c>
    </row>
    <row r="67" spans="1:6">
      <c r="A67" s="2" t="str">
        <f>'NORTH FORK'!A50</f>
        <v>Kansas CBCU</v>
      </c>
      <c r="B67" s="145">
        <f>+B48</f>
        <v>4730</v>
      </c>
      <c r="C67" s="145">
        <f>+C48</f>
        <v>6740</v>
      </c>
      <c r="D67" s="145">
        <f>+D48</f>
        <v>3470</v>
      </c>
      <c r="E67" s="145">
        <f>+E48</f>
        <v>3650</v>
      </c>
      <c r="F67" s="145">
        <f>+F48</f>
        <v>5310</v>
      </c>
    </row>
    <row r="68" spans="1:6">
      <c r="A68" s="2" t="str">
        <f>'NORTH FORK'!A51</f>
        <v>Nebraska CBCU</v>
      </c>
      <c r="B68" s="145">
        <f>+B57</f>
        <v>700</v>
      </c>
      <c r="C68" s="145">
        <f>+C57</f>
        <v>970</v>
      </c>
      <c r="D68" s="145">
        <f>+D57</f>
        <v>610</v>
      </c>
      <c r="E68" s="145">
        <f>+E57</f>
        <v>720</v>
      </c>
      <c r="F68" s="145">
        <f>+F57</f>
        <v>770</v>
      </c>
    </row>
    <row r="69" spans="1:6">
      <c r="A69" s="2" t="str">
        <f>A13</f>
        <v>Bonny Reservoir Change In Storage</v>
      </c>
      <c r="B69" s="145">
        <f>+B13</f>
        <v>0</v>
      </c>
      <c r="C69" s="145">
        <f>+C13</f>
        <v>0</v>
      </c>
      <c r="D69" s="145">
        <f>+D13</f>
        <v>0</v>
      </c>
      <c r="E69" s="145">
        <f>+E13</f>
        <v>0</v>
      </c>
      <c r="F69" s="145">
        <f>+F13</f>
        <v>0</v>
      </c>
    </row>
    <row r="70" spans="1:6">
      <c r="A70" s="2" t="str">
        <f>'NORTH FORK'!A52</f>
        <v>Imported Water</v>
      </c>
      <c r="B70" s="151">
        <f>+B5</f>
        <v>0</v>
      </c>
      <c r="C70" s="151">
        <f>+C5</f>
        <v>0</v>
      </c>
      <c r="D70" s="151">
        <f>+D5</f>
        <v>0</v>
      </c>
      <c r="E70" s="151">
        <f>+E5</f>
        <v>0</v>
      </c>
      <c r="F70" s="151">
        <f>+F5</f>
        <v>0</v>
      </c>
    </row>
    <row r="71" spans="1:6">
      <c r="A71" s="2" t="str">
        <f>'NORTH FORK'!A54</f>
        <v>Virgin Water Supply</v>
      </c>
      <c r="B71" s="145">
        <f>ROUND(SUM(B65:B69)-B70,-1)</f>
        <v>21800</v>
      </c>
      <c r="C71" s="145">
        <f>ROUND(SUM(C65:C69)-C70,-1)</f>
        <v>24640</v>
      </c>
      <c r="D71" s="145">
        <f>ROUND(SUM(D65:D69)-D70,-1)</f>
        <v>19620</v>
      </c>
      <c r="E71" s="145">
        <f>ROUND(SUM(E65:E69)-E70,-1)</f>
        <v>22640</v>
      </c>
      <c r="F71" s="145">
        <f>ROUND(SUM(F65:F69)-F70,-1)</f>
        <v>20160</v>
      </c>
    </row>
    <row r="72" spans="1:6">
      <c r="A72" s="2" t="str">
        <f>'NORTH FORK'!A55</f>
        <v>Adjustment For Flood Flows</v>
      </c>
      <c r="B72" s="145">
        <f>B27</f>
        <v>0</v>
      </c>
      <c r="C72" s="145">
        <f>C27</f>
        <v>0</v>
      </c>
      <c r="D72" s="145">
        <f>D27</f>
        <v>0</v>
      </c>
      <c r="E72" s="145">
        <f>E27</f>
        <v>0</v>
      </c>
      <c r="F72" s="145">
        <f>F27</f>
        <v>0</v>
      </c>
    </row>
    <row r="73" spans="1:6">
      <c r="A73" s="2" t="str">
        <f>'NORTH FORK'!A56</f>
        <v>Computed Water Supply</v>
      </c>
      <c r="B73" s="145">
        <f>ROUND(+B71-B72-B69,-1)</f>
        <v>21800</v>
      </c>
      <c r="C73" s="145">
        <f>ROUND(+C71-C72-C69,-1)</f>
        <v>24640</v>
      </c>
      <c r="D73" s="145">
        <f>ROUND(+D71-D72-D69,-1)</f>
        <v>19620</v>
      </c>
      <c r="E73" s="145">
        <f>ROUND(+E71-E72-E69,-1)</f>
        <v>22640</v>
      </c>
      <c r="F73" s="145">
        <f>ROUND(+F71-F72-F69,-1)</f>
        <v>20160</v>
      </c>
    </row>
    <row r="74" spans="1:6">
      <c r="A74" s="8" t="s">
        <v>66</v>
      </c>
      <c r="B74" s="145"/>
      <c r="C74" s="145"/>
      <c r="D74" s="145"/>
      <c r="E74" s="145"/>
      <c r="F74" s="145"/>
    </row>
    <row r="75" spans="1:6" ht="15.75">
      <c r="A75" s="10" t="s">
        <v>12</v>
      </c>
      <c r="B75" s="154"/>
      <c r="C75" s="154"/>
      <c r="D75" s="154"/>
      <c r="E75" s="154"/>
      <c r="F75" s="154"/>
    </row>
    <row r="76" spans="1:6">
      <c r="A76" s="2" t="str">
        <f>'NORTH FORK'!A59</f>
        <v>Colorado Percent Of Allocation</v>
      </c>
      <c r="B76" s="117">
        <f>'T2'!$D7</f>
        <v>0.44400000000000001</v>
      </c>
      <c r="C76" s="117">
        <f>'T2'!$D7</f>
        <v>0.44400000000000001</v>
      </c>
      <c r="D76" s="117">
        <f>'T2'!$D7</f>
        <v>0.44400000000000001</v>
      </c>
      <c r="E76" s="117">
        <f>'T2'!$D7</f>
        <v>0.44400000000000001</v>
      </c>
      <c r="F76" s="117">
        <f>'T2'!$D7</f>
        <v>0.44400000000000001</v>
      </c>
    </row>
    <row r="77" spans="1:6">
      <c r="A77" s="2" t="str">
        <f>'NORTH FORK'!A60</f>
        <v>Colorado Allocation</v>
      </c>
      <c r="B77" s="145">
        <f>ROUND(+B73*B76,-1)</f>
        <v>9680</v>
      </c>
      <c r="C77" s="145">
        <f>ROUND(+C73*C76,-1)</f>
        <v>10940</v>
      </c>
      <c r="D77" s="145">
        <f>ROUND(+D73*D76,-1)</f>
        <v>8710</v>
      </c>
      <c r="E77" s="145">
        <f>ROUND(+E73*E76,-1)</f>
        <v>10050</v>
      </c>
      <c r="F77" s="145">
        <f>ROUND(+F73*F76,-1)</f>
        <v>8950</v>
      </c>
    </row>
    <row r="78" spans="1:6">
      <c r="A78" s="2" t="str">
        <f>'NORTH FORK'!A61</f>
        <v>Kansas Percent Of Allocation</v>
      </c>
      <c r="B78" s="117">
        <f>'T2'!$F7</f>
        <v>0.40200000000000002</v>
      </c>
      <c r="C78" s="117">
        <f>'T2'!$F7</f>
        <v>0.40200000000000002</v>
      </c>
      <c r="D78" s="117">
        <f>'T2'!$F7</f>
        <v>0.40200000000000002</v>
      </c>
      <c r="E78" s="117">
        <f>'T2'!$F7</f>
        <v>0.40200000000000002</v>
      </c>
      <c r="F78" s="117">
        <f>'T2'!$F7</f>
        <v>0.40200000000000002</v>
      </c>
    </row>
    <row r="79" spans="1:6">
      <c r="A79" s="2" t="str">
        <f>'NORTH FORK'!A62</f>
        <v>Kansas Allocation</v>
      </c>
      <c r="B79" s="145">
        <f>ROUND(B73*B78,-1)</f>
        <v>8760</v>
      </c>
      <c r="C79" s="145">
        <f>ROUND(C73*C78,-1)</f>
        <v>9910</v>
      </c>
      <c r="D79" s="145">
        <f>ROUND(D73*D78,-1)</f>
        <v>7890</v>
      </c>
      <c r="E79" s="145">
        <f>ROUND(E73*E78,-1)</f>
        <v>9100</v>
      </c>
      <c r="F79" s="145">
        <f>ROUND(F73*F78,-1)</f>
        <v>8100</v>
      </c>
    </row>
    <row r="80" spans="1:6">
      <c r="A80" s="2" t="str">
        <f>'NORTH FORK'!A63</f>
        <v>Nebraska Percent Of Allocation</v>
      </c>
      <c r="B80" s="117">
        <f>'T2'!$H7</f>
        <v>1.4E-2</v>
      </c>
      <c r="C80" s="117">
        <f>'T2'!$H7</f>
        <v>1.4E-2</v>
      </c>
      <c r="D80" s="117">
        <f>'T2'!$H7</f>
        <v>1.4E-2</v>
      </c>
      <c r="E80" s="117">
        <f>'T2'!$H7</f>
        <v>1.4E-2</v>
      </c>
      <c r="F80" s="117">
        <f>'T2'!$H7</f>
        <v>1.4E-2</v>
      </c>
    </row>
    <row r="81" spans="1:6">
      <c r="A81" s="2" t="str">
        <f>'NORTH FORK'!A64</f>
        <v>Nebraska Allocation</v>
      </c>
      <c r="B81" s="145">
        <f>ROUND(B73*B80,-1)</f>
        <v>310</v>
      </c>
      <c r="C81" s="145">
        <f>ROUND(C73*C80,-1)</f>
        <v>340</v>
      </c>
      <c r="D81" s="145">
        <f>ROUND(D73*D80,-1)</f>
        <v>270</v>
      </c>
      <c r="E81" s="145">
        <f>ROUND(E73*E80,-1)</f>
        <v>320</v>
      </c>
      <c r="F81" s="145">
        <f>ROUND(F73*F80,-1)</f>
        <v>280</v>
      </c>
    </row>
    <row r="82" spans="1:6">
      <c r="A82" s="2" t="str">
        <f>'NORTH FORK'!A65</f>
        <v>Total Basin Allocation</v>
      </c>
      <c r="B82" s="145">
        <f>+B77+B79+B81</f>
        <v>18750</v>
      </c>
      <c r="C82" s="145">
        <f>+C77+C79+C81</f>
        <v>21190</v>
      </c>
      <c r="D82" s="145">
        <f>+D77+D79+D81</f>
        <v>16870</v>
      </c>
      <c r="E82" s="145">
        <f>+E77+E79+E81</f>
        <v>19470</v>
      </c>
      <c r="F82" s="145">
        <f>+F77+F79+F81</f>
        <v>17330</v>
      </c>
    </row>
    <row r="83" spans="1:6">
      <c r="A83" s="2" t="str">
        <f>'NORTH FORK'!A66</f>
        <v>Percent Of Supply Not Allocated</v>
      </c>
      <c r="B83" s="117">
        <f>'T2'!$J7</f>
        <v>0.14000000000000001</v>
      </c>
      <c r="C83" s="117">
        <f>'T2'!$J7</f>
        <v>0.14000000000000001</v>
      </c>
      <c r="D83" s="117">
        <f>'T2'!$J7</f>
        <v>0.14000000000000001</v>
      </c>
      <c r="E83" s="117">
        <f>'T2'!$J7</f>
        <v>0.14000000000000001</v>
      </c>
      <c r="F83" s="117">
        <f>'T2'!$J7</f>
        <v>0.14000000000000001</v>
      </c>
    </row>
    <row r="84" spans="1:6">
      <c r="A84" s="2" t="str">
        <f>'NORTH FORK'!A67</f>
        <v>Quantity Of Unallocated Supply</v>
      </c>
      <c r="B84" s="145">
        <f>+B73-B77-B79-B81</f>
        <v>3050</v>
      </c>
      <c r="C84" s="145">
        <f>+C73-C77-C79-C81</f>
        <v>3450</v>
      </c>
      <c r="D84" s="145">
        <f>+D73-D77-D79-D81</f>
        <v>2750</v>
      </c>
      <c r="E84" s="145">
        <f>+E73-E77-E79-E81</f>
        <v>3170</v>
      </c>
      <c r="F84" s="145">
        <f>+F73-F77-F79-F81</f>
        <v>2830</v>
      </c>
    </row>
  </sheetData>
  <phoneticPr fontId="0" type="noConversion"/>
  <printOptions headings="1"/>
  <pageMargins left="0.75" right="0.75" top="0.75" bottom="0.5" header="0.25" footer="0.5"/>
  <pageSetup paperSize="3" fitToHeight="2" orientation="portrait" r:id="rId1"/>
  <headerFooter alignWithMargins="0">
    <oddHeader>&amp;LRRCA
Compact Accounting&amp;C&amp;A SUB-BASIN&amp;RPage &amp;P of &amp;N</oddHeader>
  </headerFooter>
  <rowBreaks count="1" manualBreakCount="1">
    <brk id="51" max="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79"/>
  <sheetViews>
    <sheetView workbookViewId="0">
      <pane ySplit="1" topLeftCell="A45" activePane="bottomLeft" state="frozen"/>
      <selection pane="bottomLeft" activeCell="H1" sqref="H1:J1048576"/>
    </sheetView>
  </sheetViews>
  <sheetFormatPr defaultRowHeight="12.75"/>
  <cols>
    <col min="1" max="1" width="69.28515625" customWidth="1"/>
    <col min="7" max="7" width="10.5703125" bestFit="1" customWidth="1"/>
  </cols>
  <sheetData>
    <row r="1" spans="1:6" ht="15.75">
      <c r="A1" s="37" t="s">
        <v>208</v>
      </c>
      <c r="B1" s="194">
        <f>INPUT!C1</f>
        <v>2017</v>
      </c>
      <c r="C1" s="194">
        <f>INPUT!D1</f>
        <v>2018</v>
      </c>
      <c r="D1" s="194">
        <f>INPUT!E1</f>
        <v>2019</v>
      </c>
      <c r="E1" s="194">
        <f>INPUT!F1</f>
        <v>2020</v>
      </c>
      <c r="F1" s="194">
        <f>INPUT!G1</f>
        <v>2021</v>
      </c>
    </row>
    <row r="2" spans="1:6">
      <c r="A2" t="s">
        <v>66</v>
      </c>
      <c r="E2" s="312"/>
      <c r="F2" s="312"/>
    </row>
    <row r="3" spans="1:6" ht="15.75">
      <c r="A3" s="9" t="s">
        <v>157</v>
      </c>
      <c r="E3" s="312"/>
      <c r="F3" s="312"/>
    </row>
    <row r="4" spans="1:6">
      <c r="A4" s="7" t="s">
        <v>158</v>
      </c>
      <c r="E4" s="312"/>
      <c r="F4" s="312"/>
    </row>
    <row r="5" spans="1:6">
      <c r="A5" s="31" t="str">
        <f>+INPUT!B52</f>
        <v>Imported Water Nebraska</v>
      </c>
      <c r="B5" s="120">
        <f>+INPUT!C52</f>
        <v>0</v>
      </c>
      <c r="C5" s="120">
        <f>+INPUT!D52</f>
        <v>10</v>
      </c>
      <c r="D5" s="120">
        <f>+INPUT!E52</f>
        <v>10</v>
      </c>
      <c r="E5" s="120">
        <f>+INPUT!F52</f>
        <v>0</v>
      </c>
      <c r="F5" s="120">
        <f>+INPUT!G52</f>
        <v>0</v>
      </c>
    </row>
    <row r="6" spans="1:6">
      <c r="A6" s="31" t="str">
        <f>INPUT!B19</f>
        <v>GW CBCU Colorado</v>
      </c>
      <c r="B6" s="120">
        <f>+INPUT!C19</f>
        <v>1218</v>
      </c>
      <c r="C6" s="120">
        <f>+INPUT!D19</f>
        <v>1175</v>
      </c>
      <c r="D6" s="120">
        <f>+INPUT!E19</f>
        <v>1684</v>
      </c>
      <c r="E6" s="120">
        <f>+INPUT!F19</f>
        <v>1137</v>
      </c>
      <c r="F6" s="120">
        <f>+INPUT!G19</f>
        <v>200</v>
      </c>
    </row>
    <row r="7" spans="1:6">
      <c r="A7" s="31" t="str">
        <f>+INPUT!B20</f>
        <v>GW CBCU Kansas</v>
      </c>
      <c r="B7" s="120">
        <f>+INPUT!C20</f>
        <v>0</v>
      </c>
      <c r="C7" s="120">
        <f>+INPUT!D20</f>
        <v>0</v>
      </c>
      <c r="D7" s="120">
        <f>+INPUT!E20</f>
        <v>0</v>
      </c>
      <c r="E7" s="120">
        <f>+INPUT!F20</f>
        <v>0</v>
      </c>
      <c r="F7" s="120">
        <f>+INPUT!G20</f>
        <v>0</v>
      </c>
    </row>
    <row r="8" spans="1:6" ht="12" customHeight="1">
      <c r="A8" s="31" t="str">
        <f>+INPUT!B21</f>
        <v>GW CBCU Nebraska</v>
      </c>
      <c r="B8" s="120">
        <f>+INPUT!C21</f>
        <v>79918</v>
      </c>
      <c r="C8" s="120">
        <f>+INPUT!D21</f>
        <v>82359</v>
      </c>
      <c r="D8" s="120">
        <f>+INPUT!E21</f>
        <v>81732</v>
      </c>
      <c r="E8" s="120">
        <f>+INPUT!F21</f>
        <v>78767</v>
      </c>
      <c r="F8" s="120">
        <f>+INPUT!G21</f>
        <v>79922</v>
      </c>
    </row>
    <row r="9" spans="1:6" ht="12" customHeight="1">
      <c r="A9" s="8" t="s">
        <v>66</v>
      </c>
      <c r="B9" s="120"/>
      <c r="C9" s="120"/>
      <c r="D9" s="120"/>
      <c r="E9" s="120"/>
      <c r="F9" s="120"/>
    </row>
    <row r="10" spans="1:6">
      <c r="A10" s="4" t="s">
        <v>192</v>
      </c>
      <c r="B10" s="120"/>
      <c r="C10" s="120"/>
      <c r="D10" s="120"/>
      <c r="E10" s="120"/>
      <c r="F10" s="120"/>
    </row>
    <row r="11" spans="1:6">
      <c r="A11" s="35" t="str">
        <f>+INPUT!B241</f>
        <v>Culbertson Canal % Return Flow</v>
      </c>
      <c r="B11" s="111">
        <f>+INPUT!C241</f>
        <v>1</v>
      </c>
      <c r="C11" s="111">
        <f>+INPUT!D241</f>
        <v>0.80004497710746014</v>
      </c>
      <c r="D11" s="111">
        <f>+INPUT!E241</f>
        <v>0.83343283324711159</v>
      </c>
      <c r="E11" s="111">
        <f>+INPUT!F241</f>
        <v>0.82040196370127938</v>
      </c>
      <c r="F11" s="111">
        <f>+INPUT!G241</f>
        <v>0.81909752839011352</v>
      </c>
    </row>
    <row r="12" spans="1:6">
      <c r="A12" s="35" t="str">
        <f>+INPUT!B242</f>
        <v>Culbertson Canal Extension % Return Flow</v>
      </c>
      <c r="B12" s="111">
        <f>+INPUT!C242</f>
        <v>1</v>
      </c>
      <c r="C12" s="111">
        <f>+INPUT!D242</f>
        <v>1</v>
      </c>
      <c r="D12" s="111">
        <f>+INPUT!E242</f>
        <v>1</v>
      </c>
      <c r="E12" s="111">
        <f>+INPUT!F242</f>
        <v>1</v>
      </c>
      <c r="F12" s="111">
        <f>+INPUT!G242</f>
        <v>1</v>
      </c>
    </row>
    <row r="13" spans="1:6">
      <c r="A13" s="2" t="s">
        <v>66</v>
      </c>
      <c r="B13" s="120"/>
      <c r="C13" s="120"/>
      <c r="D13" s="120"/>
      <c r="E13" s="120"/>
      <c r="F13" s="120"/>
    </row>
    <row r="14" spans="1:6">
      <c r="A14" s="4" t="s">
        <v>160</v>
      </c>
      <c r="B14" s="120"/>
      <c r="C14" s="120"/>
      <c r="D14" s="120"/>
      <c r="E14" s="120"/>
      <c r="F14" s="120"/>
    </row>
    <row r="15" spans="1:6">
      <c r="A15" s="31" t="str">
        <f>+INPUT!B189</f>
        <v>Frenchman Creek At Culbertson</v>
      </c>
      <c r="B15" s="145">
        <f>+INPUT!C189</f>
        <v>27490</v>
      </c>
      <c r="C15" s="145">
        <f>+INPUT!D189</f>
        <v>25906</v>
      </c>
      <c r="D15" s="145">
        <f>+INPUT!E189</f>
        <v>27267</v>
      </c>
      <c r="E15" s="145">
        <f>+INPUT!F189</f>
        <v>19122</v>
      </c>
      <c r="F15" s="145">
        <f>+INPUT!G189</f>
        <v>16678</v>
      </c>
    </row>
    <row r="16" spans="1:6">
      <c r="A16" s="31" t="str">
        <f>+INPUT!B217</f>
        <v>Enders Reservoir Evaporation</v>
      </c>
      <c r="B16" s="145">
        <f>+INPUT!C217</f>
        <v>1263</v>
      </c>
      <c r="C16" s="145">
        <f>+INPUT!D217</f>
        <v>1482</v>
      </c>
      <c r="D16" s="145">
        <f>+INPUT!E217</f>
        <v>1193</v>
      </c>
      <c r="E16" s="145">
        <f>+INPUT!F217</f>
        <v>2037</v>
      </c>
      <c r="F16" s="145">
        <f>+INPUT!G217</f>
        <v>1616</v>
      </c>
    </row>
    <row r="17" spans="1:6">
      <c r="A17" s="31" t="str">
        <f>+INPUT!B218</f>
        <v>Enders Reservoir Change In Storage</v>
      </c>
      <c r="B17" s="145">
        <f>+INPUT!C218</f>
        <v>-1669</v>
      </c>
      <c r="C17" s="145">
        <f>+INPUT!D218</f>
        <v>767</v>
      </c>
      <c r="D17" s="145">
        <f>+INPUT!E218</f>
        <v>424</v>
      </c>
      <c r="E17" s="145">
        <f>+INPUT!F218</f>
        <v>-1148</v>
      </c>
      <c r="F17" s="145">
        <f>+INPUT!G218</f>
        <v>-655</v>
      </c>
    </row>
    <row r="18" spans="1:6">
      <c r="A18" s="31" t="str">
        <f>+INPUT!B237</f>
        <v>Champion Canal Diversions</v>
      </c>
      <c r="B18" s="145">
        <f>+INPUT!C237</f>
        <v>0</v>
      </c>
      <c r="C18" s="145">
        <f>+INPUT!D237</f>
        <v>0</v>
      </c>
      <c r="D18" s="145">
        <f>+INPUT!E237</f>
        <v>0</v>
      </c>
      <c r="E18" s="145">
        <f>+INPUT!F237</f>
        <v>0</v>
      </c>
      <c r="F18" s="145">
        <f>+INPUT!G237</f>
        <v>0</v>
      </c>
    </row>
    <row r="19" spans="1:6">
      <c r="A19" s="31" t="str">
        <f>+INPUT!B238</f>
        <v>Riverside Canal Diversions</v>
      </c>
      <c r="B19" s="145">
        <f>+INPUT!C238</f>
        <v>0</v>
      </c>
      <c r="C19" s="145">
        <f>+INPUT!D238</f>
        <v>0</v>
      </c>
      <c r="D19" s="145">
        <f>+INPUT!E238</f>
        <v>0</v>
      </c>
      <c r="E19" s="145">
        <f>+INPUT!F238</f>
        <v>0</v>
      </c>
      <c r="F19" s="145">
        <f>+INPUT!G238</f>
        <v>0</v>
      </c>
    </row>
    <row r="20" spans="1:6">
      <c r="A20" s="31" t="str">
        <f>+INPUT!B239</f>
        <v>Culbertson Canal Diversions</v>
      </c>
      <c r="B20" s="145">
        <f>+INPUT!C239</f>
        <v>0</v>
      </c>
      <c r="C20" s="145">
        <f>+INPUT!D239</f>
        <v>7426</v>
      </c>
      <c r="D20" s="145">
        <f>+INPUT!E239</f>
        <v>11598</v>
      </c>
      <c r="E20" s="145">
        <f>+INPUT!F239</f>
        <v>6722</v>
      </c>
      <c r="F20" s="145">
        <f>+INPUT!G239</f>
        <v>5988</v>
      </c>
    </row>
    <row r="21" spans="1:6">
      <c r="A21" s="31" t="str">
        <f>+INPUT!B240</f>
        <v>Culbertson Canal Extension Diversions</v>
      </c>
      <c r="B21" s="145">
        <f>+INPUT!C240</f>
        <v>0</v>
      </c>
      <c r="C21" s="145">
        <f>+INPUT!D240</f>
        <v>0</v>
      </c>
      <c r="D21" s="145">
        <f>+INPUT!E240</f>
        <v>0</v>
      </c>
      <c r="E21" s="145">
        <f>+INPUT!F240</f>
        <v>0</v>
      </c>
      <c r="F21" s="145">
        <f>+INPUT!G240</f>
        <v>0</v>
      </c>
    </row>
    <row r="22" spans="1:6">
      <c r="A22" s="50" t="str">
        <f>+INPUT!B93</f>
        <v>SW Diversions - Irrigation - Non-Federal Canals - Nebraska</v>
      </c>
      <c r="B22" s="151">
        <f>+INPUT!C93</f>
        <v>0</v>
      </c>
      <c r="C22" s="151">
        <f>+INPUT!D93</f>
        <v>0</v>
      </c>
      <c r="D22" s="151">
        <f>+INPUT!E93</f>
        <v>0</v>
      </c>
      <c r="E22" s="151">
        <f>+INPUT!F93</f>
        <v>0</v>
      </c>
      <c r="F22" s="151">
        <f>+INPUT!G93</f>
        <v>0</v>
      </c>
    </row>
    <row r="23" spans="1:6">
      <c r="A23" s="50" t="str">
        <f>+INPUT!B94</f>
        <v>SW Diversions - Irrigation - Small Pumps - Nebraska</v>
      </c>
      <c r="B23" s="151">
        <f>+INPUT!C94</f>
        <v>0</v>
      </c>
      <c r="C23" s="151">
        <f>+INPUT!D94</f>
        <v>0</v>
      </c>
      <c r="D23" s="151">
        <f>+INPUT!E94</f>
        <v>2</v>
      </c>
      <c r="E23" s="151">
        <f>+INPUT!F94</f>
        <v>0</v>
      </c>
      <c r="F23" s="151">
        <f>+INPUT!G94</f>
        <v>0</v>
      </c>
    </row>
    <row r="24" spans="1:6">
      <c r="A24" s="50" t="str">
        <f>+INPUT!B95</f>
        <v>SW Diversions - M&amp;I - Nebraska</v>
      </c>
      <c r="B24" s="151">
        <f>+INPUT!C95</f>
        <v>0</v>
      </c>
      <c r="C24" s="151">
        <f>+INPUT!D95</f>
        <v>0</v>
      </c>
      <c r="D24" s="151">
        <f>+INPUT!E95</f>
        <v>0</v>
      </c>
      <c r="E24" s="151">
        <f>+INPUT!F95</f>
        <v>0</v>
      </c>
      <c r="F24" s="151">
        <f>+INPUT!G95</f>
        <v>0</v>
      </c>
    </row>
    <row r="25" spans="1:6">
      <c r="A25" s="50" t="str">
        <f>+INPUT!B164</f>
        <v>Non-Federal Reservoir Evaporation - Nebraska</v>
      </c>
      <c r="B25" s="151">
        <f>+INPUT!C164</f>
        <v>43.363672729999998</v>
      </c>
      <c r="C25" s="151">
        <f>+INPUT!D164</f>
        <v>53.095329166666602</v>
      </c>
      <c r="D25" s="151">
        <f>+INPUT!E164</f>
        <v>69</v>
      </c>
      <c r="E25" s="151">
        <f>+INPUT!F164</f>
        <v>123.70389583333331</v>
      </c>
      <c r="F25" s="151">
        <f>+INPUT!G164</f>
        <v>106</v>
      </c>
    </row>
    <row r="26" spans="1:6">
      <c r="A26" s="137" t="str">
        <f>+FLOOD!A62</f>
        <v>Frenchman Flood Flow</v>
      </c>
      <c r="B26" s="151">
        <f>+FLOOD!B62</f>
        <v>0</v>
      </c>
      <c r="C26" s="151">
        <f>+FLOOD!C62</f>
        <v>0</v>
      </c>
      <c r="D26" s="151">
        <f>+FLOOD!D62</f>
        <v>0</v>
      </c>
      <c r="E26" s="151">
        <f>+FLOOD!E62</f>
        <v>0</v>
      </c>
      <c r="F26" s="151">
        <f>+FLOOD!F62</f>
        <v>0</v>
      </c>
    </row>
    <row r="27" spans="1:6">
      <c r="A27" s="61" t="s">
        <v>66</v>
      </c>
      <c r="B27" s="151"/>
      <c r="C27" s="151"/>
      <c r="D27" s="151"/>
      <c r="E27" s="151"/>
      <c r="F27" s="151"/>
    </row>
    <row r="28" spans="1:6" ht="15.75">
      <c r="A28" s="9" t="s">
        <v>241</v>
      </c>
      <c r="B28" s="151"/>
      <c r="C28" s="151"/>
      <c r="D28" s="151"/>
      <c r="E28" s="151"/>
      <c r="F28" s="151"/>
    </row>
    <row r="29" spans="1:6">
      <c r="A29" s="7" t="s">
        <v>0</v>
      </c>
      <c r="B29" s="151"/>
      <c r="C29" s="151"/>
      <c r="D29" s="151"/>
      <c r="E29" s="151"/>
      <c r="F29" s="151"/>
    </row>
    <row r="30" spans="1:6">
      <c r="A30" s="13" t="str">
        <f>'NORTH FORK'!A28</f>
        <v>GW CBCU</v>
      </c>
      <c r="B30" s="151">
        <f>+B6</f>
        <v>1218</v>
      </c>
      <c r="C30" s="151">
        <f>+C6</f>
        <v>1175</v>
      </c>
      <c r="D30" s="151">
        <f>+D6</f>
        <v>1684</v>
      </c>
      <c r="E30" s="151">
        <f>+E6</f>
        <v>1137</v>
      </c>
      <c r="F30" s="151">
        <f>+F6</f>
        <v>200</v>
      </c>
    </row>
    <row r="31" spans="1:6">
      <c r="A31" s="13" t="str">
        <f>'NORTH FORK'!A29</f>
        <v>Total CBCU</v>
      </c>
      <c r="B31" s="151">
        <f>(ROUND(SUM(B30:B30),-1))</f>
        <v>1220</v>
      </c>
      <c r="C31" s="151">
        <f>(ROUND(SUM(C30:C30),-1))</f>
        <v>1180</v>
      </c>
      <c r="D31" s="151">
        <f>(ROUND(SUM(D30:D30),-1))</f>
        <v>1680</v>
      </c>
      <c r="E31" s="151">
        <f>(ROUND(SUM(E30:E30),-1))</f>
        <v>1140</v>
      </c>
      <c r="F31" s="151">
        <f>(ROUND(SUM(F30:F30),-1))</f>
        <v>200</v>
      </c>
    </row>
    <row r="32" spans="1:6">
      <c r="A32" s="13" t="s">
        <v>66</v>
      </c>
      <c r="B32" s="151"/>
      <c r="C32" s="151"/>
      <c r="D32" s="151"/>
      <c r="E32" s="151"/>
      <c r="F32" s="151"/>
    </row>
    <row r="33" spans="1:6">
      <c r="A33" s="7" t="s">
        <v>161</v>
      </c>
      <c r="B33" s="151"/>
      <c r="C33" s="151"/>
      <c r="D33" s="151"/>
      <c r="E33" s="151"/>
      <c r="F33" s="151"/>
    </row>
    <row r="34" spans="1:6">
      <c r="A34" s="13" t="str">
        <f>'NORTH FORK'!A28</f>
        <v>GW CBCU</v>
      </c>
      <c r="B34" s="151">
        <f>+B7</f>
        <v>0</v>
      </c>
      <c r="C34" s="151">
        <f>+C7</f>
        <v>0</v>
      </c>
      <c r="D34" s="151">
        <f>+D7</f>
        <v>0</v>
      </c>
      <c r="E34" s="151">
        <f>+E7</f>
        <v>0</v>
      </c>
      <c r="F34" s="151">
        <f>+F7</f>
        <v>0</v>
      </c>
    </row>
    <row r="35" spans="1:6">
      <c r="A35" s="13" t="str">
        <f>'NORTH FORK'!A29</f>
        <v>Total CBCU</v>
      </c>
      <c r="B35" s="151">
        <f>(ROUND(SUM(B34:B34),-1))</f>
        <v>0</v>
      </c>
      <c r="C35" s="151">
        <f>(ROUND(SUM(C34:C34),-1))</f>
        <v>0</v>
      </c>
      <c r="D35" s="151">
        <f>(ROUND(SUM(D34:D34),-1))</f>
        <v>0</v>
      </c>
      <c r="E35" s="151">
        <f>(ROUND(SUM(E34:E34),-1))</f>
        <v>0</v>
      </c>
      <c r="F35" s="151">
        <f>(ROUND(SUM(F34:F34),-1))</f>
        <v>0</v>
      </c>
    </row>
    <row r="36" spans="1:6">
      <c r="A36" s="13" t="s">
        <v>66</v>
      </c>
      <c r="B36" s="151"/>
      <c r="C36" s="151"/>
      <c r="D36" s="151"/>
      <c r="E36" s="151"/>
      <c r="F36" s="151"/>
    </row>
    <row r="37" spans="1:6">
      <c r="A37" s="7" t="s">
        <v>1</v>
      </c>
      <c r="B37" s="151"/>
      <c r="C37" s="151"/>
      <c r="D37" s="151"/>
      <c r="E37" s="151"/>
      <c r="F37" s="151"/>
    </row>
    <row r="38" spans="1:6">
      <c r="A38" s="13" t="str">
        <f>(LEFT(A18,14))&amp; " "&amp;"CBCU"</f>
        <v>Champion Canal CBCU</v>
      </c>
      <c r="B38" s="151">
        <f>+B18*CanalCUPercent1</f>
        <v>0</v>
      </c>
      <c r="C38" s="151">
        <f>+C18*CanalCUPercent2</f>
        <v>0</v>
      </c>
      <c r="D38" s="151">
        <f>+D18*CanalCUPercent3</f>
        <v>0</v>
      </c>
      <c r="E38" s="151">
        <f>+E18*CanalCUPercent4</f>
        <v>0</v>
      </c>
      <c r="F38" s="151">
        <f>+F18*CanalCUPercent5</f>
        <v>0</v>
      </c>
    </row>
    <row r="39" spans="1:6">
      <c r="A39" s="13" t="str">
        <f>(LEFT(A19,15))&amp; " "&amp;"CBCU"</f>
        <v>Riverside Canal CBCU</v>
      </c>
      <c r="B39" s="151">
        <f>+B19*CanalCUPercent1</f>
        <v>0</v>
      </c>
      <c r="C39" s="151">
        <f>+C19*CanalCUPercent2</f>
        <v>0</v>
      </c>
      <c r="D39" s="151">
        <f>+D19*CanalCUPercent3</f>
        <v>0</v>
      </c>
      <c r="E39" s="151">
        <f>+E19*CanalCUPercent4</f>
        <v>0</v>
      </c>
      <c r="F39" s="151">
        <f>+F19*CanalCUPercent5</f>
        <v>0</v>
      </c>
    </row>
    <row r="40" spans="1:6">
      <c r="A40" s="13" t="str">
        <f>(LEFT(A20,16))&amp; " "&amp;"CBCU"</f>
        <v>Culbertson Canal CBCU</v>
      </c>
      <c r="B40" s="151">
        <f t="shared" ref="B40:D41" si="0">+B20*(1-B11)</f>
        <v>0</v>
      </c>
      <c r="C40" s="151">
        <f t="shared" si="0"/>
        <v>1484.8660000000009</v>
      </c>
      <c r="D40" s="151">
        <f t="shared" si="0"/>
        <v>1931.8459999999998</v>
      </c>
      <c r="E40" s="151">
        <f>+E20*(1-E11)</f>
        <v>1207.258</v>
      </c>
      <c r="F40" s="151">
        <f>+F20*(1-F11)</f>
        <v>1083.2440000000004</v>
      </c>
    </row>
    <row r="41" spans="1:6">
      <c r="A41" s="13" t="str">
        <f>(LEFT(A21,27))&amp; " "&amp;"CBCU"</f>
        <v>Culbertson Canal Extension  CBCU</v>
      </c>
      <c r="B41" s="151">
        <f t="shared" si="0"/>
        <v>0</v>
      </c>
      <c r="C41" s="151">
        <f t="shared" si="0"/>
        <v>0</v>
      </c>
      <c r="D41" s="151">
        <f t="shared" si="0"/>
        <v>0</v>
      </c>
      <c r="E41" s="151">
        <f>+E21*(1-E12)</f>
        <v>0</v>
      </c>
      <c r="F41" s="151">
        <f>+F21*(1-F12)</f>
        <v>0</v>
      </c>
    </row>
    <row r="42" spans="1:6">
      <c r="A42" s="42" t="str">
        <f>'NORTH FORK'!A23</f>
        <v>SW CBCU - Irrigation - Non Federal Canals</v>
      </c>
      <c r="B42" s="151">
        <f>B22*CanalCUPercent1</f>
        <v>0</v>
      </c>
      <c r="C42" s="151">
        <f>C22*CanalCUPercent2</f>
        <v>0</v>
      </c>
      <c r="D42" s="151">
        <f>D22*CanalCUPercent3</f>
        <v>0</v>
      </c>
      <c r="E42" s="151">
        <f>E22*CanalCUPercent4</f>
        <v>0</v>
      </c>
      <c r="F42" s="151">
        <f>F22*CanalCUPercent5</f>
        <v>0</v>
      </c>
    </row>
    <row r="43" spans="1:6">
      <c r="A43" s="42" t="str">
        <f>'NORTH FORK'!A24</f>
        <v>SW CBCU - Irrigation - Small Pumps</v>
      </c>
      <c r="B43" s="151">
        <f>B23*PumperCUPercent1</f>
        <v>0</v>
      </c>
      <c r="C43" s="151">
        <f>C23*PumperCUPercent2</f>
        <v>0</v>
      </c>
      <c r="D43" s="151">
        <f>D23*PumperCUPercent3</f>
        <v>1.5</v>
      </c>
      <c r="E43" s="151">
        <f>E23*PumperCUPercent4</f>
        <v>0</v>
      </c>
      <c r="F43" s="151">
        <f>F23*PumperCUPercent5</f>
        <v>0</v>
      </c>
    </row>
    <row r="44" spans="1:6">
      <c r="A44" s="42" t="str">
        <f>'NORTH FORK'!A25</f>
        <v>SW CBCU - M&amp;I</v>
      </c>
      <c r="B44" s="151">
        <f>B24*MI_CUPercent1</f>
        <v>0</v>
      </c>
      <c r="C44" s="151">
        <f>C24*MI_CUPercent2</f>
        <v>0</v>
      </c>
      <c r="D44" s="151">
        <f>D24*MI_CUPercent3</f>
        <v>0</v>
      </c>
      <c r="E44" s="151">
        <f>E24*MI_CUPercent4</f>
        <v>0</v>
      </c>
      <c r="F44" s="151">
        <f>F24*MI_CUPercent5</f>
        <v>0</v>
      </c>
    </row>
    <row r="45" spans="1:6">
      <c r="A45" s="13" t="str">
        <f>A16</f>
        <v>Enders Reservoir Evaporation</v>
      </c>
      <c r="B45" s="151">
        <f>+B16</f>
        <v>1263</v>
      </c>
      <c r="C45" s="151">
        <f>+C16</f>
        <v>1482</v>
      </c>
      <c r="D45" s="151">
        <f>+D16</f>
        <v>1193</v>
      </c>
      <c r="E45" s="151">
        <f>+E16</f>
        <v>2037</v>
      </c>
      <c r="F45" s="151">
        <f>+F16</f>
        <v>1616</v>
      </c>
    </row>
    <row r="46" spans="1:6">
      <c r="A46" s="45" t="str">
        <f>'NORTH FORK'!A26</f>
        <v>Non-Federal Reservoir Evaporation</v>
      </c>
      <c r="B46" s="151">
        <f>B25</f>
        <v>43.363672729999998</v>
      </c>
      <c r="C46" s="151">
        <f>C25</f>
        <v>53.095329166666602</v>
      </c>
      <c r="D46" s="151">
        <f>D25</f>
        <v>69</v>
      </c>
      <c r="E46" s="151">
        <f>E25</f>
        <v>123.70389583333331</v>
      </c>
      <c r="F46" s="151">
        <f>F25</f>
        <v>106</v>
      </c>
    </row>
    <row r="47" spans="1:6">
      <c r="A47" s="45" t="str">
        <f>'NORTH FORK'!A27</f>
        <v>SW CBCU</v>
      </c>
      <c r="B47" s="151">
        <f>SUM(B38:B44)+SUM(B45:B46)</f>
        <v>1306.36367273</v>
      </c>
      <c r="C47" s="151">
        <f>SUM(C38:C44)+SUM(C45:C46)</f>
        <v>3019.9613291666674</v>
      </c>
      <c r="D47" s="151">
        <f>SUM(D38:D44)+SUM(D45:D46)</f>
        <v>3195.3459999999995</v>
      </c>
      <c r="E47" s="151">
        <f>SUM(E38:E44)+SUM(E45:E46)</f>
        <v>3367.9618958333331</v>
      </c>
      <c r="F47" s="151">
        <f>SUM(F38:F44)+SUM(F45:F46)</f>
        <v>2805.2440000000006</v>
      </c>
    </row>
    <row r="48" spans="1:6">
      <c r="A48" s="45" t="str">
        <f>'NORTH FORK'!A28</f>
        <v>GW CBCU</v>
      </c>
      <c r="B48" s="151">
        <f>+B8</f>
        <v>79918</v>
      </c>
      <c r="C48" s="151">
        <f>+C8</f>
        <v>82359</v>
      </c>
      <c r="D48" s="151">
        <f>+D8</f>
        <v>81732</v>
      </c>
      <c r="E48" s="151">
        <f>+E8</f>
        <v>78767</v>
      </c>
      <c r="F48" s="151">
        <f>+F8</f>
        <v>79922</v>
      </c>
    </row>
    <row r="49" spans="1:6">
      <c r="A49" s="45" t="str">
        <f>'NORTH FORK'!A29</f>
        <v>Total CBCU</v>
      </c>
      <c r="B49" s="151">
        <f>(ROUND(SUM(B47:B48),-1))</f>
        <v>81220</v>
      </c>
      <c r="C49" s="151">
        <f>(ROUND(SUM(C47:C48),-1))</f>
        <v>85380</v>
      </c>
      <c r="D49" s="151">
        <f>(ROUND(SUM(D47:D48),-1))</f>
        <v>84930</v>
      </c>
      <c r="E49" s="151">
        <f>(ROUND(SUM(E47:E48),-1))</f>
        <v>82130</v>
      </c>
      <c r="F49" s="151">
        <f>(ROUND(SUM(F47:F48),-1))</f>
        <v>82730</v>
      </c>
    </row>
    <row r="50" spans="1:6">
      <c r="A50" s="45" t="s">
        <v>66</v>
      </c>
      <c r="B50" s="151"/>
      <c r="C50" s="151"/>
      <c r="D50" s="151"/>
      <c r="E50" s="151"/>
      <c r="F50" s="151"/>
    </row>
    <row r="51" spans="1:6">
      <c r="A51" s="4" t="s">
        <v>162</v>
      </c>
      <c r="B51" s="151"/>
      <c r="C51" s="151"/>
      <c r="D51" s="151"/>
      <c r="E51" s="151"/>
      <c r="F51" s="151"/>
    </row>
    <row r="52" spans="1:6">
      <c r="A52" s="45" t="str">
        <f>'NORTH FORK'!A42</f>
        <v>Total SW CBCU</v>
      </c>
      <c r="B52" s="151">
        <f>B47</f>
        <v>1306.36367273</v>
      </c>
      <c r="C52" s="151">
        <f>C47</f>
        <v>3019.9613291666674</v>
      </c>
      <c r="D52" s="151">
        <f>D47</f>
        <v>3195.3459999999995</v>
      </c>
      <c r="E52" s="151">
        <f>E47</f>
        <v>3367.9618958333331</v>
      </c>
      <c r="F52" s="151">
        <f>F47</f>
        <v>2805.2440000000006</v>
      </c>
    </row>
    <row r="53" spans="1:6">
      <c r="A53" s="45" t="str">
        <f>'NORTH FORK'!A43</f>
        <v>Total GW CBCU</v>
      </c>
      <c r="B53" s="151">
        <f>+B30+B34+B48</f>
        <v>81136</v>
      </c>
      <c r="C53" s="151">
        <f>+C30+C34+C48</f>
        <v>83534</v>
      </c>
      <c r="D53" s="151">
        <f>+D30+D34+D48</f>
        <v>83416</v>
      </c>
      <c r="E53" s="151">
        <f>+E30+E34+E48</f>
        <v>79904</v>
      </c>
      <c r="F53" s="151">
        <f>+F30+F34+F48</f>
        <v>80122</v>
      </c>
    </row>
    <row r="54" spans="1:6">
      <c r="A54" s="45" t="str">
        <f>'NORTH FORK'!A44</f>
        <v>Total Basin CBCU</v>
      </c>
      <c r="B54" s="151">
        <f>(ROUND(SUM(B52:B53),-1))</f>
        <v>82440</v>
      </c>
      <c r="C54" s="151">
        <f>(ROUND(SUM(C52:C53),-1))</f>
        <v>86550</v>
      </c>
      <c r="D54" s="151">
        <f>(ROUND(SUM(D52:D53),-1))</f>
        <v>86610</v>
      </c>
      <c r="E54" s="151">
        <f>(ROUND(SUM(E52:E53),-1))</f>
        <v>83270</v>
      </c>
      <c r="F54" s="151">
        <f>(ROUND(SUM(F52:F53),-1))</f>
        <v>82930</v>
      </c>
    </row>
    <row r="55" spans="1:6">
      <c r="A55" s="45" t="s">
        <v>66</v>
      </c>
      <c r="B55" s="151"/>
      <c r="C55" s="151"/>
      <c r="D55" s="151"/>
      <c r="E55" s="151"/>
      <c r="F55" s="151"/>
    </row>
    <row r="56" spans="1:6" ht="15.75">
      <c r="A56" s="10" t="s">
        <v>10</v>
      </c>
      <c r="B56" s="151"/>
      <c r="C56" s="151"/>
      <c r="D56" s="151"/>
      <c r="E56" s="151"/>
      <c r="F56" s="151"/>
    </row>
    <row r="57" spans="1:6">
      <c r="A57" s="13" t="str">
        <f t="shared" ref="A57:F57" si="1">A15</f>
        <v>Frenchman Creek At Culbertson</v>
      </c>
      <c r="B57" s="151">
        <f t="shared" si="1"/>
        <v>27490</v>
      </c>
      <c r="C57" s="151">
        <f t="shared" si="1"/>
        <v>25906</v>
      </c>
      <c r="D57" s="151">
        <f t="shared" si="1"/>
        <v>27267</v>
      </c>
      <c r="E57" s="151">
        <f t="shared" si="1"/>
        <v>19122</v>
      </c>
      <c r="F57" s="151">
        <f t="shared" si="1"/>
        <v>16678</v>
      </c>
    </row>
    <row r="58" spans="1:6">
      <c r="A58" s="13" t="s">
        <v>407</v>
      </c>
      <c r="B58" s="151">
        <f>0.17*(B20*B11)</f>
        <v>0</v>
      </c>
      <c r="C58" s="151">
        <f>0.17*(C20*C11)</f>
        <v>1009.9927799999999</v>
      </c>
      <c r="D58" s="151">
        <f>0.17*(D20*D11)</f>
        <v>1643.2461800000001</v>
      </c>
      <c r="E58" s="151">
        <f>0.17*(E20*E11)</f>
        <v>937.50614000000007</v>
      </c>
      <c r="F58" s="151">
        <f>0.17*(F20*F11)</f>
        <v>833.80851999999993</v>
      </c>
    </row>
    <row r="59" spans="1:6">
      <c r="A59" s="13" t="s">
        <v>408</v>
      </c>
      <c r="B59" s="151">
        <f>B21*B12</f>
        <v>0</v>
      </c>
      <c r="C59" s="151">
        <f>C21*C12</f>
        <v>0</v>
      </c>
      <c r="D59" s="151">
        <f>D21*D12</f>
        <v>0</v>
      </c>
      <c r="E59" s="151">
        <f>E21*E12</f>
        <v>0</v>
      </c>
      <c r="F59" s="151">
        <f>F21*F12</f>
        <v>0</v>
      </c>
    </row>
    <row r="60" spans="1:6">
      <c r="A60" s="13" t="str">
        <f>'NORTH FORK'!A49</f>
        <v>Colorado CBCU</v>
      </c>
      <c r="B60" s="151">
        <f>+B31</f>
        <v>1220</v>
      </c>
      <c r="C60" s="151">
        <f>+C31</f>
        <v>1180</v>
      </c>
      <c r="D60" s="151">
        <f>+D31</f>
        <v>1680</v>
      </c>
      <c r="E60" s="151">
        <f>+E31</f>
        <v>1140</v>
      </c>
      <c r="F60" s="151">
        <f>+F31</f>
        <v>200</v>
      </c>
    </row>
    <row r="61" spans="1:6">
      <c r="A61" s="13" t="str">
        <f>'NORTH FORK'!A50</f>
        <v>Kansas CBCU</v>
      </c>
      <c r="B61" s="151">
        <f>+B35</f>
        <v>0</v>
      </c>
      <c r="C61" s="151">
        <f>+C35</f>
        <v>0</v>
      </c>
      <c r="D61" s="151">
        <f>+D35</f>
        <v>0</v>
      </c>
      <c r="E61" s="151">
        <f>+E35</f>
        <v>0</v>
      </c>
      <c r="F61" s="151">
        <f>+F35</f>
        <v>0</v>
      </c>
    </row>
    <row r="62" spans="1:6">
      <c r="A62" s="13" t="str">
        <f>'NORTH FORK'!A51</f>
        <v>Nebraska CBCU</v>
      </c>
      <c r="B62" s="151">
        <f>+B49</f>
        <v>81220</v>
      </c>
      <c r="C62" s="151">
        <f>+C49</f>
        <v>85380</v>
      </c>
      <c r="D62" s="151">
        <f>+D49</f>
        <v>84930</v>
      </c>
      <c r="E62" s="151">
        <f>+E49</f>
        <v>82130</v>
      </c>
      <c r="F62" s="151">
        <f>+F49</f>
        <v>82730</v>
      </c>
    </row>
    <row r="63" spans="1:6">
      <c r="A63" s="13" t="str">
        <f>A17</f>
        <v>Enders Reservoir Change In Storage</v>
      </c>
      <c r="B63" s="151">
        <f>+B17</f>
        <v>-1669</v>
      </c>
      <c r="C63" s="151">
        <f>+C17</f>
        <v>767</v>
      </c>
      <c r="D63" s="151">
        <f>+D17</f>
        <v>424</v>
      </c>
      <c r="E63" s="151">
        <f>+E17</f>
        <v>-1148</v>
      </c>
      <c r="F63" s="151">
        <f>+F17</f>
        <v>-655</v>
      </c>
    </row>
    <row r="64" spans="1:6">
      <c r="A64" s="13" t="s">
        <v>550</v>
      </c>
      <c r="B64" s="151">
        <f>(B19-B39)*0.78</f>
        <v>0</v>
      </c>
      <c r="C64" s="151">
        <f>(C19-C39)*0.78</f>
        <v>0</v>
      </c>
      <c r="D64" s="151">
        <f>(D19-D39)*0.78</f>
        <v>0</v>
      </c>
      <c r="E64" s="151">
        <f>(E19-E39)*0.78</f>
        <v>0</v>
      </c>
      <c r="F64" s="151">
        <f>(F19-F39)*0.78</f>
        <v>0</v>
      </c>
    </row>
    <row r="65" spans="1:6">
      <c r="A65" s="13" t="str">
        <f>'NORTH FORK'!A52</f>
        <v>Imported Water</v>
      </c>
      <c r="B65" s="151">
        <f>B5</f>
        <v>0</v>
      </c>
      <c r="C65" s="151">
        <f>C5</f>
        <v>10</v>
      </c>
      <c r="D65" s="151">
        <f>D5</f>
        <v>10</v>
      </c>
      <c r="E65" s="151">
        <f>E5</f>
        <v>0</v>
      </c>
      <c r="F65" s="151">
        <f>F5</f>
        <v>0</v>
      </c>
    </row>
    <row r="66" spans="1:6">
      <c r="A66" s="13" t="str">
        <f>'NORTH FORK'!A54</f>
        <v>Virgin Water Supply</v>
      </c>
      <c r="B66" s="151">
        <f>ROUND(SUM(B57:B64)-B65,-1)</f>
        <v>108260</v>
      </c>
      <c r="C66" s="151">
        <f>ROUND(SUM(C57:C64)-C65,-1)</f>
        <v>114230</v>
      </c>
      <c r="D66" s="151">
        <f>ROUND(SUM(D57:D64)-D65,-1)</f>
        <v>115930</v>
      </c>
      <c r="E66" s="151">
        <f>ROUND(SUM(E57:E64)-E65,-1)</f>
        <v>102180</v>
      </c>
      <c r="F66" s="151">
        <f>ROUND(SUM(F57:F64)-F65,-1)</f>
        <v>99790</v>
      </c>
    </row>
    <row r="67" spans="1:6">
      <c r="A67" s="13" t="str">
        <f>'NORTH FORK'!A55</f>
        <v>Adjustment For Flood Flows</v>
      </c>
      <c r="B67" s="151">
        <f>B26</f>
        <v>0</v>
      </c>
      <c r="C67" s="151">
        <f>C26</f>
        <v>0</v>
      </c>
      <c r="D67" s="151">
        <f>D26</f>
        <v>0</v>
      </c>
      <c r="E67" s="151">
        <f>E26</f>
        <v>0</v>
      </c>
      <c r="F67" s="151">
        <f>F26</f>
        <v>0</v>
      </c>
    </row>
    <row r="68" spans="1:6">
      <c r="A68" s="13" t="str">
        <f>'NORTH FORK'!A56</f>
        <v>Computed Water Supply</v>
      </c>
      <c r="B68" s="151">
        <f>ROUND(+B66-B67-B63,-1)</f>
        <v>109930</v>
      </c>
      <c r="C68" s="151">
        <f>ROUND(+C66-C67-C63,-1)</f>
        <v>113460</v>
      </c>
      <c r="D68" s="151">
        <f>ROUND(+D66-D67-D63,-1)</f>
        <v>115510</v>
      </c>
      <c r="E68" s="151">
        <f>ROUND(+E66-E67-E63,-1)</f>
        <v>103330</v>
      </c>
      <c r="F68" s="151">
        <f>ROUND(+F66-F67-F63,-1)</f>
        <v>100450</v>
      </c>
    </row>
    <row r="69" spans="1:6">
      <c r="A69" s="45" t="s">
        <v>66</v>
      </c>
      <c r="B69" s="151"/>
      <c r="C69" s="151"/>
      <c r="D69" s="151"/>
      <c r="E69" s="151"/>
      <c r="F69" s="151"/>
    </row>
    <row r="70" spans="1:6" ht="15.75">
      <c r="A70" s="10" t="s">
        <v>12</v>
      </c>
      <c r="B70" s="154"/>
      <c r="C70" s="154"/>
      <c r="D70" s="154"/>
      <c r="E70" s="154"/>
      <c r="F70" s="154"/>
    </row>
    <row r="71" spans="1:6">
      <c r="A71" s="13" t="str">
        <f>'NORTH FORK'!A59</f>
        <v>Colorado Percent Of Allocation</v>
      </c>
      <c r="B71" s="122">
        <f>'T2'!$D8</f>
        <v>0</v>
      </c>
      <c r="C71" s="122">
        <f>'T2'!$D8</f>
        <v>0</v>
      </c>
      <c r="D71" s="122">
        <f>'T2'!$D8</f>
        <v>0</v>
      </c>
      <c r="E71" s="122">
        <f>'T2'!$D8</f>
        <v>0</v>
      </c>
      <c r="F71" s="122">
        <f>'T2'!$D8</f>
        <v>0</v>
      </c>
    </row>
    <row r="72" spans="1:6">
      <c r="A72" s="13" t="str">
        <f>'NORTH FORK'!A60</f>
        <v>Colorado Allocation</v>
      </c>
      <c r="B72" s="151">
        <f>ROUND(+B68*B71,-1)</f>
        <v>0</v>
      </c>
      <c r="C72" s="151">
        <f>ROUND(+C68*C71,-1)</f>
        <v>0</v>
      </c>
      <c r="D72" s="151">
        <f>ROUND(+D68*D71,-1)</f>
        <v>0</v>
      </c>
      <c r="E72" s="151">
        <f>ROUND(+E68*E71,-1)</f>
        <v>0</v>
      </c>
      <c r="F72" s="151">
        <f>ROUND(+F68*F71,-1)</f>
        <v>0</v>
      </c>
    </row>
    <row r="73" spans="1:6">
      <c r="A73" s="13" t="str">
        <f>'NORTH FORK'!A61</f>
        <v>Kansas Percent Of Allocation</v>
      </c>
      <c r="B73" s="122">
        <f>'T2'!$F8</f>
        <v>0</v>
      </c>
      <c r="C73" s="122">
        <f>'T2'!$F8</f>
        <v>0</v>
      </c>
      <c r="D73" s="122">
        <f>'T2'!$F8</f>
        <v>0</v>
      </c>
      <c r="E73" s="122">
        <f>'T2'!$F8</f>
        <v>0</v>
      </c>
      <c r="F73" s="122">
        <f>'T2'!$F8</f>
        <v>0</v>
      </c>
    </row>
    <row r="74" spans="1:6">
      <c r="A74" s="2" t="str">
        <f>'NORTH FORK'!A62</f>
        <v>Kansas Allocation</v>
      </c>
      <c r="B74" s="145">
        <f>ROUND(B68*B73,-1)</f>
        <v>0</v>
      </c>
      <c r="C74" s="145">
        <f>ROUND(C68*C73,-1)</f>
        <v>0</v>
      </c>
      <c r="D74" s="145">
        <f>ROUND(D68*D73,-1)</f>
        <v>0</v>
      </c>
      <c r="E74" s="145">
        <f>ROUND(E68*E73,-1)</f>
        <v>0</v>
      </c>
      <c r="F74" s="145">
        <f>ROUND(F68*F73,-1)</f>
        <v>0</v>
      </c>
    </row>
    <row r="75" spans="1:6">
      <c r="A75" s="2" t="str">
        <f>'NORTH FORK'!A63</f>
        <v>Nebraska Percent Of Allocation</v>
      </c>
      <c r="B75" s="117">
        <f>'T2'!$H8</f>
        <v>0.53600000000000003</v>
      </c>
      <c r="C75" s="117">
        <f>'T2'!$H8</f>
        <v>0.53600000000000003</v>
      </c>
      <c r="D75" s="117">
        <f>'T2'!$H8</f>
        <v>0.53600000000000003</v>
      </c>
      <c r="E75" s="117">
        <f>'T2'!$H8</f>
        <v>0.53600000000000003</v>
      </c>
      <c r="F75" s="117">
        <f>'T2'!$H8</f>
        <v>0.53600000000000003</v>
      </c>
    </row>
    <row r="76" spans="1:6">
      <c r="A76" s="2" t="str">
        <f>'NORTH FORK'!A64</f>
        <v>Nebraska Allocation</v>
      </c>
      <c r="B76" s="145">
        <f>ROUND(B68*B75,-1)</f>
        <v>58920</v>
      </c>
      <c r="C76" s="145">
        <f>ROUND(C68*C75,-1)</f>
        <v>60810</v>
      </c>
      <c r="D76" s="145">
        <f>ROUND(D68*D75,-1)</f>
        <v>61910</v>
      </c>
      <c r="E76" s="145">
        <f>ROUND(E68*E75,-1)</f>
        <v>55380</v>
      </c>
      <c r="F76" s="145">
        <f>ROUND(F68*F75,-1)</f>
        <v>53840</v>
      </c>
    </row>
    <row r="77" spans="1:6">
      <c r="A77" s="2" t="str">
        <f>'NORTH FORK'!A65</f>
        <v>Total Basin Allocation</v>
      </c>
      <c r="B77" s="145">
        <f>+B72+B74+B76</f>
        <v>58920</v>
      </c>
      <c r="C77" s="145">
        <f>+C72+C74+C76</f>
        <v>60810</v>
      </c>
      <c r="D77" s="145">
        <f>+D72+D74+D76</f>
        <v>61910</v>
      </c>
      <c r="E77" s="145">
        <f>+E72+E74+E76</f>
        <v>55380</v>
      </c>
      <c r="F77" s="145">
        <f>+F72+F74+F76</f>
        <v>53840</v>
      </c>
    </row>
    <row r="78" spans="1:6">
      <c r="A78" s="2" t="str">
        <f>'NORTH FORK'!A66</f>
        <v>Percent Of Supply Not Allocated</v>
      </c>
      <c r="B78" s="117">
        <f>'T2'!$J8</f>
        <v>0.46400000000000002</v>
      </c>
      <c r="C78" s="117">
        <f>'T2'!$J8</f>
        <v>0.46400000000000002</v>
      </c>
      <c r="D78" s="117">
        <f>'T2'!$J8</f>
        <v>0.46400000000000002</v>
      </c>
      <c r="E78" s="117">
        <f>'T2'!$J8</f>
        <v>0.46400000000000002</v>
      </c>
      <c r="F78" s="117">
        <f>'T2'!$J8</f>
        <v>0.46400000000000002</v>
      </c>
    </row>
    <row r="79" spans="1:6">
      <c r="A79" s="2" t="str">
        <f>'NORTH FORK'!A67</f>
        <v>Quantity Of Unallocated Supply</v>
      </c>
      <c r="B79" s="145">
        <f>+B68-B72-B74-B76</f>
        <v>51010</v>
      </c>
      <c r="C79" s="145">
        <f>+C68-C72-C74-C76</f>
        <v>52650</v>
      </c>
      <c r="D79" s="145">
        <f>+D68-D72-D74-D76</f>
        <v>53600</v>
      </c>
      <c r="E79" s="145">
        <f>+E68-E72-E74-E76</f>
        <v>47950</v>
      </c>
      <c r="F79" s="145">
        <f>+F68-F72-F74-F76</f>
        <v>46610</v>
      </c>
    </row>
  </sheetData>
  <phoneticPr fontId="0" type="noConversion"/>
  <printOptions headings="1"/>
  <pageMargins left="0.75" right="0.75" top="0.75" bottom="0.5" header="0.25" footer="0.5"/>
  <pageSetup paperSize="3" fitToHeight="2" orientation="portrait" r:id="rId1"/>
  <headerFooter alignWithMargins="0">
    <oddHeader>&amp;LRRCA 
Compact Accounting&amp;C&amp;A SUB-BASIN&amp;RPage &amp;P of &amp;N</oddHeader>
  </headerFooter>
  <rowBreaks count="1" manualBreakCount="1">
    <brk id="49"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AA6414"/>
  <sheetViews>
    <sheetView tabSelected="1" zoomScale="98" zoomScaleNormal="98" zoomScaleSheetLayoutView="80" workbookViewId="0">
      <pane xSplit="1" ySplit="1" topLeftCell="B206" activePane="bottomRight" state="frozen"/>
      <selection activeCell="F50" sqref="F50"/>
      <selection pane="topRight" activeCell="F50" sqref="F50"/>
      <selection pane="bottomLeft" activeCell="F50" sqref="F50"/>
      <selection pane="bottomRight" activeCell="G230" sqref="G230"/>
    </sheetView>
  </sheetViews>
  <sheetFormatPr defaultRowHeight="12.75"/>
  <cols>
    <col min="1" max="1" width="28.5703125" customWidth="1"/>
    <col min="2" max="2" width="88.42578125" style="99" customWidth="1"/>
    <col min="3" max="5" width="8.28515625" style="14" bestFit="1" customWidth="1"/>
    <col min="6" max="6" width="8.85546875" style="319" customWidth="1"/>
    <col min="7" max="7" width="11" style="319" customWidth="1"/>
    <col min="8" max="8" width="9.140625" style="120"/>
    <col min="9" max="9" width="13.85546875" style="120" customWidth="1"/>
    <col min="10" max="12" width="9.140625" style="120"/>
    <col min="13" max="13" width="14.140625" bestFit="1" customWidth="1"/>
    <col min="15" max="17" width="9.140625" style="312"/>
  </cols>
  <sheetData>
    <row r="1" spans="1:12">
      <c r="A1" s="4" t="s">
        <v>78</v>
      </c>
      <c r="B1" s="4"/>
      <c r="C1" s="100">
        <f>D1-1</f>
        <v>2017</v>
      </c>
      <c r="D1" s="100">
        <f>E1-1</f>
        <v>2018</v>
      </c>
      <c r="E1" s="100">
        <f>F1-1</f>
        <v>2019</v>
      </c>
      <c r="F1" s="100">
        <f>G1-1</f>
        <v>2020</v>
      </c>
      <c r="G1" s="519">
        <f>A2</f>
        <v>2021</v>
      </c>
    </row>
    <row r="2" spans="1:12" s="312" customFormat="1">
      <c r="A2" s="423">
        <v>2021</v>
      </c>
      <c r="B2" s="12"/>
      <c r="C2" s="256"/>
      <c r="D2" s="256"/>
      <c r="E2" s="256"/>
      <c r="F2" s="319"/>
      <c r="G2" s="319"/>
      <c r="H2" s="120"/>
      <c r="I2" s="120"/>
      <c r="J2" s="120"/>
      <c r="K2" s="120"/>
      <c r="L2" s="120"/>
    </row>
    <row r="3" spans="1:12">
      <c r="A3" s="4" t="s">
        <v>79</v>
      </c>
      <c r="B3" s="12"/>
    </row>
    <row r="4" spans="1:12">
      <c r="A4" s="32" t="s">
        <v>65</v>
      </c>
      <c r="B4" s="47" t="s">
        <v>193</v>
      </c>
      <c r="C4" s="150">
        <f>GM_output!B9</f>
        <v>16906</v>
      </c>
      <c r="D4" s="150">
        <f>GM_output!H9</f>
        <v>17365</v>
      </c>
      <c r="E4" s="150">
        <f>GM_output!N9</f>
        <v>17492</v>
      </c>
      <c r="F4" s="150">
        <f>GM_output!T9</f>
        <v>17390</v>
      </c>
      <c r="G4" s="150">
        <f>GM_output!Z9</f>
        <v>17951</v>
      </c>
      <c r="I4" s="520"/>
    </row>
    <row r="5" spans="1:12">
      <c r="A5" s="32" t="s">
        <v>66</v>
      </c>
      <c r="B5" s="47" t="s">
        <v>194</v>
      </c>
      <c r="C5" s="150">
        <f>GM_output!C9</f>
        <v>0</v>
      </c>
      <c r="D5" s="150">
        <f>GM_output!I9</f>
        <v>0</v>
      </c>
      <c r="E5" s="150">
        <f>GM_output!O9</f>
        <v>0</v>
      </c>
      <c r="F5" s="150">
        <f>GM_output!U9</f>
        <v>0</v>
      </c>
      <c r="G5" s="150">
        <f>GM_output!AA9</f>
        <v>0</v>
      </c>
    </row>
    <row r="6" spans="1:12">
      <c r="A6" s="32"/>
      <c r="B6" s="47" t="s">
        <v>197</v>
      </c>
      <c r="C6" s="150">
        <f>GM_output!D9</f>
        <v>1174</v>
      </c>
      <c r="D6" s="150">
        <f>GM_output!J9</f>
        <v>1205</v>
      </c>
      <c r="E6" s="150">
        <f>GM_output!P9</f>
        <v>1229</v>
      </c>
      <c r="F6" s="150">
        <f>GM_output!V9</f>
        <v>1246</v>
      </c>
      <c r="G6" s="150">
        <f>GM_output!AB9</f>
        <v>1272</v>
      </c>
    </row>
    <row r="7" spans="1:12">
      <c r="A7" t="s">
        <v>67</v>
      </c>
      <c r="B7" s="46" t="s">
        <v>193</v>
      </c>
      <c r="C7" s="150">
        <f>GM_output!B4</f>
        <v>2102</v>
      </c>
      <c r="D7" s="150">
        <f>GM_output!H4</f>
        <v>2639</v>
      </c>
      <c r="E7" s="150">
        <f>GM_output!N4</f>
        <v>2084</v>
      </c>
      <c r="F7" s="150">
        <f>GM_output!T4</f>
        <v>1646</v>
      </c>
      <c r="G7" s="150">
        <f>GM_output!Z4</f>
        <v>1443</v>
      </c>
    </row>
    <row r="8" spans="1:12">
      <c r="A8" t="s">
        <v>66</v>
      </c>
      <c r="B8" s="46" t="s">
        <v>194</v>
      </c>
      <c r="C8" s="150">
        <f>GM_output!C4</f>
        <v>157</v>
      </c>
      <c r="D8" s="150">
        <f>GM_output!I4</f>
        <v>178</v>
      </c>
      <c r="E8" s="150">
        <f>GM_output!O4</f>
        <v>111</v>
      </c>
      <c r="F8" s="150">
        <f>GM_output!U4</f>
        <v>81</v>
      </c>
      <c r="G8" s="150">
        <f>GM_output!AA4</f>
        <v>115</v>
      </c>
    </row>
    <row r="9" spans="1:12">
      <c r="B9" s="46" t="s">
        <v>197</v>
      </c>
      <c r="C9" s="150">
        <f>GM_output!D4</f>
        <v>77</v>
      </c>
      <c r="D9" s="150">
        <f>GM_output!J4</f>
        <v>112</v>
      </c>
      <c r="E9" s="150">
        <f>GM_output!P4</f>
        <v>76</v>
      </c>
      <c r="F9" s="150">
        <f>GM_output!V4</f>
        <v>73</v>
      </c>
      <c r="G9" s="150">
        <f>GM_output!AB4</f>
        <v>110</v>
      </c>
    </row>
    <row r="10" spans="1:12">
      <c r="A10" s="32" t="s">
        <v>68</v>
      </c>
      <c r="B10" s="47" t="s">
        <v>193</v>
      </c>
      <c r="C10" s="150">
        <f>GM_output!B6</f>
        <v>502</v>
      </c>
      <c r="D10" s="150">
        <f>GM_output!H6</f>
        <v>521</v>
      </c>
      <c r="E10" s="150">
        <f>GM_output!N6</f>
        <v>537</v>
      </c>
      <c r="F10" s="150">
        <f>GM_output!T6</f>
        <v>482</v>
      </c>
      <c r="G10" s="150">
        <f>GM_output!Z6</f>
        <v>437</v>
      </c>
    </row>
    <row r="11" spans="1:12">
      <c r="A11" s="32" t="s">
        <v>66</v>
      </c>
      <c r="B11" s="47" t="s">
        <v>194</v>
      </c>
      <c r="C11" s="150">
        <f>GM_output!C6</f>
        <v>0</v>
      </c>
      <c r="D11" s="150">
        <f>GM_output!I6</f>
        <v>0</v>
      </c>
      <c r="E11" s="150">
        <f>GM_output!O6</f>
        <v>0</v>
      </c>
      <c r="F11" s="150">
        <f>GM_output!U6</f>
        <v>0</v>
      </c>
      <c r="G11" s="150">
        <f>GM_output!AA6</f>
        <v>0</v>
      </c>
    </row>
    <row r="12" spans="1:12">
      <c r="A12" s="32"/>
      <c r="B12" s="47" t="s">
        <v>197</v>
      </c>
      <c r="C12" s="150">
        <f>GM_output!D6</f>
        <v>3544</v>
      </c>
      <c r="D12" s="150">
        <f>GM_output!J6</f>
        <v>3601</v>
      </c>
      <c r="E12" s="150">
        <f>GM_output!P6</f>
        <v>3660</v>
      </c>
      <c r="F12" s="150">
        <f>GM_output!V6</f>
        <v>3603</v>
      </c>
      <c r="G12" s="150">
        <f>GM_output!AB6</f>
        <v>3569</v>
      </c>
    </row>
    <row r="13" spans="1:12">
      <c r="A13" s="14" t="s">
        <v>69</v>
      </c>
      <c r="B13" s="48" t="s">
        <v>193</v>
      </c>
      <c r="C13" s="150">
        <f>GM_output!B17</f>
        <v>112</v>
      </c>
      <c r="D13" s="150">
        <f>GM_output!H17</f>
        <v>123</v>
      </c>
      <c r="E13" s="150">
        <f>GM_output!N17</f>
        <v>134</v>
      </c>
      <c r="F13" s="150">
        <f>GM_output!T17</f>
        <v>94</v>
      </c>
      <c r="G13" s="150">
        <f>GM_output!Z17</f>
        <v>82</v>
      </c>
    </row>
    <row r="14" spans="1:12">
      <c r="A14" s="14" t="s">
        <v>66</v>
      </c>
      <c r="B14" s="48" t="s">
        <v>194</v>
      </c>
      <c r="C14" s="150">
        <f>GM_output!C17</f>
        <v>0</v>
      </c>
      <c r="D14" s="150">
        <f>GM_output!I17</f>
        <v>0</v>
      </c>
      <c r="E14" s="150">
        <f>GM_output!O17</f>
        <v>0</v>
      </c>
      <c r="F14" s="150">
        <f>GM_output!U17</f>
        <v>0</v>
      </c>
      <c r="G14" s="150">
        <f>GM_output!AA17</f>
        <v>0</v>
      </c>
    </row>
    <row r="15" spans="1:12">
      <c r="A15" s="14"/>
      <c r="B15" s="48" t="s">
        <v>197</v>
      </c>
      <c r="C15" s="150">
        <f>GM_output!D17</f>
        <v>5064</v>
      </c>
      <c r="D15" s="150">
        <f>GM_output!J17</f>
        <v>5200</v>
      </c>
      <c r="E15" s="150">
        <f>GM_output!P17</f>
        <v>5293</v>
      </c>
      <c r="F15" s="150">
        <f>GM_output!V17</f>
        <v>5190</v>
      </c>
      <c r="G15" s="150">
        <f>GM_output!AB17</f>
        <v>5113</v>
      </c>
    </row>
    <row r="16" spans="1:12">
      <c r="A16" s="32" t="s">
        <v>212</v>
      </c>
      <c r="B16" s="47" t="s">
        <v>193</v>
      </c>
      <c r="C16" s="150">
        <f>GM_output!B19+GM_output!B21</f>
        <v>13537</v>
      </c>
      <c r="D16" s="150">
        <f>GM_output!H19+GM_output!H21</f>
        <v>14602</v>
      </c>
      <c r="E16" s="150">
        <f>GM_output!N19+GM_output!N21</f>
        <v>13154</v>
      </c>
      <c r="F16" s="150">
        <f>GM_output!T19+GM_output!T21</f>
        <v>11037</v>
      </c>
      <c r="G16" s="150">
        <f>GM_output!Z19+GM_output!Z21</f>
        <v>13764</v>
      </c>
    </row>
    <row r="17" spans="1:7">
      <c r="A17" s="32" t="s">
        <v>66</v>
      </c>
      <c r="B17" s="47" t="s">
        <v>194</v>
      </c>
      <c r="C17" s="150">
        <f>GM_output!C19+GM_output!C21</f>
        <v>4637</v>
      </c>
      <c r="D17" s="150">
        <f>GM_output!I19+GM_output!I21</f>
        <v>6630</v>
      </c>
      <c r="E17" s="150">
        <f>GM_output!O19+GM_output!O21</f>
        <v>3366</v>
      </c>
      <c r="F17" s="150">
        <f>GM_output!U19+GM_output!U21</f>
        <v>3490</v>
      </c>
      <c r="G17" s="150">
        <f>GM_output!AA19+GM_output!AA21</f>
        <v>5176</v>
      </c>
    </row>
    <row r="18" spans="1:7">
      <c r="A18" s="32"/>
      <c r="B18" s="47" t="s">
        <v>197</v>
      </c>
      <c r="C18" s="150">
        <f>GM_output!D19+GM_output!D21</f>
        <v>699</v>
      </c>
      <c r="D18" s="150">
        <f>GM_output!J19+GM_output!J21</f>
        <v>974</v>
      </c>
      <c r="E18" s="150">
        <f>GM_output!P19+GM_output!P21</f>
        <v>607</v>
      </c>
      <c r="F18" s="150">
        <f>GM_output!V19+GM_output!V21</f>
        <v>717</v>
      </c>
      <c r="G18" s="150">
        <f>GM_output!AB19+GM_output!AB21</f>
        <v>774</v>
      </c>
    </row>
    <row r="19" spans="1:7">
      <c r="A19" t="s">
        <v>70</v>
      </c>
      <c r="B19" s="46" t="s">
        <v>193</v>
      </c>
      <c r="C19" s="150">
        <f>GM_output!B8+GM_output!B23</f>
        <v>1218</v>
      </c>
      <c r="D19" s="150">
        <f>GM_output!H8+GM_output!H23</f>
        <v>1175</v>
      </c>
      <c r="E19" s="150">
        <f>GM_output!N8+GM_output!N23</f>
        <v>1684</v>
      </c>
      <c r="F19" s="150">
        <f>GM_output!T8+GM_output!T23</f>
        <v>1137</v>
      </c>
      <c r="G19" s="150">
        <f>GM_output!Z8+GM_output!Z23</f>
        <v>200</v>
      </c>
    </row>
    <row r="20" spans="1:7">
      <c r="A20" t="s">
        <v>66</v>
      </c>
      <c r="B20" s="46" t="s">
        <v>194</v>
      </c>
      <c r="C20" s="150">
        <f>GM_output!C8+GM_output!C23</f>
        <v>0</v>
      </c>
      <c r="D20" s="150">
        <f>GM_output!I8+GM_output!I23</f>
        <v>0</v>
      </c>
      <c r="E20" s="150">
        <f>GM_output!O8+GM_output!O23</f>
        <v>0</v>
      </c>
      <c r="F20" s="150">
        <f>GM_output!U8+GM_output!U23</f>
        <v>0</v>
      </c>
      <c r="G20" s="150">
        <f>GM_output!AA8+GM_output!AA23</f>
        <v>0</v>
      </c>
    </row>
    <row r="21" spans="1:7">
      <c r="B21" s="46" t="s">
        <v>197</v>
      </c>
      <c r="C21" s="150">
        <f>GM_output!D8+GM_output!D23</f>
        <v>79918</v>
      </c>
      <c r="D21" s="150">
        <f>GM_output!J8+GM_output!J23</f>
        <v>82359</v>
      </c>
      <c r="E21" s="150">
        <f>GM_output!P8+GM_output!P23</f>
        <v>81732</v>
      </c>
      <c r="F21" s="150">
        <f>GM_output!V8+GM_output!V23</f>
        <v>78767</v>
      </c>
      <c r="G21" s="150">
        <f>GM_output!AB8+GM_output!AB23</f>
        <v>79922</v>
      </c>
    </row>
    <row r="22" spans="1:7">
      <c r="A22" s="32" t="s">
        <v>71</v>
      </c>
      <c r="B22" s="47" t="s">
        <v>193</v>
      </c>
      <c r="C22" s="150">
        <f>GM_output!B7</f>
        <v>0</v>
      </c>
      <c r="D22" s="150">
        <f>GM_output!H7</f>
        <v>0</v>
      </c>
      <c r="E22" s="150">
        <f>GM_output!N7</f>
        <v>0</v>
      </c>
      <c r="F22" s="150">
        <f>GM_output!T7</f>
        <v>0</v>
      </c>
      <c r="G22" s="150">
        <f>GM_output!Z7</f>
        <v>0</v>
      </c>
    </row>
    <row r="23" spans="1:7">
      <c r="A23" s="32" t="s">
        <v>66</v>
      </c>
      <c r="B23" s="47" t="s">
        <v>194</v>
      </c>
      <c r="C23" s="150">
        <f>GM_output!C7</f>
        <v>0</v>
      </c>
      <c r="D23" s="150">
        <f>GM_output!I7</f>
        <v>0</v>
      </c>
      <c r="E23" s="150">
        <f>GM_output!O7</f>
        <v>0</v>
      </c>
      <c r="F23" s="150">
        <f>GM_output!U7</f>
        <v>0</v>
      </c>
      <c r="G23" s="150">
        <f>GM_output!AA7</f>
        <v>0</v>
      </c>
    </row>
    <row r="24" spans="1:7">
      <c r="A24" s="32"/>
      <c r="B24" s="47" t="s">
        <v>197</v>
      </c>
      <c r="C24" s="150">
        <f>GM_output!D7</f>
        <v>891</v>
      </c>
      <c r="D24" s="150">
        <f>GM_output!J7</f>
        <v>867</v>
      </c>
      <c r="E24" s="150">
        <f>GM_output!P7</f>
        <v>826</v>
      </c>
      <c r="F24" s="150">
        <f>GM_output!V7</f>
        <v>811</v>
      </c>
      <c r="G24" s="150">
        <f>GM_output!AB7</f>
        <v>828</v>
      </c>
    </row>
    <row r="25" spans="1:7">
      <c r="A25" t="s">
        <v>72</v>
      </c>
      <c r="B25" s="46" t="s">
        <v>193</v>
      </c>
      <c r="C25" s="150">
        <f>GM_output!B16+GM_output!B20</f>
        <v>0</v>
      </c>
      <c r="D25" s="150">
        <f>GM_output!H16+GM_output!H20</f>
        <v>0</v>
      </c>
      <c r="E25" s="150">
        <f>GM_output!N16+GM_output!N20</f>
        <v>0</v>
      </c>
      <c r="F25" s="150">
        <f>GM_output!T16+GM_output!T20</f>
        <v>0</v>
      </c>
      <c r="G25" s="150">
        <f>GM_output!Z16+GM_output!Z20</f>
        <v>0</v>
      </c>
    </row>
    <row r="26" spans="1:7">
      <c r="A26" t="s">
        <v>66</v>
      </c>
      <c r="B26" s="46" t="s">
        <v>194</v>
      </c>
      <c r="C26" s="150">
        <f>GM_output!C16+GM_output!C20</f>
        <v>0</v>
      </c>
      <c r="D26" s="150">
        <f>GM_output!I16+GM_output!I20</f>
        <v>0</v>
      </c>
      <c r="E26" s="150">
        <f>GM_output!O16+GM_output!O20</f>
        <v>0</v>
      </c>
      <c r="F26" s="150">
        <f>GM_output!U16+GM_output!U20</f>
        <v>0</v>
      </c>
      <c r="G26" s="150">
        <f>GM_output!AA16+GM_output!AA20</f>
        <v>0</v>
      </c>
    </row>
    <row r="27" spans="1:7">
      <c r="B27" s="46" t="s">
        <v>197</v>
      </c>
      <c r="C27" s="150">
        <f>GM_output!D16+GM_output!D20</f>
        <v>8247</v>
      </c>
      <c r="D27" s="150">
        <f>GM_output!J16+GM_output!J20</f>
        <v>9645</v>
      </c>
      <c r="E27" s="150">
        <f>GM_output!P16+GM_output!P20</f>
        <v>10339</v>
      </c>
      <c r="F27" s="150">
        <f>GM_output!V16+GM_output!V20</f>
        <v>8756</v>
      </c>
      <c r="G27" s="150">
        <f>GM_output!AB16+GM_output!AB20</f>
        <v>8862</v>
      </c>
    </row>
    <row r="28" spans="1:7">
      <c r="A28" s="32" t="s">
        <v>73</v>
      </c>
      <c r="B28" s="47" t="s">
        <v>193</v>
      </c>
      <c r="C28" s="150">
        <f>GM_output!B14+GM_output!B25</f>
        <v>0</v>
      </c>
      <c r="D28" s="150">
        <f>GM_output!H14+GM_output!H25</f>
        <v>0</v>
      </c>
      <c r="E28" s="150">
        <f>GM_output!N14+GM_output!N25</f>
        <v>0</v>
      </c>
      <c r="F28" s="150">
        <f>GM_output!T14+GM_output!T25</f>
        <v>0</v>
      </c>
      <c r="G28" s="150">
        <f>GM_output!Z14+GM_output!Z25</f>
        <v>0</v>
      </c>
    </row>
    <row r="29" spans="1:7">
      <c r="A29" s="32" t="s">
        <v>66</v>
      </c>
      <c r="B29" s="47" t="s">
        <v>194</v>
      </c>
      <c r="C29" s="150">
        <f>GM_output!C14+GM_output!C25</f>
        <v>0</v>
      </c>
      <c r="D29" s="150">
        <f>GM_output!I14+GM_output!I25</f>
        <v>0</v>
      </c>
      <c r="E29" s="150">
        <f>GM_output!O14+GM_output!O25</f>
        <v>0</v>
      </c>
      <c r="F29" s="150">
        <f>GM_output!U14+GM_output!U25</f>
        <v>0</v>
      </c>
      <c r="G29" s="150">
        <f>GM_output!AA14+GM_output!AA25</f>
        <v>0</v>
      </c>
    </row>
    <row r="30" spans="1:7">
      <c r="A30" s="32"/>
      <c r="B30" s="47" t="s">
        <v>197</v>
      </c>
      <c r="C30" s="150">
        <f>GM_output!D14+GM_output!D25</f>
        <v>20695</v>
      </c>
      <c r="D30" s="150">
        <f>GM_output!J14+GM_output!J25</f>
        <v>21374</v>
      </c>
      <c r="E30" s="150">
        <f>GM_output!P14+GM_output!P25</f>
        <v>21376</v>
      </c>
      <c r="F30" s="150">
        <f>GM_output!V14+GM_output!V25</f>
        <v>19867</v>
      </c>
      <c r="G30" s="150">
        <f>GM_output!AB14+GM_output!AB25</f>
        <v>20562</v>
      </c>
    </row>
    <row r="31" spans="1:7">
      <c r="A31" t="s">
        <v>74</v>
      </c>
      <c r="B31" s="46" t="s">
        <v>193</v>
      </c>
      <c r="C31" s="150">
        <f>GM_output!B5</f>
        <v>0</v>
      </c>
      <c r="D31" s="150">
        <f>GM_output!H5</f>
        <v>0</v>
      </c>
      <c r="E31" s="150">
        <f>GM_output!N5</f>
        <v>0</v>
      </c>
      <c r="F31" s="150">
        <f>GM_output!T5</f>
        <v>0</v>
      </c>
      <c r="G31" s="150">
        <f>GM_output!Z5</f>
        <v>0</v>
      </c>
    </row>
    <row r="32" spans="1:7">
      <c r="A32" t="s">
        <v>66</v>
      </c>
      <c r="B32" s="46" t="s">
        <v>194</v>
      </c>
      <c r="C32" s="150">
        <f>GM_output!C5</f>
        <v>6391</v>
      </c>
      <c r="D32" s="150">
        <f>GM_output!I5</f>
        <v>6564</v>
      </c>
      <c r="E32" s="150">
        <f>GM_output!O5</f>
        <v>6509</v>
      </c>
      <c r="F32" s="150">
        <f>GM_output!U5</f>
        <v>6025</v>
      </c>
      <c r="G32" s="150">
        <f>GM_output!AA5</f>
        <v>5163</v>
      </c>
    </row>
    <row r="33" spans="1:12">
      <c r="B33" s="46" t="s">
        <v>197</v>
      </c>
      <c r="C33" s="150">
        <f>GM_output!D5</f>
        <v>4451</v>
      </c>
      <c r="D33" s="150">
        <f>GM_output!J5</f>
        <v>4284</v>
      </c>
      <c r="E33" s="150">
        <f>GM_output!P5</f>
        <v>4081</v>
      </c>
      <c r="F33" s="150">
        <f>GM_output!V5</f>
        <v>3875</v>
      </c>
      <c r="G33" s="150">
        <f>GM_output!AB5</f>
        <v>3228</v>
      </c>
    </row>
    <row r="34" spans="1:12">
      <c r="A34" s="32" t="s">
        <v>75</v>
      </c>
      <c r="B34" s="47" t="s">
        <v>193</v>
      </c>
      <c r="C34" s="150">
        <f>GM_output!B18</f>
        <v>0</v>
      </c>
      <c r="D34" s="150">
        <f>GM_output!H18</f>
        <v>0</v>
      </c>
      <c r="E34" s="150">
        <f>GM_output!N18</f>
        <v>0</v>
      </c>
      <c r="F34" s="150">
        <f>GM_output!T18</f>
        <v>0</v>
      </c>
      <c r="G34" s="150">
        <f>GM_output!Z18</f>
        <v>0</v>
      </c>
    </row>
    <row r="35" spans="1:12">
      <c r="A35" s="32" t="s">
        <v>66</v>
      </c>
      <c r="B35" s="47" t="s">
        <v>194</v>
      </c>
      <c r="C35" s="150">
        <f>GM_output!C18</f>
        <v>2305</v>
      </c>
      <c r="D35" s="150">
        <f>GM_output!I18</f>
        <v>2960</v>
      </c>
      <c r="E35" s="150">
        <f>GM_output!O18</f>
        <v>2675</v>
      </c>
      <c r="F35" s="150">
        <f>GM_output!U18</f>
        <v>2075</v>
      </c>
      <c r="G35" s="150">
        <f>GM_output!AA18</f>
        <v>1241</v>
      </c>
    </row>
    <row r="36" spans="1:12">
      <c r="A36" s="32"/>
      <c r="B36" s="47" t="s">
        <v>197</v>
      </c>
      <c r="C36" s="150">
        <f>GM_output!D18</f>
        <v>2183</v>
      </c>
      <c r="D36" s="150">
        <f>GM_output!J18</f>
        <v>2144</v>
      </c>
      <c r="E36" s="150">
        <f>GM_output!P18</f>
        <v>1886</v>
      </c>
      <c r="F36" s="150">
        <f>GM_output!V18</f>
        <v>1654</v>
      </c>
      <c r="G36" s="150">
        <f>GM_output!AB18</f>
        <v>1560</v>
      </c>
    </row>
    <row r="37" spans="1:12">
      <c r="A37" t="s">
        <v>76</v>
      </c>
      <c r="B37" s="46" t="s">
        <v>193</v>
      </c>
      <c r="C37" s="150">
        <f>GM_output!B15+GM_output!B22</f>
        <v>0</v>
      </c>
      <c r="D37" s="150">
        <f>GM_output!H15+GM_output!H22</f>
        <v>0</v>
      </c>
      <c r="E37" s="150">
        <f>GM_output!N15+GM_output!N22</f>
        <v>0</v>
      </c>
      <c r="F37" s="150">
        <f>GM_output!T15+GM_output!T22</f>
        <v>0</v>
      </c>
      <c r="G37" s="150">
        <f>GM_output!Z15+GM_output!Z22</f>
        <v>0</v>
      </c>
    </row>
    <row r="38" spans="1:12">
      <c r="A38" t="s">
        <v>66</v>
      </c>
      <c r="B38" s="46" t="s">
        <v>194</v>
      </c>
      <c r="C38" s="150">
        <f>GM_output!C15+GM_output!C22</f>
        <v>7551</v>
      </c>
      <c r="D38" s="150">
        <f>GM_output!I15+GM_output!I22</f>
        <v>9886</v>
      </c>
      <c r="E38" s="150">
        <f>GM_output!O15+GM_output!O22</f>
        <v>8738</v>
      </c>
      <c r="F38" s="150">
        <f>GM_output!U15+GM_output!U22</f>
        <v>3668</v>
      </c>
      <c r="G38" s="150">
        <f>GM_output!AA15+GM_output!AA22</f>
        <v>2724</v>
      </c>
    </row>
    <row r="39" spans="1:12">
      <c r="B39" s="46" t="s">
        <v>197</v>
      </c>
      <c r="C39" s="150">
        <f>GM_output!D15+GM_output!D22</f>
        <v>0</v>
      </c>
      <c r="D39" s="150">
        <f>GM_output!J15+GM_output!J22</f>
        <v>0</v>
      </c>
      <c r="E39" s="150">
        <f>GM_output!P15+GM_output!P22</f>
        <v>23</v>
      </c>
      <c r="F39" s="150">
        <f>GM_output!V15+GM_output!V22</f>
        <v>0</v>
      </c>
      <c r="G39" s="150">
        <f>GM_output!AB15+GM_output!AB22</f>
        <v>0</v>
      </c>
    </row>
    <row r="40" spans="1:12">
      <c r="A40" s="32" t="s">
        <v>77</v>
      </c>
      <c r="B40" s="47" t="s">
        <v>193</v>
      </c>
      <c r="C40" s="150">
        <f>GM_output!B29</f>
        <v>-3316</v>
      </c>
      <c r="D40" s="150">
        <f>GM_output!H29</f>
        <v>-1978</v>
      </c>
      <c r="E40" s="150">
        <f>GM_output!N29</f>
        <v>-2522</v>
      </c>
      <c r="F40" s="150">
        <f>GM_output!T29</f>
        <v>-5115</v>
      </c>
      <c r="G40" s="150">
        <f>GM_output!Z29</f>
        <v>-3839</v>
      </c>
    </row>
    <row r="41" spans="1:12">
      <c r="A41" s="40" t="s">
        <v>66</v>
      </c>
      <c r="B41" s="47" t="s">
        <v>567</v>
      </c>
      <c r="C41" s="150">
        <f>GM_output!C30</f>
        <v>-26</v>
      </c>
      <c r="D41" s="150">
        <f>GM_output!I30</f>
        <v>964</v>
      </c>
      <c r="E41" s="150">
        <f>GM_output!O30</f>
        <v>352</v>
      </c>
      <c r="F41" s="150">
        <f>GM_output!U30</f>
        <v>-769</v>
      </c>
      <c r="G41" s="150">
        <f>GM_output!AA30</f>
        <v>-353</v>
      </c>
    </row>
    <row r="42" spans="1:12" s="312" customFormat="1">
      <c r="A42" s="40"/>
      <c r="B42" s="47" t="s">
        <v>568</v>
      </c>
      <c r="C42" s="150">
        <f>GM_output!C13</f>
        <v>53</v>
      </c>
      <c r="D42" s="150">
        <f>GM_output!I13</f>
        <v>47</v>
      </c>
      <c r="E42" s="150">
        <f>GM_output!O13</f>
        <v>49</v>
      </c>
      <c r="F42" s="150">
        <f>GM_output!U13</f>
        <v>51</v>
      </c>
      <c r="G42" s="150">
        <f>GM_output!AA13</f>
        <v>56</v>
      </c>
      <c r="H42" s="120"/>
      <c r="I42" s="120"/>
      <c r="J42" s="120"/>
      <c r="K42" s="120"/>
      <c r="L42" s="120"/>
    </row>
    <row r="43" spans="1:12">
      <c r="A43" s="40"/>
      <c r="B43" s="47" t="s">
        <v>195</v>
      </c>
      <c r="C43" s="150">
        <f>GM_output!D30</f>
        <v>64732</v>
      </c>
      <c r="D43" s="150">
        <f>GM_output!J30</f>
        <v>88133</v>
      </c>
      <c r="E43" s="150">
        <f>GM_output!P30</f>
        <v>83486</v>
      </c>
      <c r="F43" s="150">
        <f>GM_output!V30</f>
        <v>52721</v>
      </c>
      <c r="G43" s="150">
        <f>GM_output!AB30</f>
        <v>62951</v>
      </c>
    </row>
    <row r="44" spans="1:12">
      <c r="A44" s="40"/>
      <c r="B44" s="47" t="s">
        <v>196</v>
      </c>
      <c r="C44" s="150">
        <f>GM_output!D13</f>
        <v>2546</v>
      </c>
      <c r="D44" s="150">
        <f>GM_output!J13</f>
        <v>2440</v>
      </c>
      <c r="E44" s="150">
        <f>GM_output!P13</f>
        <v>1723</v>
      </c>
      <c r="F44" s="150">
        <f>GM_output!V13</f>
        <v>1769</v>
      </c>
      <c r="G44" s="150">
        <f>GM_output!AB13</f>
        <v>2534</v>
      </c>
    </row>
    <row r="45" spans="1:12">
      <c r="C45" s="143"/>
      <c r="D45" s="143"/>
      <c r="E45" s="142"/>
      <c r="F45" s="143"/>
      <c r="G45" s="143"/>
    </row>
    <row r="46" spans="1:12">
      <c r="A46" s="4" t="s">
        <v>80</v>
      </c>
      <c r="B46" s="12"/>
      <c r="C46" s="143"/>
      <c r="D46" s="143"/>
      <c r="E46" s="142"/>
      <c r="F46" s="143"/>
      <c r="G46" s="143"/>
    </row>
    <row r="47" spans="1:12">
      <c r="A47" s="32" t="s">
        <v>65</v>
      </c>
      <c r="B47" s="47" t="s">
        <v>159</v>
      </c>
      <c r="C47" s="150">
        <f>GM_output!E9</f>
        <v>0</v>
      </c>
      <c r="D47" s="150">
        <f>GM_output!K9</f>
        <v>0</v>
      </c>
      <c r="E47" s="150">
        <f>GM_output!Q9</f>
        <v>0</v>
      </c>
      <c r="F47" s="150">
        <f>GM_output!W9</f>
        <v>0</v>
      </c>
      <c r="G47" s="150">
        <f>GM_output!AC9</f>
        <v>0</v>
      </c>
    </row>
    <row r="48" spans="1:12">
      <c r="A48" t="s">
        <v>67</v>
      </c>
      <c r="B48" s="46" t="s">
        <v>159</v>
      </c>
      <c r="C48" s="150">
        <f>GM_output!E4</f>
        <v>0</v>
      </c>
      <c r="D48" s="150">
        <f>GM_output!K4</f>
        <v>0</v>
      </c>
      <c r="E48" s="150">
        <f>GM_output!Q4</f>
        <v>0</v>
      </c>
      <c r="F48" s="150">
        <f>GM_output!W4</f>
        <v>0</v>
      </c>
      <c r="G48" s="150">
        <f>GM_output!AC4</f>
        <v>0</v>
      </c>
    </row>
    <row r="49" spans="1:7">
      <c r="A49" s="32" t="s">
        <v>68</v>
      </c>
      <c r="B49" s="47" t="s">
        <v>159</v>
      </c>
      <c r="C49" s="150">
        <f>GM_output!E6</f>
        <v>0</v>
      </c>
      <c r="D49" s="150">
        <f>GM_output!K6</f>
        <v>0</v>
      </c>
      <c r="E49" s="150">
        <f>GM_output!Q6</f>
        <v>0</v>
      </c>
      <c r="F49" s="150">
        <f>GM_output!W6</f>
        <v>0</v>
      </c>
      <c r="G49" s="150">
        <f>GM_output!AC6</f>
        <v>0</v>
      </c>
    </row>
    <row r="50" spans="1:7">
      <c r="A50" t="s">
        <v>69</v>
      </c>
      <c r="B50" s="46" t="s">
        <v>159</v>
      </c>
      <c r="C50" s="150">
        <f>GM_output!E17</f>
        <v>0</v>
      </c>
      <c r="D50" s="150">
        <f>GM_output!K17</f>
        <v>0</v>
      </c>
      <c r="E50" s="150">
        <f>GM_output!Q17</f>
        <v>0</v>
      </c>
      <c r="F50" s="150">
        <f>GM_output!W17</f>
        <v>0</v>
      </c>
      <c r="G50" s="150">
        <f>GM_output!AC17</f>
        <v>0</v>
      </c>
    </row>
    <row r="51" spans="1:7">
      <c r="A51" s="32" t="s">
        <v>212</v>
      </c>
      <c r="B51" s="47" t="s">
        <v>159</v>
      </c>
      <c r="C51" s="150">
        <f>GM_output!E19+GM_output!E21</f>
        <v>0</v>
      </c>
      <c r="D51" s="150">
        <f>GM_output!K19+GM_output!K21</f>
        <v>0</v>
      </c>
      <c r="E51" s="150">
        <f>GM_output!Q19+GM_output!Q21</f>
        <v>0</v>
      </c>
      <c r="F51" s="150">
        <f>GM_output!W19+GM_output!W21</f>
        <v>0</v>
      </c>
      <c r="G51" s="150">
        <f>GM_output!AC19+GM_output!AC21</f>
        <v>0</v>
      </c>
    </row>
    <row r="52" spans="1:7">
      <c r="A52" t="s">
        <v>70</v>
      </c>
      <c r="B52" s="46" t="s">
        <v>159</v>
      </c>
      <c r="C52" s="150">
        <f>GM_output!E8+GM_output!E23</f>
        <v>0</v>
      </c>
      <c r="D52" s="150">
        <f>GM_output!K8+GM_output!K23</f>
        <v>10</v>
      </c>
      <c r="E52" s="150">
        <f>GM_output!Q8+GM_output!Q23</f>
        <v>10</v>
      </c>
      <c r="F52" s="150">
        <f>GM_output!W8+GM_output!W23</f>
        <v>0</v>
      </c>
      <c r="G52" s="150">
        <f>GM_output!AC8+GM_output!AC23</f>
        <v>0</v>
      </c>
    </row>
    <row r="53" spans="1:7">
      <c r="A53" s="32" t="s">
        <v>71</v>
      </c>
      <c r="B53" s="47" t="s">
        <v>159</v>
      </c>
      <c r="C53" s="150">
        <f>GM_output!E7</f>
        <v>0</v>
      </c>
      <c r="D53" s="150">
        <f>GM_output!K7</f>
        <v>0</v>
      </c>
      <c r="E53" s="150">
        <f>GM_output!Q7</f>
        <v>0</v>
      </c>
      <c r="F53" s="150">
        <f>GM_output!W7</f>
        <v>0</v>
      </c>
      <c r="G53" s="150">
        <f>GM_output!AC7</f>
        <v>0</v>
      </c>
    </row>
    <row r="54" spans="1:7">
      <c r="A54" t="s">
        <v>72</v>
      </c>
      <c r="B54" s="46" t="s">
        <v>159</v>
      </c>
      <c r="C54" s="150">
        <f>GM_output!E16+GM_output!E20</f>
        <v>37</v>
      </c>
      <c r="D54" s="150">
        <f>GM_output!K16+GM_output!K20</f>
        <v>65</v>
      </c>
      <c r="E54" s="150">
        <f>GM_output!Q16+GM_output!Q20</f>
        <v>65</v>
      </c>
      <c r="F54" s="150">
        <f>GM_output!W16+GM_output!W20</f>
        <v>49</v>
      </c>
      <c r="G54" s="150">
        <f>GM_output!AC16+GM_output!AC20</f>
        <v>49</v>
      </c>
    </row>
    <row r="55" spans="1:7">
      <c r="A55" s="32" t="s">
        <v>73</v>
      </c>
      <c r="B55" s="47" t="s">
        <v>159</v>
      </c>
      <c r="C55" s="150">
        <f>GM_output!E14+GM_output!E25</f>
        <v>10337</v>
      </c>
      <c r="D55" s="150">
        <f>GM_output!K14+GM_output!K25</f>
        <v>11274</v>
      </c>
      <c r="E55" s="150">
        <f>GM_output!Q14+GM_output!Q25</f>
        <v>11292</v>
      </c>
      <c r="F55" s="150">
        <f>GM_output!W14+GM_output!W25</f>
        <v>10592</v>
      </c>
      <c r="G55" s="150">
        <f>GM_output!AC14+GM_output!AC25</f>
        <v>10693</v>
      </c>
    </row>
    <row r="56" spans="1:7">
      <c r="A56" t="s">
        <v>74</v>
      </c>
      <c r="B56" s="46" t="s">
        <v>159</v>
      </c>
      <c r="C56" s="150">
        <f>GM_output!E5</f>
        <v>0</v>
      </c>
      <c r="D56" s="150">
        <f>GM_output!K5</f>
        <v>0</v>
      </c>
      <c r="E56" s="150">
        <f>GM_output!Q5</f>
        <v>0</v>
      </c>
      <c r="F56" s="150">
        <f>GM_output!W5</f>
        <v>0</v>
      </c>
      <c r="G56" s="150">
        <f>GM_output!AC5</f>
        <v>0</v>
      </c>
    </row>
    <row r="57" spans="1:7">
      <c r="A57" s="32" t="s">
        <v>75</v>
      </c>
      <c r="B57" s="47" t="s">
        <v>159</v>
      </c>
      <c r="C57" s="150">
        <f>GM_output!E18</f>
        <v>62</v>
      </c>
      <c r="D57" s="150">
        <f>GM_output!K18</f>
        <v>58</v>
      </c>
      <c r="E57" s="150">
        <f>GM_output!Q18</f>
        <v>32</v>
      </c>
      <c r="F57" s="150">
        <f>GM_output!W18</f>
        <v>27</v>
      </c>
      <c r="G57" s="150">
        <f>GM_output!AC18</f>
        <v>29</v>
      </c>
    </row>
    <row r="58" spans="1:7">
      <c r="A58" t="s">
        <v>76</v>
      </c>
      <c r="B58" s="46" t="s">
        <v>159</v>
      </c>
      <c r="C58" s="150">
        <f>GM_output!E15+GM_output!E22</f>
        <v>0</v>
      </c>
      <c r="D58" s="150">
        <f>GM_output!K15+GM_output!K22</f>
        <v>0</v>
      </c>
      <c r="E58" s="150">
        <f>GM_output!Q15+GM_output!Q22</f>
        <v>0</v>
      </c>
      <c r="F58" s="150">
        <f>GM_output!W15+GM_output!W22</f>
        <v>0</v>
      </c>
      <c r="G58" s="150">
        <f>GM_output!AC15+GM_output!AC22</f>
        <v>0</v>
      </c>
    </row>
    <row r="59" spans="1:7">
      <c r="A59" s="32" t="s">
        <v>77</v>
      </c>
      <c r="B59" s="47" t="s">
        <v>258</v>
      </c>
      <c r="C59" s="150">
        <f>GM_output!E30</f>
        <v>9015</v>
      </c>
      <c r="D59" s="150">
        <f>GM_output!K30</f>
        <v>14529</v>
      </c>
      <c r="E59" s="150">
        <f>GM_output!Q30</f>
        <v>15131</v>
      </c>
      <c r="F59" s="150">
        <f>GM_output!W30</f>
        <v>8314</v>
      </c>
      <c r="G59" s="150">
        <f>GM_output!AC30</f>
        <v>10699</v>
      </c>
    </row>
    <row r="60" spans="1:7">
      <c r="A60" s="32"/>
      <c r="B60" s="47" t="s">
        <v>259</v>
      </c>
      <c r="C60" s="150">
        <f>GM_output!E13</f>
        <v>-12</v>
      </c>
      <c r="D60" s="150">
        <f>GM_output!K13</f>
        <v>-17</v>
      </c>
      <c r="E60" s="150">
        <f>GM_output!Q13</f>
        <v>-14</v>
      </c>
      <c r="F60" s="150">
        <f>GM_output!W13</f>
        <v>-20</v>
      </c>
      <c r="G60" s="150">
        <f>GM_output!AC13</f>
        <v>-14</v>
      </c>
    </row>
    <row r="61" spans="1:7">
      <c r="B61" s="48" t="s">
        <v>4</v>
      </c>
      <c r="C61" s="141">
        <f>SUM(C47:C60)</f>
        <v>19439</v>
      </c>
      <c r="D61" s="141">
        <f>SUM(D47:D60)</f>
        <v>25919</v>
      </c>
      <c r="E61" s="141">
        <f>SUM(E47:E60)</f>
        <v>26516</v>
      </c>
      <c r="F61" s="141">
        <f>SUM(F47:F60)</f>
        <v>18962</v>
      </c>
      <c r="G61" s="141">
        <f>SUM(G47:G60)</f>
        <v>21456</v>
      </c>
    </row>
    <row r="62" spans="1:7">
      <c r="A62" s="4" t="s">
        <v>81</v>
      </c>
      <c r="B62" s="12" t="s">
        <v>66</v>
      </c>
      <c r="C62" s="143"/>
      <c r="D62" s="143"/>
      <c r="E62" s="143"/>
      <c r="F62" s="143"/>
      <c r="G62" s="143"/>
    </row>
    <row r="63" spans="1:7">
      <c r="A63" s="32" t="s">
        <v>65</v>
      </c>
      <c r="B63" s="47" t="s">
        <v>404</v>
      </c>
      <c r="C63" s="189">
        <v>406</v>
      </c>
      <c r="D63" s="189">
        <v>463</v>
      </c>
      <c r="E63" s="465">
        <v>217</v>
      </c>
      <c r="F63" s="465">
        <v>301</v>
      </c>
      <c r="G63" s="465">
        <v>195</v>
      </c>
    </row>
    <row r="64" spans="1:7">
      <c r="A64" s="32"/>
      <c r="B64" s="47" t="s">
        <v>213</v>
      </c>
      <c r="C64" s="189">
        <v>26</v>
      </c>
      <c r="D64" s="189">
        <v>16</v>
      </c>
      <c r="E64" s="465">
        <v>19</v>
      </c>
      <c r="F64" s="465">
        <v>24</v>
      </c>
      <c r="G64" s="465">
        <v>22</v>
      </c>
    </row>
    <row r="65" spans="1:7">
      <c r="A65" s="32"/>
      <c r="B65" s="47" t="s">
        <v>172</v>
      </c>
      <c r="C65" s="189">
        <v>0</v>
      </c>
      <c r="D65" s="189">
        <v>0</v>
      </c>
      <c r="E65" s="465">
        <v>0</v>
      </c>
      <c r="F65" s="465">
        <v>0</v>
      </c>
      <c r="G65" s="465">
        <v>0</v>
      </c>
    </row>
    <row r="66" spans="1:7">
      <c r="A66" t="s">
        <v>67</v>
      </c>
      <c r="B66" s="48" t="s">
        <v>404</v>
      </c>
      <c r="C66" s="189">
        <v>20</v>
      </c>
      <c r="D66" s="189">
        <v>0</v>
      </c>
      <c r="E66" s="465">
        <v>0</v>
      </c>
      <c r="F66" s="465">
        <v>0</v>
      </c>
      <c r="G66" s="465">
        <f>F66</f>
        <v>0</v>
      </c>
    </row>
    <row r="67" spans="1:7">
      <c r="B67" s="48" t="s">
        <v>213</v>
      </c>
      <c r="C67" s="189">
        <v>0</v>
      </c>
      <c r="D67" s="189">
        <v>0</v>
      </c>
      <c r="E67" s="465">
        <v>0</v>
      </c>
      <c r="F67" s="465">
        <v>0</v>
      </c>
      <c r="G67" s="465">
        <v>0</v>
      </c>
    </row>
    <row r="68" spans="1:7">
      <c r="A68" t="s">
        <v>66</v>
      </c>
      <c r="B68" s="48" t="s">
        <v>172</v>
      </c>
      <c r="C68" s="189">
        <v>0</v>
      </c>
      <c r="D68" s="189">
        <v>0</v>
      </c>
      <c r="E68" s="465">
        <v>0</v>
      </c>
      <c r="F68" s="465">
        <v>0</v>
      </c>
      <c r="G68" s="465">
        <v>0</v>
      </c>
    </row>
    <row r="69" spans="1:7">
      <c r="A69" t="s">
        <v>66</v>
      </c>
      <c r="B69" s="48" t="s">
        <v>215</v>
      </c>
      <c r="C69" s="189">
        <v>0</v>
      </c>
      <c r="D69" s="189">
        <v>0</v>
      </c>
      <c r="E69" s="465">
        <v>0</v>
      </c>
      <c r="F69" s="465">
        <v>0</v>
      </c>
      <c r="G69" s="465">
        <v>0</v>
      </c>
    </row>
    <row r="70" spans="1:7">
      <c r="B70" s="48" t="s">
        <v>216</v>
      </c>
      <c r="C70" s="189">
        <v>0</v>
      </c>
      <c r="D70" s="189">
        <v>0</v>
      </c>
      <c r="E70" s="465">
        <v>0</v>
      </c>
      <c r="F70" s="465">
        <v>0</v>
      </c>
      <c r="G70" s="465">
        <v>0</v>
      </c>
    </row>
    <row r="71" spans="1:7">
      <c r="A71" t="s">
        <v>66</v>
      </c>
      <c r="B71" s="48" t="s">
        <v>174</v>
      </c>
      <c r="C71" s="189">
        <v>0</v>
      </c>
      <c r="D71" s="189">
        <v>0</v>
      </c>
      <c r="E71" s="465">
        <v>0</v>
      </c>
      <c r="F71" s="465">
        <v>0</v>
      </c>
      <c r="G71" s="465">
        <v>0</v>
      </c>
    </row>
    <row r="72" spans="1:7">
      <c r="B72" s="48" t="s">
        <v>214</v>
      </c>
      <c r="C72" s="189">
        <v>0</v>
      </c>
      <c r="D72" s="189">
        <v>0</v>
      </c>
      <c r="E72" s="465">
        <v>0</v>
      </c>
      <c r="F72" s="465">
        <v>0</v>
      </c>
      <c r="G72" s="465">
        <v>0</v>
      </c>
    </row>
    <row r="73" spans="1:7">
      <c r="A73" t="s">
        <v>66</v>
      </c>
      <c r="B73" s="48" t="s">
        <v>405</v>
      </c>
      <c r="C73" s="189">
        <v>0</v>
      </c>
      <c r="D73" s="189">
        <v>0</v>
      </c>
      <c r="E73" s="465">
        <v>0</v>
      </c>
      <c r="F73" s="465">
        <v>0</v>
      </c>
      <c r="G73" s="465">
        <v>0</v>
      </c>
    </row>
    <row r="74" spans="1:7">
      <c r="A74" t="s">
        <v>66</v>
      </c>
      <c r="B74" s="48" t="s">
        <v>173</v>
      </c>
      <c r="C74" s="189">
        <v>0</v>
      </c>
      <c r="D74" s="189">
        <v>0</v>
      </c>
      <c r="E74" s="465">
        <v>0</v>
      </c>
      <c r="F74" s="465">
        <v>0</v>
      </c>
      <c r="G74" s="465">
        <v>0</v>
      </c>
    </row>
    <row r="75" spans="1:7">
      <c r="A75" s="32" t="s">
        <v>68</v>
      </c>
      <c r="B75" s="47" t="s">
        <v>404</v>
      </c>
      <c r="C75" s="189">
        <v>0</v>
      </c>
      <c r="D75" s="189">
        <v>0</v>
      </c>
      <c r="E75" s="465">
        <v>0</v>
      </c>
      <c r="F75" s="465">
        <v>0</v>
      </c>
      <c r="G75" s="465">
        <v>0</v>
      </c>
    </row>
    <row r="76" spans="1:7">
      <c r="A76" s="32"/>
      <c r="B76" s="47" t="s">
        <v>213</v>
      </c>
      <c r="C76" s="189">
        <v>0</v>
      </c>
      <c r="D76" s="189">
        <v>0</v>
      </c>
      <c r="E76" s="465">
        <v>0</v>
      </c>
      <c r="F76" s="465">
        <v>0</v>
      </c>
      <c r="G76" s="465">
        <v>0</v>
      </c>
    </row>
    <row r="77" spans="1:7">
      <c r="A77" s="32"/>
      <c r="B77" s="47" t="s">
        <v>172</v>
      </c>
      <c r="C77" s="189">
        <v>0</v>
      </c>
      <c r="D77" s="189">
        <v>0</v>
      </c>
      <c r="E77" s="465">
        <v>0</v>
      </c>
      <c r="F77" s="465">
        <v>0</v>
      </c>
      <c r="G77" s="465">
        <v>0</v>
      </c>
    </row>
    <row r="78" spans="1:7">
      <c r="A78" s="32"/>
      <c r="B78" s="47" t="s">
        <v>214</v>
      </c>
      <c r="C78" s="189">
        <v>400.26</v>
      </c>
      <c r="D78" s="189">
        <v>240.5</v>
      </c>
      <c r="E78" s="465">
        <v>295</v>
      </c>
      <c r="F78" s="465">
        <v>91.63</v>
      </c>
      <c r="G78" s="465">
        <v>98</v>
      </c>
    </row>
    <row r="79" spans="1:7">
      <c r="A79" s="32" t="s">
        <v>66</v>
      </c>
      <c r="B79" s="47" t="s">
        <v>405</v>
      </c>
      <c r="C79" s="189">
        <v>1.9458</v>
      </c>
      <c r="D79" s="189">
        <v>4.1958333333333302</v>
      </c>
      <c r="E79" s="465">
        <v>0</v>
      </c>
      <c r="F79" s="465">
        <v>4.3174999999999999</v>
      </c>
      <c r="G79" s="465">
        <v>6</v>
      </c>
    </row>
    <row r="80" spans="1:7">
      <c r="A80" s="32" t="s">
        <v>66</v>
      </c>
      <c r="B80" s="47" t="s">
        <v>173</v>
      </c>
      <c r="C80" s="189">
        <v>0</v>
      </c>
      <c r="D80" s="189">
        <v>0</v>
      </c>
      <c r="E80" s="465">
        <v>0</v>
      </c>
      <c r="F80" s="465">
        <v>0</v>
      </c>
      <c r="G80" s="465">
        <v>0</v>
      </c>
    </row>
    <row r="81" spans="1:7">
      <c r="A81" t="s">
        <v>69</v>
      </c>
      <c r="B81" s="48" t="s">
        <v>214</v>
      </c>
      <c r="C81" s="189">
        <v>0</v>
      </c>
      <c r="D81" s="189">
        <v>0</v>
      </c>
      <c r="E81" s="465">
        <v>0</v>
      </c>
      <c r="F81" s="465">
        <v>0</v>
      </c>
      <c r="G81" s="465">
        <v>0</v>
      </c>
    </row>
    <row r="82" spans="1:7">
      <c r="B82" s="48" t="s">
        <v>405</v>
      </c>
      <c r="C82" s="189">
        <v>0</v>
      </c>
      <c r="D82" s="189">
        <v>0</v>
      </c>
      <c r="E82" s="465">
        <v>0</v>
      </c>
      <c r="F82" s="465">
        <v>0.11700270819034</v>
      </c>
      <c r="G82" s="465">
        <v>0</v>
      </c>
    </row>
    <row r="83" spans="1:7">
      <c r="A83" t="s">
        <v>66</v>
      </c>
      <c r="B83" s="48" t="s">
        <v>173</v>
      </c>
      <c r="C83" s="189">
        <v>0</v>
      </c>
      <c r="D83" s="189">
        <v>0</v>
      </c>
      <c r="E83" s="465">
        <v>0</v>
      </c>
      <c r="F83" s="465">
        <v>0</v>
      </c>
      <c r="G83" s="465">
        <v>0</v>
      </c>
    </row>
    <row r="84" spans="1:7">
      <c r="A84" s="32" t="s">
        <v>212</v>
      </c>
      <c r="B84" s="47" t="s">
        <v>404</v>
      </c>
      <c r="C84" s="189">
        <v>0</v>
      </c>
      <c r="D84" s="189">
        <f>C84</f>
        <v>0</v>
      </c>
      <c r="E84" s="465">
        <f>D84</f>
        <v>0</v>
      </c>
      <c r="F84" s="465">
        <f>E84</f>
        <v>0</v>
      </c>
      <c r="G84" s="465">
        <v>0</v>
      </c>
    </row>
    <row r="85" spans="1:7">
      <c r="A85" s="32"/>
      <c r="B85" s="47" t="s">
        <v>213</v>
      </c>
      <c r="C85" s="189">
        <v>0</v>
      </c>
      <c r="D85" s="189">
        <v>0</v>
      </c>
      <c r="E85" s="465">
        <v>0</v>
      </c>
      <c r="F85" s="465">
        <v>0</v>
      </c>
      <c r="G85" s="465">
        <v>0</v>
      </c>
    </row>
    <row r="86" spans="1:7">
      <c r="A86" s="32" t="s">
        <v>66</v>
      </c>
      <c r="B86" s="47" t="s">
        <v>172</v>
      </c>
      <c r="C86" s="189">
        <v>0</v>
      </c>
      <c r="D86" s="189">
        <v>0</v>
      </c>
      <c r="E86" s="465">
        <v>0</v>
      </c>
      <c r="F86" s="465">
        <v>0</v>
      </c>
      <c r="G86" s="465">
        <v>0</v>
      </c>
    </row>
    <row r="87" spans="1:7">
      <c r="A87" s="32"/>
      <c r="B87" s="47" t="s">
        <v>215</v>
      </c>
      <c r="C87" s="189">
        <v>0</v>
      </c>
      <c r="D87" s="189">
        <v>0</v>
      </c>
      <c r="E87" s="465">
        <v>0</v>
      </c>
      <c r="F87" s="465">
        <v>0</v>
      </c>
      <c r="G87" s="465">
        <v>0</v>
      </c>
    </row>
    <row r="88" spans="1:7">
      <c r="A88" s="32" t="s">
        <v>66</v>
      </c>
      <c r="B88" s="47" t="s">
        <v>216</v>
      </c>
      <c r="C88" s="189">
        <v>0</v>
      </c>
      <c r="D88" s="189">
        <v>0</v>
      </c>
      <c r="E88" s="465">
        <v>0</v>
      </c>
      <c r="F88" s="465">
        <v>0</v>
      </c>
      <c r="G88" s="465">
        <v>0</v>
      </c>
    </row>
    <row r="89" spans="1:7">
      <c r="A89" s="32" t="s">
        <v>66</v>
      </c>
      <c r="B89" s="47" t="s">
        <v>174</v>
      </c>
      <c r="C89" s="189">
        <v>0</v>
      </c>
      <c r="D89" s="189">
        <v>0</v>
      </c>
      <c r="E89" s="465">
        <v>0</v>
      </c>
      <c r="F89" s="465">
        <v>0</v>
      </c>
      <c r="G89" s="465">
        <v>0</v>
      </c>
    </row>
    <row r="90" spans="1:7">
      <c r="A90" s="32"/>
      <c r="B90" s="47" t="s">
        <v>214</v>
      </c>
      <c r="C90" s="189">
        <v>0</v>
      </c>
      <c r="D90" s="189">
        <v>0</v>
      </c>
      <c r="E90" s="465">
        <v>0</v>
      </c>
      <c r="F90" s="465">
        <v>0</v>
      </c>
      <c r="G90" s="465">
        <v>0</v>
      </c>
    </row>
    <row r="91" spans="1:7">
      <c r="A91" s="32" t="s">
        <v>66</v>
      </c>
      <c r="B91" s="47" t="s">
        <v>405</v>
      </c>
      <c r="C91" s="189">
        <v>0</v>
      </c>
      <c r="D91" s="189">
        <v>0</v>
      </c>
      <c r="E91" s="465">
        <v>0</v>
      </c>
      <c r="F91" s="465">
        <v>0</v>
      </c>
      <c r="G91" s="465">
        <v>0</v>
      </c>
    </row>
    <row r="92" spans="1:7">
      <c r="A92" s="32"/>
      <c r="B92" s="47" t="s">
        <v>173</v>
      </c>
      <c r="C92" s="189">
        <v>0</v>
      </c>
      <c r="D92" s="189">
        <v>0</v>
      </c>
      <c r="E92" s="465">
        <v>0</v>
      </c>
      <c r="F92" s="465">
        <v>0</v>
      </c>
      <c r="G92" s="465">
        <v>0</v>
      </c>
    </row>
    <row r="93" spans="1:7">
      <c r="A93" t="s">
        <v>70</v>
      </c>
      <c r="B93" s="48" t="s">
        <v>214</v>
      </c>
      <c r="C93" s="189">
        <v>0</v>
      </c>
      <c r="D93" s="189">
        <v>0</v>
      </c>
      <c r="E93" s="465">
        <v>0</v>
      </c>
      <c r="F93" s="465">
        <v>0</v>
      </c>
      <c r="G93" s="465">
        <v>0</v>
      </c>
    </row>
    <row r="94" spans="1:7">
      <c r="B94" s="48" t="s">
        <v>405</v>
      </c>
      <c r="C94" s="189">
        <v>0</v>
      </c>
      <c r="D94" s="189">
        <v>0</v>
      </c>
      <c r="E94" s="465">
        <v>2</v>
      </c>
      <c r="F94" s="465">
        <v>0</v>
      </c>
      <c r="G94" s="465">
        <v>0</v>
      </c>
    </row>
    <row r="95" spans="1:7">
      <c r="A95" t="s">
        <v>66</v>
      </c>
      <c r="B95" s="48" t="s">
        <v>173</v>
      </c>
      <c r="C95" s="189">
        <v>0</v>
      </c>
      <c r="D95" s="189">
        <v>0</v>
      </c>
      <c r="E95" s="465">
        <v>0</v>
      </c>
      <c r="F95" s="465">
        <v>0</v>
      </c>
      <c r="G95" s="465">
        <v>0</v>
      </c>
    </row>
    <row r="96" spans="1:7">
      <c r="A96" s="32" t="s">
        <v>71</v>
      </c>
      <c r="B96" s="47" t="s">
        <v>215</v>
      </c>
      <c r="C96" s="189">
        <v>0</v>
      </c>
      <c r="D96" s="189">
        <v>0</v>
      </c>
      <c r="E96" s="465">
        <v>0</v>
      </c>
      <c r="F96" s="465">
        <v>0</v>
      </c>
      <c r="G96" s="465">
        <v>0</v>
      </c>
    </row>
    <row r="97" spans="1:7">
      <c r="A97" s="32"/>
      <c r="B97" s="47" t="s">
        <v>216</v>
      </c>
      <c r="C97" s="189">
        <v>0</v>
      </c>
      <c r="D97" s="189">
        <v>0</v>
      </c>
      <c r="E97" s="465">
        <v>0</v>
      </c>
      <c r="F97" s="465">
        <v>0</v>
      </c>
      <c r="G97" s="465">
        <v>0</v>
      </c>
    </row>
    <row r="98" spans="1:7">
      <c r="A98" s="32" t="s">
        <v>66</v>
      </c>
      <c r="B98" s="47" t="s">
        <v>174</v>
      </c>
      <c r="C98" s="189">
        <v>0</v>
      </c>
      <c r="D98" s="189">
        <v>0</v>
      </c>
      <c r="E98" s="465">
        <v>0</v>
      </c>
      <c r="F98" s="465">
        <v>0</v>
      </c>
      <c r="G98" s="465">
        <v>0</v>
      </c>
    </row>
    <row r="99" spans="1:7">
      <c r="A99" s="32"/>
      <c r="B99" s="47" t="s">
        <v>214</v>
      </c>
      <c r="C99" s="189">
        <v>0</v>
      </c>
      <c r="D99" s="189">
        <v>0</v>
      </c>
      <c r="E99" s="465">
        <v>0</v>
      </c>
      <c r="F99" s="465">
        <v>0</v>
      </c>
      <c r="G99" s="465">
        <v>0</v>
      </c>
    </row>
    <row r="100" spans="1:7">
      <c r="A100" s="32" t="s">
        <v>66</v>
      </c>
      <c r="B100" s="47" t="s">
        <v>405</v>
      </c>
      <c r="C100" s="189">
        <v>0</v>
      </c>
      <c r="D100" s="189">
        <v>0</v>
      </c>
      <c r="E100" s="465">
        <v>0</v>
      </c>
      <c r="F100" s="465">
        <v>0</v>
      </c>
      <c r="G100" s="465">
        <v>0</v>
      </c>
    </row>
    <row r="101" spans="1:7">
      <c r="A101" s="32" t="s">
        <v>66</v>
      </c>
      <c r="B101" s="47" t="s">
        <v>173</v>
      </c>
      <c r="C101" s="189">
        <v>0</v>
      </c>
      <c r="D101" s="189">
        <v>0</v>
      </c>
      <c r="E101" s="465">
        <v>0</v>
      </c>
      <c r="F101" s="465">
        <v>0</v>
      </c>
      <c r="G101" s="465">
        <v>0</v>
      </c>
    </row>
    <row r="102" spans="1:7">
      <c r="A102" t="s">
        <v>72</v>
      </c>
      <c r="B102" s="48" t="s">
        <v>214</v>
      </c>
      <c r="C102" s="189">
        <v>0</v>
      </c>
      <c r="D102" s="189">
        <v>0</v>
      </c>
      <c r="E102" s="465">
        <v>0</v>
      </c>
      <c r="F102" s="465">
        <v>0</v>
      </c>
      <c r="G102" s="465">
        <v>0</v>
      </c>
    </row>
    <row r="103" spans="1:7">
      <c r="B103" s="48" t="s">
        <v>405</v>
      </c>
      <c r="C103" s="189">
        <v>49.134500000000003</v>
      </c>
      <c r="D103" s="189">
        <v>6.4930608391520881</v>
      </c>
      <c r="E103" s="465">
        <v>1</v>
      </c>
      <c r="F103" s="465">
        <v>0.23323547519556848</v>
      </c>
      <c r="G103" s="465">
        <v>79</v>
      </c>
    </row>
    <row r="104" spans="1:7">
      <c r="A104" t="s">
        <v>66</v>
      </c>
      <c r="B104" s="48" t="s">
        <v>173</v>
      </c>
      <c r="C104" s="189">
        <v>0</v>
      </c>
      <c r="D104" s="189">
        <v>0</v>
      </c>
      <c r="E104" s="465">
        <v>0</v>
      </c>
      <c r="F104" s="465">
        <v>0</v>
      </c>
      <c r="G104" s="465">
        <v>0</v>
      </c>
    </row>
    <row r="105" spans="1:7">
      <c r="A105" s="32" t="s">
        <v>73</v>
      </c>
      <c r="B105" s="47" t="s">
        <v>543</v>
      </c>
      <c r="C105" s="189">
        <v>0</v>
      </c>
      <c r="D105" s="189">
        <v>0</v>
      </c>
      <c r="E105" s="465">
        <v>0</v>
      </c>
      <c r="F105" s="465">
        <v>0</v>
      </c>
      <c r="G105" s="465">
        <v>0</v>
      </c>
    </row>
    <row r="106" spans="1:7">
      <c r="A106" s="32" t="s">
        <v>66</v>
      </c>
      <c r="B106" s="47" t="s">
        <v>544</v>
      </c>
      <c r="C106" s="189">
        <v>57.977699999999999</v>
      </c>
      <c r="D106" s="189">
        <v>11.0602718126858</v>
      </c>
      <c r="E106" s="465">
        <v>0</v>
      </c>
      <c r="F106" s="465">
        <v>57.2629921773772</v>
      </c>
      <c r="G106" s="465">
        <v>62</v>
      </c>
    </row>
    <row r="107" spans="1:7">
      <c r="A107" s="32" t="s">
        <v>66</v>
      </c>
      <c r="B107" s="47" t="s">
        <v>545</v>
      </c>
      <c r="C107" s="189">
        <v>0</v>
      </c>
      <c r="D107" s="189">
        <v>0</v>
      </c>
      <c r="E107" s="465">
        <v>0</v>
      </c>
      <c r="F107" s="465">
        <v>0</v>
      </c>
      <c r="G107" s="465">
        <v>0</v>
      </c>
    </row>
    <row r="108" spans="1:7">
      <c r="A108" s="32"/>
      <c r="B108" s="47" t="s">
        <v>217</v>
      </c>
      <c r="C108" s="189">
        <v>0</v>
      </c>
      <c r="D108" s="189">
        <v>0</v>
      </c>
      <c r="E108" s="465">
        <v>0</v>
      </c>
      <c r="F108" s="465">
        <v>0</v>
      </c>
      <c r="G108" s="465">
        <v>0</v>
      </c>
    </row>
    <row r="109" spans="1:7">
      <c r="A109" s="32" t="s">
        <v>66</v>
      </c>
      <c r="B109" s="47" t="s">
        <v>236</v>
      </c>
      <c r="C109" s="189">
        <v>55.893999999999998</v>
      </c>
      <c r="D109" s="189">
        <v>11</v>
      </c>
      <c r="E109" s="465">
        <v>160</v>
      </c>
      <c r="F109" s="465">
        <v>228.99992447728903</v>
      </c>
      <c r="G109" s="465">
        <v>61</v>
      </c>
    </row>
    <row r="110" spans="1:7">
      <c r="A110" s="32" t="s">
        <v>66</v>
      </c>
      <c r="B110" s="47" t="s">
        <v>175</v>
      </c>
      <c r="C110" s="189">
        <v>0</v>
      </c>
      <c r="D110" s="189">
        <v>0</v>
      </c>
      <c r="E110" s="465">
        <v>0</v>
      </c>
      <c r="F110" s="465">
        <v>0</v>
      </c>
      <c r="G110" s="465">
        <v>0</v>
      </c>
    </row>
    <row r="111" spans="1:7">
      <c r="A111" t="s">
        <v>74</v>
      </c>
      <c r="B111" s="48" t="s">
        <v>404</v>
      </c>
      <c r="C111" s="189">
        <v>0</v>
      </c>
      <c r="D111" s="189">
        <v>0</v>
      </c>
      <c r="E111" s="465">
        <v>0</v>
      </c>
      <c r="F111" s="465">
        <v>0</v>
      </c>
      <c r="G111" s="465">
        <v>0</v>
      </c>
    </row>
    <row r="112" spans="1:7">
      <c r="B112" s="48" t="s">
        <v>213</v>
      </c>
      <c r="C112" s="189">
        <v>0</v>
      </c>
      <c r="D112" s="189">
        <v>0</v>
      </c>
      <c r="E112" s="465">
        <v>0</v>
      </c>
      <c r="F112" s="465">
        <v>0</v>
      </c>
      <c r="G112" s="465">
        <v>0</v>
      </c>
    </row>
    <row r="113" spans="1:7">
      <c r="A113" t="s">
        <v>66</v>
      </c>
      <c r="B113" s="48" t="s">
        <v>172</v>
      </c>
      <c r="C113" s="189">
        <v>0</v>
      </c>
      <c r="D113" s="189">
        <v>0</v>
      </c>
      <c r="E113" s="465">
        <v>0</v>
      </c>
      <c r="F113" s="465">
        <v>0</v>
      </c>
      <c r="G113" s="465">
        <v>0</v>
      </c>
    </row>
    <row r="114" spans="1:7">
      <c r="B114" s="48" t="s">
        <v>215</v>
      </c>
      <c r="C114" s="189">
        <v>0</v>
      </c>
      <c r="D114" s="189">
        <v>0</v>
      </c>
      <c r="E114" s="465">
        <v>0</v>
      </c>
      <c r="F114" s="465">
        <v>0</v>
      </c>
      <c r="G114" s="465">
        <v>0</v>
      </c>
    </row>
    <row r="115" spans="1:7">
      <c r="A115" t="s">
        <v>66</v>
      </c>
      <c r="B115" s="48" t="s">
        <v>216</v>
      </c>
      <c r="C115" s="189">
        <v>11</v>
      </c>
      <c r="D115" s="189">
        <v>3</v>
      </c>
      <c r="E115" s="465">
        <v>2</v>
      </c>
      <c r="F115" s="465">
        <v>23.283000000000001</v>
      </c>
      <c r="G115" s="465">
        <v>14</v>
      </c>
    </row>
    <row r="116" spans="1:7">
      <c r="A116" t="s">
        <v>66</v>
      </c>
      <c r="B116" s="48" t="s">
        <v>174</v>
      </c>
      <c r="C116" s="189">
        <v>0</v>
      </c>
      <c r="D116" s="189">
        <v>0</v>
      </c>
      <c r="E116" s="465">
        <v>0</v>
      </c>
      <c r="F116" s="465">
        <v>0</v>
      </c>
      <c r="G116" s="465">
        <v>0</v>
      </c>
    </row>
    <row r="117" spans="1:7">
      <c r="B117" s="48" t="s">
        <v>543</v>
      </c>
      <c r="C117" s="189">
        <v>0</v>
      </c>
      <c r="D117" s="189">
        <v>0</v>
      </c>
      <c r="E117" s="465">
        <v>0</v>
      </c>
      <c r="F117" s="465">
        <v>0</v>
      </c>
      <c r="G117" s="465">
        <v>0</v>
      </c>
    </row>
    <row r="118" spans="1:7">
      <c r="A118" t="s">
        <v>66</v>
      </c>
      <c r="B118" s="48" t="s">
        <v>544</v>
      </c>
      <c r="C118" s="189">
        <v>0</v>
      </c>
      <c r="D118" s="189">
        <v>0</v>
      </c>
      <c r="E118" s="465">
        <v>0</v>
      </c>
      <c r="F118" s="465">
        <v>0</v>
      </c>
      <c r="G118" s="465">
        <v>0</v>
      </c>
    </row>
    <row r="119" spans="1:7">
      <c r="A119" t="s">
        <v>66</v>
      </c>
      <c r="B119" s="48" t="s">
        <v>545</v>
      </c>
      <c r="C119" s="189">
        <v>0</v>
      </c>
      <c r="D119" s="189">
        <v>0</v>
      </c>
      <c r="E119" s="465">
        <v>0</v>
      </c>
      <c r="F119" s="465">
        <v>0</v>
      </c>
      <c r="G119" s="465">
        <v>0</v>
      </c>
    </row>
    <row r="120" spans="1:7">
      <c r="B120" s="48" t="s">
        <v>217</v>
      </c>
      <c r="C120" s="189">
        <v>0</v>
      </c>
      <c r="D120" s="189">
        <v>0</v>
      </c>
      <c r="E120" s="465">
        <v>0</v>
      </c>
      <c r="F120" s="465">
        <v>0</v>
      </c>
      <c r="G120" s="465">
        <v>0</v>
      </c>
    </row>
    <row r="121" spans="1:7">
      <c r="B121" s="48" t="s">
        <v>236</v>
      </c>
      <c r="C121" s="189">
        <v>0</v>
      </c>
      <c r="D121" s="189">
        <v>0</v>
      </c>
      <c r="E121" s="465">
        <v>0</v>
      </c>
      <c r="F121" s="465">
        <v>0</v>
      </c>
      <c r="G121" s="465">
        <v>0</v>
      </c>
    </row>
    <row r="122" spans="1:7">
      <c r="B122" s="48" t="s">
        <v>175</v>
      </c>
      <c r="C122" s="189">
        <v>0</v>
      </c>
      <c r="D122" s="189">
        <v>0</v>
      </c>
      <c r="E122" s="465">
        <v>0</v>
      </c>
      <c r="F122" s="465">
        <v>0</v>
      </c>
      <c r="G122" s="465">
        <v>0</v>
      </c>
    </row>
    <row r="123" spans="1:7">
      <c r="A123" s="32" t="s">
        <v>75</v>
      </c>
      <c r="B123" s="47" t="s">
        <v>215</v>
      </c>
      <c r="C123" s="189">
        <v>0</v>
      </c>
      <c r="D123" s="189">
        <v>0</v>
      </c>
      <c r="E123" s="465">
        <v>0</v>
      </c>
      <c r="F123" s="465">
        <v>0</v>
      </c>
      <c r="G123" s="465">
        <v>0</v>
      </c>
    </row>
    <row r="124" spans="1:7">
      <c r="A124" s="32"/>
      <c r="B124" s="47" t="s">
        <v>216</v>
      </c>
      <c r="C124" s="189">
        <v>0</v>
      </c>
      <c r="D124" s="189">
        <v>0</v>
      </c>
      <c r="E124" s="465">
        <v>0</v>
      </c>
      <c r="F124" s="465">
        <v>0</v>
      </c>
      <c r="G124" s="465">
        <v>0</v>
      </c>
    </row>
    <row r="125" spans="1:7">
      <c r="A125" s="32" t="s">
        <v>66</v>
      </c>
      <c r="B125" s="47" t="s">
        <v>174</v>
      </c>
      <c r="C125" s="189">
        <v>0</v>
      </c>
      <c r="D125" s="189">
        <v>0</v>
      </c>
      <c r="E125" s="465">
        <v>0</v>
      </c>
      <c r="F125" s="465">
        <v>0</v>
      </c>
      <c r="G125" s="465">
        <v>0</v>
      </c>
    </row>
    <row r="126" spans="1:7">
      <c r="A126" s="32"/>
      <c r="B126" s="47" t="s">
        <v>543</v>
      </c>
      <c r="C126" s="189">
        <v>0</v>
      </c>
      <c r="D126" s="189">
        <v>0</v>
      </c>
      <c r="E126" s="465">
        <v>0</v>
      </c>
      <c r="F126" s="465">
        <v>0</v>
      </c>
      <c r="G126" s="465">
        <v>0</v>
      </c>
    </row>
    <row r="127" spans="1:7">
      <c r="A127" s="32" t="s">
        <v>66</v>
      </c>
      <c r="B127" s="47" t="s">
        <v>544</v>
      </c>
      <c r="C127" s="189">
        <v>0</v>
      </c>
      <c r="D127" s="189">
        <v>0</v>
      </c>
      <c r="E127" s="465">
        <v>0</v>
      </c>
      <c r="F127" s="465">
        <v>0</v>
      </c>
      <c r="G127" s="465">
        <v>0</v>
      </c>
    </row>
    <row r="128" spans="1:7">
      <c r="A128" s="32" t="s">
        <v>66</v>
      </c>
      <c r="B128" s="47" t="s">
        <v>545</v>
      </c>
      <c r="C128" s="189">
        <v>0</v>
      </c>
      <c r="D128" s="189">
        <v>0</v>
      </c>
      <c r="E128" s="465">
        <v>0</v>
      </c>
      <c r="F128" s="465">
        <v>0</v>
      </c>
      <c r="G128" s="465">
        <v>0</v>
      </c>
    </row>
    <row r="129" spans="1:7">
      <c r="A129" s="32"/>
      <c r="B129" s="47" t="s">
        <v>217</v>
      </c>
      <c r="C129" s="189">
        <v>0</v>
      </c>
      <c r="D129" s="189">
        <v>0</v>
      </c>
      <c r="E129" s="465">
        <v>0</v>
      </c>
      <c r="F129" s="465">
        <v>0</v>
      </c>
      <c r="G129" s="465">
        <v>0</v>
      </c>
    </row>
    <row r="130" spans="1:7">
      <c r="A130" s="32" t="s">
        <v>66</v>
      </c>
      <c r="B130" s="47" t="s">
        <v>236</v>
      </c>
      <c r="C130" s="189">
        <v>0</v>
      </c>
      <c r="D130" s="189">
        <v>0.31364033830646271</v>
      </c>
      <c r="E130" s="465">
        <v>0.31364033830646271</v>
      </c>
      <c r="F130" s="465">
        <v>0</v>
      </c>
      <c r="G130" s="465">
        <v>0</v>
      </c>
    </row>
    <row r="131" spans="1:7">
      <c r="A131" s="32" t="s">
        <v>66</v>
      </c>
      <c r="B131" s="47" t="s">
        <v>175</v>
      </c>
      <c r="C131" s="189">
        <v>0</v>
      </c>
      <c r="D131" s="189">
        <v>0</v>
      </c>
      <c r="E131" s="465">
        <v>0</v>
      </c>
      <c r="F131" s="465">
        <v>0</v>
      </c>
      <c r="G131" s="465">
        <v>0</v>
      </c>
    </row>
    <row r="132" spans="1:7">
      <c r="A132" t="s">
        <v>76</v>
      </c>
      <c r="B132" s="48" t="s">
        <v>215</v>
      </c>
      <c r="C132" s="189">
        <v>0</v>
      </c>
      <c r="D132" s="189">
        <v>0</v>
      </c>
      <c r="E132" s="465">
        <v>0</v>
      </c>
      <c r="F132" s="465">
        <v>0</v>
      </c>
      <c r="G132" s="465">
        <v>0</v>
      </c>
    </row>
    <row r="133" spans="1:7">
      <c r="B133" s="48" t="s">
        <v>216</v>
      </c>
      <c r="C133" s="189">
        <v>412</v>
      </c>
      <c r="D133" s="189">
        <v>436</v>
      </c>
      <c r="E133" s="465">
        <v>908</v>
      </c>
      <c r="F133" s="465">
        <v>1392.21</v>
      </c>
      <c r="G133" s="465">
        <v>519</v>
      </c>
    </row>
    <row r="134" spans="1:7">
      <c r="A134" t="s">
        <v>66</v>
      </c>
      <c r="B134" s="48" t="s">
        <v>174</v>
      </c>
      <c r="C134" s="189">
        <v>369</v>
      </c>
      <c r="D134" s="189">
        <v>307</v>
      </c>
      <c r="E134" s="465">
        <v>288</v>
      </c>
      <c r="F134" s="465">
        <v>361</v>
      </c>
      <c r="G134" s="465">
        <v>376</v>
      </c>
    </row>
    <row r="135" spans="1:7">
      <c r="B135" s="48" t="s">
        <v>217</v>
      </c>
      <c r="C135" s="189">
        <v>0</v>
      </c>
      <c r="D135" s="189">
        <v>0</v>
      </c>
      <c r="E135" s="465">
        <v>0</v>
      </c>
      <c r="F135" s="465">
        <v>0</v>
      </c>
      <c r="G135" s="465">
        <v>0</v>
      </c>
    </row>
    <row r="136" spans="1:7">
      <c r="A136" t="s">
        <v>66</v>
      </c>
      <c r="B136" s="48" t="s">
        <v>236</v>
      </c>
      <c r="C136" s="189">
        <v>96.929900000000004</v>
      </c>
      <c r="D136" s="189">
        <v>110.24238380341461</v>
      </c>
      <c r="E136" s="465">
        <v>196</v>
      </c>
      <c r="F136" s="465">
        <v>171.77234913286273</v>
      </c>
      <c r="G136" s="465">
        <v>92</v>
      </c>
    </row>
    <row r="137" spans="1:7">
      <c r="A137" t="s">
        <v>66</v>
      </c>
      <c r="B137" s="48" t="s">
        <v>175</v>
      </c>
      <c r="C137" s="189">
        <v>0</v>
      </c>
      <c r="D137" s="189">
        <v>0</v>
      </c>
      <c r="E137" s="465">
        <v>0</v>
      </c>
      <c r="F137" s="465">
        <v>0</v>
      </c>
      <c r="G137" s="465">
        <v>0</v>
      </c>
    </row>
    <row r="138" spans="1:7">
      <c r="A138" s="32" t="s">
        <v>77</v>
      </c>
      <c r="B138" s="47" t="s">
        <v>215</v>
      </c>
      <c r="C138" s="189">
        <v>0</v>
      </c>
      <c r="D138" s="189">
        <v>0</v>
      </c>
      <c r="E138" s="465">
        <v>0</v>
      </c>
      <c r="F138" s="465">
        <v>0</v>
      </c>
      <c r="G138" s="465">
        <v>0</v>
      </c>
    </row>
    <row r="139" spans="1:7">
      <c r="A139" s="32"/>
      <c r="B139" s="47" t="s">
        <v>216</v>
      </c>
      <c r="C139" s="189">
        <v>969</v>
      </c>
      <c r="D139" s="189">
        <v>690</v>
      </c>
      <c r="E139" s="465">
        <v>197</v>
      </c>
      <c r="F139" s="465">
        <v>753</v>
      </c>
      <c r="G139" s="465">
        <v>889.36</v>
      </c>
    </row>
    <row r="140" spans="1:7">
      <c r="A140" s="32" t="s">
        <v>66</v>
      </c>
      <c r="B140" s="47" t="s">
        <v>174</v>
      </c>
      <c r="C140" s="189">
        <v>0</v>
      </c>
      <c r="D140" s="189">
        <v>0</v>
      </c>
      <c r="E140" s="465">
        <v>0</v>
      </c>
      <c r="F140" s="465">
        <v>0</v>
      </c>
      <c r="G140" s="465">
        <v>0</v>
      </c>
    </row>
    <row r="141" spans="1:7">
      <c r="A141" s="32"/>
      <c r="B141" s="47" t="s">
        <v>214</v>
      </c>
      <c r="C141" s="189">
        <v>2268</v>
      </c>
      <c r="D141" s="189">
        <v>2677.0466470953293</v>
      </c>
      <c r="E141" s="465">
        <v>3286</v>
      </c>
      <c r="F141" s="465">
        <v>1751.5329999999999</v>
      </c>
      <c r="G141" s="465">
        <v>1830</v>
      </c>
    </row>
    <row r="142" spans="1:7">
      <c r="A142" s="32" t="s">
        <v>66</v>
      </c>
      <c r="B142" s="47" t="s">
        <v>405</v>
      </c>
      <c r="C142" s="189">
        <v>1687.6172999999999</v>
      </c>
      <c r="D142" s="189">
        <v>1489</v>
      </c>
      <c r="E142" s="465">
        <v>316</v>
      </c>
      <c r="F142" s="465">
        <v>1452.824987345437</v>
      </c>
      <c r="G142" s="465">
        <v>1461</v>
      </c>
    </row>
    <row r="143" spans="1:7">
      <c r="A143" s="32" t="s">
        <v>66</v>
      </c>
      <c r="B143" s="47" t="s">
        <v>173</v>
      </c>
      <c r="C143" s="189">
        <v>0</v>
      </c>
      <c r="D143" s="189">
        <v>0</v>
      </c>
      <c r="E143" s="465">
        <v>0</v>
      </c>
      <c r="F143" s="465">
        <v>0</v>
      </c>
      <c r="G143" s="465">
        <v>0</v>
      </c>
    </row>
    <row r="144" spans="1:7">
      <c r="A144" s="32"/>
      <c r="B144" s="47" t="s">
        <v>264</v>
      </c>
      <c r="C144" s="189">
        <v>0</v>
      </c>
      <c r="D144" s="189">
        <v>0</v>
      </c>
      <c r="E144" s="465">
        <v>0</v>
      </c>
      <c r="F144" s="465">
        <v>0</v>
      </c>
      <c r="G144" s="465">
        <v>0</v>
      </c>
    </row>
    <row r="145" spans="1:8">
      <c r="A145" s="32" t="s">
        <v>66</v>
      </c>
      <c r="B145" s="47" t="s">
        <v>406</v>
      </c>
      <c r="C145" s="189">
        <v>1261.3290999999999</v>
      </c>
      <c r="D145" s="189">
        <v>1177</v>
      </c>
      <c r="E145" s="465">
        <v>84</v>
      </c>
      <c r="F145" s="465">
        <v>551.79057092585458</v>
      </c>
      <c r="G145" s="465">
        <v>665</v>
      </c>
    </row>
    <row r="146" spans="1:8">
      <c r="A146" s="32" t="s">
        <v>66</v>
      </c>
      <c r="B146" s="47" t="s">
        <v>263</v>
      </c>
      <c r="C146" s="189">
        <v>0</v>
      </c>
      <c r="D146" s="189">
        <v>0</v>
      </c>
      <c r="E146" s="465">
        <v>0</v>
      </c>
      <c r="F146" s="465">
        <v>0</v>
      </c>
      <c r="G146" s="465">
        <v>0</v>
      </c>
    </row>
    <row r="147" spans="1:8">
      <c r="C147" s="187"/>
      <c r="D147" s="319"/>
      <c r="E147" s="319"/>
    </row>
    <row r="148" spans="1:8">
      <c r="A148" s="44" t="s">
        <v>237</v>
      </c>
      <c r="C148" s="187"/>
      <c r="D148" s="319"/>
      <c r="E148" s="319"/>
    </row>
    <row r="149" spans="1:8">
      <c r="A149" t="s">
        <v>66</v>
      </c>
      <c r="B149" s="46" t="s">
        <v>401</v>
      </c>
      <c r="C149" s="126">
        <v>0.6</v>
      </c>
      <c r="D149" s="126">
        <v>0.6</v>
      </c>
      <c r="E149" s="255">
        <v>0.6</v>
      </c>
      <c r="F149" s="255">
        <v>0.6</v>
      </c>
      <c r="G149" s="255">
        <v>0.6</v>
      </c>
    </row>
    <row r="150" spans="1:8">
      <c r="A150" t="s">
        <v>66</v>
      </c>
      <c r="B150" s="46" t="s">
        <v>402</v>
      </c>
      <c r="C150" s="126">
        <v>0.75</v>
      </c>
      <c r="D150" s="126">
        <v>0.75</v>
      </c>
      <c r="E150" s="255">
        <v>0.75</v>
      </c>
      <c r="F150" s="255">
        <v>0.75</v>
      </c>
      <c r="G150" s="255">
        <v>0.75</v>
      </c>
    </row>
    <row r="151" spans="1:8">
      <c r="A151" t="s">
        <v>66</v>
      </c>
      <c r="B151" s="46" t="s">
        <v>403</v>
      </c>
      <c r="C151" s="126">
        <v>0.5</v>
      </c>
      <c r="D151" s="126">
        <v>0.5</v>
      </c>
      <c r="E151" s="255">
        <v>0.5</v>
      </c>
      <c r="F151" s="255">
        <v>0.5</v>
      </c>
      <c r="G151" s="255">
        <v>0.5</v>
      </c>
    </row>
    <row r="152" spans="1:8">
      <c r="C152" s="319"/>
      <c r="D152" s="319"/>
      <c r="E152" s="319"/>
    </row>
    <row r="153" spans="1:8">
      <c r="A153" s="44" t="s">
        <v>399</v>
      </c>
      <c r="B153" s="12"/>
      <c r="C153" s="319"/>
      <c r="D153" s="319"/>
      <c r="E153" s="319"/>
    </row>
    <row r="154" spans="1:8">
      <c r="A154" s="32" t="s">
        <v>65</v>
      </c>
      <c r="B154" s="47" t="s">
        <v>238</v>
      </c>
      <c r="C154" s="189">
        <v>38</v>
      </c>
      <c r="D154" s="189">
        <f>C154</f>
        <v>38</v>
      </c>
      <c r="E154" s="465">
        <v>40</v>
      </c>
      <c r="F154" s="465">
        <v>40</v>
      </c>
      <c r="G154" s="465">
        <v>39</v>
      </c>
      <c r="H154" s="521"/>
    </row>
    <row r="155" spans="1:8">
      <c r="A155" t="s">
        <v>67</v>
      </c>
      <c r="B155" s="48" t="s">
        <v>238</v>
      </c>
      <c r="C155" s="189">
        <v>0</v>
      </c>
      <c r="D155" s="189">
        <v>0</v>
      </c>
      <c r="E155" s="465">
        <v>0</v>
      </c>
      <c r="F155" s="465">
        <v>0</v>
      </c>
      <c r="G155" s="465">
        <v>0</v>
      </c>
    </row>
    <row r="156" spans="1:8">
      <c r="A156" t="s">
        <v>66</v>
      </c>
      <c r="B156" s="48" t="s">
        <v>240</v>
      </c>
      <c r="C156" s="189">
        <v>11</v>
      </c>
      <c r="D156" s="189">
        <v>12.149672055208329</v>
      </c>
      <c r="E156" s="465">
        <v>12</v>
      </c>
      <c r="F156" s="465">
        <v>18.850000000000001</v>
      </c>
      <c r="G156" s="465">
        <v>15.63</v>
      </c>
    </row>
    <row r="157" spans="1:8">
      <c r="A157" t="s">
        <v>66</v>
      </c>
      <c r="B157" s="48" t="s">
        <v>239</v>
      </c>
      <c r="C157" s="189">
        <v>0</v>
      </c>
      <c r="D157" s="189">
        <v>0</v>
      </c>
      <c r="E157" s="465">
        <v>0</v>
      </c>
      <c r="F157" s="465">
        <v>0</v>
      </c>
      <c r="G157" s="465">
        <v>0</v>
      </c>
    </row>
    <row r="158" spans="1:8">
      <c r="A158" s="32" t="s">
        <v>68</v>
      </c>
      <c r="B158" s="47" t="s">
        <v>238</v>
      </c>
      <c r="C158" s="189">
        <v>0</v>
      </c>
      <c r="D158" s="189">
        <v>0</v>
      </c>
      <c r="E158" s="465">
        <v>0</v>
      </c>
      <c r="F158" s="465">
        <v>0</v>
      </c>
      <c r="G158" s="465">
        <v>0</v>
      </c>
    </row>
    <row r="159" spans="1:8">
      <c r="A159" s="32"/>
      <c r="B159" s="47" t="s">
        <v>239</v>
      </c>
      <c r="C159" s="189">
        <v>6.6659416670000002</v>
      </c>
      <c r="D159" s="189">
        <v>7.66926666666666</v>
      </c>
      <c r="E159" s="465">
        <v>7</v>
      </c>
      <c r="F159" s="465">
        <v>12.827374999999996</v>
      </c>
      <c r="G159" s="465">
        <v>11</v>
      </c>
    </row>
    <row r="160" spans="1:8">
      <c r="A160" t="s">
        <v>69</v>
      </c>
      <c r="B160" s="48" t="s">
        <v>239</v>
      </c>
      <c r="C160" s="189">
        <v>97.501833329999997</v>
      </c>
      <c r="D160" s="189">
        <v>87.498319999999893</v>
      </c>
      <c r="E160" s="465">
        <v>88</v>
      </c>
      <c r="F160" s="465">
        <v>152.37366666666662</v>
      </c>
      <c r="G160" s="465">
        <v>127</v>
      </c>
    </row>
    <row r="161" spans="1:7">
      <c r="A161" s="32" t="s">
        <v>212</v>
      </c>
      <c r="B161" s="47" t="s">
        <v>238</v>
      </c>
      <c r="C161" s="189">
        <v>14</v>
      </c>
      <c r="D161" s="189">
        <v>0</v>
      </c>
      <c r="E161" s="465">
        <v>0</v>
      </c>
      <c r="F161" s="465">
        <v>0</v>
      </c>
      <c r="G161" s="465">
        <v>0</v>
      </c>
    </row>
    <row r="162" spans="1:7">
      <c r="A162" s="32" t="s">
        <v>66</v>
      </c>
      <c r="B162" s="47" t="s">
        <v>240</v>
      </c>
      <c r="C162" s="189">
        <v>96</v>
      </c>
      <c r="D162" s="189">
        <v>106.31038709374998</v>
      </c>
      <c r="E162" s="465">
        <v>107</v>
      </c>
      <c r="F162" s="465">
        <v>164.96</v>
      </c>
      <c r="G162" s="465">
        <v>136.74</v>
      </c>
    </row>
    <row r="163" spans="1:7">
      <c r="A163" s="32" t="s">
        <v>66</v>
      </c>
      <c r="B163" s="47" t="s">
        <v>239</v>
      </c>
      <c r="C163" s="189">
        <v>0</v>
      </c>
      <c r="D163" s="189">
        <v>0</v>
      </c>
      <c r="E163" s="465">
        <v>0</v>
      </c>
      <c r="F163" s="465">
        <v>0</v>
      </c>
      <c r="G163" s="465">
        <v>0</v>
      </c>
    </row>
    <row r="164" spans="1:7">
      <c r="A164" t="s">
        <v>70</v>
      </c>
      <c r="B164" s="48" t="s">
        <v>239</v>
      </c>
      <c r="C164" s="189">
        <v>43.363672729999998</v>
      </c>
      <c r="D164" s="189">
        <v>53.095329166666602</v>
      </c>
      <c r="E164" s="465">
        <v>69</v>
      </c>
      <c r="F164" s="465">
        <v>123.70389583333331</v>
      </c>
      <c r="G164" s="465">
        <v>106</v>
      </c>
    </row>
    <row r="165" spans="1:7">
      <c r="A165" s="32" t="s">
        <v>71</v>
      </c>
      <c r="B165" s="47" t="s">
        <v>240</v>
      </c>
      <c r="C165" s="189">
        <v>9</v>
      </c>
      <c r="D165" s="189">
        <v>8.367945328124998</v>
      </c>
      <c r="E165" s="465">
        <v>11</v>
      </c>
      <c r="F165" s="465">
        <v>16.63</v>
      </c>
      <c r="G165" s="465">
        <v>15.89</v>
      </c>
    </row>
    <row r="166" spans="1:7">
      <c r="A166" s="32" t="s">
        <v>66</v>
      </c>
      <c r="B166" s="47" t="s">
        <v>239</v>
      </c>
      <c r="C166" s="189">
        <v>0</v>
      </c>
      <c r="D166" s="189">
        <v>0</v>
      </c>
      <c r="E166" s="465">
        <v>0</v>
      </c>
      <c r="F166" s="465">
        <v>0</v>
      </c>
      <c r="G166" s="465">
        <v>0</v>
      </c>
    </row>
    <row r="167" spans="1:7">
      <c r="A167" t="s">
        <v>72</v>
      </c>
      <c r="B167" s="48" t="s">
        <v>239</v>
      </c>
      <c r="C167" s="189">
        <v>214.68115</v>
      </c>
      <c r="D167" s="189">
        <v>137.306343749999</v>
      </c>
      <c r="E167" s="465">
        <v>88</v>
      </c>
      <c r="F167" s="465">
        <v>257.81296874999992</v>
      </c>
      <c r="G167" s="465">
        <v>222</v>
      </c>
    </row>
    <row r="168" spans="1:7">
      <c r="A168" s="32" t="s">
        <v>73</v>
      </c>
      <c r="B168" s="47" t="s">
        <v>546</v>
      </c>
      <c r="C168" s="189">
        <v>257.95853749999998</v>
      </c>
      <c r="D168" s="189">
        <v>162.38474375000001</v>
      </c>
      <c r="E168" s="465">
        <v>93</v>
      </c>
      <c r="F168" s="465">
        <v>303.91091875000001</v>
      </c>
      <c r="G168" s="465">
        <v>251</v>
      </c>
    </row>
    <row r="169" spans="1:7">
      <c r="A169" s="32"/>
      <c r="B169" s="47" t="s">
        <v>400</v>
      </c>
      <c r="C169" s="189">
        <v>1.5657000000000001</v>
      </c>
      <c r="D169" s="189">
        <v>2.1309499999999901</v>
      </c>
      <c r="E169" s="465">
        <v>1</v>
      </c>
      <c r="F169" s="465">
        <v>3.4787499999999998</v>
      </c>
      <c r="G169" s="465">
        <v>3</v>
      </c>
    </row>
    <row r="170" spans="1:7">
      <c r="A170" t="s">
        <v>74</v>
      </c>
      <c r="B170" s="48" t="s">
        <v>238</v>
      </c>
      <c r="C170" s="189">
        <v>0</v>
      </c>
      <c r="D170" s="189">
        <v>0</v>
      </c>
      <c r="E170" s="465">
        <v>0</v>
      </c>
      <c r="F170" s="465">
        <v>0</v>
      </c>
      <c r="G170" s="465">
        <v>0</v>
      </c>
    </row>
    <row r="171" spans="1:7">
      <c r="A171" t="s">
        <v>66</v>
      </c>
      <c r="B171" s="48" t="s">
        <v>240</v>
      </c>
      <c r="C171" s="189">
        <v>213</v>
      </c>
      <c r="D171" s="189">
        <v>196.6141792039798</v>
      </c>
      <c r="E171" s="465">
        <v>252</v>
      </c>
      <c r="F171" s="465">
        <v>390.79</v>
      </c>
      <c r="G171" s="465">
        <v>373.29</v>
      </c>
    </row>
    <row r="172" spans="1:7">
      <c r="A172" t="s">
        <v>66</v>
      </c>
      <c r="B172" s="48" t="s">
        <v>546</v>
      </c>
      <c r="C172" s="189">
        <v>84.291502500000007</v>
      </c>
      <c r="D172" s="189">
        <v>71.263358333333301</v>
      </c>
      <c r="E172" s="465">
        <v>70</v>
      </c>
      <c r="F172" s="465">
        <v>168.97670250000002</v>
      </c>
      <c r="G172" s="465">
        <v>126</v>
      </c>
    </row>
    <row r="173" spans="1:7">
      <c r="B173" s="48" t="s">
        <v>400</v>
      </c>
      <c r="C173" s="189">
        <v>0</v>
      </c>
      <c r="D173" s="189">
        <v>0</v>
      </c>
      <c r="E173" s="465">
        <v>0</v>
      </c>
      <c r="F173" s="465">
        <v>0</v>
      </c>
      <c r="G173" s="465">
        <v>0</v>
      </c>
    </row>
    <row r="174" spans="1:7">
      <c r="A174" s="32" t="s">
        <v>75</v>
      </c>
      <c r="B174" s="47" t="s">
        <v>240</v>
      </c>
      <c r="C174" s="189">
        <v>228</v>
      </c>
      <c r="D174" s="189">
        <v>211.12234948125001</v>
      </c>
      <c r="E174" s="465">
        <v>271</v>
      </c>
      <c r="F174" s="465">
        <v>419.62</v>
      </c>
      <c r="G174" s="465">
        <v>400.84</v>
      </c>
    </row>
    <row r="175" spans="1:7">
      <c r="A175" s="32" t="s">
        <v>66</v>
      </c>
      <c r="B175" s="47" t="s">
        <v>546</v>
      </c>
      <c r="C175" s="189">
        <v>36.86540875</v>
      </c>
      <c r="D175" s="189">
        <v>27.117141666666601</v>
      </c>
      <c r="E175" s="465">
        <v>42</v>
      </c>
      <c r="F175" s="465">
        <v>79.426739583333315</v>
      </c>
      <c r="G175" s="465">
        <v>46</v>
      </c>
    </row>
    <row r="176" spans="1:7">
      <c r="A176" s="32"/>
      <c r="B176" s="47" t="s">
        <v>400</v>
      </c>
      <c r="C176" s="189">
        <v>1.97085</v>
      </c>
      <c r="D176" s="189">
        <v>1.4910000000000001</v>
      </c>
      <c r="E176" s="465">
        <v>2</v>
      </c>
      <c r="F176" s="465">
        <v>4.6528687499999997</v>
      </c>
      <c r="G176" s="465">
        <v>2</v>
      </c>
    </row>
    <row r="177" spans="1:17">
      <c r="A177" t="s">
        <v>76</v>
      </c>
      <c r="B177" s="48" t="s">
        <v>240</v>
      </c>
      <c r="C177" s="189">
        <v>227</v>
      </c>
      <c r="D177" s="189">
        <v>140.60064060333332</v>
      </c>
      <c r="E177" s="465">
        <v>194</v>
      </c>
      <c r="F177" s="465">
        <v>333.31</v>
      </c>
      <c r="G177" s="465">
        <v>270.39</v>
      </c>
    </row>
    <row r="178" spans="1:17">
      <c r="A178" t="s">
        <v>66</v>
      </c>
      <c r="B178" s="48" t="s">
        <v>239</v>
      </c>
      <c r="C178" s="189">
        <v>9.5476733330000005</v>
      </c>
      <c r="D178" s="189">
        <v>7.2230666666666599</v>
      </c>
      <c r="E178" s="465">
        <v>13</v>
      </c>
      <c r="F178" s="465">
        <v>26.417954791666659</v>
      </c>
      <c r="G178" s="465">
        <v>12</v>
      </c>
    </row>
    <row r="179" spans="1:17">
      <c r="A179" s="32" t="s">
        <v>77</v>
      </c>
      <c r="B179" s="47" t="s">
        <v>240</v>
      </c>
      <c r="C179" s="189">
        <v>70</v>
      </c>
      <c r="D179" s="189">
        <v>49.91693107337499</v>
      </c>
      <c r="E179" s="465">
        <v>76</v>
      </c>
      <c r="F179" s="465">
        <v>118.52</v>
      </c>
      <c r="G179" s="465">
        <v>77.930000000000007</v>
      </c>
    </row>
    <row r="180" spans="1:17">
      <c r="A180" s="32"/>
      <c r="B180" s="47" t="s">
        <v>462</v>
      </c>
      <c r="C180" s="189">
        <v>917.02710890000003</v>
      </c>
      <c r="D180" s="189">
        <v>632.43047149999802</v>
      </c>
      <c r="E180" s="465">
        <v>536</v>
      </c>
      <c r="F180" s="465">
        <v>1477.9915206458338</v>
      </c>
      <c r="G180" s="465">
        <v>983</v>
      </c>
    </row>
    <row r="181" spans="1:17">
      <c r="A181" s="32" t="s">
        <v>66</v>
      </c>
      <c r="B181" s="47" t="s">
        <v>463</v>
      </c>
      <c r="C181" s="189">
        <v>93.334166670000002</v>
      </c>
      <c r="D181" s="189">
        <v>-8.8209000000000106</v>
      </c>
      <c r="E181" s="465">
        <v>-6</v>
      </c>
      <c r="F181" s="465">
        <v>83.536200000000008</v>
      </c>
      <c r="G181" s="465">
        <v>51</v>
      </c>
      <c r="M181" s="319"/>
      <c r="N181" s="319"/>
      <c r="O181" s="319"/>
      <c r="P181" s="319"/>
      <c r="Q181" s="319"/>
    </row>
    <row r="182" spans="1:17">
      <c r="A182" t="s">
        <v>66</v>
      </c>
      <c r="B182" s="99" t="s">
        <v>66</v>
      </c>
      <c r="C182" s="143"/>
      <c r="D182" s="145"/>
      <c r="E182" s="143"/>
      <c r="F182" s="145"/>
      <c r="G182" s="145"/>
      <c r="M182" s="319"/>
      <c r="N182" s="319"/>
      <c r="O182" s="319"/>
      <c r="P182" s="319"/>
      <c r="Q182" s="319"/>
    </row>
    <row r="183" spans="1:17">
      <c r="A183" s="4" t="s">
        <v>82</v>
      </c>
      <c r="B183" s="12" t="s">
        <v>66</v>
      </c>
      <c r="C183" s="143"/>
      <c r="D183" s="146"/>
      <c r="E183" s="143"/>
      <c r="F183" s="466"/>
      <c r="G183" s="466"/>
      <c r="J183" s="521"/>
      <c r="K183" s="521"/>
      <c r="L183" s="521"/>
      <c r="M183" s="99"/>
      <c r="N183" s="99"/>
      <c r="O183" s="99"/>
      <c r="P183"/>
      <c r="Q183"/>
    </row>
    <row r="184" spans="1:17">
      <c r="A184" s="32" t="s">
        <v>65</v>
      </c>
      <c r="B184" s="382" t="s">
        <v>83</v>
      </c>
      <c r="C184" s="254">
        <v>26046</v>
      </c>
      <c r="D184" s="254">
        <v>32580</v>
      </c>
      <c r="E184" s="465">
        <v>25436</v>
      </c>
      <c r="F184" s="465">
        <v>22984.165289256216</v>
      </c>
      <c r="G184" s="465">
        <v>25846</v>
      </c>
      <c r="H184" s="189"/>
      <c r="I184" s="145"/>
      <c r="J184" s="521"/>
      <c r="K184" s="114"/>
      <c r="L184" s="521"/>
      <c r="M184" s="99"/>
      <c r="N184" s="99"/>
      <c r="O184" s="99"/>
      <c r="P184"/>
      <c r="Q184"/>
    </row>
    <row r="185" spans="1:17">
      <c r="A185" t="s">
        <v>67</v>
      </c>
      <c r="B185" s="64" t="s">
        <v>84</v>
      </c>
      <c r="C185" s="254">
        <v>646</v>
      </c>
      <c r="D185" s="254">
        <v>821</v>
      </c>
      <c r="E185" s="465">
        <v>1113</v>
      </c>
      <c r="F185" s="465">
        <v>1656.6148760330564</v>
      </c>
      <c r="G185" s="465">
        <v>1635</v>
      </c>
      <c r="H185" s="189"/>
      <c r="I185" s="145"/>
      <c r="J185" s="521"/>
      <c r="K185" s="114"/>
      <c r="L185" s="521"/>
      <c r="M185" s="99"/>
      <c r="N185" s="99"/>
      <c r="O185" s="99"/>
      <c r="P185"/>
      <c r="Q185"/>
    </row>
    <row r="186" spans="1:17">
      <c r="A186" s="32" t="s">
        <v>68</v>
      </c>
      <c r="B186" s="382" t="s">
        <v>85</v>
      </c>
      <c r="C186" s="254">
        <v>1282</v>
      </c>
      <c r="D186" s="254">
        <v>1858</v>
      </c>
      <c r="E186" s="465">
        <v>1355</v>
      </c>
      <c r="F186" s="465">
        <v>2143.4181818181801</v>
      </c>
      <c r="G186" s="465">
        <v>1583</v>
      </c>
      <c r="H186" s="189"/>
      <c r="I186" s="145"/>
      <c r="J186" s="521"/>
      <c r="K186" s="114"/>
      <c r="L186" s="521"/>
      <c r="M186" s="99"/>
      <c r="N186" s="99"/>
      <c r="O186" s="99"/>
      <c r="P186"/>
      <c r="Q186"/>
    </row>
    <row r="187" spans="1:17">
      <c r="A187" t="s">
        <v>69</v>
      </c>
      <c r="B187" s="64" t="s">
        <v>86</v>
      </c>
      <c r="C187" s="254">
        <v>8686</v>
      </c>
      <c r="D187" s="254">
        <v>4095</v>
      </c>
      <c r="E187" s="465">
        <v>3748</v>
      </c>
      <c r="F187" s="465">
        <v>4049</v>
      </c>
      <c r="G187" s="465">
        <v>3583</v>
      </c>
      <c r="H187" s="189"/>
      <c r="I187" s="145"/>
      <c r="J187" s="521"/>
      <c r="K187" s="114"/>
      <c r="L187" s="521"/>
      <c r="M187" s="99"/>
      <c r="N187" s="99"/>
      <c r="O187" s="99"/>
      <c r="P187"/>
      <c r="Q187"/>
    </row>
    <row r="188" spans="1:17">
      <c r="A188" s="32" t="s">
        <v>212</v>
      </c>
      <c r="B188" s="382" t="s">
        <v>87</v>
      </c>
      <c r="C188" s="254">
        <v>2385</v>
      </c>
      <c r="D188" s="254">
        <v>1970</v>
      </c>
      <c r="E188" s="465">
        <v>2385</v>
      </c>
      <c r="F188" s="465">
        <v>7229.355371900826</v>
      </c>
      <c r="G188" s="465">
        <v>321</v>
      </c>
      <c r="H188" s="189"/>
      <c r="I188" s="145"/>
      <c r="J188" s="521"/>
      <c r="K188" s="114"/>
      <c r="L188" s="521"/>
      <c r="M188" s="99"/>
      <c r="N188" s="99"/>
      <c r="O188" s="99"/>
      <c r="P188"/>
      <c r="Q188"/>
    </row>
    <row r="189" spans="1:17">
      <c r="A189" t="s">
        <v>70</v>
      </c>
      <c r="B189" s="64" t="s">
        <v>88</v>
      </c>
      <c r="C189" s="254">
        <v>27490</v>
      </c>
      <c r="D189" s="254">
        <v>25906</v>
      </c>
      <c r="E189" s="465">
        <v>27267</v>
      </c>
      <c r="F189" s="465">
        <v>19122</v>
      </c>
      <c r="G189" s="465">
        <v>16678</v>
      </c>
      <c r="H189" s="189"/>
      <c r="I189" s="145"/>
      <c r="J189" s="521"/>
      <c r="K189" s="114"/>
      <c r="L189" s="521"/>
      <c r="M189" s="99"/>
      <c r="N189" s="99"/>
      <c r="O189" s="99"/>
      <c r="P189"/>
      <c r="Q189"/>
    </row>
    <row r="190" spans="1:17">
      <c r="A190" s="32" t="s">
        <v>71</v>
      </c>
      <c r="B190" s="382" t="s">
        <v>235</v>
      </c>
      <c r="C190" s="254">
        <v>2392</v>
      </c>
      <c r="D190" s="254">
        <v>3911</v>
      </c>
      <c r="E190" s="465">
        <v>3284</v>
      </c>
      <c r="F190" s="465">
        <v>2492</v>
      </c>
      <c r="G190" s="465">
        <v>1999</v>
      </c>
      <c r="H190" s="189"/>
      <c r="I190" s="145"/>
      <c r="J190" s="521"/>
      <c r="K190" s="114"/>
      <c r="L190" s="521"/>
      <c r="M190" s="99"/>
      <c r="N190" s="99"/>
      <c r="O190" s="99"/>
      <c r="P190"/>
      <c r="Q190"/>
    </row>
    <row r="191" spans="1:17">
      <c r="A191" t="s">
        <v>72</v>
      </c>
      <c r="B191" s="64" t="s">
        <v>89</v>
      </c>
      <c r="C191" s="254">
        <v>4346</v>
      </c>
      <c r="D191" s="254">
        <v>3932</v>
      </c>
      <c r="E191" s="465">
        <v>3457</v>
      </c>
      <c r="F191" s="465">
        <v>4284</v>
      </c>
      <c r="G191" s="465">
        <v>4012</v>
      </c>
      <c r="H191" s="189"/>
      <c r="I191" s="145"/>
      <c r="J191" s="521"/>
      <c r="K191" s="114"/>
      <c r="L191" s="521"/>
      <c r="M191" s="99"/>
      <c r="N191" s="99"/>
      <c r="O191" s="99"/>
      <c r="P191"/>
      <c r="Q191"/>
    </row>
    <row r="192" spans="1:17">
      <c r="A192" s="32" t="s">
        <v>73</v>
      </c>
      <c r="B192" s="382" t="s">
        <v>90</v>
      </c>
      <c r="C192" s="254">
        <v>41207</v>
      </c>
      <c r="D192" s="254">
        <v>25135</v>
      </c>
      <c r="E192" s="465">
        <v>48769</v>
      </c>
      <c r="F192" s="465">
        <v>39930.267768594946</v>
      </c>
      <c r="G192" s="465">
        <v>22871</v>
      </c>
      <c r="H192" s="189"/>
      <c r="I192" s="145"/>
      <c r="J192" s="521"/>
      <c r="K192" s="114"/>
      <c r="L192" s="521"/>
      <c r="M192" s="99"/>
      <c r="N192" s="99"/>
      <c r="O192" s="99"/>
      <c r="P192"/>
      <c r="Q192"/>
    </row>
    <row r="193" spans="1:27">
      <c r="A193" t="s">
        <v>74</v>
      </c>
      <c r="B193" s="64" t="s">
        <v>91</v>
      </c>
      <c r="C193" s="254">
        <v>1082</v>
      </c>
      <c r="D193" s="254">
        <v>1023</v>
      </c>
      <c r="E193" s="465">
        <v>1632</v>
      </c>
      <c r="F193" s="465">
        <v>788</v>
      </c>
      <c r="G193" s="465">
        <v>796</v>
      </c>
      <c r="H193" s="189"/>
      <c r="I193" s="145"/>
      <c r="J193" s="521"/>
      <c r="K193" s="114"/>
      <c r="L193" s="521"/>
      <c r="M193" s="99"/>
      <c r="N193" s="99"/>
      <c r="O193" s="99"/>
      <c r="P193"/>
      <c r="Q193"/>
    </row>
    <row r="194" spans="1:27">
      <c r="A194" s="32" t="s">
        <v>75</v>
      </c>
      <c r="B194" s="382" t="s">
        <v>92</v>
      </c>
      <c r="C194" s="254">
        <v>8238</v>
      </c>
      <c r="D194" s="254">
        <v>12574</v>
      </c>
      <c r="E194" s="465">
        <v>42888</v>
      </c>
      <c r="F194" s="465">
        <v>16223</v>
      </c>
      <c r="G194" s="465">
        <v>14925</v>
      </c>
      <c r="H194" s="189"/>
      <c r="I194" s="145"/>
      <c r="J194" s="521"/>
      <c r="K194" s="114"/>
      <c r="L194" s="521"/>
      <c r="M194" s="99"/>
      <c r="N194" s="99"/>
      <c r="O194" s="99"/>
      <c r="P194"/>
      <c r="Q194"/>
    </row>
    <row r="195" spans="1:27">
      <c r="A195" t="s">
        <v>76</v>
      </c>
      <c r="B195" s="64" t="s">
        <v>93</v>
      </c>
      <c r="C195" s="254">
        <v>2181</v>
      </c>
      <c r="D195" s="254">
        <v>4205</v>
      </c>
      <c r="E195" s="465">
        <v>40960</v>
      </c>
      <c r="F195" s="465">
        <v>8281.6859504132335</v>
      </c>
      <c r="G195" s="465">
        <v>6646</v>
      </c>
      <c r="H195" s="189"/>
      <c r="I195" s="145"/>
      <c r="J195" s="521"/>
      <c r="K195" s="114"/>
      <c r="L195" s="521"/>
      <c r="M195" s="99"/>
      <c r="N195" s="99"/>
      <c r="O195" s="99"/>
      <c r="P195"/>
      <c r="Q195"/>
    </row>
    <row r="196" spans="1:27">
      <c r="A196" s="32" t="s">
        <v>77</v>
      </c>
      <c r="B196" s="382" t="s">
        <v>94</v>
      </c>
      <c r="C196" s="254">
        <v>94437</v>
      </c>
      <c r="D196" s="254">
        <v>63585</v>
      </c>
      <c r="E196" s="465">
        <v>502644</v>
      </c>
      <c r="F196" s="465">
        <v>202415.70247933877</v>
      </c>
      <c r="G196" s="465">
        <v>115649</v>
      </c>
      <c r="H196" s="189"/>
      <c r="I196" s="145"/>
      <c r="J196" s="521"/>
      <c r="K196" s="114"/>
      <c r="L196" s="521"/>
      <c r="M196" s="99"/>
      <c r="N196" s="99"/>
      <c r="O196" s="99"/>
      <c r="P196"/>
      <c r="Q196"/>
    </row>
    <row r="197" spans="1:27">
      <c r="A197" s="32" t="s">
        <v>66</v>
      </c>
      <c r="B197" s="382" t="s">
        <v>95</v>
      </c>
      <c r="C197" s="254">
        <v>127121</v>
      </c>
      <c r="D197" s="254">
        <v>110861</v>
      </c>
      <c r="E197" s="465">
        <v>626375</v>
      </c>
      <c r="F197" s="465">
        <v>251238.74380165289</v>
      </c>
      <c r="G197" s="465">
        <v>142152</v>
      </c>
      <c r="H197" s="189"/>
      <c r="I197" s="145"/>
      <c r="J197" s="521"/>
      <c r="K197" s="114"/>
      <c r="L197" s="521"/>
      <c r="M197" s="99"/>
      <c r="N197" s="99"/>
      <c r="O197" s="99"/>
      <c r="P197"/>
      <c r="Q197"/>
    </row>
    <row r="198" spans="1:27">
      <c r="C198" s="145"/>
      <c r="D198" s="145"/>
      <c r="E198" s="145"/>
      <c r="F198" s="102"/>
      <c r="G198" s="102"/>
      <c r="H198" s="145"/>
      <c r="M198" s="319"/>
      <c r="N198" s="285"/>
      <c r="O198" s="285"/>
      <c r="P198" s="285"/>
      <c r="Q198" s="285"/>
      <c r="R198" s="99"/>
      <c r="S198" s="99"/>
      <c r="T198" s="99"/>
      <c r="U198" s="99"/>
      <c r="V198" s="439"/>
      <c r="W198" s="99"/>
      <c r="X198" s="99"/>
      <c r="Y198" s="99"/>
      <c r="Z198" s="99"/>
      <c r="AA198" s="99"/>
    </row>
    <row r="199" spans="1:27">
      <c r="A199" s="4" t="s">
        <v>498</v>
      </c>
      <c r="B199" s="383" t="s">
        <v>549</v>
      </c>
      <c r="C199" s="145"/>
      <c r="D199" s="145"/>
      <c r="E199" s="145"/>
      <c r="F199" s="102"/>
      <c r="G199" s="102"/>
      <c r="N199" s="99"/>
      <c r="O199" s="99"/>
      <c r="P199" s="99"/>
      <c r="Q199" s="99"/>
      <c r="R199" s="99"/>
      <c r="S199" s="99"/>
      <c r="T199" s="99"/>
      <c r="U199" s="99"/>
      <c r="V199" s="99"/>
      <c r="W199" s="99"/>
      <c r="X199" s="99"/>
      <c r="Y199" s="99"/>
      <c r="Z199" s="99"/>
      <c r="AA199" s="99"/>
    </row>
    <row r="200" spans="1:27">
      <c r="A200" s="32" t="s">
        <v>77</v>
      </c>
      <c r="B200" s="47" t="s">
        <v>481</v>
      </c>
      <c r="C200" s="254">
        <v>11314.512396694214</v>
      </c>
      <c r="D200" s="189">
        <v>4619.1074380165282</v>
      </c>
      <c r="E200" s="465">
        <v>13289</v>
      </c>
      <c r="F200" s="465">
        <v>55338.842975206615</v>
      </c>
      <c r="G200" s="465">
        <v>7475</v>
      </c>
      <c r="H200" s="189"/>
      <c r="I200" s="520"/>
      <c r="N200" s="99"/>
      <c r="O200" s="99"/>
      <c r="P200" s="99"/>
      <c r="Q200" s="99"/>
      <c r="R200" s="99"/>
      <c r="S200" s="99"/>
      <c r="T200" s="99"/>
      <c r="U200" s="99"/>
      <c r="V200" s="99"/>
      <c r="W200" s="99"/>
      <c r="X200" s="99"/>
      <c r="Y200" s="99"/>
      <c r="Z200" s="99"/>
      <c r="AA200" s="99"/>
    </row>
    <row r="201" spans="1:27">
      <c r="B201" s="46" t="s">
        <v>482</v>
      </c>
      <c r="C201" s="254">
        <v>6368.9256198347111</v>
      </c>
      <c r="D201" s="189">
        <v>5520.7933884297527</v>
      </c>
      <c r="E201" s="465">
        <v>6875</v>
      </c>
      <c r="F201" s="465">
        <v>33332.231404958678</v>
      </c>
      <c r="G201" s="465">
        <v>7332</v>
      </c>
      <c r="H201" s="522"/>
      <c r="N201" s="99"/>
      <c r="O201" s="99"/>
      <c r="P201" s="99"/>
      <c r="Q201" s="99"/>
      <c r="R201" s="99"/>
      <c r="S201" s="99"/>
      <c r="T201" s="99"/>
      <c r="U201" s="99"/>
      <c r="V201" s="99"/>
      <c r="W201" s="99"/>
      <c r="X201" s="99"/>
      <c r="Y201" s="99"/>
      <c r="Z201" s="99"/>
      <c r="AA201" s="99"/>
    </row>
    <row r="202" spans="1:27">
      <c r="A202" s="32"/>
      <c r="B202" s="47" t="s">
        <v>483</v>
      </c>
      <c r="C202" s="254">
        <v>6420.0991735537173</v>
      </c>
      <c r="D202" s="189">
        <v>7386.4462809917322</v>
      </c>
      <c r="E202" s="465">
        <v>61131</v>
      </c>
      <c r="F202" s="465">
        <v>33774.545454545456</v>
      </c>
      <c r="G202" s="465">
        <v>28746</v>
      </c>
      <c r="H202" s="522"/>
      <c r="N202" s="99"/>
      <c r="O202" s="99"/>
      <c r="P202" s="99"/>
      <c r="Q202" s="99"/>
      <c r="R202" s="99"/>
      <c r="S202" s="99"/>
      <c r="T202" s="99"/>
      <c r="U202" s="99"/>
      <c r="V202" s="99"/>
      <c r="W202" s="99"/>
      <c r="X202" s="99"/>
      <c r="Y202" s="99"/>
      <c r="Z202" s="99"/>
      <c r="AA202" s="99"/>
    </row>
    <row r="203" spans="1:27">
      <c r="B203" s="46" t="s">
        <v>484</v>
      </c>
      <c r="C203" s="254">
        <v>6932.8264462809911</v>
      </c>
      <c r="D203" s="189">
        <v>3658.1157024793401</v>
      </c>
      <c r="E203" s="465">
        <v>21669</v>
      </c>
      <c r="F203" s="465">
        <v>23420.826446280997</v>
      </c>
      <c r="G203" s="465">
        <v>20400</v>
      </c>
      <c r="H203" s="522"/>
      <c r="N203" s="99"/>
      <c r="O203" s="99"/>
      <c r="P203" s="99"/>
      <c r="Q203" s="99"/>
      <c r="R203" s="99"/>
      <c r="S203" s="99"/>
      <c r="T203" s="99"/>
      <c r="U203" s="99"/>
      <c r="V203" s="99"/>
      <c r="W203" s="99"/>
      <c r="X203" s="99"/>
      <c r="Y203" s="99"/>
      <c r="Z203" s="99"/>
      <c r="AA203" s="99"/>
    </row>
    <row r="204" spans="1:27">
      <c r="A204" s="32"/>
      <c r="B204" s="47" t="s">
        <v>485</v>
      </c>
      <c r="C204" s="254">
        <v>33285.818181818177</v>
      </c>
      <c r="D204" s="189">
        <v>2309.3553719008264</v>
      </c>
      <c r="E204" s="465">
        <v>66000</v>
      </c>
      <c r="F204" s="465">
        <v>31731.570247933883</v>
      </c>
      <c r="G204" s="465">
        <v>25198</v>
      </c>
      <c r="H204" s="522"/>
      <c r="N204" s="99"/>
      <c r="O204" s="99"/>
      <c r="P204" s="99"/>
      <c r="Q204" s="99"/>
      <c r="R204" s="99"/>
      <c r="S204" s="99"/>
      <c r="T204" s="99"/>
      <c r="U204" s="99"/>
      <c r="V204" s="99"/>
      <c r="W204" s="99"/>
      <c r="X204" s="99"/>
      <c r="Y204" s="99"/>
      <c r="Z204" s="99"/>
      <c r="AA204" s="99"/>
    </row>
    <row r="205" spans="1:27">
      <c r="B205" s="46" t="s">
        <v>486</v>
      </c>
      <c r="C205" s="254">
        <v>11955.966942148762</v>
      </c>
      <c r="D205" s="189">
        <v>7600.6611570247942</v>
      </c>
      <c r="E205" s="465">
        <v>69761</v>
      </c>
      <c r="F205" s="465">
        <v>10809.917355371901</v>
      </c>
      <c r="G205" s="465">
        <v>14672</v>
      </c>
      <c r="N205" s="99"/>
      <c r="O205" s="99"/>
      <c r="P205" s="99"/>
      <c r="Q205" s="99"/>
      <c r="R205" s="99"/>
      <c r="S205" s="99"/>
      <c r="T205" s="99"/>
      <c r="U205" s="99"/>
      <c r="V205" s="99"/>
      <c r="W205" s="99"/>
      <c r="X205" s="99"/>
      <c r="Y205" s="99"/>
      <c r="Z205" s="99"/>
      <c r="AA205" s="99"/>
    </row>
    <row r="206" spans="1:27">
      <c r="A206" s="32"/>
      <c r="B206" s="47" t="s">
        <v>499</v>
      </c>
      <c r="C206" s="254">
        <v>24711.867768595039</v>
      </c>
      <c r="D206" s="189">
        <v>3805.0909090909095</v>
      </c>
      <c r="E206" s="465">
        <v>118015</v>
      </c>
      <c r="F206" s="465">
        <v>30810.644628099173</v>
      </c>
      <c r="G206" s="465">
        <v>8141</v>
      </c>
      <c r="N206" s="99"/>
      <c r="O206" s="99"/>
      <c r="P206" s="99"/>
      <c r="Q206" s="99"/>
      <c r="R206" s="99"/>
      <c r="S206" s="99"/>
      <c r="T206" s="99"/>
      <c r="U206" s="99"/>
      <c r="V206" s="99"/>
      <c r="W206" s="99"/>
      <c r="X206" s="99"/>
      <c r="Y206" s="99"/>
      <c r="Z206" s="99"/>
      <c r="AA206" s="99"/>
    </row>
    <row r="207" spans="1:27">
      <c r="B207" s="46" t="s">
        <v>488</v>
      </c>
      <c r="C207" s="254">
        <v>5873.8512396694214</v>
      </c>
      <c r="D207" s="189">
        <v>5064.7933884297527</v>
      </c>
      <c r="E207" s="465">
        <v>82834</v>
      </c>
      <c r="F207" s="465">
        <v>8336.9256198347102</v>
      </c>
      <c r="G207" s="465">
        <v>8550</v>
      </c>
      <c r="N207" s="99"/>
      <c r="O207" s="99"/>
      <c r="P207" s="99"/>
      <c r="Q207" s="99"/>
      <c r="R207" s="99"/>
      <c r="S207" s="99"/>
      <c r="T207" s="99"/>
      <c r="U207" s="99"/>
      <c r="V207" s="99"/>
      <c r="W207" s="99"/>
      <c r="X207" s="99"/>
      <c r="Y207" s="99"/>
      <c r="Z207" s="99"/>
      <c r="AA207" s="99"/>
    </row>
    <row r="208" spans="1:27">
      <c r="A208" s="32"/>
      <c r="B208" s="47" t="s">
        <v>489</v>
      </c>
      <c r="C208" s="254">
        <v>3531.768595041322</v>
      </c>
      <c r="D208" s="189">
        <v>23847.669421487601</v>
      </c>
      <c r="E208" s="465">
        <v>30188</v>
      </c>
      <c r="F208" s="465">
        <v>3488.1322314049585</v>
      </c>
      <c r="G208" s="465">
        <v>3034</v>
      </c>
      <c r="H208" s="189"/>
      <c r="N208" s="99"/>
      <c r="O208" s="99"/>
      <c r="P208" s="99"/>
      <c r="Q208" s="99"/>
      <c r="R208" s="99"/>
      <c r="S208" s="99"/>
      <c r="T208" s="99"/>
      <c r="U208" s="99"/>
      <c r="V208" s="99"/>
      <c r="W208" s="99"/>
      <c r="X208" s="99"/>
      <c r="Y208" s="99"/>
      <c r="Z208" s="99"/>
      <c r="AA208" s="99"/>
    </row>
    <row r="209" spans="1:27">
      <c r="B209" s="46" t="s">
        <v>490</v>
      </c>
      <c r="C209" s="254">
        <v>8751.6694214876024</v>
      </c>
      <c r="D209" s="189">
        <v>17603.305785123968</v>
      </c>
      <c r="E209" s="465">
        <v>21527</v>
      </c>
      <c r="F209" s="465">
        <v>4297.5867768595044</v>
      </c>
      <c r="G209" s="465">
        <v>2535</v>
      </c>
      <c r="H209" s="189"/>
      <c r="N209" s="99"/>
      <c r="O209" s="99"/>
      <c r="P209" s="99"/>
      <c r="Q209" s="99"/>
      <c r="R209" s="99"/>
      <c r="S209" s="99"/>
      <c r="T209" s="99"/>
      <c r="U209" s="99"/>
      <c r="V209" s="99"/>
      <c r="W209" s="99"/>
      <c r="X209" s="99"/>
      <c r="Y209" s="99"/>
      <c r="Z209" s="99"/>
      <c r="AA209" s="99"/>
    </row>
    <row r="210" spans="1:27">
      <c r="A210" s="32"/>
      <c r="B210" s="47" t="s">
        <v>491</v>
      </c>
      <c r="C210" s="254">
        <v>2399.2066115702482</v>
      </c>
      <c r="D210" s="189">
        <v>9231.0743801652898</v>
      </c>
      <c r="E210" s="465">
        <v>59330</v>
      </c>
      <c r="F210" s="465">
        <v>7632.3966942148763</v>
      </c>
      <c r="G210" s="465">
        <v>7470</v>
      </c>
      <c r="H210" s="189"/>
      <c r="N210" s="99"/>
      <c r="O210" s="99"/>
      <c r="P210" s="99"/>
      <c r="Q210" s="99"/>
      <c r="R210" s="99"/>
      <c r="S210" s="99"/>
      <c r="T210" s="99"/>
      <c r="U210" s="99"/>
      <c r="V210" s="99"/>
      <c r="W210" s="99"/>
      <c r="X210" s="99"/>
      <c r="Y210" s="99"/>
      <c r="Z210" s="99"/>
      <c r="AA210" s="99"/>
    </row>
    <row r="211" spans="1:27">
      <c r="B211" s="46" t="s">
        <v>492</v>
      </c>
      <c r="C211" s="254">
        <v>5575.1404958677695</v>
      </c>
      <c r="D211" s="189">
        <v>20215.537190082636</v>
      </c>
      <c r="E211" s="465">
        <v>75757</v>
      </c>
      <c r="F211" s="465">
        <v>8265.1239669421484</v>
      </c>
      <c r="G211" s="465">
        <v>8600</v>
      </c>
      <c r="H211" s="189"/>
      <c r="N211" s="99"/>
      <c r="O211" s="99"/>
      <c r="P211" s="99"/>
      <c r="Q211" s="99"/>
      <c r="R211" s="99"/>
      <c r="S211" s="99"/>
      <c r="T211" s="99"/>
      <c r="U211" s="99"/>
      <c r="V211" s="99"/>
      <c r="W211" s="99"/>
      <c r="X211" s="99"/>
      <c r="Y211" s="99"/>
      <c r="Z211" s="99"/>
      <c r="AA211" s="99"/>
    </row>
    <row r="212" spans="1:27">
      <c r="A212" s="32"/>
      <c r="B212" s="47" t="s">
        <v>528</v>
      </c>
      <c r="C212" s="144">
        <v>80515</v>
      </c>
      <c r="D212" s="254">
        <v>127121</v>
      </c>
      <c r="E212" s="465">
        <f>SUM(E200:E211)</f>
        <v>626376</v>
      </c>
      <c r="F212" s="465">
        <f>SUM(F200:F211)</f>
        <v>251238.74380165286</v>
      </c>
      <c r="G212" s="465">
        <f>SUM(G200:G211)</f>
        <v>142153</v>
      </c>
      <c r="H212" s="145"/>
      <c r="N212" s="99"/>
      <c r="O212" s="99"/>
      <c r="P212" s="99"/>
      <c r="Q212" s="99"/>
      <c r="R212" s="99"/>
      <c r="S212" s="99"/>
      <c r="T212" s="99"/>
      <c r="U212" s="99"/>
      <c r="V212" s="99"/>
      <c r="W212" s="99"/>
      <c r="X212" s="99"/>
      <c r="Y212" s="99"/>
      <c r="Z212" s="99"/>
      <c r="AA212" s="99"/>
    </row>
    <row r="213" spans="1:27">
      <c r="C213" s="143"/>
      <c r="D213" s="143"/>
      <c r="E213" s="145"/>
      <c r="F213" s="143"/>
      <c r="G213" s="143"/>
      <c r="N213" s="99"/>
      <c r="O213" s="99"/>
      <c r="P213" s="99"/>
      <c r="Q213" s="99"/>
      <c r="R213" s="99"/>
      <c r="S213" s="99"/>
      <c r="T213" s="99"/>
      <c r="U213" s="99"/>
      <c r="V213" s="99"/>
      <c r="W213" s="99"/>
      <c r="X213" s="99"/>
      <c r="Y213" s="99"/>
      <c r="Z213" s="99"/>
      <c r="AA213" s="99"/>
    </row>
    <row r="214" spans="1:27">
      <c r="A214" s="4" t="s">
        <v>109</v>
      </c>
      <c r="B214" s="12" t="s">
        <v>66</v>
      </c>
      <c r="C214" s="143"/>
      <c r="D214" s="143"/>
      <c r="E214" s="145"/>
      <c r="F214" s="143"/>
      <c r="G214" s="143"/>
      <c r="N214" s="99"/>
      <c r="O214" s="99"/>
      <c r="P214" s="99"/>
      <c r="Q214" s="99"/>
      <c r="R214" s="99"/>
      <c r="S214" s="99"/>
      <c r="T214" s="99"/>
      <c r="U214" s="99"/>
      <c r="V214" s="99"/>
      <c r="W214" s="99"/>
      <c r="X214" s="99"/>
      <c r="Y214" s="99"/>
      <c r="Z214" s="99"/>
      <c r="AA214" s="99"/>
    </row>
    <row r="215" spans="1:27">
      <c r="A215" s="32" t="s">
        <v>212</v>
      </c>
      <c r="B215" s="47" t="s">
        <v>110</v>
      </c>
      <c r="C215" s="143">
        <f>Fed_Reservoir!C11</f>
        <v>0</v>
      </c>
      <c r="D215" s="143">
        <f>Fed_Reservoir!F11</f>
        <v>0</v>
      </c>
      <c r="E215" s="146">
        <f>Fed_Reservoir!I11</f>
        <v>0</v>
      </c>
      <c r="F215" s="146">
        <f>Fed_Reservoir!L11</f>
        <v>0</v>
      </c>
      <c r="G215" s="146">
        <f>Fed_Reservoir!O11</f>
        <v>0</v>
      </c>
      <c r="I215" s="520"/>
    </row>
    <row r="216" spans="1:27">
      <c r="A216" s="32" t="s">
        <v>66</v>
      </c>
      <c r="B216" s="47" t="s">
        <v>111</v>
      </c>
      <c r="C216" s="146">
        <f>Fed_Reservoir!B28</f>
        <v>0</v>
      </c>
      <c r="D216" s="146">
        <f>Fed_Reservoir!C28</f>
        <v>0</v>
      </c>
      <c r="E216" s="146">
        <f>Fed_Reservoir!D28</f>
        <v>0</v>
      </c>
      <c r="F216" s="146">
        <f>Fed_Reservoir!E28</f>
        <v>0</v>
      </c>
      <c r="G216" s="146">
        <f>Fed_Reservoir!F28</f>
        <v>0</v>
      </c>
    </row>
    <row r="217" spans="1:27">
      <c r="A217" t="s">
        <v>70</v>
      </c>
      <c r="B217" s="48" t="s">
        <v>112</v>
      </c>
      <c r="C217" s="143">
        <f>Fed_Reservoir!C6</f>
        <v>1263</v>
      </c>
      <c r="D217" s="143">
        <f>Fed_Reservoir!F6</f>
        <v>1482</v>
      </c>
      <c r="E217" s="143">
        <f>Fed_Reservoir!I6</f>
        <v>1193</v>
      </c>
      <c r="F217" s="143">
        <f>Fed_Reservoir!L6</f>
        <v>2037</v>
      </c>
      <c r="G217" s="143">
        <f>Fed_Reservoir!O6</f>
        <v>1616</v>
      </c>
    </row>
    <row r="218" spans="1:27">
      <c r="A218" t="s">
        <v>66</v>
      </c>
      <c r="B218" s="48" t="s">
        <v>113</v>
      </c>
      <c r="C218" s="143">
        <f>Fed_Reservoir!B23</f>
        <v>-1669</v>
      </c>
      <c r="D218" s="146">
        <f>Fed_Reservoir!C23</f>
        <v>767</v>
      </c>
      <c r="E218" s="146">
        <f>Fed_Reservoir!D23</f>
        <v>424</v>
      </c>
      <c r="F218" s="146">
        <f>Fed_Reservoir!E23</f>
        <v>-1148</v>
      </c>
      <c r="G218" s="146">
        <f>Fed_Reservoir!F23</f>
        <v>-655</v>
      </c>
    </row>
    <row r="219" spans="1:27">
      <c r="A219" s="32" t="s">
        <v>72</v>
      </c>
      <c r="B219" s="47" t="s">
        <v>114</v>
      </c>
      <c r="C219" s="143">
        <f>Fed_Reservoir!C9</f>
        <v>2068</v>
      </c>
      <c r="D219" s="143">
        <f>Fed_Reservoir!F9</f>
        <v>1395</v>
      </c>
      <c r="E219" s="143">
        <f>Fed_Reservoir!I9</f>
        <v>950</v>
      </c>
      <c r="F219" s="143">
        <f>Fed_Reservoir!L9</f>
        <v>3032</v>
      </c>
      <c r="G219" s="143">
        <f>Fed_Reservoir!O9</f>
        <v>2608</v>
      </c>
    </row>
    <row r="220" spans="1:27">
      <c r="A220" s="32" t="s">
        <v>66</v>
      </c>
      <c r="B220" s="47" t="s">
        <v>115</v>
      </c>
      <c r="C220" s="143">
        <f>Fed_Reservoir!B26</f>
        <v>957</v>
      </c>
      <c r="D220" s="146">
        <f>Fed_Reservoir!C26</f>
        <v>3993</v>
      </c>
      <c r="E220" s="146">
        <f>Fed_Reservoir!D26</f>
        <v>3001</v>
      </c>
      <c r="F220" s="146">
        <f>Fed_Reservoir!E26</f>
        <v>-4190</v>
      </c>
      <c r="G220" s="146">
        <f>Fed_Reservoir!F26</f>
        <v>-2618</v>
      </c>
    </row>
    <row r="221" spans="1:27">
      <c r="A221" s="14" t="s">
        <v>73</v>
      </c>
      <c r="B221" s="48" t="s">
        <v>116</v>
      </c>
      <c r="C221" s="143">
        <f>Fed_Reservoir!C8</f>
        <v>2513</v>
      </c>
      <c r="D221" s="143">
        <f>Fed_Reservoir!F8</f>
        <v>2357</v>
      </c>
      <c r="E221" s="143">
        <f>Fed_Reservoir!I8</f>
        <v>857</v>
      </c>
      <c r="F221" s="143">
        <f>Fed_Reservoir!L8</f>
        <v>2924</v>
      </c>
      <c r="G221" s="143">
        <f>Fed_Reservoir!O8</f>
        <v>2452</v>
      </c>
    </row>
    <row r="222" spans="1:27">
      <c r="A222" s="14" t="s">
        <v>66</v>
      </c>
      <c r="B222" s="48" t="s">
        <v>117</v>
      </c>
      <c r="C222" s="143">
        <f>Fed_Reservoir!B25</f>
        <v>-5538</v>
      </c>
      <c r="D222" s="146">
        <f>Fed_Reservoir!C25</f>
        <v>5139</v>
      </c>
      <c r="E222" s="146">
        <f>Fed_Reservoir!D25</f>
        <v>5232</v>
      </c>
      <c r="F222" s="146">
        <f>Fed_Reservoir!E25</f>
        <v>-9530</v>
      </c>
      <c r="G222" s="146">
        <f>Fed_Reservoir!F25</f>
        <v>2950</v>
      </c>
    </row>
    <row r="223" spans="1:27">
      <c r="A223" s="32" t="s">
        <v>76</v>
      </c>
      <c r="B223" s="47" t="s">
        <v>118</v>
      </c>
      <c r="C223" s="143">
        <f>Fed_Reservoir!C12</f>
        <v>2203</v>
      </c>
      <c r="D223" s="143">
        <f>Fed_Reservoir!F12</f>
        <v>1399</v>
      </c>
      <c r="E223" s="143">
        <f>Fed_Reservoir!I12</f>
        <v>2714</v>
      </c>
      <c r="F223" s="143">
        <f>Fed_Reservoir!L12</f>
        <v>4594</v>
      </c>
      <c r="G223" s="143">
        <f>Fed_Reservoir!O12</f>
        <v>3342</v>
      </c>
    </row>
    <row r="224" spans="1:27">
      <c r="A224" s="32" t="s">
        <v>66</v>
      </c>
      <c r="B224" s="47" t="s">
        <v>119</v>
      </c>
      <c r="C224" s="143">
        <f>Fed_Reservoir!B29</f>
        <v>340</v>
      </c>
      <c r="D224" s="146">
        <f>Fed_Reservoir!C29</f>
        <v>3191</v>
      </c>
      <c r="E224" s="146">
        <f>Fed_Reservoir!D29</f>
        <v>9259</v>
      </c>
      <c r="F224" s="146">
        <f>Fed_Reservoir!E29</f>
        <v>-4632</v>
      </c>
      <c r="G224" s="146">
        <f>Fed_Reservoir!F29</f>
        <v>-3444</v>
      </c>
    </row>
    <row r="225" spans="1:12">
      <c r="A225" s="14" t="s">
        <v>77</v>
      </c>
      <c r="B225" s="48" t="s">
        <v>120</v>
      </c>
      <c r="C225" s="143">
        <f>Fed_Reservoir!C10</f>
        <v>3382</v>
      </c>
      <c r="D225" s="251">
        <f>Fed_Reservoir!F10</f>
        <v>4441</v>
      </c>
      <c r="E225" s="251">
        <f>Fed_Reservoir!I10</f>
        <v>5787</v>
      </c>
      <c r="F225" s="251">
        <f>Fed_Reservoir!L10</f>
        <v>10172</v>
      </c>
      <c r="G225" s="251">
        <f>Fed_Reservoir!O10</f>
        <v>8671</v>
      </c>
    </row>
    <row r="226" spans="1:12">
      <c r="A226" s="14" t="s">
        <v>66</v>
      </c>
      <c r="B226" s="48" t="s">
        <v>121</v>
      </c>
      <c r="C226" s="143">
        <f>Fed_Reservoir!B27</f>
        <v>5370</v>
      </c>
      <c r="D226" s="146">
        <f>Fed_Reservoir!C27</f>
        <v>8017</v>
      </c>
      <c r="E226" s="146">
        <f>Fed_Reservoir!D27</f>
        <v>905</v>
      </c>
      <c r="F226" s="146">
        <f>Fed_Reservoir!E27</f>
        <v>-4786</v>
      </c>
      <c r="G226" s="146">
        <f>Fed_Reservoir!F27</f>
        <v>-9291</v>
      </c>
    </row>
    <row r="227" spans="1:12">
      <c r="A227" s="14" t="s">
        <v>66</v>
      </c>
      <c r="B227" s="48" t="s">
        <v>641</v>
      </c>
      <c r="C227" s="143">
        <f>Fed_Reservoir!C7-C228</f>
        <v>8753</v>
      </c>
      <c r="D227" s="143">
        <f>Fed_Reservoir!F7-D228</f>
        <v>7127</v>
      </c>
      <c r="E227" s="143">
        <f>Fed_Reservoir!I7-E228</f>
        <v>16760</v>
      </c>
      <c r="F227" s="143">
        <f>Fed_Reservoir!L7-F228</f>
        <v>26419</v>
      </c>
      <c r="G227" s="143">
        <f>Fed_Reservoir!O7-G228</f>
        <v>11476</v>
      </c>
    </row>
    <row r="228" spans="1:12" s="312" customFormat="1">
      <c r="A228" s="319"/>
      <c r="B228" s="48" t="s">
        <v>683</v>
      </c>
      <c r="C228" s="282">
        <v>2011</v>
      </c>
      <c r="D228" s="282">
        <v>345</v>
      </c>
      <c r="E228" s="282">
        <v>0</v>
      </c>
      <c r="F228" s="515">
        <v>0</v>
      </c>
      <c r="G228" s="515">
        <v>0</v>
      </c>
      <c r="H228" s="120"/>
      <c r="I228" s="120"/>
      <c r="J228" s="120"/>
      <c r="K228" s="120"/>
      <c r="L228" s="120"/>
    </row>
    <row r="229" spans="1:12">
      <c r="A229" s="14" t="s">
        <v>66</v>
      </c>
      <c r="B229" s="48" t="s">
        <v>122</v>
      </c>
      <c r="C229" s="143">
        <f>Fed_Reservoir!B24</f>
        <v>30044</v>
      </c>
      <c r="D229" s="146">
        <f>Fed_Reservoir!C24</f>
        <v>30781</v>
      </c>
      <c r="E229" s="146">
        <f>Fed_Reservoir!D24</f>
        <v>74701</v>
      </c>
      <c r="F229" s="146">
        <f>Fed_Reservoir!E24</f>
        <v>-50098</v>
      </c>
      <c r="G229" s="146">
        <f>Fed_Reservoir!F24</f>
        <v>754</v>
      </c>
    </row>
    <row r="230" spans="1:12">
      <c r="A230" s="14" t="s">
        <v>66</v>
      </c>
      <c r="B230" s="48" t="s">
        <v>396</v>
      </c>
      <c r="C230" s="282">
        <v>2595</v>
      </c>
      <c r="D230" s="282">
        <v>-194</v>
      </c>
      <c r="E230" s="282">
        <v>-131</v>
      </c>
      <c r="F230" s="515">
        <v>1385</v>
      </c>
      <c r="G230" s="146">
        <f>Fed_Reservoir!O13</f>
        <v>1290</v>
      </c>
    </row>
    <row r="231" spans="1:12">
      <c r="C231" s="143"/>
      <c r="D231" s="143"/>
      <c r="E231" s="143"/>
      <c r="F231" s="282"/>
      <c r="G231" s="282"/>
    </row>
    <row r="232" spans="1:12">
      <c r="A232" s="4" t="s">
        <v>123</v>
      </c>
      <c r="B232" s="12" t="s">
        <v>66</v>
      </c>
      <c r="C232" s="143"/>
      <c r="D232" s="143"/>
      <c r="E232" s="143"/>
      <c r="F232" s="143"/>
      <c r="G232" s="143"/>
    </row>
    <row r="233" spans="1:12">
      <c r="A233" s="32" t="s">
        <v>65</v>
      </c>
      <c r="B233" s="47" t="s">
        <v>124</v>
      </c>
      <c r="C233" s="189">
        <v>0</v>
      </c>
      <c r="D233" s="189">
        <v>0</v>
      </c>
      <c r="E233" s="254">
        <v>0</v>
      </c>
      <c r="F233" s="465">
        <v>0</v>
      </c>
      <c r="G233" s="465">
        <v>0</v>
      </c>
    </row>
    <row r="234" spans="1:12">
      <c r="A234" s="32" t="s">
        <v>66</v>
      </c>
      <c r="B234" s="47" t="s">
        <v>125</v>
      </c>
      <c r="C234" s="189">
        <v>4732</v>
      </c>
      <c r="D234" s="189">
        <v>3676</v>
      </c>
      <c r="E234" s="254">
        <v>3963</v>
      </c>
      <c r="F234" s="465">
        <v>5288</v>
      </c>
      <c r="G234" s="465">
        <v>5640</v>
      </c>
    </row>
    <row r="235" spans="1:12">
      <c r="A235" s="32" t="s">
        <v>66</v>
      </c>
      <c r="B235" s="47" t="s">
        <v>126</v>
      </c>
      <c r="C235" s="147">
        <f>SUM(C233:C234)</f>
        <v>4732</v>
      </c>
      <c r="D235" s="147">
        <f>SUM(D233:D234)</f>
        <v>3676</v>
      </c>
      <c r="E235" s="147">
        <f>SUM(E233:E234)</f>
        <v>3963</v>
      </c>
      <c r="F235" s="147">
        <f t="shared" ref="F235:G235" si="0">SUM(F233:F234)</f>
        <v>5288</v>
      </c>
      <c r="G235" s="147">
        <f t="shared" si="0"/>
        <v>5640</v>
      </c>
    </row>
    <row r="236" spans="1:12">
      <c r="A236" s="14" t="s">
        <v>212</v>
      </c>
      <c r="B236" s="48" t="s">
        <v>127</v>
      </c>
      <c r="C236" s="254">
        <v>716</v>
      </c>
      <c r="D236" s="254">
        <v>594</v>
      </c>
      <c r="E236" s="254">
        <v>0</v>
      </c>
      <c r="F236" s="465">
        <v>0</v>
      </c>
      <c r="G236" s="465">
        <v>0</v>
      </c>
    </row>
    <row r="237" spans="1:12">
      <c r="A237" s="32" t="s">
        <v>70</v>
      </c>
      <c r="B237" s="125" t="s">
        <v>128</v>
      </c>
      <c r="C237" s="148">
        <v>0</v>
      </c>
      <c r="D237" s="148">
        <v>0</v>
      </c>
      <c r="E237" s="500">
        <v>0</v>
      </c>
      <c r="F237" s="516">
        <v>0</v>
      </c>
      <c r="G237" s="516">
        <v>0</v>
      </c>
    </row>
    <row r="238" spans="1:12">
      <c r="A238" s="32" t="s">
        <v>66</v>
      </c>
      <c r="B238" s="47" t="s">
        <v>129</v>
      </c>
      <c r="C238" s="189">
        <v>0</v>
      </c>
      <c r="D238" s="189">
        <v>0</v>
      </c>
      <c r="E238" s="465">
        <v>0</v>
      </c>
      <c r="F238" s="465">
        <v>0</v>
      </c>
      <c r="G238" s="465">
        <v>0</v>
      </c>
    </row>
    <row r="239" spans="1:12">
      <c r="A239" s="32" t="s">
        <v>66</v>
      </c>
      <c r="B239" s="47" t="s">
        <v>130</v>
      </c>
      <c r="C239" s="143">
        <f>Attachment7!B15</f>
        <v>0</v>
      </c>
      <c r="D239" s="143">
        <f>Attachment7!B55</f>
        <v>7426</v>
      </c>
      <c r="E239" s="146">
        <f>Attachment7!B95+Attachment7!B96</f>
        <v>11598</v>
      </c>
      <c r="F239" s="146">
        <f>Attachment7!B135+Attachment7!B136</f>
        <v>6722</v>
      </c>
      <c r="G239" s="146">
        <f>Attachment7!B175+Attachment7!B176</f>
        <v>5988</v>
      </c>
      <c r="I239" s="145"/>
    </row>
    <row r="240" spans="1:12">
      <c r="A240" s="32" t="s">
        <v>66</v>
      </c>
      <c r="B240" s="47" t="s">
        <v>131</v>
      </c>
      <c r="C240" s="143">
        <f>Attachment7!B17</f>
        <v>0</v>
      </c>
      <c r="D240" s="143">
        <f>Attachment7!B57</f>
        <v>0</v>
      </c>
      <c r="E240" s="145">
        <f>Attachment7!B97+Attachment7!B98</f>
        <v>0</v>
      </c>
      <c r="F240" s="145">
        <f>Attachment7!B137+Attachment7!B138</f>
        <v>0</v>
      </c>
      <c r="G240" s="145">
        <f>Attachment7!B177 + Attachment7!B178</f>
        <v>0</v>
      </c>
      <c r="I240" s="145"/>
    </row>
    <row r="241" spans="1:9">
      <c r="A241" s="32" t="s">
        <v>66</v>
      </c>
      <c r="B241" s="47" t="s">
        <v>132</v>
      </c>
      <c r="C241" s="188">
        <f>IF(Attachment7!B15+Attachment7!B16=0,1,(Attachment7!K15+Attachment7!K16)/(Attachment7!B15+Attachment7!B16))</f>
        <v>1</v>
      </c>
      <c r="D241" s="188">
        <f>IF(Attachment7!B55+Attachment7!B56=0,1,(Attachment7!K55+Attachment7!K56)/(Attachment7!B55+Attachment7!B56))</f>
        <v>0.80004497710746014</v>
      </c>
      <c r="E241" s="112">
        <f>IF(Attachment7!B95+Attachment7!B96=0,1,(Attachment7!K95+Attachment7!K96)/(Attachment7!B95+Attachment7!B96))</f>
        <v>0.83343283324711159</v>
      </c>
      <c r="F241" s="112">
        <f>IF(Attachment7!B135+Attachment7!B136=0,1,(Attachment7!K135+Attachment7!K136)/(Attachment7!B135+Attachment7!B136))</f>
        <v>0.82040196370127938</v>
      </c>
      <c r="G241" s="112">
        <f>IF(Attachment7!B175+Attachment7!B176=0,1,(Attachment7!K175+Attachment7!K176)/(Attachment7!B175+Attachment7!B176))</f>
        <v>0.81909752839011352</v>
      </c>
      <c r="I241" s="145"/>
    </row>
    <row r="242" spans="1:9">
      <c r="A242" s="32" t="s">
        <v>66</v>
      </c>
      <c r="B242" s="47" t="s">
        <v>133</v>
      </c>
      <c r="C242" s="188">
        <f>IF(Attachment7!B17+Attachment7!B18=0,1, (Attachment7!K17+Attachment7!K18)/(Attachment7!B17+Attachment7!B18))</f>
        <v>1</v>
      </c>
      <c r="D242" s="188">
        <f>IF(Attachment7!B57+Attachment7!B58=0,1, (Attachment7!K57+Attachment7!K58)/(Attachment7!B57+Attachment7!B58))</f>
        <v>1</v>
      </c>
      <c r="E242" s="123">
        <f>IF(Attachment7!B97+Attachment7!B98=0,1, (Attachment7!K97+Attachment7!K98)/(Attachment7!B97+Attachment7!B98))</f>
        <v>1</v>
      </c>
      <c r="F242" s="123">
        <f>IF(Attachment7!B137+Attachment7!B138=0,1, (Attachment7!K137+Attachment7!K138)/(Attachment7!B137+Attachment7!B138))</f>
        <v>1</v>
      </c>
      <c r="G242" s="123">
        <f>IF(Attachment7!B177+Attachment7!B178=0,1, (Attachment7!K177+Attachment7!K178)/(Attachment7!B177+Attachment7!B178))</f>
        <v>1</v>
      </c>
      <c r="I242" s="145"/>
    </row>
    <row r="243" spans="1:9">
      <c r="A243" s="14" t="s">
        <v>71</v>
      </c>
      <c r="B243" s="48" t="s">
        <v>134</v>
      </c>
      <c r="C243" s="143">
        <f>Attachment7!B19</f>
        <v>16692</v>
      </c>
      <c r="D243" s="143">
        <f>Attachment7!B59</f>
        <v>14295</v>
      </c>
      <c r="E243" s="145">
        <f>Attachment7!B99+Attachment7!B100</f>
        <v>16468</v>
      </c>
      <c r="F243" s="145">
        <f>Attachment7!B139+Attachment7!B140</f>
        <v>19398</v>
      </c>
      <c r="G243" s="145">
        <f>Attachment7!B179 + Attachment7!B180</f>
        <v>18654</v>
      </c>
      <c r="I243" s="145"/>
    </row>
    <row r="244" spans="1:9">
      <c r="A244" s="14" t="s">
        <v>66</v>
      </c>
      <c r="B244" s="48" t="s">
        <v>135</v>
      </c>
      <c r="C244" s="188">
        <f>IF(Attachment7!B19+Attachment7!B20=0,1, (Attachment7!K19+Attachment7!K20)/(Attachment7!B19+Attachment7!B20))</f>
        <v>0.66432806134675293</v>
      </c>
      <c r="D244" s="188">
        <f>IF(Attachment7!B59+Attachment7!B60=0,1, (Attachment7!K59+Attachment7!K60)/(Attachment7!B59+Attachment7!B60))</f>
        <v>0.65655292060160897</v>
      </c>
      <c r="E244" s="265">
        <f>IF(Attachment7!B99+Attachment7!B100=0,1, (Attachment7!K99+Attachment7!K100)/(Attachment7!B99+Attachment7!B100))</f>
        <v>0.66992628127277143</v>
      </c>
      <c r="F244" s="265">
        <f>IF(Attachment7!B139+Attachment7!B140=0,1, (Attachment7!K139+Attachment7!K140)/(Attachment7!B139+Attachment7!B140))</f>
        <v>0.61602526033611704</v>
      </c>
      <c r="G244" s="265">
        <f>IF(Attachment7!B179+Attachment7!B180=0,1, (Attachment7!K179+Attachment7!K180)/(Attachment7!B179+Attachment7!B180))</f>
        <v>0.5985318966441513</v>
      </c>
      <c r="I244" s="145"/>
    </row>
    <row r="245" spans="1:9">
      <c r="A245" s="32" t="s">
        <v>72</v>
      </c>
      <c r="B245" s="47" t="s">
        <v>136</v>
      </c>
      <c r="C245" s="143">
        <f>Attachment7!B21</f>
        <v>0</v>
      </c>
      <c r="D245" s="143">
        <f>Attachment7!B61</f>
        <v>0</v>
      </c>
      <c r="E245" s="145">
        <f>Attachment7!B101+Attachment7!B102</f>
        <v>5772</v>
      </c>
      <c r="F245" s="145">
        <f>Attachment7!B141+Attachment7!B142</f>
        <v>5226</v>
      </c>
      <c r="G245" s="145">
        <f>Attachment7!B181 + Attachment7!B182</f>
        <v>5161</v>
      </c>
      <c r="I245" s="145"/>
    </row>
    <row r="246" spans="1:9">
      <c r="A246" s="32" t="s">
        <v>66</v>
      </c>
      <c r="B246" s="47" t="s">
        <v>137</v>
      </c>
      <c r="C246" s="188">
        <f>IF(Attachment7!B21+Attachment7!B22=0,1, (Attachment7!K21+Attachment7!K22)/(Attachment7!B21+Attachment7!B22))</f>
        <v>1</v>
      </c>
      <c r="D246" s="188">
        <f>IF(Attachment7!B61+Attachment7!B62=0,1, (Attachment7!K61+Attachment7!K62)/(Attachment7!B61+Attachment7!B62))</f>
        <v>1</v>
      </c>
      <c r="E246" s="123">
        <f>IF(Attachment7!B101+Attachment7!B102=0,1, (Attachment7!K101+Attachment7!K102)/(Attachment7!B101+Attachment7!B102))</f>
        <v>0.71196881496881492</v>
      </c>
      <c r="F246" s="123">
        <f>IF(Attachment7!B141+Attachment7!B142=0,1, (Attachment7!K141+Attachment7!K142)/(Attachment7!B141+Attachment7!B142))</f>
        <v>0.66370417145044003</v>
      </c>
      <c r="G246" s="123">
        <f>IF(Attachment7!B181+Attachment7!B182=0,1, (Attachment7!K181+Attachment7!K182)/(Attachment7!B181+Attachment7!B182))</f>
        <v>0.631425305173416</v>
      </c>
      <c r="I246" s="145"/>
    </row>
    <row r="247" spans="1:9">
      <c r="A247" t="s">
        <v>76</v>
      </c>
      <c r="B247" s="48" t="s">
        <v>261</v>
      </c>
      <c r="C247" s="143">
        <f>Attachment7!B33</f>
        <v>771</v>
      </c>
      <c r="D247" s="145">
        <f>Attachment7!B73</f>
        <v>0</v>
      </c>
      <c r="E247" s="149">
        <f>Attachment7!B113</f>
        <v>1320</v>
      </c>
      <c r="F247" s="149">
        <f>Attachment7!B153</f>
        <v>3076</v>
      </c>
      <c r="G247" s="149">
        <f>Attachment7!B193</f>
        <v>2593</v>
      </c>
      <c r="I247" s="145"/>
    </row>
    <row r="248" spans="1:9">
      <c r="A248" t="s">
        <v>66</v>
      </c>
      <c r="B248" s="48" t="s">
        <v>262</v>
      </c>
      <c r="C248" s="188">
        <f>Attachment7!L33</f>
        <v>0.60558754863813224</v>
      </c>
      <c r="D248" s="112">
        <f>Attachment7!L73</f>
        <v>1</v>
      </c>
      <c r="E248" s="265">
        <f>Attachment7!L113</f>
        <v>0.5660484848484848</v>
      </c>
      <c r="F248" s="265">
        <f>Attachment7!L153</f>
        <v>0.61305396618985686</v>
      </c>
      <c r="G248" s="265">
        <f>Attachment7!L193</f>
        <v>0.57981874276899337</v>
      </c>
      <c r="I248" s="145"/>
    </row>
    <row r="249" spans="1:9">
      <c r="A249" s="32" t="s">
        <v>77</v>
      </c>
      <c r="B249" s="47" t="s">
        <v>138</v>
      </c>
      <c r="C249" s="143">
        <f>Attachment7!B23</f>
        <v>7437</v>
      </c>
      <c r="D249" s="143">
        <f>Attachment7!B63</f>
        <v>9172</v>
      </c>
      <c r="E249" s="145">
        <f>Attachment7!B103+Attachment7!B104</f>
        <v>10539</v>
      </c>
      <c r="F249" s="145">
        <f>Attachment7!B143+Attachment7!B144</f>
        <v>7388</v>
      </c>
      <c r="G249" s="145">
        <f>Attachment7!B183 + Attachment7!B184</f>
        <v>8468</v>
      </c>
      <c r="I249" s="145"/>
    </row>
    <row r="250" spans="1:9">
      <c r="A250" s="97"/>
      <c r="B250" s="47" t="s">
        <v>148</v>
      </c>
      <c r="C250" s="188">
        <f>IF(Attachment7!B23+Attachment7!B24=0,1, (Attachment7!K23+Attachment7!K24)/(Attachment7!B23+Attachment7!B24))</f>
        <v>0.64515395993007929</v>
      </c>
      <c r="D250" s="188">
        <f>IF(Attachment7!B63+Attachment7!B64=0,1, (Attachment7!K63+Attachment7!K64)/(Attachment7!B63+Attachment7!B64))</f>
        <v>0.76015678150894017</v>
      </c>
      <c r="E250" s="112">
        <f>IF(Attachment7!B103+Attachment7!B104=0,1, (Attachment7!K103+Attachment7!K104)/(Attachment7!B103+Attachment7!B104))</f>
        <v>0.81121909099535061</v>
      </c>
      <c r="F250" s="112">
        <f>IF(Attachment7!B143+Attachment7!B144=0,1, (Attachment7!K143+Attachment7!K144)/(Attachment7!B143+Attachment7!B144))</f>
        <v>0.66081239848402817</v>
      </c>
      <c r="G250" s="112">
        <f>IF(Attachment7!B183+Attachment7!B184=0,1, (Attachment7!K183+Attachment7!K184)/(Attachment7!B183+Attachment7!B184))</f>
        <v>0.66521681624940965</v>
      </c>
      <c r="I250" s="145"/>
    </row>
    <row r="251" spans="1:9">
      <c r="A251" s="97" t="s">
        <v>66</v>
      </c>
      <c r="B251" s="47" t="s">
        <v>139</v>
      </c>
      <c r="C251" s="143">
        <f>Attachment7!B25</f>
        <v>25406</v>
      </c>
      <c r="D251" s="143">
        <f>Attachment7!B65</f>
        <v>21005</v>
      </c>
      <c r="E251" s="146">
        <f>Attachment7!B105+Attachment7!B106</f>
        <v>24399</v>
      </c>
      <c r="F251" s="146">
        <f>Attachment7!B145+Attachment7!B146</f>
        <v>26714</v>
      </c>
      <c r="G251" s="146">
        <f>Attachment7!B185 + Attachment7!B186</f>
        <v>25971</v>
      </c>
      <c r="I251" s="145"/>
    </row>
    <row r="252" spans="1:9">
      <c r="A252" s="97"/>
      <c r="B252" s="47" t="s">
        <v>149</v>
      </c>
      <c r="C252" s="188">
        <f>IF(Attachment7!B25+Attachment7!B26=0,1, (Attachment7!K25+Attachment7!K26)/(Attachment7!B25+Attachment7!B26))</f>
        <v>0.63137258915216876</v>
      </c>
      <c r="D252" s="188">
        <f>IF(Attachment7!B65+Attachment7!B66=0,1, (Attachment7!K65+Attachment7!K66)/(Attachment7!B65+Attachment7!B66))</f>
        <v>0.64205998571768619</v>
      </c>
      <c r="E252" s="266">
        <f>IF(Attachment7!B105+Attachment7!B106=0,1, (Attachment7!K105+Attachment7!K106)/(Attachment7!B105+Attachment7!B106))</f>
        <v>0.64489290544694444</v>
      </c>
      <c r="F252" s="266">
        <f>IF(Attachment7!B145+Attachment7!B146=0,1, (Attachment7!K145+Attachment7!K146)/(Attachment7!B145+Attachment7!B146))</f>
        <v>0.58974702403234258</v>
      </c>
      <c r="G252" s="266">
        <f>IF(Attachment7!B185+Attachment7!B186=0,1, (Attachment7!K185+Attachment7!K186)/(Attachment7!B185+Attachment7!B186))</f>
        <v>0.59162689153286352</v>
      </c>
      <c r="I252" s="145"/>
    </row>
    <row r="253" spans="1:9">
      <c r="A253" s="97" t="s">
        <v>66</v>
      </c>
      <c r="B253" s="47" t="s">
        <v>140</v>
      </c>
      <c r="C253" s="143">
        <f>Attachment7!B27</f>
        <v>954</v>
      </c>
      <c r="D253" s="143">
        <f>Attachment7!B67</f>
        <v>660</v>
      </c>
      <c r="E253" s="145">
        <f>Attachment7!B107+Attachment7!B108</f>
        <v>2567</v>
      </c>
      <c r="F253" s="145">
        <f>Attachment7!B147+Attachment7!B148</f>
        <v>1593</v>
      </c>
      <c r="G253" s="145">
        <f>Attachment7!B187 + Attachment7!B188</f>
        <v>1381</v>
      </c>
      <c r="I253" s="145"/>
    </row>
    <row r="254" spans="1:9">
      <c r="A254" s="97"/>
      <c r="B254" s="47" t="s">
        <v>150</v>
      </c>
      <c r="C254" s="188">
        <f>IF(Attachment7!B27+Attachment7!B28=0,1, (Attachment7!K27+Attachment7!K28)/(Attachment7!B27+Attachment7!B28))</f>
        <v>0.68191719077568136</v>
      </c>
      <c r="D254" s="188">
        <f>IF(Attachment7!B67+Attachment7!B68=0,1, (Attachment7!K67+Attachment7!K68)/(Attachment7!B67+Attachment7!B68))</f>
        <v>0.67279393939393939</v>
      </c>
      <c r="E254" s="112">
        <f>IF(Attachment7!B107+Attachment7!B108=0,1, (Attachment7!K107+Attachment7!K108)/(Attachment7!B107+Attachment7!B108))</f>
        <v>0.89308609271523187</v>
      </c>
      <c r="F254" s="112">
        <f>IF(Attachment7!B147+Attachment7!B148=0,1, (Attachment7!K147+Attachment7!K148)/(Attachment7!B147+Attachment7!B148))</f>
        <v>0.73953044569993731</v>
      </c>
      <c r="G254" s="112">
        <f>IF(Attachment7!B187+Attachment7!B188=0,1, (Attachment7!K187+Attachment7!K188)/(Attachment7!B187+Attachment7!B188))</f>
        <v>0.72791745112237516</v>
      </c>
      <c r="I254" s="145"/>
    </row>
    <row r="255" spans="1:9">
      <c r="A255" s="97" t="s">
        <v>66</v>
      </c>
      <c r="B255" s="47" t="s">
        <v>141</v>
      </c>
      <c r="C255" s="143">
        <f>Attachment7!B29</f>
        <v>17134</v>
      </c>
      <c r="D255" s="143">
        <f>Attachment7!B69</f>
        <v>15780</v>
      </c>
      <c r="E255" s="145">
        <f>Attachment7!B109+Attachment7!B110</f>
        <v>28473</v>
      </c>
      <c r="F255" s="145">
        <f>Attachment7!B149+Attachment7!B150</f>
        <v>22053</v>
      </c>
      <c r="G255" s="145">
        <f>Attachment7!B189 + Attachment7!B190</f>
        <v>20907</v>
      </c>
      <c r="I255" s="145"/>
    </row>
    <row r="256" spans="1:9">
      <c r="A256" s="97"/>
      <c r="B256" s="47" t="s">
        <v>151</v>
      </c>
      <c r="C256" s="188">
        <f>IF(Attachment7!B29+Attachment7!B30=0,1, (Attachment7!K29+Attachment7!K30)/(Attachment7!B29+Attachment7!B30))</f>
        <v>0.63818069335823502</v>
      </c>
      <c r="D256" s="188">
        <f>IF(Attachment7!B69+Attachment7!B70=0,1, (Attachment7!K69+Attachment7!K70)/(Attachment7!B69+Attachment7!B70))</f>
        <v>0.68769695817490484</v>
      </c>
      <c r="E256" s="112">
        <f>IF(Attachment7!B109+Attachment7!B110=0,1, (Attachment7!K109+Attachment7!K110)/(Attachment7!B109+Attachment7!B110))</f>
        <v>0.89378442735222852</v>
      </c>
      <c r="F256" s="112">
        <f>IF(Attachment7!B149+Attachment7!B150=0,1, (Attachment7!K149+Attachment7!K150)/(Attachment7!B149+Attachment7!B150))</f>
        <v>0.70675327619824957</v>
      </c>
      <c r="G256" s="112">
        <f>IF(Attachment7!B189+Attachment7!B190=0,1, (Attachment7!K189+Attachment7!K190)/(Attachment7!B189+Attachment7!B190))</f>
        <v>0.73293748505285305</v>
      </c>
      <c r="I256" s="145"/>
    </row>
    <row r="257" spans="1:9">
      <c r="A257" s="97" t="s">
        <v>66</v>
      </c>
      <c r="B257" s="47" t="s">
        <v>142</v>
      </c>
      <c r="C257" s="143">
        <f>Attachment7!B31</f>
        <v>798</v>
      </c>
      <c r="D257" s="143">
        <f>Attachment7!B71</f>
        <v>813</v>
      </c>
      <c r="E257" s="145">
        <f>Attachment7!B111+Attachment7!B112</f>
        <v>584</v>
      </c>
      <c r="F257" s="145">
        <f>Attachment7!B151+Attachment7!B152</f>
        <v>1190</v>
      </c>
      <c r="G257" s="145">
        <f>Attachment7!B191 + Attachment7!B192</f>
        <v>904</v>
      </c>
      <c r="I257" s="145"/>
    </row>
    <row r="258" spans="1:9">
      <c r="A258" s="97"/>
      <c r="B258" s="47" t="s">
        <v>152</v>
      </c>
      <c r="C258" s="188">
        <f>IF(Attachment7!B31+Attachment7!B32=0,1, (Attachment7!K31+Attachment7!K32)/(Attachment7!B31+Attachment7!B32))</f>
        <v>0.52134586466165411</v>
      </c>
      <c r="D258" s="188">
        <f>IF(Attachment7!B71+Attachment7!B72=0,1, (Attachment7!K71+Attachment7!K72)/(Attachment7!B71+Attachment7!B72))</f>
        <v>0.55493480934809347</v>
      </c>
      <c r="E258" s="112">
        <f>IF(Attachment7!B111+Attachment7!B112=0,1, (Attachment7!K111+Attachment7!K112)/(Attachment7!B111+Attachment7!B112))</f>
        <v>0.70386986301369858</v>
      </c>
      <c r="F258" s="112">
        <f>IF(Attachment7!B151+Attachment7!B152=0,1, (Attachment7!K151+Attachment7!K152)/(Attachment7!B151+Attachment7!B152))</f>
        <v>0.63433949579831939</v>
      </c>
      <c r="G258" s="112">
        <f>IF(Attachment7!B191+Attachment7!B192=0,1, (Attachment7!K191+Attachment7!K192)/(Attachment7!B191+Attachment7!B192))</f>
        <v>0.66641592920353987</v>
      </c>
      <c r="I258" s="145"/>
    </row>
    <row r="259" spans="1:9">
      <c r="A259" s="97" t="s">
        <v>66</v>
      </c>
      <c r="B259" s="47" t="s">
        <v>143</v>
      </c>
      <c r="C259" s="143">
        <f>Attachment7!B34</f>
        <v>7493</v>
      </c>
      <c r="D259" s="143">
        <f>Attachment7!B74</f>
        <v>8121</v>
      </c>
      <c r="E259" s="146">
        <f>Attachment7!B114+Attachment7!B115</f>
        <v>7741</v>
      </c>
      <c r="F259" s="146">
        <f>Attachment7!B154+Attachment7!B155</f>
        <v>10070</v>
      </c>
      <c r="G259" s="146">
        <f>Attachment7!B194 + Attachment7!B195</f>
        <v>9551</v>
      </c>
      <c r="I259" s="145"/>
    </row>
    <row r="260" spans="1:9">
      <c r="A260" s="97"/>
      <c r="B260" s="47" t="s">
        <v>153</v>
      </c>
      <c r="C260" s="188">
        <f>IF(Attachment7!B34+Attachment7!B35=0,1, (Attachment7!K34+Attachment7!K35)/(Attachment7!B34+Attachment7!B35))</f>
        <v>0.65089657013212332</v>
      </c>
      <c r="D260" s="188">
        <f>IF(Attachment7!B74+Attachment7!B75=0,1, (Attachment7!K74+Attachment7!K75)/(Attachment7!B74+Attachment7!B75))</f>
        <v>0.66209560398965639</v>
      </c>
      <c r="E260" s="112">
        <f>IF(Attachment7!B114+Attachment7!B115=0,1, (Attachment7!K114+Attachment7!K115)/(Attachment7!B114+Attachment7!B115))</f>
        <v>0.81493440124014982</v>
      </c>
      <c r="F260" s="112">
        <f>IF(Attachment7!B154+Attachment7!B155=0,1, (Attachment7!K154+Attachment7!K155)/(Attachment7!B154+Attachment7!B155))</f>
        <v>0.79686407149950345</v>
      </c>
      <c r="G260" s="112">
        <f>IF(Attachment7!B194+Attachment7!B195=0,1, (Attachment7!K194+Attachment7!K195)/(Attachment7!B194+Attachment7!B195))</f>
        <v>0.67789102711757931</v>
      </c>
      <c r="I260" s="145"/>
    </row>
    <row r="261" spans="1:9">
      <c r="A261" s="97"/>
      <c r="B261" s="47"/>
      <c r="C261" s="187"/>
      <c r="E261" s="120"/>
      <c r="F261" s="120"/>
      <c r="G261" s="120"/>
      <c r="I261" s="145"/>
    </row>
    <row r="262" spans="1:9">
      <c r="A262" s="97" t="s">
        <v>66</v>
      </c>
      <c r="B262" s="47" t="s">
        <v>144</v>
      </c>
      <c r="C262" s="143">
        <f>CourtlandAvLove!B15</f>
        <v>62438</v>
      </c>
      <c r="D262" s="143">
        <f>CourtlandAvLove!B16</f>
        <v>46704</v>
      </c>
      <c r="E262" s="150">
        <f>CourtlandAvLove!B17</f>
        <v>55120</v>
      </c>
      <c r="F262" s="150">
        <f>CourtlandAvLove!B18</f>
        <v>44380</v>
      </c>
      <c r="G262" s="150">
        <f>CourtlandAvLove!B19</f>
        <v>73224</v>
      </c>
      <c r="I262" s="145"/>
    </row>
    <row r="263" spans="1:9">
      <c r="A263" s="97"/>
      <c r="B263" s="384" t="s">
        <v>414</v>
      </c>
      <c r="C263" s="143">
        <f>CourtlandAvLove!P15</f>
        <v>471</v>
      </c>
      <c r="D263" s="143">
        <f>CourtlandAvLove!P16</f>
        <v>532</v>
      </c>
      <c r="E263" s="146">
        <f>CourtlandAvLove!P17</f>
        <v>143</v>
      </c>
      <c r="F263" s="146">
        <f>CourtlandAvLove!P18</f>
        <v>499</v>
      </c>
      <c r="G263" s="146">
        <f>CourtlandAvLove!P19</f>
        <v>980</v>
      </c>
      <c r="I263" s="145"/>
    </row>
    <row r="264" spans="1:9">
      <c r="A264" s="97"/>
      <c r="B264" s="47" t="s">
        <v>415</v>
      </c>
      <c r="C264" s="188">
        <f>Attachment7!L36</f>
        <v>0.26769256900212313</v>
      </c>
      <c r="D264" s="188">
        <f>Attachment7!L76</f>
        <v>0.23779999999999998</v>
      </c>
      <c r="E264" s="252">
        <f>Attachment7!L116</f>
        <v>0.24600000000000002</v>
      </c>
      <c r="F264" s="252">
        <f>Attachment7!L156</f>
        <v>0.31386773547094188</v>
      </c>
      <c r="G264" s="252">
        <f>Attachment7!L196</f>
        <v>0.27493428571428574</v>
      </c>
      <c r="I264" s="145"/>
    </row>
    <row r="265" spans="1:9">
      <c r="A265" s="97"/>
      <c r="B265" s="47" t="s">
        <v>416</v>
      </c>
      <c r="C265" s="143">
        <f>CourtlandAvLove!L15</f>
        <v>3484</v>
      </c>
      <c r="D265" s="143">
        <f>CourtlandAvLove!L16</f>
        <v>1548</v>
      </c>
      <c r="E265" s="143">
        <f>CourtlandAvLove!L17</f>
        <v>1491</v>
      </c>
      <c r="F265" s="143">
        <f>CourtlandAvLove!L18</f>
        <v>3847</v>
      </c>
      <c r="G265" s="143">
        <f>CourtlandAvLove!L19</f>
        <v>3712</v>
      </c>
      <c r="I265" s="145"/>
    </row>
    <row r="266" spans="1:9">
      <c r="A266" s="97"/>
      <c r="B266" s="47" t="s">
        <v>417</v>
      </c>
      <c r="C266" s="143">
        <f>CourtlandAvLove!M15</f>
        <v>5903</v>
      </c>
      <c r="D266" s="143">
        <f>CourtlandAvLove!M16</f>
        <v>4065</v>
      </c>
      <c r="E266" s="146">
        <f>CourtlandAvLove!M17</f>
        <v>2765</v>
      </c>
      <c r="F266" s="146">
        <f>CourtlandAvLove!M18</f>
        <v>4278</v>
      </c>
      <c r="G266" s="146">
        <f>CourtlandAvLove!M19</f>
        <v>7815</v>
      </c>
      <c r="I266" s="145"/>
    </row>
    <row r="267" spans="1:9">
      <c r="A267" s="97" t="s">
        <v>66</v>
      </c>
      <c r="B267" s="47" t="s">
        <v>145</v>
      </c>
      <c r="C267" s="143">
        <f>CourtlandAvLove!C15</f>
        <v>52599</v>
      </c>
      <c r="D267" s="143">
        <f>CourtlandAvLove!C16</f>
        <v>40559</v>
      </c>
      <c r="E267" s="150">
        <f>CourtlandAvLove!C17</f>
        <v>50721</v>
      </c>
      <c r="F267" s="150">
        <f>CourtlandAvLove!C18</f>
        <v>35756</v>
      </c>
      <c r="G267" s="150">
        <f>CourtlandAvLove!C19</f>
        <v>60776</v>
      </c>
      <c r="I267" s="145"/>
    </row>
    <row r="268" spans="1:9">
      <c r="A268" s="97"/>
      <c r="B268" s="47" t="s">
        <v>411</v>
      </c>
      <c r="C268" s="143">
        <f>CourtlandAvLove!Q15</f>
        <v>24094</v>
      </c>
      <c r="D268" s="143">
        <f>CourtlandAvLove!Q16</f>
        <v>17007</v>
      </c>
      <c r="E268" s="146">
        <f>CourtlandAvLove!Q17</f>
        <v>13664</v>
      </c>
      <c r="F268" s="146">
        <f>CourtlandAvLove!Q18</f>
        <v>18180</v>
      </c>
      <c r="G268" s="146">
        <f>CourtlandAvLove!Q19</f>
        <v>24977</v>
      </c>
      <c r="I268" s="145"/>
    </row>
    <row r="269" spans="1:9">
      <c r="A269" s="97"/>
      <c r="B269" s="47" t="s">
        <v>154</v>
      </c>
      <c r="C269" s="188">
        <f>Attachment7!L37</f>
        <v>0.58363937419595791</v>
      </c>
      <c r="D269" s="188">
        <f>Attachment7!L77</f>
        <v>0.53652500734991471</v>
      </c>
      <c r="E269" s="269">
        <f>Attachment7!L117</f>
        <v>0.65140601580796254</v>
      </c>
      <c r="F269" s="269">
        <f>Attachment7!L157</f>
        <v>0.60707028216269721</v>
      </c>
      <c r="G269" s="269">
        <f>Attachment7!L197</f>
        <v>0.58613387516515192</v>
      </c>
      <c r="I269" s="145"/>
    </row>
    <row r="270" spans="1:9">
      <c r="A270" s="97"/>
      <c r="B270" s="47" t="s">
        <v>418</v>
      </c>
      <c r="C270" s="143">
        <f>CourtlandAvLove!O15</f>
        <v>3866</v>
      </c>
      <c r="D270" s="143">
        <f>CourtlandAvLove!O16</f>
        <v>5681</v>
      </c>
      <c r="E270" s="150">
        <f>CourtlandAvLove!O17</f>
        <v>7553</v>
      </c>
      <c r="F270" s="150">
        <f>CourtlandAvLove!O18</f>
        <v>3950</v>
      </c>
      <c r="G270" s="150">
        <f>CourtlandAvLove!O19</f>
        <v>8795</v>
      </c>
      <c r="I270" s="145"/>
    </row>
    <row r="271" spans="1:9">
      <c r="A271" s="97" t="s">
        <v>66</v>
      </c>
      <c r="B271" s="47" t="s">
        <v>146</v>
      </c>
      <c r="C271" s="143">
        <f>CourtlandAvLove!H15</f>
        <v>28120</v>
      </c>
      <c r="D271" s="143">
        <f>CourtlandAvLove!H16</f>
        <v>19419</v>
      </c>
      <c r="E271" s="150">
        <f>CourtlandAvLove!H17</f>
        <v>30995</v>
      </c>
      <c r="F271" s="150">
        <f>CourtlandAvLove!H18</f>
        <v>17473</v>
      </c>
      <c r="G271" s="150">
        <f>CourtlandAvLove!H19</f>
        <v>30657</v>
      </c>
      <c r="I271" s="145"/>
    </row>
    <row r="272" spans="1:9">
      <c r="A272" s="97" t="s">
        <v>66</v>
      </c>
      <c r="B272" s="47" t="s">
        <v>420</v>
      </c>
      <c r="C272" s="189">
        <v>25525</v>
      </c>
      <c r="D272" s="189">
        <v>14050</v>
      </c>
      <c r="E272" s="465">
        <v>10662</v>
      </c>
      <c r="F272" s="465">
        <v>14183</v>
      </c>
      <c r="G272" s="465">
        <v>24651</v>
      </c>
    </row>
    <row r="273" spans="1:7">
      <c r="A273" s="97"/>
      <c r="B273" s="47" t="s">
        <v>155</v>
      </c>
      <c r="C273" s="188">
        <f>Attachment7!L38</f>
        <v>0.41957856842105262</v>
      </c>
      <c r="D273" s="188">
        <f>Attachment7!L78</f>
        <v>0.49400414270778881</v>
      </c>
      <c r="E273" s="269">
        <f>Attachment7!L118</f>
        <v>0.56052460700389095</v>
      </c>
      <c r="F273" s="269">
        <f>Attachment7!L158</f>
        <v>0.51217636200277716</v>
      </c>
      <c r="G273" s="269">
        <f>Attachment7!L198</f>
        <v>0.42398638171229186</v>
      </c>
    </row>
    <row r="274" spans="1:7">
      <c r="A274" s="97"/>
      <c r="B274" s="47"/>
      <c r="C274" s="187"/>
      <c r="E274" s="124"/>
      <c r="F274" s="124"/>
      <c r="G274" s="124"/>
    </row>
    <row r="275" spans="1:7">
      <c r="A275" s="97"/>
      <c r="B275" s="82" t="s">
        <v>419</v>
      </c>
      <c r="C275" s="187"/>
      <c r="E275" s="124"/>
      <c r="F275" s="124"/>
      <c r="G275" s="124"/>
    </row>
    <row r="276" spans="1:7">
      <c r="A276" s="97" t="s">
        <v>66</v>
      </c>
      <c r="B276" s="47" t="s">
        <v>467</v>
      </c>
      <c r="C276" s="143">
        <f>Fed_Reservoir!B39</f>
        <v>38784.591548472919</v>
      </c>
      <c r="D276" s="143">
        <f>Fed_Reservoir!B40</f>
        <v>37077</v>
      </c>
      <c r="E276" s="145">
        <f>Fed_Reservoir!B41</f>
        <v>37221.863849490997</v>
      </c>
      <c r="F276" s="145">
        <f>Fed_Reservoir!B42</f>
        <v>32827.674475489039</v>
      </c>
      <c r="G276" s="145">
        <f>Fed_Reservoir!B43</f>
        <v>52212</v>
      </c>
    </row>
    <row r="277" spans="1:7">
      <c r="A277" s="97" t="s">
        <v>66</v>
      </c>
      <c r="B277" s="47" t="s">
        <v>468</v>
      </c>
      <c r="C277" s="143">
        <f>Fed_Reservoir!C39</f>
        <v>26806.759204000991</v>
      </c>
      <c r="D277" s="143">
        <f>Fed_Reservoir!C40</f>
        <v>25860</v>
      </c>
      <c r="E277" s="145">
        <f>Fed_Reservoir!C41</f>
        <v>26706.586401333665</v>
      </c>
      <c r="F277" s="145">
        <f>Fed_Reservoir!C42</f>
        <v>32808.708010000002</v>
      </c>
      <c r="G277" s="145">
        <f>Fed_Reservoir!C43</f>
        <v>30809</v>
      </c>
    </row>
    <row r="278" spans="1:7">
      <c r="E278" s="120"/>
      <c r="G278" s="120"/>
    </row>
    <row r="309" spans="5:7">
      <c r="E309" s="264"/>
      <c r="G309" s="264"/>
    </row>
    <row r="310" spans="5:7">
      <c r="E310" s="264"/>
      <c r="G310" s="264"/>
    </row>
    <row r="311" spans="5:7">
      <c r="E311" s="264"/>
      <c r="G311" s="264"/>
    </row>
    <row r="312" spans="5:7">
      <c r="E312" s="264"/>
      <c r="G312" s="264"/>
    </row>
    <row r="313" spans="5:7">
      <c r="E313" s="264"/>
      <c r="G313" s="264"/>
    </row>
    <row r="314" spans="5:7">
      <c r="E314" s="264"/>
      <c r="G314" s="264"/>
    </row>
    <row r="315" spans="5:7">
      <c r="E315" s="264"/>
      <c r="G315" s="264"/>
    </row>
    <row r="316" spans="5:7">
      <c r="E316" s="264"/>
      <c r="G316" s="264"/>
    </row>
    <row r="317" spans="5:7">
      <c r="E317" s="264"/>
      <c r="G317" s="264"/>
    </row>
    <row r="318" spans="5:7">
      <c r="E318" s="264"/>
      <c r="G318" s="264"/>
    </row>
    <row r="319" spans="5:7">
      <c r="E319" s="264"/>
      <c r="G319" s="264"/>
    </row>
    <row r="320" spans="5:7">
      <c r="E320" s="264"/>
      <c r="G320" s="264"/>
    </row>
    <row r="321" spans="5:7">
      <c r="E321" s="264"/>
      <c r="G321" s="264"/>
    </row>
    <row r="322" spans="5:7">
      <c r="E322" s="264"/>
      <c r="G322" s="264"/>
    </row>
    <row r="323" spans="5:7">
      <c r="E323" s="264"/>
      <c r="G323" s="264"/>
    </row>
    <row r="324" spans="5:7">
      <c r="E324" s="264"/>
      <c r="G324" s="264"/>
    </row>
    <row r="325" spans="5:7">
      <c r="E325" s="264"/>
      <c r="G325" s="264"/>
    </row>
    <row r="326" spans="5:7">
      <c r="E326" s="264"/>
      <c r="G326" s="264"/>
    </row>
    <row r="327" spans="5:7">
      <c r="E327" s="264"/>
      <c r="G327" s="264"/>
    </row>
    <row r="328" spans="5:7">
      <c r="E328" s="264"/>
      <c r="G328" s="264"/>
    </row>
    <row r="329" spans="5:7">
      <c r="E329" s="264"/>
      <c r="G329" s="264"/>
    </row>
    <row r="330" spans="5:7">
      <c r="E330" s="264"/>
      <c r="G330" s="264"/>
    </row>
    <row r="331" spans="5:7">
      <c r="E331" s="264"/>
      <c r="G331" s="264"/>
    </row>
    <row r="332" spans="5:7">
      <c r="E332" s="264"/>
      <c r="G332" s="264"/>
    </row>
    <row r="333" spans="5:7">
      <c r="E333" s="264"/>
      <c r="G333" s="264"/>
    </row>
    <row r="334" spans="5:7">
      <c r="E334" s="264"/>
      <c r="G334" s="264"/>
    </row>
    <row r="335" spans="5:7">
      <c r="E335" s="264"/>
      <c r="G335" s="264"/>
    </row>
    <row r="336" spans="5:7">
      <c r="E336" s="264"/>
      <c r="G336" s="264"/>
    </row>
    <row r="337" spans="5:7">
      <c r="E337" s="264"/>
      <c r="G337" s="264"/>
    </row>
    <row r="338" spans="5:7">
      <c r="E338" s="264"/>
      <c r="G338" s="264"/>
    </row>
    <row r="339" spans="5:7">
      <c r="E339" s="264"/>
      <c r="G339" s="264"/>
    </row>
    <row r="340" spans="5:7">
      <c r="E340" s="264"/>
      <c r="G340" s="264"/>
    </row>
    <row r="341" spans="5:7">
      <c r="E341" s="264"/>
      <c r="G341" s="264"/>
    </row>
    <row r="342" spans="5:7">
      <c r="E342" s="264"/>
      <c r="G342" s="264"/>
    </row>
    <row r="343" spans="5:7">
      <c r="E343" s="264"/>
      <c r="G343" s="264"/>
    </row>
    <row r="344" spans="5:7">
      <c r="E344" s="264"/>
      <c r="G344" s="264"/>
    </row>
    <row r="345" spans="5:7">
      <c r="E345" s="264"/>
      <c r="G345" s="264"/>
    </row>
    <row r="346" spans="5:7">
      <c r="E346" s="264"/>
      <c r="G346" s="264"/>
    </row>
    <row r="347" spans="5:7">
      <c r="E347" s="264"/>
      <c r="G347" s="264"/>
    </row>
    <row r="348" spans="5:7">
      <c r="E348" s="264"/>
      <c r="G348" s="264"/>
    </row>
    <row r="349" spans="5:7">
      <c r="E349" s="264"/>
      <c r="G349" s="264"/>
    </row>
    <row r="350" spans="5:7">
      <c r="E350" s="264"/>
      <c r="G350" s="264"/>
    </row>
    <row r="351" spans="5:7">
      <c r="E351" s="264"/>
      <c r="G351" s="264"/>
    </row>
    <row r="352" spans="5:7">
      <c r="E352" s="264"/>
      <c r="G352" s="264"/>
    </row>
    <row r="353" spans="5:7">
      <c r="E353" s="264"/>
      <c r="G353" s="264"/>
    </row>
    <row r="354" spans="5:7">
      <c r="E354" s="264"/>
      <c r="G354" s="264"/>
    </row>
    <row r="355" spans="5:7">
      <c r="E355" s="264"/>
      <c r="G355" s="264"/>
    </row>
    <row r="356" spans="5:7">
      <c r="E356" s="264"/>
      <c r="G356" s="264"/>
    </row>
    <row r="357" spans="5:7">
      <c r="E357" s="264"/>
      <c r="G357" s="264"/>
    </row>
    <row r="358" spans="5:7">
      <c r="E358" s="264"/>
      <c r="G358" s="264"/>
    </row>
    <row r="359" spans="5:7">
      <c r="E359" s="264"/>
      <c r="G359" s="264"/>
    </row>
    <row r="360" spans="5:7">
      <c r="E360" s="264"/>
      <c r="G360" s="264"/>
    </row>
    <row r="361" spans="5:7">
      <c r="E361" s="264"/>
      <c r="G361" s="264"/>
    </row>
    <row r="362" spans="5:7">
      <c r="E362" s="264"/>
      <c r="G362" s="264"/>
    </row>
    <row r="363" spans="5:7">
      <c r="E363" s="264"/>
      <c r="G363" s="264"/>
    </row>
    <row r="364" spans="5:7">
      <c r="E364" s="264"/>
      <c r="G364" s="264"/>
    </row>
    <row r="365" spans="5:7">
      <c r="E365" s="264"/>
      <c r="G365" s="264"/>
    </row>
    <row r="366" spans="5:7">
      <c r="E366" s="264"/>
      <c r="G366" s="264"/>
    </row>
    <row r="367" spans="5:7">
      <c r="E367" s="264"/>
      <c r="G367" s="264"/>
    </row>
    <row r="368" spans="5:7">
      <c r="E368" s="264"/>
      <c r="G368" s="264"/>
    </row>
    <row r="369" spans="5:7">
      <c r="E369" s="264"/>
      <c r="G369" s="264"/>
    </row>
    <row r="370" spans="5:7">
      <c r="E370" s="264"/>
      <c r="G370" s="264"/>
    </row>
    <row r="371" spans="5:7">
      <c r="E371" s="264"/>
      <c r="G371" s="264"/>
    </row>
    <row r="391" spans="5:7">
      <c r="E391" s="264"/>
      <c r="G391" s="264"/>
    </row>
    <row r="392" spans="5:7">
      <c r="E392" s="264"/>
      <c r="G392" s="264"/>
    </row>
    <row r="393" spans="5:7">
      <c r="E393" s="264"/>
      <c r="G393" s="264"/>
    </row>
    <row r="394" spans="5:7">
      <c r="E394" s="264"/>
      <c r="G394" s="264"/>
    </row>
    <row r="395" spans="5:7">
      <c r="E395" s="264"/>
      <c r="G395" s="264"/>
    </row>
    <row r="396" spans="5:7">
      <c r="E396" s="264"/>
      <c r="G396" s="264"/>
    </row>
    <row r="397" spans="5:7">
      <c r="E397" s="264"/>
      <c r="G397" s="264"/>
    </row>
    <row r="398" spans="5:7">
      <c r="E398" s="264"/>
      <c r="G398" s="264"/>
    </row>
    <row r="399" spans="5:7">
      <c r="E399" s="264"/>
      <c r="G399" s="264"/>
    </row>
    <row r="400" spans="5:7">
      <c r="E400" s="264"/>
      <c r="G400" s="264"/>
    </row>
    <row r="401" spans="5:7">
      <c r="E401" s="264"/>
      <c r="G401" s="264"/>
    </row>
    <row r="402" spans="5:7">
      <c r="E402" s="264"/>
      <c r="G402" s="264"/>
    </row>
    <row r="403" spans="5:7">
      <c r="E403" s="264"/>
      <c r="G403" s="264"/>
    </row>
    <row r="404" spans="5:7">
      <c r="E404" s="264"/>
      <c r="G404" s="264"/>
    </row>
    <row r="405" spans="5:7">
      <c r="E405" s="264"/>
      <c r="G405" s="264"/>
    </row>
    <row r="406" spans="5:7">
      <c r="E406" s="264"/>
      <c r="G406" s="264"/>
    </row>
    <row r="407" spans="5:7">
      <c r="E407" s="264"/>
      <c r="G407" s="264"/>
    </row>
    <row r="408" spans="5:7">
      <c r="E408" s="264"/>
      <c r="G408" s="264"/>
    </row>
    <row r="409" spans="5:7">
      <c r="E409" s="264"/>
      <c r="G409" s="264"/>
    </row>
    <row r="410" spans="5:7">
      <c r="E410" s="264"/>
      <c r="G410" s="264"/>
    </row>
    <row r="411" spans="5:7">
      <c r="E411" s="264"/>
      <c r="G411" s="264"/>
    </row>
    <row r="412" spans="5:7">
      <c r="E412" s="264"/>
      <c r="G412" s="264"/>
    </row>
    <row r="413" spans="5:7">
      <c r="E413" s="264"/>
      <c r="G413" s="264"/>
    </row>
    <row r="414" spans="5:7">
      <c r="E414" s="264"/>
      <c r="G414" s="264"/>
    </row>
    <row r="415" spans="5:7">
      <c r="E415" s="264"/>
      <c r="G415" s="264"/>
    </row>
    <row r="416" spans="5:7">
      <c r="E416" s="264"/>
      <c r="G416" s="264"/>
    </row>
    <row r="417" spans="5:7">
      <c r="E417" s="264"/>
      <c r="G417" s="264"/>
    </row>
    <row r="418" spans="5:7">
      <c r="E418" s="264"/>
      <c r="G418" s="264"/>
    </row>
    <row r="419" spans="5:7">
      <c r="E419" s="264"/>
      <c r="G419" s="264"/>
    </row>
    <row r="420" spans="5:7">
      <c r="E420" s="264"/>
      <c r="G420" s="264"/>
    </row>
    <row r="421" spans="5:7">
      <c r="E421" s="264"/>
      <c r="G421" s="264"/>
    </row>
    <row r="422" spans="5:7">
      <c r="E422" s="264"/>
      <c r="G422" s="264"/>
    </row>
    <row r="423" spans="5:7">
      <c r="E423" s="264"/>
      <c r="G423" s="264"/>
    </row>
    <row r="424" spans="5:7">
      <c r="E424" s="264"/>
      <c r="G424" s="264"/>
    </row>
    <row r="425" spans="5:7">
      <c r="E425" s="264"/>
      <c r="G425" s="264"/>
    </row>
    <row r="426" spans="5:7">
      <c r="E426" s="264"/>
      <c r="G426" s="264"/>
    </row>
    <row r="427" spans="5:7">
      <c r="E427" s="264"/>
      <c r="G427" s="264"/>
    </row>
    <row r="428" spans="5:7">
      <c r="E428" s="264"/>
      <c r="G428" s="264"/>
    </row>
    <row r="429" spans="5:7">
      <c r="E429" s="264"/>
      <c r="G429" s="264"/>
    </row>
    <row r="430" spans="5:7">
      <c r="E430" s="264"/>
      <c r="G430" s="264"/>
    </row>
    <row r="431" spans="5:7">
      <c r="E431" s="264"/>
      <c r="G431" s="264"/>
    </row>
    <row r="432" spans="5:7">
      <c r="E432" s="264"/>
      <c r="G432" s="264"/>
    </row>
    <row r="433" spans="5:7">
      <c r="E433" s="264"/>
      <c r="G433" s="264"/>
    </row>
    <row r="434" spans="5:7">
      <c r="E434" s="264"/>
      <c r="G434" s="264"/>
    </row>
    <row r="435" spans="5:7">
      <c r="E435" s="264"/>
      <c r="G435" s="264"/>
    </row>
    <row r="436" spans="5:7">
      <c r="E436" s="264"/>
      <c r="G436" s="264"/>
    </row>
    <row r="437" spans="5:7">
      <c r="E437" s="264"/>
      <c r="G437" s="264"/>
    </row>
    <row r="438" spans="5:7">
      <c r="E438" s="264"/>
      <c r="G438" s="264"/>
    </row>
    <row r="439" spans="5:7">
      <c r="E439" s="264"/>
      <c r="G439" s="264"/>
    </row>
    <row r="440" spans="5:7">
      <c r="E440" s="264"/>
      <c r="G440" s="264"/>
    </row>
    <row r="441" spans="5:7">
      <c r="E441" s="264"/>
      <c r="G441" s="264"/>
    </row>
    <row r="442" spans="5:7">
      <c r="E442" s="264"/>
      <c r="G442" s="264"/>
    </row>
    <row r="443" spans="5:7">
      <c r="E443" s="264"/>
      <c r="G443" s="264"/>
    </row>
    <row r="444" spans="5:7">
      <c r="E444" s="264"/>
      <c r="G444" s="264"/>
    </row>
    <row r="445" spans="5:7">
      <c r="E445" s="264"/>
      <c r="G445" s="264"/>
    </row>
    <row r="446" spans="5:7">
      <c r="E446" s="264"/>
      <c r="G446" s="264"/>
    </row>
    <row r="447" spans="5:7">
      <c r="E447" s="264"/>
      <c r="G447" s="264"/>
    </row>
    <row r="448" spans="5:7">
      <c r="E448" s="264"/>
      <c r="G448" s="264"/>
    </row>
    <row r="449" spans="5:7">
      <c r="E449" s="264"/>
      <c r="G449" s="264"/>
    </row>
    <row r="450" spans="5:7">
      <c r="E450" s="264"/>
      <c r="G450" s="264"/>
    </row>
    <row r="451" spans="5:7">
      <c r="E451" s="264"/>
      <c r="G451" s="264"/>
    </row>
    <row r="452" spans="5:7">
      <c r="E452" s="264"/>
      <c r="G452" s="264"/>
    </row>
    <row r="453" spans="5:7">
      <c r="E453" s="264"/>
      <c r="G453" s="264"/>
    </row>
    <row r="454" spans="5:7">
      <c r="E454" s="264"/>
      <c r="G454" s="264"/>
    </row>
    <row r="455" spans="5:7">
      <c r="E455" s="264"/>
      <c r="G455" s="264"/>
    </row>
    <row r="456" spans="5:7">
      <c r="E456" s="264"/>
      <c r="G456" s="264"/>
    </row>
    <row r="457" spans="5:7">
      <c r="E457" s="264"/>
      <c r="G457" s="264"/>
    </row>
    <row r="458" spans="5:7">
      <c r="E458" s="264"/>
      <c r="G458" s="264"/>
    </row>
    <row r="459" spans="5:7">
      <c r="E459" s="264"/>
      <c r="G459" s="264"/>
    </row>
    <row r="460" spans="5:7">
      <c r="E460" s="264"/>
      <c r="G460" s="264"/>
    </row>
    <row r="461" spans="5:7">
      <c r="E461" s="264"/>
      <c r="G461" s="264"/>
    </row>
    <row r="462" spans="5:7">
      <c r="E462" s="264"/>
      <c r="G462" s="264"/>
    </row>
    <row r="463" spans="5:7">
      <c r="E463" s="264"/>
      <c r="G463" s="264"/>
    </row>
    <row r="464" spans="5:7">
      <c r="E464" s="264"/>
      <c r="G464" s="264"/>
    </row>
    <row r="465" spans="5:7">
      <c r="E465" s="264"/>
      <c r="G465" s="264"/>
    </row>
    <row r="466" spans="5:7">
      <c r="E466" s="264"/>
      <c r="G466" s="264"/>
    </row>
    <row r="467" spans="5:7">
      <c r="E467" s="264"/>
      <c r="G467" s="264"/>
    </row>
    <row r="468" spans="5:7">
      <c r="E468" s="264"/>
      <c r="G468" s="264"/>
    </row>
    <row r="469" spans="5:7">
      <c r="E469" s="264"/>
      <c r="G469" s="264"/>
    </row>
    <row r="470" spans="5:7">
      <c r="E470" s="264"/>
      <c r="G470" s="264"/>
    </row>
    <row r="471" spans="5:7">
      <c r="E471" s="264"/>
      <c r="G471" s="264"/>
    </row>
    <row r="472" spans="5:7">
      <c r="E472" s="264"/>
      <c r="G472" s="264"/>
    </row>
    <row r="473" spans="5:7">
      <c r="E473" s="264"/>
      <c r="G473" s="264"/>
    </row>
    <row r="474" spans="5:7">
      <c r="E474" s="264"/>
      <c r="G474" s="264"/>
    </row>
    <row r="475" spans="5:7">
      <c r="E475" s="264"/>
      <c r="G475" s="264"/>
    </row>
    <row r="476" spans="5:7">
      <c r="E476" s="264"/>
      <c r="G476" s="264"/>
    </row>
    <row r="477" spans="5:7">
      <c r="E477" s="264"/>
      <c r="G477" s="264"/>
    </row>
    <row r="478" spans="5:7">
      <c r="E478" s="264"/>
      <c r="G478" s="264"/>
    </row>
    <row r="479" spans="5:7">
      <c r="E479" s="264"/>
      <c r="G479" s="264"/>
    </row>
    <row r="480" spans="5:7">
      <c r="E480" s="264"/>
      <c r="G480" s="264"/>
    </row>
    <row r="481" spans="5:7">
      <c r="E481" s="264"/>
      <c r="G481" s="264"/>
    </row>
    <row r="482" spans="5:7">
      <c r="E482" s="264"/>
      <c r="G482" s="264"/>
    </row>
    <row r="483" spans="5:7">
      <c r="E483" s="264"/>
      <c r="G483" s="264"/>
    </row>
    <row r="484" spans="5:7">
      <c r="E484" s="264"/>
      <c r="G484" s="264"/>
    </row>
    <row r="485" spans="5:7">
      <c r="E485" s="264"/>
      <c r="G485" s="264"/>
    </row>
    <row r="486" spans="5:7">
      <c r="E486" s="264"/>
      <c r="G486" s="264"/>
    </row>
    <row r="487" spans="5:7">
      <c r="E487" s="264"/>
      <c r="G487" s="264"/>
    </row>
    <row r="488" spans="5:7">
      <c r="E488" s="264"/>
      <c r="G488" s="264"/>
    </row>
    <row r="489" spans="5:7">
      <c r="E489" s="264"/>
      <c r="G489" s="264"/>
    </row>
    <row r="490" spans="5:7">
      <c r="E490" s="264"/>
      <c r="G490" s="264"/>
    </row>
    <row r="491" spans="5:7">
      <c r="E491" s="264"/>
      <c r="G491" s="264"/>
    </row>
    <row r="492" spans="5:7">
      <c r="E492" s="264"/>
      <c r="G492" s="264"/>
    </row>
    <row r="493" spans="5:7">
      <c r="E493" s="264"/>
      <c r="G493" s="264"/>
    </row>
    <row r="494" spans="5:7">
      <c r="E494" s="264"/>
      <c r="G494" s="264"/>
    </row>
    <row r="495" spans="5:7">
      <c r="E495" s="264"/>
      <c r="G495" s="264"/>
    </row>
    <row r="496" spans="5:7">
      <c r="E496" s="264"/>
      <c r="G496" s="264"/>
    </row>
    <row r="497" spans="5:7">
      <c r="E497" s="264"/>
      <c r="G497" s="264"/>
    </row>
    <row r="498" spans="5:7">
      <c r="E498" s="264"/>
      <c r="G498" s="264"/>
    </row>
    <row r="499" spans="5:7">
      <c r="E499" s="264"/>
      <c r="G499" s="264"/>
    </row>
    <row r="500" spans="5:7">
      <c r="E500" s="264"/>
      <c r="G500" s="264"/>
    </row>
    <row r="501" spans="5:7">
      <c r="E501" s="264"/>
      <c r="G501" s="264"/>
    </row>
    <row r="502" spans="5:7">
      <c r="E502" s="264"/>
      <c r="G502" s="264"/>
    </row>
    <row r="503" spans="5:7">
      <c r="E503" s="264"/>
      <c r="G503" s="264"/>
    </row>
    <row r="504" spans="5:7">
      <c r="E504" s="264"/>
      <c r="G504" s="264"/>
    </row>
    <row r="505" spans="5:7">
      <c r="E505" s="264"/>
      <c r="G505" s="264"/>
    </row>
    <row r="506" spans="5:7">
      <c r="E506" s="264"/>
      <c r="G506" s="264"/>
    </row>
    <row r="507" spans="5:7">
      <c r="E507" s="264"/>
      <c r="G507" s="264"/>
    </row>
    <row r="508" spans="5:7">
      <c r="E508" s="264"/>
      <c r="G508" s="264"/>
    </row>
    <row r="509" spans="5:7">
      <c r="E509" s="264"/>
      <c r="G509" s="264"/>
    </row>
    <row r="510" spans="5:7">
      <c r="E510" s="264"/>
      <c r="G510" s="264"/>
    </row>
    <row r="511" spans="5:7">
      <c r="E511" s="264"/>
      <c r="G511" s="264"/>
    </row>
    <row r="512" spans="5:7">
      <c r="E512" s="264"/>
      <c r="G512" s="264"/>
    </row>
    <row r="513" spans="5:7">
      <c r="E513" s="264"/>
      <c r="G513" s="264"/>
    </row>
    <row r="514" spans="5:7">
      <c r="E514" s="264"/>
      <c r="G514" s="264"/>
    </row>
    <row r="515" spans="5:7">
      <c r="E515" s="264"/>
      <c r="G515" s="264"/>
    </row>
    <row r="516" spans="5:7">
      <c r="E516" s="264"/>
      <c r="G516" s="264"/>
    </row>
    <row r="517" spans="5:7">
      <c r="E517" s="264"/>
      <c r="G517" s="264"/>
    </row>
    <row r="518" spans="5:7">
      <c r="E518" s="264"/>
      <c r="G518" s="264"/>
    </row>
    <row r="519" spans="5:7">
      <c r="E519" s="264"/>
      <c r="G519" s="264"/>
    </row>
    <row r="520" spans="5:7">
      <c r="E520" s="264"/>
      <c r="G520" s="264"/>
    </row>
    <row r="521" spans="5:7">
      <c r="E521" s="264"/>
      <c r="G521" s="264"/>
    </row>
    <row r="522" spans="5:7">
      <c r="E522" s="264"/>
      <c r="G522" s="264"/>
    </row>
    <row r="523" spans="5:7">
      <c r="E523" s="264"/>
      <c r="G523" s="264"/>
    </row>
    <row r="524" spans="5:7">
      <c r="E524" s="264"/>
      <c r="G524" s="264"/>
    </row>
    <row r="525" spans="5:7">
      <c r="E525" s="264"/>
      <c r="G525" s="264"/>
    </row>
    <row r="526" spans="5:7">
      <c r="E526" s="264"/>
      <c r="G526" s="264"/>
    </row>
    <row r="527" spans="5:7">
      <c r="E527" s="264"/>
      <c r="G527" s="264"/>
    </row>
    <row r="528" spans="5:7">
      <c r="E528" s="264"/>
      <c r="G528" s="264"/>
    </row>
    <row r="529" spans="5:7">
      <c r="E529" s="264"/>
      <c r="G529" s="264"/>
    </row>
    <row r="530" spans="5:7">
      <c r="E530" s="264"/>
      <c r="G530" s="264"/>
    </row>
    <row r="531" spans="5:7">
      <c r="E531" s="264"/>
      <c r="G531" s="264"/>
    </row>
    <row r="532" spans="5:7">
      <c r="E532" s="264"/>
      <c r="G532" s="264"/>
    </row>
    <row r="533" spans="5:7">
      <c r="E533" s="264"/>
      <c r="G533" s="264"/>
    </row>
    <row r="534" spans="5:7">
      <c r="E534" s="264"/>
      <c r="G534" s="264"/>
    </row>
    <row r="535" spans="5:7">
      <c r="E535" s="264"/>
      <c r="G535" s="264"/>
    </row>
    <row r="536" spans="5:7">
      <c r="E536" s="264"/>
      <c r="G536" s="264"/>
    </row>
    <row r="537" spans="5:7">
      <c r="E537" s="264"/>
      <c r="G537" s="264"/>
    </row>
    <row r="538" spans="5:7">
      <c r="E538" s="264"/>
      <c r="G538" s="264"/>
    </row>
    <row r="539" spans="5:7">
      <c r="E539" s="264"/>
      <c r="G539" s="264"/>
    </row>
    <row r="540" spans="5:7">
      <c r="E540" s="264"/>
      <c r="G540" s="264"/>
    </row>
    <row r="541" spans="5:7">
      <c r="E541" s="264"/>
      <c r="G541" s="264"/>
    </row>
    <row r="542" spans="5:7">
      <c r="E542" s="264"/>
      <c r="G542" s="264"/>
    </row>
    <row r="543" spans="5:7">
      <c r="E543" s="264"/>
      <c r="G543" s="264"/>
    </row>
    <row r="544" spans="5:7">
      <c r="E544" s="264"/>
      <c r="G544" s="264"/>
    </row>
    <row r="545" spans="5:7">
      <c r="E545" s="264"/>
      <c r="G545" s="264"/>
    </row>
    <row r="546" spans="5:7">
      <c r="E546" s="264"/>
      <c r="G546" s="264"/>
    </row>
    <row r="547" spans="5:7">
      <c r="E547" s="264"/>
      <c r="G547" s="264"/>
    </row>
    <row r="548" spans="5:7">
      <c r="E548" s="264"/>
      <c r="G548" s="264"/>
    </row>
    <row r="549" spans="5:7">
      <c r="E549" s="264"/>
      <c r="G549" s="264"/>
    </row>
    <row r="550" spans="5:7">
      <c r="E550" s="264"/>
      <c r="G550" s="264"/>
    </row>
    <row r="551" spans="5:7">
      <c r="E551" s="264"/>
      <c r="G551" s="264"/>
    </row>
    <row r="552" spans="5:7">
      <c r="E552" s="264"/>
      <c r="G552" s="264"/>
    </row>
    <row r="553" spans="5:7">
      <c r="E553" s="264"/>
      <c r="G553" s="264"/>
    </row>
    <row r="554" spans="5:7">
      <c r="E554" s="264"/>
      <c r="G554" s="264"/>
    </row>
    <row r="555" spans="5:7">
      <c r="E555" s="264"/>
      <c r="G555" s="264"/>
    </row>
    <row r="556" spans="5:7">
      <c r="E556" s="264"/>
      <c r="G556" s="264"/>
    </row>
    <row r="557" spans="5:7">
      <c r="E557" s="264"/>
      <c r="G557" s="264"/>
    </row>
    <row r="558" spans="5:7">
      <c r="E558" s="264"/>
      <c r="G558" s="264"/>
    </row>
    <row r="559" spans="5:7">
      <c r="E559" s="264"/>
      <c r="G559" s="264"/>
    </row>
    <row r="560" spans="5:7">
      <c r="E560" s="264"/>
      <c r="G560" s="264"/>
    </row>
    <row r="561" spans="5:7">
      <c r="E561" s="264"/>
      <c r="G561" s="264"/>
    </row>
    <row r="562" spans="5:7">
      <c r="E562" s="264"/>
      <c r="G562" s="264"/>
    </row>
    <row r="563" spans="5:7">
      <c r="E563" s="264"/>
      <c r="G563" s="264"/>
    </row>
    <row r="564" spans="5:7">
      <c r="E564" s="264"/>
      <c r="G564" s="264"/>
    </row>
    <row r="565" spans="5:7">
      <c r="E565" s="264"/>
      <c r="G565" s="264"/>
    </row>
    <row r="566" spans="5:7">
      <c r="E566" s="264"/>
      <c r="G566" s="264"/>
    </row>
    <row r="567" spans="5:7">
      <c r="E567" s="264"/>
      <c r="G567" s="264"/>
    </row>
    <row r="568" spans="5:7">
      <c r="E568" s="264"/>
      <c r="G568" s="264"/>
    </row>
    <row r="569" spans="5:7">
      <c r="E569" s="264"/>
      <c r="G569" s="264"/>
    </row>
    <row r="570" spans="5:7">
      <c r="E570" s="264"/>
      <c r="G570" s="264"/>
    </row>
    <row r="571" spans="5:7">
      <c r="E571" s="264"/>
      <c r="G571" s="264"/>
    </row>
    <row r="572" spans="5:7">
      <c r="E572" s="264"/>
      <c r="G572" s="264"/>
    </row>
    <row r="573" spans="5:7">
      <c r="E573" s="264"/>
      <c r="G573" s="264"/>
    </row>
    <row r="574" spans="5:7">
      <c r="E574" s="264"/>
      <c r="G574" s="264"/>
    </row>
    <row r="575" spans="5:7">
      <c r="E575" s="264"/>
      <c r="G575" s="264"/>
    </row>
    <row r="576" spans="5:7">
      <c r="E576" s="264"/>
      <c r="G576" s="264"/>
    </row>
    <row r="577" spans="5:7">
      <c r="E577" s="264"/>
      <c r="G577" s="264"/>
    </row>
    <row r="578" spans="5:7">
      <c r="E578" s="264"/>
      <c r="G578" s="264"/>
    </row>
    <row r="579" spans="5:7">
      <c r="E579" s="264"/>
      <c r="G579" s="264"/>
    </row>
    <row r="580" spans="5:7">
      <c r="E580" s="264"/>
      <c r="G580" s="264"/>
    </row>
    <row r="581" spans="5:7">
      <c r="E581" s="264"/>
      <c r="G581" s="264"/>
    </row>
    <row r="582" spans="5:7">
      <c r="E582" s="264"/>
      <c r="G582" s="264"/>
    </row>
    <row r="583" spans="5:7">
      <c r="E583" s="264"/>
      <c r="G583" s="264"/>
    </row>
    <row r="584" spans="5:7">
      <c r="E584" s="264"/>
      <c r="G584" s="264"/>
    </row>
    <row r="585" spans="5:7">
      <c r="E585" s="264"/>
      <c r="G585" s="264"/>
    </row>
    <row r="586" spans="5:7">
      <c r="E586" s="264"/>
      <c r="G586" s="264"/>
    </row>
    <row r="587" spans="5:7">
      <c r="E587" s="264"/>
      <c r="G587" s="264"/>
    </row>
    <row r="588" spans="5:7">
      <c r="E588" s="264"/>
      <c r="G588" s="264"/>
    </row>
    <row r="589" spans="5:7">
      <c r="E589" s="264"/>
      <c r="G589" s="264"/>
    </row>
    <row r="590" spans="5:7">
      <c r="E590" s="264"/>
      <c r="G590" s="264"/>
    </row>
    <row r="591" spans="5:7">
      <c r="E591" s="264"/>
      <c r="G591" s="264"/>
    </row>
    <row r="592" spans="5:7">
      <c r="E592" s="264"/>
      <c r="G592" s="264"/>
    </row>
    <row r="593" spans="5:7">
      <c r="E593" s="264"/>
      <c r="G593" s="264"/>
    </row>
    <row r="594" spans="5:7">
      <c r="E594" s="264"/>
      <c r="G594" s="264"/>
    </row>
    <row r="595" spans="5:7">
      <c r="E595" s="264"/>
      <c r="G595" s="264"/>
    </row>
    <row r="596" spans="5:7">
      <c r="E596" s="264"/>
      <c r="G596" s="264"/>
    </row>
    <row r="597" spans="5:7">
      <c r="E597" s="264"/>
      <c r="G597" s="264"/>
    </row>
    <row r="598" spans="5:7">
      <c r="E598" s="264"/>
      <c r="G598" s="264"/>
    </row>
    <row r="599" spans="5:7">
      <c r="E599" s="264"/>
      <c r="G599" s="264"/>
    </row>
    <row r="600" spans="5:7">
      <c r="E600" s="264"/>
      <c r="G600" s="264"/>
    </row>
    <row r="601" spans="5:7">
      <c r="E601" s="264"/>
      <c r="G601" s="264"/>
    </row>
    <row r="602" spans="5:7">
      <c r="E602" s="264"/>
      <c r="G602" s="264"/>
    </row>
    <row r="603" spans="5:7">
      <c r="E603" s="264"/>
      <c r="G603" s="264"/>
    </row>
    <row r="604" spans="5:7">
      <c r="E604" s="264"/>
      <c r="G604" s="264"/>
    </row>
    <row r="605" spans="5:7">
      <c r="E605" s="264"/>
      <c r="G605" s="264"/>
    </row>
    <row r="606" spans="5:7">
      <c r="E606" s="264"/>
      <c r="G606" s="264"/>
    </row>
    <row r="607" spans="5:7">
      <c r="E607" s="264"/>
      <c r="G607" s="264"/>
    </row>
    <row r="608" spans="5:7">
      <c r="E608" s="264"/>
      <c r="G608" s="264"/>
    </row>
    <row r="609" spans="5:7">
      <c r="E609" s="264"/>
      <c r="G609" s="264"/>
    </row>
    <row r="610" spans="5:7">
      <c r="E610" s="264"/>
      <c r="G610" s="264"/>
    </row>
    <row r="611" spans="5:7">
      <c r="E611" s="264"/>
      <c r="G611" s="264"/>
    </row>
    <row r="612" spans="5:7">
      <c r="E612" s="264"/>
      <c r="G612" s="264"/>
    </row>
    <row r="613" spans="5:7">
      <c r="E613" s="264"/>
      <c r="G613" s="264"/>
    </row>
    <row r="614" spans="5:7">
      <c r="E614" s="264"/>
      <c r="G614" s="264"/>
    </row>
    <row r="615" spans="5:7">
      <c r="E615" s="264"/>
      <c r="G615" s="264"/>
    </row>
    <row r="616" spans="5:7">
      <c r="E616" s="264"/>
      <c r="G616" s="264"/>
    </row>
    <row r="617" spans="5:7">
      <c r="E617" s="264"/>
      <c r="G617" s="264"/>
    </row>
    <row r="618" spans="5:7">
      <c r="E618" s="264"/>
      <c r="G618" s="264"/>
    </row>
    <row r="619" spans="5:7">
      <c r="E619" s="264"/>
      <c r="G619" s="264"/>
    </row>
    <row r="620" spans="5:7">
      <c r="E620" s="264"/>
      <c r="G620" s="264"/>
    </row>
    <row r="621" spans="5:7">
      <c r="E621" s="264"/>
      <c r="G621" s="264"/>
    </row>
    <row r="622" spans="5:7">
      <c r="E622" s="264"/>
      <c r="G622" s="264"/>
    </row>
    <row r="623" spans="5:7">
      <c r="E623" s="264"/>
      <c r="G623" s="264"/>
    </row>
    <row r="624" spans="5:7">
      <c r="E624" s="264"/>
      <c r="G624" s="264"/>
    </row>
    <row r="625" spans="5:7">
      <c r="E625" s="264"/>
      <c r="G625" s="264"/>
    </row>
    <row r="626" spans="5:7">
      <c r="E626" s="264"/>
      <c r="G626" s="264"/>
    </row>
    <row r="627" spans="5:7">
      <c r="E627" s="264"/>
      <c r="G627" s="264"/>
    </row>
    <row r="628" spans="5:7">
      <c r="E628" s="264"/>
      <c r="G628" s="264"/>
    </row>
    <row r="629" spans="5:7">
      <c r="E629" s="264"/>
      <c r="G629" s="264"/>
    </row>
    <row r="630" spans="5:7">
      <c r="E630" s="264"/>
      <c r="G630" s="264"/>
    </row>
    <row r="631" spans="5:7">
      <c r="E631" s="264"/>
      <c r="G631" s="264"/>
    </row>
    <row r="632" spans="5:7">
      <c r="E632" s="264"/>
      <c r="G632" s="264"/>
    </row>
    <row r="633" spans="5:7">
      <c r="E633" s="264"/>
      <c r="G633" s="264"/>
    </row>
    <row r="634" spans="5:7">
      <c r="E634" s="264"/>
      <c r="G634" s="264"/>
    </row>
    <row r="635" spans="5:7">
      <c r="E635" s="264"/>
      <c r="G635" s="264"/>
    </row>
    <row r="636" spans="5:7">
      <c r="E636" s="264"/>
      <c r="G636" s="264"/>
    </row>
    <row r="637" spans="5:7">
      <c r="E637" s="264"/>
      <c r="G637" s="264"/>
    </row>
    <row r="638" spans="5:7">
      <c r="E638" s="264"/>
      <c r="G638" s="264"/>
    </row>
    <row r="639" spans="5:7">
      <c r="E639" s="264"/>
      <c r="G639" s="264"/>
    </row>
    <row r="640" spans="5:7">
      <c r="E640" s="264"/>
      <c r="G640" s="264"/>
    </row>
    <row r="641" spans="5:7">
      <c r="E641" s="264"/>
      <c r="G641" s="264"/>
    </row>
    <row r="642" spans="5:7">
      <c r="E642" s="264"/>
      <c r="G642" s="264"/>
    </row>
    <row r="643" spans="5:7">
      <c r="E643" s="264"/>
      <c r="G643" s="264"/>
    </row>
    <row r="644" spans="5:7">
      <c r="E644" s="264"/>
      <c r="G644" s="264"/>
    </row>
    <row r="645" spans="5:7">
      <c r="E645" s="264"/>
      <c r="G645" s="264"/>
    </row>
    <row r="646" spans="5:7">
      <c r="E646" s="264"/>
      <c r="G646" s="264"/>
    </row>
    <row r="647" spans="5:7">
      <c r="E647" s="264"/>
      <c r="G647" s="264"/>
    </row>
    <row r="648" spans="5:7">
      <c r="E648" s="264"/>
      <c r="G648" s="264"/>
    </row>
    <row r="649" spans="5:7">
      <c r="E649" s="264"/>
      <c r="G649" s="264"/>
    </row>
    <row r="650" spans="5:7">
      <c r="E650" s="264"/>
      <c r="G650" s="264"/>
    </row>
    <row r="651" spans="5:7">
      <c r="E651" s="264"/>
      <c r="G651" s="264"/>
    </row>
    <row r="652" spans="5:7">
      <c r="E652" s="264"/>
      <c r="G652" s="264"/>
    </row>
    <row r="653" spans="5:7">
      <c r="E653" s="264"/>
      <c r="G653" s="264"/>
    </row>
    <row r="654" spans="5:7">
      <c r="E654" s="264"/>
      <c r="G654" s="264"/>
    </row>
    <row r="655" spans="5:7">
      <c r="E655" s="264"/>
      <c r="G655" s="264"/>
    </row>
    <row r="656" spans="5:7">
      <c r="E656" s="264"/>
      <c r="G656" s="264"/>
    </row>
    <row r="657" spans="5:7">
      <c r="E657" s="264"/>
      <c r="G657" s="264"/>
    </row>
    <row r="658" spans="5:7">
      <c r="E658" s="264"/>
      <c r="G658" s="264"/>
    </row>
    <row r="659" spans="5:7">
      <c r="E659" s="264"/>
      <c r="G659" s="264"/>
    </row>
    <row r="660" spans="5:7">
      <c r="E660" s="264"/>
      <c r="G660" s="264"/>
    </row>
    <row r="661" spans="5:7">
      <c r="E661" s="264"/>
      <c r="G661" s="264"/>
    </row>
    <row r="662" spans="5:7">
      <c r="E662" s="264"/>
      <c r="G662" s="264"/>
    </row>
    <row r="663" spans="5:7">
      <c r="E663" s="264"/>
      <c r="G663" s="264"/>
    </row>
    <row r="664" spans="5:7">
      <c r="E664" s="264"/>
      <c r="G664" s="264"/>
    </row>
    <row r="665" spans="5:7">
      <c r="E665" s="264"/>
      <c r="G665" s="264"/>
    </row>
    <row r="666" spans="5:7">
      <c r="E666" s="264"/>
      <c r="G666" s="264"/>
    </row>
    <row r="667" spans="5:7">
      <c r="E667" s="264"/>
      <c r="G667" s="264"/>
    </row>
    <row r="668" spans="5:7">
      <c r="E668" s="264"/>
      <c r="G668" s="264"/>
    </row>
    <row r="669" spans="5:7">
      <c r="E669" s="264"/>
      <c r="G669" s="264"/>
    </row>
    <row r="670" spans="5:7">
      <c r="E670" s="264"/>
      <c r="G670" s="264"/>
    </row>
    <row r="671" spans="5:7">
      <c r="E671" s="264"/>
      <c r="G671" s="264"/>
    </row>
    <row r="672" spans="5:7">
      <c r="E672" s="264"/>
      <c r="G672" s="264"/>
    </row>
    <row r="673" spans="5:7">
      <c r="E673" s="264"/>
      <c r="G673" s="264"/>
    </row>
    <row r="674" spans="5:7">
      <c r="E674" s="264"/>
      <c r="G674" s="264"/>
    </row>
    <row r="675" spans="5:7">
      <c r="E675" s="264"/>
      <c r="G675" s="264"/>
    </row>
    <row r="676" spans="5:7">
      <c r="E676" s="264"/>
      <c r="G676" s="264"/>
    </row>
    <row r="677" spans="5:7">
      <c r="E677" s="264"/>
      <c r="G677" s="264"/>
    </row>
    <row r="678" spans="5:7">
      <c r="E678" s="264"/>
      <c r="G678" s="264"/>
    </row>
    <row r="679" spans="5:7">
      <c r="E679" s="264"/>
      <c r="G679" s="264"/>
    </row>
    <row r="680" spans="5:7">
      <c r="E680" s="264"/>
      <c r="G680" s="264"/>
    </row>
    <row r="681" spans="5:7">
      <c r="E681" s="264"/>
      <c r="G681" s="264"/>
    </row>
    <row r="682" spans="5:7">
      <c r="E682" s="264"/>
      <c r="G682" s="264"/>
    </row>
    <row r="683" spans="5:7">
      <c r="E683" s="264"/>
      <c r="G683" s="264"/>
    </row>
    <row r="684" spans="5:7">
      <c r="E684" s="264"/>
      <c r="G684" s="264"/>
    </row>
    <row r="685" spans="5:7">
      <c r="E685" s="264"/>
      <c r="G685" s="264"/>
    </row>
    <row r="686" spans="5:7">
      <c r="E686" s="264"/>
      <c r="G686" s="264"/>
    </row>
    <row r="687" spans="5:7">
      <c r="E687" s="264"/>
      <c r="G687" s="264"/>
    </row>
    <row r="688" spans="5:7">
      <c r="E688" s="264"/>
      <c r="G688" s="264"/>
    </row>
    <row r="689" spans="5:7">
      <c r="E689" s="264"/>
      <c r="G689" s="264"/>
    </row>
    <row r="690" spans="5:7">
      <c r="E690" s="264"/>
      <c r="G690" s="264"/>
    </row>
    <row r="691" spans="5:7">
      <c r="E691" s="264"/>
      <c r="G691" s="264"/>
    </row>
    <row r="692" spans="5:7">
      <c r="E692" s="264"/>
      <c r="G692" s="264"/>
    </row>
    <row r="693" spans="5:7">
      <c r="E693" s="264"/>
      <c r="G693" s="264"/>
    </row>
    <row r="694" spans="5:7">
      <c r="E694" s="264"/>
      <c r="G694" s="264"/>
    </row>
    <row r="695" spans="5:7">
      <c r="E695" s="264"/>
      <c r="G695" s="264"/>
    </row>
    <row r="696" spans="5:7">
      <c r="E696" s="264"/>
      <c r="G696" s="264"/>
    </row>
    <row r="697" spans="5:7">
      <c r="E697" s="264"/>
      <c r="G697" s="264"/>
    </row>
    <row r="698" spans="5:7">
      <c r="E698" s="264"/>
      <c r="G698" s="264"/>
    </row>
    <row r="699" spans="5:7">
      <c r="E699" s="264"/>
      <c r="G699" s="264"/>
    </row>
    <row r="700" spans="5:7">
      <c r="E700" s="264"/>
      <c r="G700" s="264"/>
    </row>
    <row r="701" spans="5:7">
      <c r="E701" s="264"/>
      <c r="G701" s="264"/>
    </row>
    <row r="702" spans="5:7">
      <c r="E702" s="264"/>
      <c r="G702" s="264"/>
    </row>
    <row r="703" spans="5:7">
      <c r="E703" s="264"/>
      <c r="G703" s="264"/>
    </row>
    <row r="704" spans="5:7">
      <c r="E704" s="264"/>
      <c r="G704" s="264"/>
    </row>
    <row r="705" spans="5:7">
      <c r="E705" s="264"/>
      <c r="G705" s="264"/>
    </row>
    <row r="706" spans="5:7">
      <c r="E706" s="264"/>
      <c r="G706" s="264"/>
    </row>
    <row r="707" spans="5:7">
      <c r="E707" s="264"/>
      <c r="G707" s="264"/>
    </row>
    <row r="708" spans="5:7">
      <c r="E708" s="264"/>
      <c r="G708" s="264"/>
    </row>
    <row r="709" spans="5:7">
      <c r="E709" s="264"/>
      <c r="G709" s="264"/>
    </row>
    <row r="710" spans="5:7">
      <c r="E710" s="264"/>
      <c r="G710" s="264"/>
    </row>
    <row r="711" spans="5:7">
      <c r="E711" s="264"/>
      <c r="G711" s="264"/>
    </row>
    <row r="712" spans="5:7">
      <c r="E712" s="264"/>
      <c r="G712" s="264"/>
    </row>
    <row r="713" spans="5:7">
      <c r="E713" s="264"/>
      <c r="G713" s="264"/>
    </row>
    <row r="714" spans="5:7">
      <c r="E714" s="264"/>
      <c r="G714" s="264"/>
    </row>
    <row r="715" spans="5:7">
      <c r="E715" s="264"/>
      <c r="G715" s="264"/>
    </row>
    <row r="716" spans="5:7">
      <c r="E716" s="264"/>
      <c r="G716" s="264"/>
    </row>
    <row r="717" spans="5:7">
      <c r="E717" s="264"/>
      <c r="G717" s="264"/>
    </row>
    <row r="718" spans="5:7">
      <c r="E718" s="264"/>
      <c r="G718" s="264"/>
    </row>
    <row r="719" spans="5:7">
      <c r="E719" s="264"/>
      <c r="G719" s="264"/>
    </row>
    <row r="720" spans="5:7">
      <c r="E720" s="264"/>
      <c r="G720" s="264"/>
    </row>
    <row r="721" spans="5:7">
      <c r="E721" s="264"/>
      <c r="G721" s="264"/>
    </row>
    <row r="722" spans="5:7">
      <c r="E722" s="264"/>
      <c r="G722" s="264"/>
    </row>
    <row r="723" spans="5:7">
      <c r="E723" s="264"/>
      <c r="G723" s="264"/>
    </row>
    <row r="724" spans="5:7">
      <c r="E724" s="264"/>
      <c r="G724" s="264"/>
    </row>
    <row r="725" spans="5:7">
      <c r="E725" s="264"/>
      <c r="G725" s="264"/>
    </row>
    <row r="726" spans="5:7">
      <c r="E726" s="264"/>
      <c r="G726" s="264"/>
    </row>
    <row r="727" spans="5:7">
      <c r="E727" s="264"/>
      <c r="G727" s="264"/>
    </row>
    <row r="728" spans="5:7">
      <c r="E728" s="264"/>
      <c r="G728" s="264"/>
    </row>
    <row r="729" spans="5:7">
      <c r="E729" s="264"/>
      <c r="G729" s="264"/>
    </row>
    <row r="730" spans="5:7">
      <c r="E730" s="264"/>
      <c r="G730" s="264"/>
    </row>
    <row r="731" spans="5:7">
      <c r="E731" s="264"/>
      <c r="G731" s="264"/>
    </row>
    <row r="732" spans="5:7">
      <c r="E732" s="264"/>
      <c r="G732" s="264"/>
    </row>
    <row r="733" spans="5:7">
      <c r="E733" s="264"/>
      <c r="G733" s="264"/>
    </row>
    <row r="734" spans="5:7">
      <c r="E734" s="264"/>
      <c r="G734" s="264"/>
    </row>
    <row r="735" spans="5:7">
      <c r="E735" s="264"/>
      <c r="G735" s="264"/>
    </row>
    <row r="736" spans="5:7">
      <c r="E736" s="264"/>
      <c r="G736" s="264"/>
    </row>
    <row r="737" spans="5:7">
      <c r="E737" s="264"/>
      <c r="G737" s="264"/>
    </row>
    <row r="738" spans="5:7">
      <c r="E738" s="264"/>
      <c r="G738" s="264"/>
    </row>
    <row r="739" spans="5:7">
      <c r="E739" s="264"/>
      <c r="G739" s="264"/>
    </row>
    <row r="740" spans="5:7">
      <c r="E740" s="264"/>
      <c r="G740" s="264"/>
    </row>
    <row r="741" spans="5:7">
      <c r="E741" s="264"/>
      <c r="G741" s="264"/>
    </row>
    <row r="742" spans="5:7">
      <c r="E742" s="264"/>
      <c r="G742" s="264"/>
    </row>
    <row r="743" spans="5:7">
      <c r="E743" s="264"/>
      <c r="G743" s="264"/>
    </row>
    <row r="744" spans="5:7">
      <c r="E744" s="264"/>
      <c r="G744" s="264"/>
    </row>
    <row r="745" spans="5:7">
      <c r="E745" s="264"/>
      <c r="G745" s="264"/>
    </row>
    <row r="746" spans="5:7">
      <c r="E746" s="264"/>
      <c r="G746" s="264"/>
    </row>
    <row r="747" spans="5:7">
      <c r="E747" s="264"/>
      <c r="G747" s="264"/>
    </row>
    <row r="748" spans="5:7">
      <c r="E748" s="264"/>
      <c r="G748" s="264"/>
    </row>
    <row r="749" spans="5:7">
      <c r="E749" s="264"/>
      <c r="G749" s="264"/>
    </row>
    <row r="750" spans="5:7">
      <c r="E750" s="264"/>
      <c r="G750" s="264"/>
    </row>
    <row r="751" spans="5:7">
      <c r="E751" s="264"/>
      <c r="G751" s="264"/>
    </row>
    <row r="752" spans="5:7">
      <c r="E752" s="264"/>
      <c r="G752" s="264"/>
    </row>
    <row r="753" spans="5:7">
      <c r="E753" s="264"/>
      <c r="G753" s="264"/>
    </row>
    <row r="754" spans="5:7">
      <c r="E754" s="264"/>
      <c r="G754" s="264"/>
    </row>
    <row r="755" spans="5:7">
      <c r="E755" s="264"/>
      <c r="G755" s="264"/>
    </row>
    <row r="756" spans="5:7">
      <c r="E756" s="264"/>
      <c r="G756" s="264"/>
    </row>
    <row r="757" spans="5:7">
      <c r="E757" s="264"/>
      <c r="G757" s="264"/>
    </row>
    <row r="758" spans="5:7">
      <c r="E758" s="264"/>
      <c r="G758" s="264"/>
    </row>
    <row r="759" spans="5:7">
      <c r="E759" s="264"/>
      <c r="G759" s="264"/>
    </row>
    <row r="760" spans="5:7">
      <c r="E760" s="264"/>
      <c r="G760" s="264"/>
    </row>
    <row r="761" spans="5:7">
      <c r="E761" s="264"/>
      <c r="G761" s="264"/>
    </row>
    <row r="762" spans="5:7">
      <c r="E762" s="264"/>
      <c r="G762" s="264"/>
    </row>
    <row r="763" spans="5:7">
      <c r="E763" s="264"/>
      <c r="G763" s="264"/>
    </row>
    <row r="764" spans="5:7">
      <c r="E764" s="264"/>
      <c r="G764" s="264"/>
    </row>
    <row r="765" spans="5:7">
      <c r="E765" s="264"/>
      <c r="G765" s="264"/>
    </row>
    <row r="766" spans="5:7">
      <c r="E766" s="264"/>
      <c r="G766" s="264"/>
    </row>
    <row r="767" spans="5:7">
      <c r="E767" s="264"/>
      <c r="G767" s="264"/>
    </row>
    <row r="768" spans="5:7">
      <c r="E768" s="264"/>
      <c r="G768" s="264"/>
    </row>
    <row r="769" spans="5:7">
      <c r="E769" s="264"/>
      <c r="G769" s="264"/>
    </row>
    <row r="770" spans="5:7">
      <c r="E770" s="264"/>
      <c r="G770" s="264"/>
    </row>
    <row r="771" spans="5:7">
      <c r="E771" s="264"/>
      <c r="G771" s="264"/>
    </row>
    <row r="772" spans="5:7">
      <c r="E772" s="264"/>
      <c r="G772" s="264"/>
    </row>
    <row r="773" spans="5:7">
      <c r="E773" s="264"/>
      <c r="G773" s="264"/>
    </row>
    <row r="774" spans="5:7">
      <c r="E774" s="264"/>
      <c r="G774" s="264"/>
    </row>
    <row r="775" spans="5:7">
      <c r="E775" s="264"/>
      <c r="G775" s="264"/>
    </row>
    <row r="776" spans="5:7">
      <c r="E776" s="264"/>
      <c r="G776" s="264"/>
    </row>
    <row r="777" spans="5:7">
      <c r="E777" s="264"/>
      <c r="G777" s="264"/>
    </row>
    <row r="778" spans="5:7">
      <c r="E778" s="264"/>
      <c r="G778" s="264"/>
    </row>
    <row r="779" spans="5:7">
      <c r="E779" s="264"/>
      <c r="G779" s="264"/>
    </row>
    <row r="780" spans="5:7">
      <c r="E780" s="264"/>
      <c r="G780" s="264"/>
    </row>
    <row r="781" spans="5:7">
      <c r="E781" s="264"/>
      <c r="G781" s="264"/>
    </row>
    <row r="782" spans="5:7">
      <c r="E782" s="264"/>
      <c r="G782" s="264"/>
    </row>
    <row r="783" spans="5:7">
      <c r="E783" s="264"/>
      <c r="G783" s="264"/>
    </row>
    <row r="784" spans="5:7">
      <c r="E784" s="264"/>
      <c r="G784" s="264"/>
    </row>
    <row r="785" spans="5:7">
      <c r="E785" s="264"/>
      <c r="G785" s="264"/>
    </row>
    <row r="786" spans="5:7">
      <c r="E786" s="264"/>
      <c r="G786" s="264"/>
    </row>
    <row r="787" spans="5:7">
      <c r="E787" s="264"/>
      <c r="G787" s="264"/>
    </row>
    <row r="788" spans="5:7">
      <c r="E788" s="264"/>
      <c r="G788" s="264"/>
    </row>
    <row r="789" spans="5:7">
      <c r="E789" s="264"/>
      <c r="G789" s="264"/>
    </row>
    <row r="790" spans="5:7">
      <c r="E790" s="264"/>
      <c r="G790" s="264"/>
    </row>
    <row r="791" spans="5:7">
      <c r="E791" s="264"/>
      <c r="G791" s="264"/>
    </row>
    <row r="792" spans="5:7">
      <c r="E792" s="264"/>
      <c r="G792" s="264"/>
    </row>
    <row r="793" spans="5:7">
      <c r="E793" s="264"/>
      <c r="G793" s="264"/>
    </row>
    <row r="794" spans="5:7">
      <c r="E794" s="264"/>
      <c r="G794" s="264"/>
    </row>
    <row r="795" spans="5:7">
      <c r="E795" s="264"/>
      <c r="G795" s="264"/>
    </row>
    <row r="796" spans="5:7">
      <c r="E796" s="264"/>
      <c r="G796" s="264"/>
    </row>
    <row r="797" spans="5:7">
      <c r="E797" s="264"/>
      <c r="G797" s="264"/>
    </row>
    <row r="798" spans="5:7">
      <c r="E798" s="264"/>
      <c r="G798" s="264"/>
    </row>
    <row r="799" spans="5:7">
      <c r="E799" s="264"/>
      <c r="G799" s="264"/>
    </row>
    <row r="800" spans="5:7">
      <c r="E800" s="264"/>
      <c r="G800" s="264"/>
    </row>
    <row r="801" spans="5:7">
      <c r="E801" s="264"/>
      <c r="G801" s="264"/>
    </row>
    <row r="802" spans="5:7">
      <c r="E802" s="264"/>
      <c r="G802" s="264"/>
    </row>
    <row r="803" spans="5:7">
      <c r="E803" s="264"/>
      <c r="G803" s="264"/>
    </row>
    <row r="804" spans="5:7">
      <c r="E804" s="264"/>
      <c r="G804" s="264"/>
    </row>
    <row r="805" spans="5:7">
      <c r="E805" s="264"/>
      <c r="G805" s="264"/>
    </row>
    <row r="806" spans="5:7">
      <c r="E806" s="264"/>
      <c r="G806" s="264"/>
    </row>
    <row r="807" spans="5:7">
      <c r="E807" s="264"/>
      <c r="G807" s="264"/>
    </row>
    <row r="808" spans="5:7">
      <c r="E808" s="264"/>
      <c r="G808" s="264"/>
    </row>
    <row r="809" spans="5:7">
      <c r="E809" s="264"/>
      <c r="G809" s="264"/>
    </row>
    <row r="810" spans="5:7">
      <c r="E810" s="264"/>
      <c r="G810" s="264"/>
    </row>
    <row r="811" spans="5:7">
      <c r="E811" s="264"/>
      <c r="G811" s="264"/>
    </row>
    <row r="812" spans="5:7">
      <c r="E812" s="264"/>
      <c r="G812" s="264"/>
    </row>
    <row r="813" spans="5:7">
      <c r="E813" s="264"/>
      <c r="G813" s="264"/>
    </row>
    <row r="814" spans="5:7">
      <c r="E814" s="264"/>
      <c r="G814" s="264"/>
    </row>
    <row r="815" spans="5:7">
      <c r="E815" s="264"/>
      <c r="G815" s="264"/>
    </row>
    <row r="816" spans="5:7">
      <c r="E816" s="264"/>
      <c r="G816" s="264"/>
    </row>
    <row r="817" spans="5:7">
      <c r="E817" s="264"/>
      <c r="G817" s="264"/>
    </row>
    <row r="818" spans="5:7">
      <c r="E818" s="264"/>
      <c r="G818" s="264"/>
    </row>
    <row r="819" spans="5:7">
      <c r="E819" s="264"/>
      <c r="G819" s="264"/>
    </row>
    <row r="820" spans="5:7">
      <c r="E820" s="264"/>
      <c r="G820" s="264"/>
    </row>
    <row r="821" spans="5:7">
      <c r="E821" s="264"/>
      <c r="G821" s="264"/>
    </row>
    <row r="822" spans="5:7">
      <c r="E822" s="264"/>
      <c r="G822" s="264"/>
    </row>
    <row r="823" spans="5:7">
      <c r="E823" s="264"/>
      <c r="G823" s="264"/>
    </row>
    <row r="824" spans="5:7">
      <c r="E824" s="264"/>
      <c r="G824" s="264"/>
    </row>
    <row r="825" spans="5:7">
      <c r="E825" s="264"/>
      <c r="G825" s="264"/>
    </row>
    <row r="826" spans="5:7">
      <c r="E826" s="264"/>
      <c r="G826" s="264"/>
    </row>
    <row r="827" spans="5:7">
      <c r="E827" s="264"/>
      <c r="G827" s="264"/>
    </row>
    <row r="828" spans="5:7">
      <c r="E828" s="264"/>
      <c r="G828" s="264"/>
    </row>
    <row r="829" spans="5:7">
      <c r="E829" s="264"/>
      <c r="G829" s="264"/>
    </row>
    <row r="830" spans="5:7">
      <c r="E830" s="264"/>
      <c r="G830" s="264"/>
    </row>
    <row r="831" spans="5:7">
      <c r="E831" s="264"/>
      <c r="G831" s="264"/>
    </row>
    <row r="832" spans="5:7">
      <c r="E832" s="264"/>
      <c r="G832" s="264"/>
    </row>
    <row r="833" spans="5:7">
      <c r="E833" s="264"/>
      <c r="G833" s="264"/>
    </row>
    <row r="834" spans="5:7">
      <c r="E834" s="264"/>
      <c r="G834" s="264"/>
    </row>
    <row r="835" spans="5:7">
      <c r="E835" s="264"/>
      <c r="G835" s="264"/>
    </row>
    <row r="836" spans="5:7">
      <c r="E836" s="264"/>
      <c r="G836" s="264"/>
    </row>
    <row r="837" spans="5:7">
      <c r="E837" s="264"/>
      <c r="G837" s="264"/>
    </row>
    <row r="838" spans="5:7">
      <c r="E838" s="264"/>
      <c r="G838" s="264"/>
    </row>
    <row r="839" spans="5:7">
      <c r="E839" s="264"/>
      <c r="G839" s="264"/>
    </row>
    <row r="840" spans="5:7">
      <c r="E840" s="264"/>
      <c r="G840" s="264"/>
    </row>
    <row r="841" spans="5:7">
      <c r="E841" s="264"/>
      <c r="G841" s="264"/>
    </row>
    <row r="842" spans="5:7">
      <c r="E842" s="264"/>
      <c r="G842" s="264"/>
    </row>
    <row r="843" spans="5:7">
      <c r="E843" s="264"/>
      <c r="G843" s="264"/>
    </row>
    <row r="844" spans="5:7">
      <c r="E844" s="264"/>
      <c r="G844" s="264"/>
    </row>
    <row r="845" spans="5:7">
      <c r="E845" s="264"/>
      <c r="G845" s="264"/>
    </row>
    <row r="846" spans="5:7">
      <c r="E846" s="264"/>
      <c r="G846" s="264"/>
    </row>
    <row r="847" spans="5:7">
      <c r="E847" s="264"/>
      <c r="G847" s="264"/>
    </row>
    <row r="848" spans="5:7">
      <c r="E848" s="264"/>
      <c r="G848" s="264"/>
    </row>
    <row r="849" spans="5:7">
      <c r="E849" s="264"/>
      <c r="G849" s="264"/>
    </row>
    <row r="850" spans="5:7">
      <c r="E850" s="264"/>
      <c r="G850" s="264"/>
    </row>
    <row r="851" spans="5:7">
      <c r="E851" s="264"/>
      <c r="G851" s="264"/>
    </row>
    <row r="852" spans="5:7">
      <c r="E852" s="264"/>
      <c r="G852" s="264"/>
    </row>
    <row r="853" spans="5:7">
      <c r="E853" s="264"/>
      <c r="G853" s="264"/>
    </row>
    <row r="854" spans="5:7">
      <c r="E854" s="264"/>
      <c r="G854" s="264"/>
    </row>
    <row r="855" spans="5:7">
      <c r="E855" s="264"/>
      <c r="G855" s="264"/>
    </row>
    <row r="856" spans="5:7">
      <c r="E856" s="264"/>
      <c r="G856" s="264"/>
    </row>
    <row r="857" spans="5:7">
      <c r="E857" s="264"/>
      <c r="G857" s="264"/>
    </row>
    <row r="858" spans="5:7">
      <c r="E858" s="264"/>
      <c r="G858" s="264"/>
    </row>
    <row r="859" spans="5:7">
      <c r="E859" s="264"/>
      <c r="G859" s="264"/>
    </row>
    <row r="860" spans="5:7">
      <c r="E860" s="264"/>
      <c r="G860" s="264"/>
    </row>
    <row r="861" spans="5:7">
      <c r="E861" s="264"/>
      <c r="G861" s="264"/>
    </row>
    <row r="862" spans="5:7">
      <c r="E862" s="264"/>
      <c r="G862" s="264"/>
    </row>
    <row r="863" spans="5:7">
      <c r="E863" s="264"/>
      <c r="G863" s="264"/>
    </row>
    <row r="864" spans="5:7">
      <c r="E864" s="264"/>
      <c r="G864" s="264"/>
    </row>
    <row r="865" spans="5:7">
      <c r="E865" s="264"/>
      <c r="G865" s="264"/>
    </row>
    <row r="866" spans="5:7">
      <c r="E866" s="264"/>
      <c r="G866" s="264"/>
    </row>
    <row r="867" spans="5:7">
      <c r="E867" s="264"/>
      <c r="G867" s="264"/>
    </row>
    <row r="868" spans="5:7">
      <c r="E868" s="264"/>
      <c r="G868" s="264"/>
    </row>
    <row r="869" spans="5:7">
      <c r="E869" s="264"/>
      <c r="G869" s="264"/>
    </row>
    <row r="870" spans="5:7">
      <c r="E870" s="264"/>
      <c r="G870" s="264"/>
    </row>
    <row r="871" spans="5:7">
      <c r="E871" s="264"/>
      <c r="G871" s="264"/>
    </row>
    <row r="872" spans="5:7">
      <c r="E872" s="264"/>
      <c r="G872" s="264"/>
    </row>
    <row r="873" spans="5:7">
      <c r="E873" s="264"/>
      <c r="G873" s="264"/>
    </row>
    <row r="874" spans="5:7">
      <c r="E874" s="264"/>
      <c r="G874" s="264"/>
    </row>
    <row r="875" spans="5:7">
      <c r="E875" s="264"/>
      <c r="G875" s="264"/>
    </row>
    <row r="876" spans="5:7">
      <c r="E876" s="264"/>
      <c r="G876" s="264"/>
    </row>
    <row r="877" spans="5:7">
      <c r="E877" s="264"/>
      <c r="G877" s="264"/>
    </row>
    <row r="878" spans="5:7">
      <c r="E878" s="264"/>
      <c r="G878" s="264"/>
    </row>
    <row r="879" spans="5:7">
      <c r="E879" s="264"/>
      <c r="G879" s="264"/>
    </row>
    <row r="880" spans="5:7">
      <c r="E880" s="264"/>
      <c r="G880" s="264"/>
    </row>
    <row r="881" spans="5:7">
      <c r="E881" s="264"/>
      <c r="G881" s="264"/>
    </row>
    <row r="882" spans="5:7">
      <c r="E882" s="264"/>
      <c r="G882" s="264"/>
    </row>
    <row r="883" spans="5:7">
      <c r="E883" s="264"/>
      <c r="G883" s="264"/>
    </row>
    <row r="884" spans="5:7">
      <c r="E884" s="264"/>
      <c r="G884" s="264"/>
    </row>
    <row r="885" spans="5:7">
      <c r="E885" s="264"/>
      <c r="G885" s="264"/>
    </row>
    <row r="886" spans="5:7">
      <c r="E886" s="264"/>
      <c r="G886" s="264"/>
    </row>
    <row r="887" spans="5:7">
      <c r="E887" s="264"/>
      <c r="G887" s="264"/>
    </row>
    <row r="888" spans="5:7">
      <c r="E888" s="264"/>
      <c r="G888" s="264"/>
    </row>
    <row r="889" spans="5:7">
      <c r="E889" s="264"/>
      <c r="G889" s="264"/>
    </row>
    <row r="890" spans="5:7">
      <c r="E890" s="264"/>
      <c r="G890" s="264"/>
    </row>
    <row r="891" spans="5:7">
      <c r="E891" s="264"/>
      <c r="G891" s="264"/>
    </row>
    <row r="892" spans="5:7">
      <c r="E892" s="264"/>
      <c r="G892" s="264"/>
    </row>
    <row r="893" spans="5:7">
      <c r="E893" s="264"/>
      <c r="G893" s="264"/>
    </row>
    <row r="894" spans="5:7">
      <c r="E894" s="264"/>
      <c r="G894" s="264"/>
    </row>
    <row r="895" spans="5:7">
      <c r="E895" s="264"/>
      <c r="G895" s="264"/>
    </row>
    <row r="896" spans="5:7">
      <c r="E896" s="264"/>
      <c r="G896" s="264"/>
    </row>
    <row r="897" spans="5:7">
      <c r="E897" s="264"/>
      <c r="G897" s="264"/>
    </row>
    <row r="898" spans="5:7">
      <c r="E898" s="264"/>
      <c r="G898" s="264"/>
    </row>
    <row r="899" spans="5:7">
      <c r="E899" s="264"/>
      <c r="G899" s="264"/>
    </row>
    <row r="900" spans="5:7">
      <c r="E900" s="264"/>
      <c r="G900" s="264"/>
    </row>
    <row r="901" spans="5:7">
      <c r="E901" s="264"/>
      <c r="G901" s="264"/>
    </row>
    <row r="902" spans="5:7">
      <c r="E902" s="264"/>
      <c r="G902" s="264"/>
    </row>
    <row r="903" spans="5:7">
      <c r="E903" s="264"/>
      <c r="G903" s="264"/>
    </row>
    <row r="904" spans="5:7">
      <c r="E904" s="264"/>
      <c r="G904" s="264"/>
    </row>
    <row r="905" spans="5:7">
      <c r="E905" s="264"/>
      <c r="G905" s="264"/>
    </row>
    <row r="906" spans="5:7">
      <c r="E906" s="264"/>
      <c r="G906" s="264"/>
    </row>
    <row r="907" spans="5:7">
      <c r="E907" s="264"/>
      <c r="G907" s="264"/>
    </row>
    <row r="908" spans="5:7">
      <c r="E908" s="264"/>
      <c r="G908" s="264"/>
    </row>
    <row r="909" spans="5:7">
      <c r="E909" s="264"/>
      <c r="G909" s="264"/>
    </row>
    <row r="910" spans="5:7">
      <c r="E910" s="264"/>
      <c r="G910" s="264"/>
    </row>
    <row r="911" spans="5:7">
      <c r="E911" s="264"/>
      <c r="G911" s="264"/>
    </row>
    <row r="912" spans="5:7">
      <c r="E912" s="264"/>
      <c r="G912" s="264"/>
    </row>
    <row r="913" spans="5:7">
      <c r="E913" s="264"/>
      <c r="G913" s="264"/>
    </row>
    <row r="914" spans="5:7">
      <c r="E914" s="264"/>
      <c r="G914" s="264"/>
    </row>
    <row r="915" spans="5:7">
      <c r="E915" s="264"/>
      <c r="G915" s="264"/>
    </row>
    <row r="916" spans="5:7">
      <c r="E916" s="264"/>
      <c r="G916" s="264"/>
    </row>
    <row r="917" spans="5:7">
      <c r="E917" s="264"/>
      <c r="G917" s="264"/>
    </row>
    <row r="918" spans="5:7">
      <c r="E918" s="264"/>
      <c r="G918" s="264"/>
    </row>
    <row r="919" spans="5:7">
      <c r="E919" s="264"/>
      <c r="G919" s="264"/>
    </row>
    <row r="920" spans="5:7">
      <c r="E920" s="264"/>
      <c r="G920" s="264"/>
    </row>
    <row r="921" spans="5:7">
      <c r="E921" s="264"/>
      <c r="G921" s="264"/>
    </row>
    <row r="922" spans="5:7">
      <c r="E922" s="264"/>
      <c r="G922" s="264"/>
    </row>
    <row r="923" spans="5:7">
      <c r="E923" s="264"/>
      <c r="G923" s="264"/>
    </row>
    <row r="924" spans="5:7">
      <c r="E924" s="264"/>
      <c r="G924" s="264"/>
    </row>
    <row r="925" spans="5:7">
      <c r="E925" s="264"/>
      <c r="G925" s="264"/>
    </row>
    <row r="926" spans="5:7">
      <c r="E926" s="264"/>
      <c r="G926" s="264"/>
    </row>
    <row r="927" spans="5:7">
      <c r="E927" s="264"/>
      <c r="G927" s="264"/>
    </row>
    <row r="928" spans="5:7">
      <c r="E928" s="264"/>
      <c r="G928" s="264"/>
    </row>
    <row r="929" spans="5:7">
      <c r="E929" s="264"/>
      <c r="G929" s="264"/>
    </row>
    <row r="930" spans="5:7">
      <c r="E930" s="264"/>
      <c r="G930" s="264"/>
    </row>
    <row r="931" spans="5:7">
      <c r="E931" s="264"/>
      <c r="G931" s="264"/>
    </row>
    <row r="932" spans="5:7">
      <c r="E932" s="264"/>
      <c r="G932" s="264"/>
    </row>
    <row r="933" spans="5:7">
      <c r="E933" s="264"/>
      <c r="G933" s="264"/>
    </row>
    <row r="934" spans="5:7">
      <c r="E934" s="264"/>
      <c r="G934" s="264"/>
    </row>
    <row r="935" spans="5:7">
      <c r="E935" s="264"/>
      <c r="G935" s="264"/>
    </row>
    <row r="936" spans="5:7">
      <c r="E936" s="264"/>
      <c r="G936" s="264"/>
    </row>
    <row r="937" spans="5:7">
      <c r="E937" s="264"/>
      <c r="G937" s="264"/>
    </row>
    <row r="938" spans="5:7">
      <c r="E938" s="264"/>
      <c r="G938" s="264"/>
    </row>
    <row r="939" spans="5:7">
      <c r="E939" s="264"/>
      <c r="G939" s="264"/>
    </row>
    <row r="940" spans="5:7">
      <c r="E940" s="264"/>
      <c r="G940" s="264"/>
    </row>
    <row r="941" spans="5:7">
      <c r="E941" s="264"/>
      <c r="G941" s="264"/>
    </row>
    <row r="942" spans="5:7">
      <c r="E942" s="264"/>
      <c r="G942" s="264"/>
    </row>
    <row r="943" spans="5:7">
      <c r="E943" s="264"/>
      <c r="G943" s="264"/>
    </row>
    <row r="944" spans="5:7">
      <c r="E944" s="264"/>
      <c r="G944" s="264"/>
    </row>
    <row r="945" spans="5:7">
      <c r="E945" s="264"/>
      <c r="G945" s="264"/>
    </row>
    <row r="946" spans="5:7">
      <c r="E946" s="264"/>
      <c r="G946" s="264"/>
    </row>
    <row r="947" spans="5:7">
      <c r="E947" s="264"/>
      <c r="G947" s="264"/>
    </row>
    <row r="948" spans="5:7">
      <c r="E948" s="264"/>
      <c r="G948" s="264"/>
    </row>
    <row r="949" spans="5:7">
      <c r="E949" s="264"/>
      <c r="G949" s="264"/>
    </row>
    <row r="950" spans="5:7">
      <c r="E950" s="264"/>
      <c r="G950" s="264"/>
    </row>
    <row r="951" spans="5:7">
      <c r="E951" s="264"/>
      <c r="G951" s="264"/>
    </row>
    <row r="952" spans="5:7">
      <c r="E952" s="264"/>
      <c r="G952" s="264"/>
    </row>
    <row r="953" spans="5:7">
      <c r="E953" s="264"/>
      <c r="G953" s="264"/>
    </row>
    <row r="954" spans="5:7">
      <c r="E954" s="264"/>
      <c r="G954" s="264"/>
    </row>
    <row r="955" spans="5:7">
      <c r="E955" s="264"/>
      <c r="G955" s="264"/>
    </row>
    <row r="956" spans="5:7">
      <c r="E956" s="264"/>
      <c r="G956" s="264"/>
    </row>
    <row r="957" spans="5:7">
      <c r="E957" s="264"/>
      <c r="G957" s="264"/>
    </row>
    <row r="958" spans="5:7">
      <c r="E958" s="264"/>
      <c r="G958" s="264"/>
    </row>
    <row r="959" spans="5:7">
      <c r="E959" s="264"/>
      <c r="G959" s="264"/>
    </row>
    <row r="960" spans="5:7">
      <c r="E960" s="264"/>
      <c r="G960" s="264"/>
    </row>
    <row r="961" spans="5:7">
      <c r="E961" s="264"/>
      <c r="G961" s="264"/>
    </row>
    <row r="962" spans="5:7">
      <c r="E962" s="264"/>
      <c r="G962" s="264"/>
    </row>
    <row r="963" spans="5:7">
      <c r="E963" s="264"/>
      <c r="G963" s="264"/>
    </row>
    <row r="964" spans="5:7">
      <c r="E964" s="264"/>
      <c r="G964" s="264"/>
    </row>
    <row r="965" spans="5:7">
      <c r="E965" s="264"/>
      <c r="G965" s="264"/>
    </row>
    <row r="966" spans="5:7">
      <c r="E966" s="264"/>
      <c r="G966" s="264"/>
    </row>
    <row r="967" spans="5:7">
      <c r="E967" s="264"/>
      <c r="G967" s="264"/>
    </row>
    <row r="968" spans="5:7">
      <c r="E968" s="264"/>
      <c r="G968" s="264"/>
    </row>
    <row r="969" spans="5:7">
      <c r="E969" s="264"/>
      <c r="G969" s="264"/>
    </row>
    <row r="970" spans="5:7">
      <c r="E970" s="264"/>
      <c r="G970" s="264"/>
    </row>
    <row r="971" spans="5:7">
      <c r="E971" s="264"/>
      <c r="G971" s="264"/>
    </row>
    <row r="972" spans="5:7">
      <c r="E972" s="264"/>
      <c r="G972" s="264"/>
    </row>
    <row r="973" spans="5:7">
      <c r="E973" s="264"/>
      <c r="G973" s="264"/>
    </row>
    <row r="974" spans="5:7">
      <c r="E974" s="264"/>
      <c r="G974" s="264"/>
    </row>
    <row r="975" spans="5:7">
      <c r="E975" s="264"/>
      <c r="G975" s="264"/>
    </row>
    <row r="976" spans="5:7">
      <c r="E976" s="264"/>
      <c r="G976" s="264"/>
    </row>
    <row r="977" spans="5:7">
      <c r="E977" s="264"/>
      <c r="G977" s="264"/>
    </row>
    <row r="978" spans="5:7">
      <c r="E978" s="264"/>
      <c r="G978" s="264"/>
    </row>
    <row r="979" spans="5:7">
      <c r="E979" s="264"/>
      <c r="G979" s="264"/>
    </row>
    <row r="980" spans="5:7">
      <c r="E980" s="264"/>
      <c r="G980" s="264"/>
    </row>
    <row r="981" spans="5:7">
      <c r="E981" s="264"/>
      <c r="G981" s="264"/>
    </row>
    <row r="982" spans="5:7">
      <c r="E982" s="264"/>
      <c r="G982" s="264"/>
    </row>
    <row r="983" spans="5:7">
      <c r="E983" s="264"/>
      <c r="G983" s="264"/>
    </row>
    <row r="984" spans="5:7">
      <c r="E984" s="264"/>
      <c r="G984" s="264"/>
    </row>
    <row r="985" spans="5:7">
      <c r="E985" s="264"/>
      <c r="G985" s="264"/>
    </row>
    <row r="986" spans="5:7">
      <c r="E986" s="264"/>
      <c r="G986" s="264"/>
    </row>
    <row r="987" spans="5:7">
      <c r="E987" s="264"/>
      <c r="G987" s="264"/>
    </row>
    <row r="988" spans="5:7">
      <c r="E988" s="264"/>
      <c r="G988" s="264"/>
    </row>
    <row r="989" spans="5:7">
      <c r="E989" s="264"/>
      <c r="G989" s="264"/>
    </row>
    <row r="990" spans="5:7">
      <c r="E990" s="264"/>
      <c r="G990" s="264"/>
    </row>
    <row r="991" spans="5:7">
      <c r="E991" s="264"/>
      <c r="G991" s="264"/>
    </row>
    <row r="992" spans="5:7">
      <c r="E992" s="264"/>
      <c r="G992" s="264"/>
    </row>
    <row r="993" spans="5:7">
      <c r="E993" s="264"/>
      <c r="G993" s="264"/>
    </row>
    <row r="994" spans="5:7">
      <c r="E994" s="264"/>
      <c r="G994" s="264"/>
    </row>
    <row r="995" spans="5:7">
      <c r="E995" s="264"/>
      <c r="G995" s="264"/>
    </row>
    <row r="996" spans="5:7">
      <c r="E996" s="264"/>
      <c r="G996" s="264"/>
    </row>
    <row r="997" spans="5:7">
      <c r="E997" s="264"/>
      <c r="G997" s="264"/>
    </row>
    <row r="998" spans="5:7">
      <c r="E998" s="264"/>
      <c r="G998" s="264"/>
    </row>
    <row r="999" spans="5:7">
      <c r="E999" s="264"/>
      <c r="G999" s="264"/>
    </row>
    <row r="1000" spans="5:7">
      <c r="E1000" s="264"/>
      <c r="G1000" s="264"/>
    </row>
    <row r="1001" spans="5:7">
      <c r="E1001" s="264"/>
      <c r="G1001" s="264"/>
    </row>
    <row r="1002" spans="5:7">
      <c r="E1002" s="264"/>
      <c r="G1002" s="264"/>
    </row>
    <row r="1003" spans="5:7">
      <c r="E1003" s="264"/>
      <c r="G1003" s="264"/>
    </row>
    <row r="1004" spans="5:7">
      <c r="E1004" s="264"/>
      <c r="G1004" s="264"/>
    </row>
    <row r="1005" spans="5:7">
      <c r="E1005" s="264"/>
      <c r="G1005" s="264"/>
    </row>
    <row r="1006" spans="5:7">
      <c r="E1006" s="264"/>
      <c r="G1006" s="264"/>
    </row>
    <row r="1007" spans="5:7">
      <c r="E1007" s="264"/>
      <c r="G1007" s="264"/>
    </row>
    <row r="1008" spans="5:7">
      <c r="E1008" s="264"/>
      <c r="G1008" s="264"/>
    </row>
    <row r="1009" spans="5:7">
      <c r="E1009" s="264"/>
      <c r="G1009" s="264"/>
    </row>
    <row r="1010" spans="5:7">
      <c r="E1010" s="264"/>
      <c r="G1010" s="264"/>
    </row>
    <row r="1011" spans="5:7">
      <c r="E1011" s="264"/>
      <c r="G1011" s="264"/>
    </row>
    <row r="1012" spans="5:7">
      <c r="E1012" s="264"/>
      <c r="G1012" s="264"/>
    </row>
    <row r="1013" spans="5:7">
      <c r="E1013" s="264"/>
      <c r="G1013" s="264"/>
    </row>
    <row r="1014" spans="5:7">
      <c r="E1014" s="264"/>
      <c r="G1014" s="264"/>
    </row>
    <row r="1015" spans="5:7">
      <c r="E1015" s="264"/>
      <c r="G1015" s="264"/>
    </row>
    <row r="1016" spans="5:7">
      <c r="E1016" s="264"/>
      <c r="G1016" s="264"/>
    </row>
    <row r="1017" spans="5:7">
      <c r="E1017" s="264"/>
      <c r="G1017" s="264"/>
    </row>
    <row r="1018" spans="5:7">
      <c r="E1018" s="264"/>
      <c r="G1018" s="264"/>
    </row>
    <row r="1019" spans="5:7">
      <c r="E1019" s="264"/>
      <c r="G1019" s="264"/>
    </row>
    <row r="1020" spans="5:7">
      <c r="E1020" s="264"/>
      <c r="G1020" s="264"/>
    </row>
    <row r="1021" spans="5:7">
      <c r="E1021" s="264"/>
      <c r="G1021" s="264"/>
    </row>
    <row r="1022" spans="5:7">
      <c r="E1022" s="264"/>
      <c r="G1022" s="264"/>
    </row>
    <row r="1023" spans="5:7">
      <c r="E1023" s="264"/>
      <c r="G1023" s="264"/>
    </row>
    <row r="1024" spans="5:7">
      <c r="E1024" s="264"/>
      <c r="G1024" s="264"/>
    </row>
    <row r="1025" spans="5:7">
      <c r="E1025" s="264"/>
      <c r="G1025" s="264"/>
    </row>
    <row r="1026" spans="5:7">
      <c r="E1026" s="264"/>
      <c r="G1026" s="264"/>
    </row>
    <row r="1027" spans="5:7">
      <c r="E1027" s="264"/>
      <c r="G1027" s="264"/>
    </row>
    <row r="1028" spans="5:7">
      <c r="E1028" s="264"/>
      <c r="G1028" s="264"/>
    </row>
    <row r="1029" spans="5:7">
      <c r="E1029" s="264"/>
      <c r="G1029" s="264"/>
    </row>
    <row r="1030" spans="5:7">
      <c r="E1030" s="264"/>
      <c r="G1030" s="264"/>
    </row>
    <row r="1031" spans="5:7">
      <c r="E1031" s="264"/>
      <c r="G1031" s="264"/>
    </row>
    <row r="1032" spans="5:7">
      <c r="E1032" s="264"/>
      <c r="G1032" s="264"/>
    </row>
    <row r="1033" spans="5:7">
      <c r="E1033" s="264"/>
      <c r="G1033" s="264"/>
    </row>
    <row r="1034" spans="5:7">
      <c r="E1034" s="264"/>
      <c r="G1034" s="264"/>
    </row>
    <row r="1035" spans="5:7">
      <c r="E1035" s="264"/>
      <c r="G1035" s="264"/>
    </row>
    <row r="1036" spans="5:7">
      <c r="E1036" s="264"/>
      <c r="G1036" s="264"/>
    </row>
    <row r="1037" spans="5:7">
      <c r="E1037" s="264"/>
      <c r="G1037" s="264"/>
    </row>
    <row r="1038" spans="5:7">
      <c r="E1038" s="264"/>
      <c r="G1038" s="264"/>
    </row>
    <row r="1039" spans="5:7">
      <c r="E1039" s="264"/>
      <c r="G1039" s="264"/>
    </row>
    <row r="1040" spans="5:7">
      <c r="E1040" s="264"/>
      <c r="G1040" s="264"/>
    </row>
    <row r="1041" spans="5:7">
      <c r="E1041" s="264"/>
      <c r="G1041" s="264"/>
    </row>
    <row r="1042" spans="5:7">
      <c r="E1042" s="264"/>
      <c r="G1042" s="264"/>
    </row>
    <row r="1043" spans="5:7">
      <c r="E1043" s="264"/>
      <c r="G1043" s="264"/>
    </row>
    <row r="1044" spans="5:7">
      <c r="E1044" s="264"/>
      <c r="G1044" s="264"/>
    </row>
    <row r="1045" spans="5:7">
      <c r="E1045" s="264"/>
      <c r="G1045" s="264"/>
    </row>
    <row r="1046" spans="5:7">
      <c r="E1046" s="264"/>
      <c r="G1046" s="264"/>
    </row>
    <row r="1047" spans="5:7">
      <c r="E1047" s="264"/>
      <c r="G1047" s="264"/>
    </row>
    <row r="1048" spans="5:7">
      <c r="E1048" s="264"/>
      <c r="G1048" s="264"/>
    </row>
    <row r="1049" spans="5:7">
      <c r="E1049" s="264"/>
      <c r="G1049" s="264"/>
    </row>
    <row r="1050" spans="5:7">
      <c r="E1050" s="264"/>
      <c r="G1050" s="264"/>
    </row>
    <row r="1051" spans="5:7">
      <c r="E1051" s="264"/>
      <c r="G1051" s="264"/>
    </row>
    <row r="1052" spans="5:7">
      <c r="E1052" s="264"/>
      <c r="G1052" s="264"/>
    </row>
    <row r="1053" spans="5:7">
      <c r="E1053" s="264"/>
      <c r="G1053" s="264"/>
    </row>
    <row r="1054" spans="5:7">
      <c r="E1054" s="264"/>
      <c r="G1054" s="264"/>
    </row>
    <row r="1055" spans="5:7">
      <c r="E1055" s="264"/>
      <c r="G1055" s="264"/>
    </row>
    <row r="1056" spans="5:7">
      <c r="E1056" s="264"/>
      <c r="G1056" s="264"/>
    </row>
    <row r="1057" spans="5:7">
      <c r="E1057" s="264"/>
      <c r="G1057" s="264"/>
    </row>
    <row r="1058" spans="5:7">
      <c r="E1058" s="264"/>
      <c r="G1058" s="264"/>
    </row>
    <row r="1059" spans="5:7">
      <c r="E1059" s="264"/>
      <c r="G1059" s="264"/>
    </row>
    <row r="1060" spans="5:7">
      <c r="E1060" s="264"/>
      <c r="G1060" s="264"/>
    </row>
    <row r="1061" spans="5:7">
      <c r="E1061" s="264"/>
      <c r="G1061" s="264"/>
    </row>
    <row r="1062" spans="5:7">
      <c r="E1062" s="264"/>
      <c r="G1062" s="264"/>
    </row>
    <row r="1063" spans="5:7">
      <c r="E1063" s="264"/>
      <c r="G1063" s="264"/>
    </row>
    <row r="1064" spans="5:7">
      <c r="E1064" s="264"/>
      <c r="G1064" s="264"/>
    </row>
    <row r="1065" spans="5:7">
      <c r="E1065" s="264"/>
      <c r="G1065" s="264"/>
    </row>
    <row r="1066" spans="5:7">
      <c r="E1066" s="264"/>
      <c r="G1066" s="264"/>
    </row>
    <row r="1067" spans="5:7">
      <c r="E1067" s="264"/>
      <c r="G1067" s="264"/>
    </row>
    <row r="1068" spans="5:7">
      <c r="E1068" s="264"/>
      <c r="G1068" s="264"/>
    </row>
    <row r="1069" spans="5:7">
      <c r="E1069" s="264"/>
      <c r="G1069" s="264"/>
    </row>
    <row r="1070" spans="5:7">
      <c r="E1070" s="264"/>
      <c r="G1070" s="264"/>
    </row>
    <row r="1071" spans="5:7">
      <c r="E1071" s="264"/>
      <c r="G1071" s="264"/>
    </row>
    <row r="1072" spans="5:7">
      <c r="E1072" s="264"/>
      <c r="G1072" s="264"/>
    </row>
    <row r="1073" spans="5:7">
      <c r="E1073" s="264"/>
      <c r="G1073" s="264"/>
    </row>
    <row r="1074" spans="5:7">
      <c r="E1074" s="264"/>
      <c r="G1074" s="264"/>
    </row>
    <row r="1075" spans="5:7">
      <c r="E1075" s="264"/>
      <c r="G1075" s="264"/>
    </row>
    <row r="1076" spans="5:7">
      <c r="E1076" s="264"/>
      <c r="G1076" s="264"/>
    </row>
    <row r="1077" spans="5:7">
      <c r="E1077" s="264"/>
      <c r="G1077" s="264"/>
    </row>
    <row r="1078" spans="5:7">
      <c r="E1078" s="264"/>
      <c r="G1078" s="264"/>
    </row>
    <row r="1079" spans="5:7">
      <c r="E1079" s="264"/>
      <c r="G1079" s="264"/>
    </row>
    <row r="1080" spans="5:7">
      <c r="E1080" s="264"/>
      <c r="G1080" s="264"/>
    </row>
    <row r="1081" spans="5:7">
      <c r="E1081" s="264"/>
      <c r="G1081" s="264"/>
    </row>
    <row r="1082" spans="5:7">
      <c r="E1082" s="264"/>
      <c r="G1082" s="264"/>
    </row>
    <row r="1083" spans="5:7">
      <c r="E1083" s="264"/>
      <c r="G1083" s="264"/>
    </row>
    <row r="1084" spans="5:7">
      <c r="E1084" s="264"/>
      <c r="G1084" s="264"/>
    </row>
    <row r="1085" spans="5:7">
      <c r="E1085" s="264"/>
      <c r="G1085" s="264"/>
    </row>
    <row r="1086" spans="5:7">
      <c r="E1086" s="264"/>
      <c r="G1086" s="264"/>
    </row>
    <row r="1087" spans="5:7">
      <c r="E1087" s="264"/>
      <c r="G1087" s="264"/>
    </row>
    <row r="1088" spans="5:7">
      <c r="E1088" s="264"/>
      <c r="G1088" s="264"/>
    </row>
    <row r="1089" spans="5:7">
      <c r="E1089" s="264"/>
      <c r="G1089" s="264"/>
    </row>
    <row r="1090" spans="5:7">
      <c r="E1090" s="264"/>
      <c r="G1090" s="264"/>
    </row>
    <row r="1091" spans="5:7">
      <c r="E1091" s="264"/>
      <c r="G1091" s="264"/>
    </row>
    <row r="1092" spans="5:7">
      <c r="E1092" s="264"/>
      <c r="G1092" s="264"/>
    </row>
    <row r="1093" spans="5:7">
      <c r="E1093" s="264"/>
      <c r="G1093" s="264"/>
    </row>
    <row r="1094" spans="5:7">
      <c r="E1094" s="264"/>
      <c r="G1094" s="264"/>
    </row>
    <row r="1095" spans="5:7">
      <c r="E1095" s="264"/>
      <c r="G1095" s="264"/>
    </row>
    <row r="1096" spans="5:7">
      <c r="E1096" s="264"/>
      <c r="G1096" s="264"/>
    </row>
    <row r="1097" spans="5:7">
      <c r="E1097" s="264"/>
      <c r="G1097" s="264"/>
    </row>
    <row r="1098" spans="5:7">
      <c r="E1098" s="264"/>
      <c r="G1098" s="264"/>
    </row>
    <row r="1099" spans="5:7">
      <c r="E1099" s="264"/>
      <c r="G1099" s="264"/>
    </row>
    <row r="1100" spans="5:7">
      <c r="E1100" s="264"/>
      <c r="G1100" s="264"/>
    </row>
    <row r="1101" spans="5:7">
      <c r="E1101" s="264"/>
      <c r="G1101" s="264"/>
    </row>
    <row r="1102" spans="5:7">
      <c r="E1102" s="264"/>
      <c r="G1102" s="264"/>
    </row>
    <row r="1103" spans="5:7">
      <c r="E1103" s="264"/>
      <c r="G1103" s="264"/>
    </row>
    <row r="1104" spans="5:7">
      <c r="E1104" s="264"/>
      <c r="G1104" s="264"/>
    </row>
    <row r="1105" spans="5:7">
      <c r="E1105" s="264"/>
      <c r="G1105" s="264"/>
    </row>
    <row r="1106" spans="5:7">
      <c r="E1106" s="264"/>
      <c r="G1106" s="264"/>
    </row>
    <row r="1107" spans="5:7">
      <c r="E1107" s="264"/>
      <c r="G1107" s="264"/>
    </row>
    <row r="1108" spans="5:7">
      <c r="E1108" s="264"/>
      <c r="G1108" s="264"/>
    </row>
    <row r="1109" spans="5:7">
      <c r="E1109" s="264"/>
      <c r="G1109" s="264"/>
    </row>
    <row r="1110" spans="5:7">
      <c r="E1110" s="264"/>
      <c r="G1110" s="264"/>
    </row>
    <row r="1111" spans="5:7">
      <c r="E1111" s="264"/>
      <c r="G1111" s="264"/>
    </row>
    <row r="1112" spans="5:7">
      <c r="E1112" s="264"/>
      <c r="G1112" s="264"/>
    </row>
    <row r="1113" spans="5:7">
      <c r="E1113" s="264"/>
      <c r="G1113" s="264"/>
    </row>
    <row r="1114" spans="5:7">
      <c r="E1114" s="264"/>
      <c r="G1114" s="264"/>
    </row>
    <row r="1115" spans="5:7">
      <c r="E1115" s="264"/>
      <c r="G1115" s="264"/>
    </row>
    <row r="1116" spans="5:7">
      <c r="E1116" s="264"/>
      <c r="G1116" s="264"/>
    </row>
    <row r="1117" spans="5:7">
      <c r="E1117" s="264"/>
      <c r="G1117" s="264"/>
    </row>
    <row r="1118" spans="5:7">
      <c r="E1118" s="264"/>
      <c r="G1118" s="264"/>
    </row>
    <row r="1119" spans="5:7">
      <c r="E1119" s="264"/>
      <c r="G1119" s="264"/>
    </row>
    <row r="1120" spans="5:7">
      <c r="E1120" s="264"/>
      <c r="G1120" s="264"/>
    </row>
    <row r="1121" spans="5:7">
      <c r="E1121" s="264"/>
      <c r="G1121" s="264"/>
    </row>
    <row r="1122" spans="5:7">
      <c r="E1122" s="264"/>
      <c r="G1122" s="264"/>
    </row>
    <row r="1123" spans="5:7">
      <c r="E1123" s="264"/>
      <c r="G1123" s="264"/>
    </row>
    <row r="1124" spans="5:7">
      <c r="E1124" s="264"/>
      <c r="G1124" s="264"/>
    </row>
    <row r="1125" spans="5:7">
      <c r="E1125" s="264"/>
      <c r="G1125" s="264"/>
    </row>
    <row r="1126" spans="5:7">
      <c r="E1126" s="264"/>
      <c r="G1126" s="264"/>
    </row>
    <row r="1127" spans="5:7">
      <c r="E1127" s="264"/>
      <c r="G1127" s="264"/>
    </row>
    <row r="1128" spans="5:7">
      <c r="E1128" s="264"/>
      <c r="G1128" s="264"/>
    </row>
    <row r="1129" spans="5:7">
      <c r="E1129" s="264"/>
      <c r="G1129" s="264"/>
    </row>
    <row r="1130" spans="5:7">
      <c r="E1130" s="264"/>
      <c r="G1130" s="264"/>
    </row>
    <row r="1131" spans="5:7">
      <c r="E1131" s="264"/>
      <c r="G1131" s="264"/>
    </row>
    <row r="1132" spans="5:7">
      <c r="E1132" s="264"/>
      <c r="G1132" s="264"/>
    </row>
    <row r="1133" spans="5:7">
      <c r="E1133" s="264"/>
      <c r="G1133" s="264"/>
    </row>
    <row r="1134" spans="5:7">
      <c r="E1134" s="264"/>
      <c r="G1134" s="264"/>
    </row>
    <row r="1135" spans="5:7">
      <c r="E1135" s="264"/>
      <c r="G1135" s="264"/>
    </row>
    <row r="1136" spans="5:7">
      <c r="E1136" s="264"/>
      <c r="G1136" s="264"/>
    </row>
    <row r="1137" spans="5:7">
      <c r="E1137" s="264"/>
      <c r="G1137" s="264"/>
    </row>
    <row r="1138" spans="5:7">
      <c r="E1138" s="264"/>
      <c r="G1138" s="264"/>
    </row>
    <row r="1139" spans="5:7">
      <c r="E1139" s="264"/>
      <c r="G1139" s="264"/>
    </row>
    <row r="1140" spans="5:7">
      <c r="E1140" s="264"/>
      <c r="G1140" s="264"/>
    </row>
    <row r="1141" spans="5:7">
      <c r="E1141" s="264"/>
      <c r="G1141" s="264"/>
    </row>
    <row r="1142" spans="5:7">
      <c r="E1142" s="264"/>
      <c r="G1142" s="264"/>
    </row>
    <row r="1143" spans="5:7">
      <c r="E1143" s="264"/>
      <c r="G1143" s="264"/>
    </row>
    <row r="1144" spans="5:7">
      <c r="E1144" s="264"/>
      <c r="G1144" s="264"/>
    </row>
    <row r="1145" spans="5:7">
      <c r="E1145" s="264"/>
      <c r="G1145" s="264"/>
    </row>
    <row r="1146" spans="5:7">
      <c r="E1146" s="264"/>
      <c r="G1146" s="264"/>
    </row>
    <row r="1147" spans="5:7">
      <c r="E1147" s="264"/>
      <c r="G1147" s="264"/>
    </row>
    <row r="1148" spans="5:7">
      <c r="E1148" s="264"/>
      <c r="G1148" s="264"/>
    </row>
    <row r="1149" spans="5:7">
      <c r="E1149" s="264"/>
      <c r="G1149" s="264"/>
    </row>
    <row r="1150" spans="5:7">
      <c r="E1150" s="264"/>
      <c r="G1150" s="264"/>
    </row>
    <row r="1151" spans="5:7">
      <c r="E1151" s="264"/>
      <c r="G1151" s="264"/>
    </row>
    <row r="1152" spans="5:7">
      <c r="E1152" s="264"/>
      <c r="G1152" s="264"/>
    </row>
    <row r="1153" spans="5:7">
      <c r="E1153" s="264"/>
      <c r="G1153" s="264"/>
    </row>
    <row r="1154" spans="5:7">
      <c r="E1154" s="264"/>
      <c r="G1154" s="264"/>
    </row>
    <row r="1155" spans="5:7">
      <c r="E1155" s="264"/>
      <c r="G1155" s="264"/>
    </row>
    <row r="1156" spans="5:7">
      <c r="E1156" s="264"/>
      <c r="G1156" s="264"/>
    </row>
    <row r="1157" spans="5:7">
      <c r="E1157" s="264"/>
      <c r="G1157" s="264"/>
    </row>
    <row r="1158" spans="5:7">
      <c r="E1158" s="264"/>
      <c r="G1158" s="264"/>
    </row>
    <row r="1159" spans="5:7">
      <c r="E1159" s="264"/>
      <c r="G1159" s="264"/>
    </row>
    <row r="1160" spans="5:7">
      <c r="E1160" s="264"/>
      <c r="G1160" s="264"/>
    </row>
    <row r="1161" spans="5:7">
      <c r="E1161" s="264"/>
      <c r="G1161" s="264"/>
    </row>
    <row r="1162" spans="5:7">
      <c r="E1162" s="264"/>
      <c r="G1162" s="264"/>
    </row>
    <row r="1163" spans="5:7">
      <c r="E1163" s="264"/>
      <c r="G1163" s="264"/>
    </row>
    <row r="1164" spans="5:7">
      <c r="E1164" s="264"/>
      <c r="G1164" s="264"/>
    </row>
    <row r="1165" spans="5:7">
      <c r="E1165" s="264"/>
      <c r="G1165" s="264"/>
    </row>
    <row r="1166" spans="5:7">
      <c r="E1166" s="264"/>
      <c r="G1166" s="264"/>
    </row>
    <row r="1167" spans="5:7">
      <c r="E1167" s="264"/>
      <c r="G1167" s="264"/>
    </row>
    <row r="1168" spans="5:7">
      <c r="E1168" s="264"/>
      <c r="G1168" s="264"/>
    </row>
    <row r="1169" spans="5:7">
      <c r="E1169" s="264"/>
      <c r="G1169" s="264"/>
    </row>
    <row r="1170" spans="5:7">
      <c r="E1170" s="264"/>
      <c r="G1170" s="264"/>
    </row>
    <row r="1171" spans="5:7">
      <c r="E1171" s="264"/>
      <c r="G1171" s="264"/>
    </row>
    <row r="1172" spans="5:7">
      <c r="E1172" s="264"/>
      <c r="G1172" s="264"/>
    </row>
    <row r="1173" spans="5:7">
      <c r="E1173" s="264"/>
      <c r="G1173" s="264"/>
    </row>
    <row r="1174" spans="5:7">
      <c r="E1174" s="264"/>
      <c r="G1174" s="264"/>
    </row>
    <row r="1175" spans="5:7">
      <c r="E1175" s="264"/>
      <c r="G1175" s="264"/>
    </row>
    <row r="1176" spans="5:7">
      <c r="E1176" s="264"/>
      <c r="G1176" s="264"/>
    </row>
    <row r="1177" spans="5:7">
      <c r="E1177" s="264"/>
      <c r="G1177" s="264"/>
    </row>
    <row r="1178" spans="5:7">
      <c r="E1178" s="264"/>
      <c r="G1178" s="264"/>
    </row>
    <row r="1179" spans="5:7">
      <c r="E1179" s="264"/>
      <c r="G1179" s="264"/>
    </row>
    <row r="1180" spans="5:7">
      <c r="E1180" s="264"/>
      <c r="G1180" s="264"/>
    </row>
    <row r="1181" spans="5:7">
      <c r="E1181" s="264"/>
      <c r="G1181" s="264"/>
    </row>
    <row r="1182" spans="5:7">
      <c r="E1182" s="264"/>
      <c r="G1182" s="264"/>
    </row>
    <row r="1183" spans="5:7">
      <c r="E1183" s="264"/>
      <c r="G1183" s="264"/>
    </row>
    <row r="1184" spans="5:7">
      <c r="E1184" s="264"/>
      <c r="G1184" s="264"/>
    </row>
    <row r="1185" spans="5:7">
      <c r="E1185" s="264"/>
      <c r="G1185" s="264"/>
    </row>
    <row r="1186" spans="5:7">
      <c r="E1186" s="264"/>
      <c r="G1186" s="264"/>
    </row>
    <row r="1187" spans="5:7">
      <c r="E1187" s="264"/>
      <c r="G1187" s="264"/>
    </row>
    <row r="1188" spans="5:7">
      <c r="E1188" s="264"/>
      <c r="G1188" s="264"/>
    </row>
    <row r="1189" spans="5:7">
      <c r="E1189" s="264"/>
      <c r="G1189" s="264"/>
    </row>
    <row r="1190" spans="5:7">
      <c r="E1190" s="264"/>
      <c r="G1190" s="264"/>
    </row>
    <row r="1191" spans="5:7">
      <c r="E1191" s="264"/>
      <c r="G1191" s="264"/>
    </row>
    <row r="1192" spans="5:7">
      <c r="E1192" s="264"/>
      <c r="G1192" s="264"/>
    </row>
    <row r="1193" spans="5:7">
      <c r="E1193" s="264"/>
      <c r="G1193" s="264"/>
    </row>
    <row r="1194" spans="5:7">
      <c r="E1194" s="264"/>
      <c r="G1194" s="264"/>
    </row>
    <row r="1195" spans="5:7">
      <c r="E1195" s="264"/>
      <c r="G1195" s="264"/>
    </row>
    <row r="1196" spans="5:7">
      <c r="E1196" s="264"/>
      <c r="G1196" s="264"/>
    </row>
    <row r="1197" spans="5:7">
      <c r="E1197" s="264"/>
      <c r="G1197" s="264"/>
    </row>
    <row r="1198" spans="5:7">
      <c r="E1198" s="264"/>
      <c r="G1198" s="264"/>
    </row>
    <row r="1199" spans="5:7">
      <c r="E1199" s="264"/>
      <c r="G1199" s="264"/>
    </row>
    <row r="1200" spans="5:7">
      <c r="E1200" s="264"/>
      <c r="G1200" s="264"/>
    </row>
    <row r="1201" spans="5:7">
      <c r="E1201" s="264"/>
      <c r="G1201" s="264"/>
    </row>
    <row r="1202" spans="5:7">
      <c r="E1202" s="264"/>
      <c r="G1202" s="264"/>
    </row>
    <row r="1203" spans="5:7">
      <c r="E1203" s="264"/>
      <c r="G1203" s="264"/>
    </row>
    <row r="1204" spans="5:7">
      <c r="E1204" s="264"/>
      <c r="G1204" s="264"/>
    </row>
    <row r="1205" spans="5:7">
      <c r="E1205" s="264"/>
      <c r="G1205" s="264"/>
    </row>
    <row r="1206" spans="5:7">
      <c r="E1206" s="264"/>
      <c r="G1206" s="264"/>
    </row>
    <row r="1207" spans="5:7">
      <c r="E1207" s="264"/>
      <c r="G1207" s="264"/>
    </row>
    <row r="1208" spans="5:7">
      <c r="E1208" s="264"/>
      <c r="G1208" s="264"/>
    </row>
    <row r="1209" spans="5:7">
      <c r="E1209" s="264"/>
      <c r="G1209" s="264"/>
    </row>
    <row r="1210" spans="5:7">
      <c r="E1210" s="264"/>
      <c r="G1210" s="264"/>
    </row>
    <row r="1211" spans="5:7">
      <c r="E1211" s="264"/>
      <c r="G1211" s="264"/>
    </row>
    <row r="1212" spans="5:7">
      <c r="E1212" s="264"/>
      <c r="G1212" s="264"/>
    </row>
    <row r="1213" spans="5:7">
      <c r="E1213" s="264"/>
      <c r="G1213" s="264"/>
    </row>
    <row r="1214" spans="5:7">
      <c r="E1214" s="264"/>
      <c r="G1214" s="264"/>
    </row>
    <row r="1215" spans="5:7">
      <c r="E1215" s="264"/>
      <c r="G1215" s="264"/>
    </row>
    <row r="1216" spans="5:7">
      <c r="E1216" s="264"/>
      <c r="G1216" s="264"/>
    </row>
    <row r="1217" spans="5:7">
      <c r="E1217" s="264"/>
      <c r="G1217" s="264"/>
    </row>
    <row r="1218" spans="5:7">
      <c r="E1218" s="264"/>
      <c r="G1218" s="264"/>
    </row>
    <row r="1219" spans="5:7">
      <c r="E1219" s="264"/>
      <c r="G1219" s="264"/>
    </row>
    <row r="1220" spans="5:7">
      <c r="E1220" s="264"/>
      <c r="G1220" s="264"/>
    </row>
    <row r="1221" spans="5:7">
      <c r="E1221" s="264"/>
      <c r="G1221" s="264"/>
    </row>
    <row r="1222" spans="5:7">
      <c r="E1222" s="264"/>
      <c r="G1222" s="264"/>
    </row>
    <row r="1223" spans="5:7">
      <c r="E1223" s="264"/>
      <c r="G1223" s="264"/>
    </row>
    <row r="1224" spans="5:7">
      <c r="E1224" s="264"/>
      <c r="G1224" s="264"/>
    </row>
    <row r="1225" spans="5:7">
      <c r="E1225" s="264"/>
      <c r="G1225" s="264"/>
    </row>
    <row r="1226" spans="5:7">
      <c r="E1226" s="264"/>
      <c r="G1226" s="264"/>
    </row>
    <row r="1227" spans="5:7">
      <c r="E1227" s="264"/>
      <c r="G1227" s="264"/>
    </row>
    <row r="1228" spans="5:7">
      <c r="E1228" s="264"/>
      <c r="G1228" s="264"/>
    </row>
    <row r="1229" spans="5:7">
      <c r="E1229" s="264"/>
      <c r="G1229" s="264"/>
    </row>
    <row r="1230" spans="5:7">
      <c r="E1230" s="264"/>
      <c r="G1230" s="264"/>
    </row>
    <row r="1231" spans="5:7">
      <c r="E1231" s="264"/>
      <c r="G1231" s="264"/>
    </row>
    <row r="1232" spans="5:7">
      <c r="E1232" s="264"/>
      <c r="G1232" s="264"/>
    </row>
    <row r="1233" spans="5:7">
      <c r="E1233" s="264"/>
      <c r="G1233" s="264"/>
    </row>
    <row r="1234" spans="5:7">
      <c r="E1234" s="264"/>
      <c r="G1234" s="264"/>
    </row>
    <row r="1235" spans="5:7">
      <c r="E1235" s="264"/>
      <c r="G1235" s="264"/>
    </row>
    <row r="1236" spans="5:7">
      <c r="E1236" s="264"/>
      <c r="G1236" s="264"/>
    </row>
    <row r="1237" spans="5:7">
      <c r="E1237" s="264"/>
      <c r="G1237" s="264"/>
    </row>
    <row r="1238" spans="5:7">
      <c r="E1238" s="264"/>
      <c r="G1238" s="264"/>
    </row>
    <row r="1239" spans="5:7">
      <c r="E1239" s="264"/>
      <c r="G1239" s="264"/>
    </row>
    <row r="1240" spans="5:7">
      <c r="E1240" s="264"/>
      <c r="G1240" s="264"/>
    </row>
    <row r="1241" spans="5:7">
      <c r="E1241" s="264"/>
      <c r="G1241" s="264"/>
    </row>
    <row r="1242" spans="5:7">
      <c r="E1242" s="264"/>
      <c r="G1242" s="264"/>
    </row>
    <row r="1243" spans="5:7">
      <c r="E1243" s="264"/>
      <c r="G1243" s="264"/>
    </row>
    <row r="1244" spans="5:7">
      <c r="E1244" s="264"/>
      <c r="G1244" s="264"/>
    </row>
    <row r="1245" spans="5:7">
      <c r="E1245" s="264"/>
      <c r="G1245" s="264"/>
    </row>
    <row r="1246" spans="5:7">
      <c r="E1246" s="264"/>
      <c r="G1246" s="264"/>
    </row>
    <row r="1247" spans="5:7">
      <c r="E1247" s="264"/>
      <c r="G1247" s="264"/>
    </row>
    <row r="1248" spans="5:7">
      <c r="E1248" s="264"/>
      <c r="G1248" s="264"/>
    </row>
    <row r="1249" spans="5:7">
      <c r="E1249" s="264"/>
      <c r="G1249" s="264"/>
    </row>
    <row r="1250" spans="5:7">
      <c r="E1250" s="264"/>
      <c r="G1250" s="264"/>
    </row>
    <row r="1251" spans="5:7">
      <c r="E1251" s="264"/>
      <c r="G1251" s="264"/>
    </row>
    <row r="1252" spans="5:7">
      <c r="E1252" s="264"/>
      <c r="G1252" s="264"/>
    </row>
    <row r="1253" spans="5:7">
      <c r="E1253" s="264"/>
      <c r="G1253" s="264"/>
    </row>
    <row r="1254" spans="5:7">
      <c r="E1254" s="264"/>
      <c r="G1254" s="264"/>
    </row>
    <row r="1255" spans="5:7">
      <c r="E1255" s="264"/>
      <c r="G1255" s="264"/>
    </row>
    <row r="1256" spans="5:7">
      <c r="E1256" s="264"/>
      <c r="G1256" s="264"/>
    </row>
    <row r="1257" spans="5:7">
      <c r="E1257" s="264"/>
      <c r="G1257" s="264"/>
    </row>
    <row r="1258" spans="5:7">
      <c r="E1258" s="264"/>
      <c r="G1258" s="264"/>
    </row>
    <row r="1259" spans="5:7">
      <c r="E1259" s="264"/>
      <c r="G1259" s="264"/>
    </row>
    <row r="1260" spans="5:7">
      <c r="E1260" s="264"/>
      <c r="G1260" s="264"/>
    </row>
    <row r="1261" spans="5:7">
      <c r="E1261" s="264"/>
      <c r="G1261" s="264"/>
    </row>
    <row r="1262" spans="5:7">
      <c r="E1262" s="264"/>
      <c r="G1262" s="264"/>
    </row>
    <row r="1263" spans="5:7">
      <c r="E1263" s="264"/>
      <c r="G1263" s="264"/>
    </row>
    <row r="1264" spans="5:7">
      <c r="E1264" s="264"/>
      <c r="G1264" s="264"/>
    </row>
    <row r="1265" spans="5:7">
      <c r="E1265" s="264"/>
      <c r="G1265" s="264"/>
    </row>
    <row r="1266" spans="5:7">
      <c r="E1266" s="264"/>
      <c r="G1266" s="264"/>
    </row>
    <row r="1267" spans="5:7">
      <c r="E1267" s="264"/>
      <c r="G1267" s="264"/>
    </row>
    <row r="1268" spans="5:7">
      <c r="E1268" s="264"/>
      <c r="G1268" s="264"/>
    </row>
    <row r="1269" spans="5:7">
      <c r="E1269" s="264"/>
      <c r="G1269" s="264"/>
    </row>
    <row r="1270" spans="5:7">
      <c r="E1270" s="264"/>
      <c r="G1270" s="264"/>
    </row>
    <row r="1271" spans="5:7">
      <c r="E1271" s="264"/>
      <c r="G1271" s="264"/>
    </row>
    <row r="1272" spans="5:7">
      <c r="E1272" s="264"/>
      <c r="G1272" s="264"/>
    </row>
    <row r="1273" spans="5:7">
      <c r="E1273" s="264"/>
      <c r="G1273" s="264"/>
    </row>
    <row r="1274" spans="5:7">
      <c r="E1274" s="264"/>
      <c r="G1274" s="264"/>
    </row>
    <row r="1275" spans="5:7">
      <c r="E1275" s="264"/>
      <c r="G1275" s="264"/>
    </row>
    <row r="1276" spans="5:7">
      <c r="E1276" s="264"/>
      <c r="G1276" s="264"/>
    </row>
    <row r="1277" spans="5:7">
      <c r="E1277" s="264"/>
      <c r="G1277" s="264"/>
    </row>
    <row r="1278" spans="5:7">
      <c r="E1278" s="264"/>
      <c r="G1278" s="264"/>
    </row>
    <row r="1279" spans="5:7">
      <c r="E1279" s="264"/>
      <c r="G1279" s="264"/>
    </row>
    <row r="1280" spans="5:7">
      <c r="E1280" s="264"/>
      <c r="G1280" s="264"/>
    </row>
    <row r="1281" spans="5:7">
      <c r="E1281" s="264"/>
      <c r="G1281" s="264"/>
    </row>
    <row r="1282" spans="5:7">
      <c r="E1282" s="264"/>
      <c r="G1282" s="264"/>
    </row>
    <row r="1283" spans="5:7">
      <c r="E1283" s="264"/>
      <c r="G1283" s="264"/>
    </row>
    <row r="1284" spans="5:7">
      <c r="E1284" s="264"/>
      <c r="G1284" s="264"/>
    </row>
    <row r="1285" spans="5:7">
      <c r="E1285" s="264"/>
      <c r="G1285" s="264"/>
    </row>
    <row r="1286" spans="5:7">
      <c r="E1286" s="264"/>
      <c r="G1286" s="264"/>
    </row>
    <row r="1287" spans="5:7">
      <c r="E1287" s="264"/>
      <c r="G1287" s="264"/>
    </row>
    <row r="1288" spans="5:7">
      <c r="E1288" s="264"/>
      <c r="G1288" s="264"/>
    </row>
    <row r="1289" spans="5:7">
      <c r="E1289" s="264"/>
      <c r="G1289" s="264"/>
    </row>
    <row r="1290" spans="5:7">
      <c r="E1290" s="264"/>
      <c r="G1290" s="264"/>
    </row>
    <row r="1291" spans="5:7">
      <c r="E1291" s="264"/>
      <c r="G1291" s="264"/>
    </row>
    <row r="1292" spans="5:7">
      <c r="E1292" s="264"/>
      <c r="G1292" s="264"/>
    </row>
    <row r="1293" spans="5:7">
      <c r="E1293" s="264"/>
      <c r="G1293" s="264"/>
    </row>
    <row r="1294" spans="5:7">
      <c r="E1294" s="264"/>
      <c r="G1294" s="264"/>
    </row>
    <row r="1295" spans="5:7">
      <c r="E1295" s="264"/>
      <c r="G1295" s="264"/>
    </row>
    <row r="1296" spans="5:7">
      <c r="E1296" s="264"/>
      <c r="G1296" s="264"/>
    </row>
    <row r="1297" spans="5:7">
      <c r="E1297" s="264"/>
      <c r="G1297" s="264"/>
    </row>
    <row r="1298" spans="5:7">
      <c r="E1298" s="264"/>
      <c r="G1298" s="264"/>
    </row>
    <row r="1299" spans="5:7">
      <c r="E1299" s="264"/>
      <c r="G1299" s="264"/>
    </row>
    <row r="1300" spans="5:7">
      <c r="E1300" s="264"/>
      <c r="G1300" s="264"/>
    </row>
    <row r="1301" spans="5:7">
      <c r="E1301" s="264"/>
      <c r="G1301" s="264"/>
    </row>
    <row r="1302" spans="5:7">
      <c r="E1302" s="264"/>
      <c r="G1302" s="264"/>
    </row>
    <row r="1303" spans="5:7">
      <c r="E1303" s="264"/>
      <c r="G1303" s="264"/>
    </row>
    <row r="1304" spans="5:7">
      <c r="E1304" s="264"/>
      <c r="G1304" s="264"/>
    </row>
    <row r="1305" spans="5:7">
      <c r="E1305" s="264"/>
      <c r="G1305" s="264"/>
    </row>
    <row r="1306" spans="5:7">
      <c r="E1306" s="264"/>
      <c r="G1306" s="264"/>
    </row>
    <row r="1307" spans="5:7">
      <c r="E1307" s="264"/>
      <c r="G1307" s="264"/>
    </row>
    <row r="1308" spans="5:7">
      <c r="E1308" s="264"/>
      <c r="G1308" s="264"/>
    </row>
    <row r="1309" spans="5:7">
      <c r="E1309" s="264"/>
      <c r="G1309" s="264"/>
    </row>
    <row r="1310" spans="5:7">
      <c r="E1310" s="264"/>
      <c r="G1310" s="264"/>
    </row>
    <row r="1311" spans="5:7">
      <c r="E1311" s="264"/>
      <c r="G1311" s="264"/>
    </row>
    <row r="1312" spans="5:7">
      <c r="E1312" s="264"/>
      <c r="G1312" s="264"/>
    </row>
    <row r="1313" spans="5:7">
      <c r="E1313" s="264"/>
      <c r="G1313" s="264"/>
    </row>
    <row r="1314" spans="5:7">
      <c r="E1314" s="264"/>
      <c r="G1314" s="264"/>
    </row>
    <row r="1315" spans="5:7">
      <c r="E1315" s="264"/>
      <c r="G1315" s="264"/>
    </row>
    <row r="1316" spans="5:7">
      <c r="E1316" s="264"/>
      <c r="G1316" s="264"/>
    </row>
    <row r="1317" spans="5:7">
      <c r="E1317" s="264"/>
      <c r="G1317" s="264"/>
    </row>
    <row r="1318" spans="5:7">
      <c r="E1318" s="264"/>
      <c r="G1318" s="264"/>
    </row>
    <row r="1319" spans="5:7">
      <c r="E1319" s="264"/>
      <c r="G1319" s="264"/>
    </row>
    <row r="1320" spans="5:7">
      <c r="E1320" s="264"/>
      <c r="G1320" s="264"/>
    </row>
    <row r="1321" spans="5:7">
      <c r="E1321" s="264"/>
      <c r="G1321" s="264"/>
    </row>
    <row r="1322" spans="5:7">
      <c r="E1322" s="264"/>
      <c r="G1322" s="264"/>
    </row>
    <row r="1323" spans="5:7">
      <c r="E1323" s="264"/>
      <c r="G1323" s="264"/>
    </row>
    <row r="1324" spans="5:7">
      <c r="E1324" s="264"/>
      <c r="G1324" s="264"/>
    </row>
    <row r="1325" spans="5:7">
      <c r="E1325" s="264"/>
      <c r="G1325" s="264"/>
    </row>
    <row r="1326" spans="5:7">
      <c r="E1326" s="264"/>
      <c r="G1326" s="264"/>
    </row>
    <row r="1327" spans="5:7">
      <c r="E1327" s="264"/>
      <c r="G1327" s="264"/>
    </row>
    <row r="1328" spans="5:7">
      <c r="E1328" s="264"/>
      <c r="G1328" s="264"/>
    </row>
    <row r="1329" spans="5:7">
      <c r="E1329" s="264"/>
      <c r="G1329" s="264"/>
    </row>
    <row r="1330" spans="5:7">
      <c r="E1330" s="264"/>
      <c r="G1330" s="264"/>
    </row>
    <row r="1331" spans="5:7">
      <c r="E1331" s="264"/>
      <c r="G1331" s="264"/>
    </row>
    <row r="1332" spans="5:7">
      <c r="E1332" s="264"/>
      <c r="G1332" s="264"/>
    </row>
    <row r="1333" spans="5:7">
      <c r="E1333" s="264"/>
      <c r="G1333" s="264"/>
    </row>
    <row r="1334" spans="5:7">
      <c r="E1334" s="264"/>
      <c r="G1334" s="264"/>
    </row>
    <row r="1335" spans="5:7">
      <c r="E1335" s="264"/>
      <c r="G1335" s="264"/>
    </row>
    <row r="1336" spans="5:7">
      <c r="E1336" s="264"/>
      <c r="G1336" s="264"/>
    </row>
    <row r="1337" spans="5:7">
      <c r="E1337" s="264"/>
      <c r="G1337" s="264"/>
    </row>
    <row r="1338" spans="5:7">
      <c r="E1338" s="264"/>
      <c r="G1338" s="264"/>
    </row>
    <row r="1339" spans="5:7">
      <c r="E1339" s="264"/>
      <c r="G1339" s="264"/>
    </row>
    <row r="1340" spans="5:7">
      <c r="E1340" s="264"/>
      <c r="G1340" s="264"/>
    </row>
    <row r="1341" spans="5:7">
      <c r="E1341" s="264"/>
      <c r="G1341" s="264"/>
    </row>
    <row r="1342" spans="5:7">
      <c r="E1342" s="264"/>
      <c r="G1342" s="264"/>
    </row>
    <row r="1343" spans="5:7">
      <c r="E1343" s="264"/>
      <c r="G1343" s="264"/>
    </row>
    <row r="1344" spans="5:7">
      <c r="E1344" s="264"/>
      <c r="G1344" s="264"/>
    </row>
    <row r="1345" spans="5:7">
      <c r="E1345" s="264"/>
      <c r="G1345" s="264"/>
    </row>
    <row r="1346" spans="5:7">
      <c r="E1346" s="264"/>
      <c r="G1346" s="264"/>
    </row>
    <row r="1347" spans="5:7">
      <c r="E1347" s="264"/>
      <c r="G1347" s="264"/>
    </row>
    <row r="1348" spans="5:7">
      <c r="E1348" s="264"/>
      <c r="G1348" s="264"/>
    </row>
    <row r="1349" spans="5:7">
      <c r="E1349" s="264"/>
      <c r="G1349" s="264"/>
    </row>
    <row r="1350" spans="5:7">
      <c r="E1350" s="264"/>
      <c r="G1350" s="264"/>
    </row>
    <row r="1351" spans="5:7">
      <c r="E1351" s="264"/>
      <c r="G1351" s="264"/>
    </row>
    <row r="1352" spans="5:7">
      <c r="E1352" s="264"/>
      <c r="G1352" s="264"/>
    </row>
    <row r="1353" spans="5:7">
      <c r="E1353" s="264"/>
      <c r="G1353" s="264"/>
    </row>
    <row r="1354" spans="5:7">
      <c r="E1354" s="264"/>
      <c r="G1354" s="264"/>
    </row>
    <row r="1355" spans="5:7">
      <c r="E1355" s="264"/>
      <c r="G1355" s="264"/>
    </row>
    <row r="1356" spans="5:7">
      <c r="E1356" s="264"/>
      <c r="G1356" s="264"/>
    </row>
    <row r="1357" spans="5:7">
      <c r="E1357" s="264"/>
      <c r="G1357" s="264"/>
    </row>
    <row r="1358" spans="5:7">
      <c r="E1358" s="264"/>
      <c r="G1358" s="264"/>
    </row>
    <row r="1359" spans="5:7">
      <c r="E1359" s="264"/>
      <c r="G1359" s="264"/>
    </row>
    <row r="1360" spans="5:7">
      <c r="E1360" s="264"/>
      <c r="G1360" s="264"/>
    </row>
    <row r="1361" spans="5:7">
      <c r="E1361" s="264"/>
      <c r="G1361" s="264"/>
    </row>
    <row r="1362" spans="5:7">
      <c r="E1362" s="264"/>
      <c r="G1362" s="264"/>
    </row>
    <row r="1363" spans="5:7">
      <c r="E1363" s="264"/>
      <c r="G1363" s="264"/>
    </row>
    <row r="1364" spans="5:7">
      <c r="E1364" s="264"/>
      <c r="G1364" s="264"/>
    </row>
    <row r="1365" spans="5:7">
      <c r="E1365" s="264"/>
      <c r="G1365" s="264"/>
    </row>
    <row r="1366" spans="5:7">
      <c r="E1366" s="264"/>
      <c r="G1366" s="264"/>
    </row>
    <row r="1367" spans="5:7">
      <c r="E1367" s="264"/>
      <c r="G1367" s="264"/>
    </row>
    <row r="1368" spans="5:7">
      <c r="E1368" s="264"/>
      <c r="G1368" s="264"/>
    </row>
    <row r="1369" spans="5:7">
      <c r="E1369" s="264"/>
      <c r="G1369" s="264"/>
    </row>
    <row r="1370" spans="5:7">
      <c r="E1370" s="264"/>
      <c r="G1370" s="264"/>
    </row>
    <row r="1371" spans="5:7">
      <c r="E1371" s="264"/>
      <c r="G1371" s="264"/>
    </row>
    <row r="1372" spans="5:7">
      <c r="E1372" s="264"/>
      <c r="G1372" s="264"/>
    </row>
    <row r="1373" spans="5:7">
      <c r="E1373" s="264"/>
      <c r="G1373" s="264"/>
    </row>
    <row r="1374" spans="5:7">
      <c r="E1374" s="264"/>
      <c r="G1374" s="264"/>
    </row>
    <row r="1375" spans="5:7">
      <c r="E1375" s="264"/>
      <c r="G1375" s="264"/>
    </row>
    <row r="1376" spans="5:7">
      <c r="E1376" s="264"/>
      <c r="G1376" s="264"/>
    </row>
    <row r="1377" spans="5:7">
      <c r="E1377" s="264"/>
      <c r="G1377" s="264"/>
    </row>
    <row r="1378" spans="5:7">
      <c r="E1378" s="264"/>
      <c r="G1378" s="264"/>
    </row>
    <row r="1379" spans="5:7">
      <c r="E1379" s="264"/>
      <c r="G1379" s="264"/>
    </row>
    <row r="1380" spans="5:7">
      <c r="E1380" s="264"/>
      <c r="G1380" s="264"/>
    </row>
    <row r="1381" spans="5:7">
      <c r="E1381" s="264"/>
      <c r="G1381" s="264"/>
    </row>
    <row r="1382" spans="5:7">
      <c r="E1382" s="264"/>
      <c r="G1382" s="264"/>
    </row>
    <row r="1383" spans="5:7">
      <c r="E1383" s="264"/>
      <c r="G1383" s="264"/>
    </row>
    <row r="1384" spans="5:7">
      <c r="E1384" s="264"/>
      <c r="G1384" s="264"/>
    </row>
    <row r="1385" spans="5:7">
      <c r="E1385" s="264"/>
      <c r="G1385" s="264"/>
    </row>
    <row r="1386" spans="5:7">
      <c r="E1386" s="264"/>
      <c r="G1386" s="264"/>
    </row>
    <row r="1387" spans="5:7">
      <c r="E1387" s="264"/>
      <c r="G1387" s="264"/>
    </row>
    <row r="1388" spans="5:7">
      <c r="E1388" s="264"/>
      <c r="G1388" s="264"/>
    </row>
    <row r="1389" spans="5:7">
      <c r="E1389" s="264"/>
      <c r="G1389" s="264"/>
    </row>
    <row r="1390" spans="5:7">
      <c r="E1390" s="264"/>
      <c r="G1390" s="264"/>
    </row>
    <row r="1391" spans="5:7">
      <c r="E1391" s="264"/>
      <c r="G1391" s="264"/>
    </row>
    <row r="1392" spans="5:7">
      <c r="E1392" s="264"/>
      <c r="G1392" s="264"/>
    </row>
    <row r="1393" spans="5:7">
      <c r="E1393" s="264"/>
      <c r="G1393" s="264"/>
    </row>
    <row r="1394" spans="5:7">
      <c r="E1394" s="264"/>
      <c r="G1394" s="264"/>
    </row>
    <row r="1395" spans="5:7">
      <c r="E1395" s="264"/>
      <c r="G1395" s="264"/>
    </row>
    <row r="1396" spans="5:7">
      <c r="E1396" s="264"/>
      <c r="G1396" s="264"/>
    </row>
    <row r="1397" spans="5:7">
      <c r="E1397" s="264"/>
      <c r="G1397" s="264"/>
    </row>
    <row r="1398" spans="5:7">
      <c r="E1398" s="264"/>
      <c r="G1398" s="264"/>
    </row>
    <row r="1399" spans="5:7">
      <c r="E1399" s="264"/>
      <c r="G1399" s="264"/>
    </row>
    <row r="1400" spans="5:7">
      <c r="E1400" s="264"/>
      <c r="G1400" s="264"/>
    </row>
    <row r="1401" spans="5:7">
      <c r="E1401" s="264"/>
      <c r="G1401" s="264"/>
    </row>
    <row r="1402" spans="5:7">
      <c r="E1402" s="264"/>
      <c r="G1402" s="264"/>
    </row>
    <row r="1403" spans="5:7">
      <c r="E1403" s="264"/>
      <c r="G1403" s="264"/>
    </row>
    <row r="1404" spans="5:7">
      <c r="E1404" s="264"/>
      <c r="G1404" s="264"/>
    </row>
    <row r="1405" spans="5:7">
      <c r="E1405" s="264"/>
      <c r="G1405" s="264"/>
    </row>
    <row r="1406" spans="5:7">
      <c r="E1406" s="264"/>
      <c r="G1406" s="264"/>
    </row>
    <row r="1407" spans="5:7">
      <c r="E1407" s="264"/>
      <c r="G1407" s="264"/>
    </row>
    <row r="1408" spans="5:7">
      <c r="E1408" s="264"/>
      <c r="G1408" s="264"/>
    </row>
    <row r="1409" spans="5:7">
      <c r="E1409" s="264"/>
      <c r="G1409" s="264"/>
    </row>
    <row r="1410" spans="5:7">
      <c r="E1410" s="264"/>
      <c r="G1410" s="264"/>
    </row>
    <row r="1411" spans="5:7">
      <c r="E1411" s="264"/>
      <c r="G1411" s="264"/>
    </row>
    <row r="1412" spans="5:7">
      <c r="E1412" s="264"/>
      <c r="G1412" s="264"/>
    </row>
    <row r="1413" spans="5:7">
      <c r="E1413" s="264"/>
      <c r="G1413" s="264"/>
    </row>
    <row r="1414" spans="5:7">
      <c r="E1414" s="264"/>
      <c r="G1414" s="264"/>
    </row>
    <row r="1415" spans="5:7">
      <c r="E1415" s="264"/>
      <c r="G1415" s="264"/>
    </row>
    <row r="1416" spans="5:7">
      <c r="E1416" s="264"/>
      <c r="G1416" s="264"/>
    </row>
    <row r="1417" spans="5:7">
      <c r="E1417" s="264"/>
      <c r="G1417" s="264"/>
    </row>
    <row r="1418" spans="5:7">
      <c r="E1418" s="264"/>
      <c r="G1418" s="264"/>
    </row>
    <row r="1419" spans="5:7">
      <c r="E1419" s="264"/>
      <c r="G1419" s="264"/>
    </row>
    <row r="1420" spans="5:7">
      <c r="E1420" s="264"/>
      <c r="G1420" s="264"/>
    </row>
    <row r="1421" spans="5:7">
      <c r="E1421" s="264"/>
      <c r="G1421" s="264"/>
    </row>
    <row r="1422" spans="5:7">
      <c r="E1422" s="264"/>
      <c r="G1422" s="264"/>
    </row>
    <row r="1423" spans="5:7">
      <c r="E1423" s="264"/>
      <c r="G1423" s="264"/>
    </row>
    <row r="1424" spans="5:7">
      <c r="E1424" s="264"/>
      <c r="G1424" s="264"/>
    </row>
    <row r="1425" spans="5:7">
      <c r="E1425" s="264"/>
      <c r="G1425" s="264"/>
    </row>
    <row r="1426" spans="5:7">
      <c r="E1426" s="264"/>
      <c r="G1426" s="264"/>
    </row>
    <row r="1427" spans="5:7">
      <c r="E1427" s="264"/>
      <c r="G1427" s="264"/>
    </row>
    <row r="1428" spans="5:7">
      <c r="E1428" s="264"/>
      <c r="G1428" s="264"/>
    </row>
    <row r="1429" spans="5:7">
      <c r="E1429" s="264"/>
      <c r="G1429" s="264"/>
    </row>
    <row r="1430" spans="5:7">
      <c r="E1430" s="264"/>
      <c r="G1430" s="264"/>
    </row>
    <row r="1431" spans="5:7">
      <c r="E1431" s="264"/>
      <c r="G1431" s="264"/>
    </row>
    <row r="1432" spans="5:7">
      <c r="E1432" s="264"/>
      <c r="G1432" s="264"/>
    </row>
    <row r="1433" spans="5:7">
      <c r="E1433" s="264"/>
      <c r="G1433" s="264"/>
    </row>
    <row r="1434" spans="5:7">
      <c r="E1434" s="264"/>
      <c r="G1434" s="264"/>
    </row>
    <row r="1435" spans="5:7">
      <c r="E1435" s="264"/>
      <c r="G1435" s="264"/>
    </row>
    <row r="1436" spans="5:7">
      <c r="E1436" s="264"/>
      <c r="G1436" s="264"/>
    </row>
    <row r="1437" spans="5:7">
      <c r="E1437" s="264"/>
      <c r="G1437" s="264"/>
    </row>
    <row r="1438" spans="5:7">
      <c r="E1438" s="264"/>
      <c r="G1438" s="264"/>
    </row>
    <row r="1439" spans="5:7">
      <c r="E1439" s="264"/>
      <c r="G1439" s="264"/>
    </row>
    <row r="1440" spans="5:7">
      <c r="E1440" s="264"/>
      <c r="G1440" s="264"/>
    </row>
    <row r="1441" spans="5:7">
      <c r="E1441" s="264"/>
      <c r="G1441" s="264"/>
    </row>
    <row r="1442" spans="5:7">
      <c r="E1442" s="264"/>
      <c r="G1442" s="264"/>
    </row>
    <row r="1443" spans="5:7">
      <c r="E1443" s="264"/>
      <c r="G1443" s="264"/>
    </row>
    <row r="1444" spans="5:7">
      <c r="E1444" s="264"/>
      <c r="G1444" s="264"/>
    </row>
    <row r="1445" spans="5:7">
      <c r="E1445" s="264"/>
      <c r="G1445" s="264"/>
    </row>
    <row r="1446" spans="5:7">
      <c r="E1446" s="264"/>
      <c r="G1446" s="264"/>
    </row>
    <row r="1447" spans="5:7">
      <c r="E1447" s="264"/>
      <c r="G1447" s="264"/>
    </row>
    <row r="1448" spans="5:7">
      <c r="E1448" s="264"/>
      <c r="G1448" s="264"/>
    </row>
    <row r="1449" spans="5:7">
      <c r="E1449" s="264"/>
      <c r="G1449" s="264"/>
    </row>
    <row r="1450" spans="5:7">
      <c r="E1450" s="264"/>
      <c r="G1450" s="264"/>
    </row>
    <row r="1451" spans="5:7">
      <c r="E1451" s="264"/>
      <c r="G1451" s="264"/>
    </row>
    <row r="1452" spans="5:7">
      <c r="E1452" s="264"/>
      <c r="G1452" s="264"/>
    </row>
    <row r="1453" spans="5:7">
      <c r="E1453" s="264"/>
      <c r="G1453" s="264"/>
    </row>
    <row r="1454" spans="5:7">
      <c r="E1454" s="264"/>
      <c r="G1454" s="264"/>
    </row>
    <row r="1455" spans="5:7">
      <c r="E1455" s="264"/>
      <c r="G1455" s="264"/>
    </row>
    <row r="1456" spans="5:7">
      <c r="E1456" s="264"/>
      <c r="G1456" s="264"/>
    </row>
    <row r="1457" spans="5:7">
      <c r="E1457" s="264"/>
      <c r="G1457" s="264"/>
    </row>
    <row r="1458" spans="5:7">
      <c r="E1458" s="264"/>
      <c r="G1458" s="264"/>
    </row>
    <row r="1459" spans="5:7">
      <c r="E1459" s="264"/>
      <c r="G1459" s="264"/>
    </row>
    <row r="1460" spans="5:7">
      <c r="E1460" s="264"/>
      <c r="G1460" s="264"/>
    </row>
    <row r="1461" spans="5:7">
      <c r="E1461" s="264"/>
      <c r="G1461" s="264"/>
    </row>
    <row r="1462" spans="5:7">
      <c r="E1462" s="264"/>
      <c r="G1462" s="264"/>
    </row>
    <row r="1463" spans="5:7">
      <c r="E1463" s="264"/>
      <c r="G1463" s="264"/>
    </row>
    <row r="1464" spans="5:7">
      <c r="E1464" s="264"/>
      <c r="G1464" s="264"/>
    </row>
    <row r="1465" spans="5:7">
      <c r="E1465" s="264"/>
      <c r="G1465" s="264"/>
    </row>
    <row r="1466" spans="5:7">
      <c r="E1466" s="264"/>
      <c r="G1466" s="264"/>
    </row>
    <row r="1467" spans="5:7">
      <c r="E1467" s="264"/>
      <c r="G1467" s="264"/>
    </row>
    <row r="1468" spans="5:7">
      <c r="E1468" s="264"/>
      <c r="G1468" s="264"/>
    </row>
    <row r="1469" spans="5:7">
      <c r="E1469" s="264"/>
      <c r="G1469" s="264"/>
    </row>
    <row r="1470" spans="5:7">
      <c r="E1470" s="264"/>
      <c r="G1470" s="264"/>
    </row>
    <row r="1471" spans="5:7">
      <c r="E1471" s="264"/>
      <c r="G1471" s="264"/>
    </row>
    <row r="1472" spans="5:7">
      <c r="E1472" s="264"/>
      <c r="G1472" s="264"/>
    </row>
    <row r="1473" spans="5:7">
      <c r="E1473" s="264"/>
      <c r="G1473" s="264"/>
    </row>
    <row r="1474" spans="5:7">
      <c r="E1474" s="264"/>
      <c r="G1474" s="264"/>
    </row>
    <row r="1475" spans="5:7">
      <c r="E1475" s="264"/>
      <c r="G1475" s="264"/>
    </row>
    <row r="1476" spans="5:7">
      <c r="E1476" s="264"/>
      <c r="G1476" s="264"/>
    </row>
    <row r="1477" spans="5:7">
      <c r="E1477" s="264"/>
      <c r="G1477" s="264"/>
    </row>
    <row r="1478" spans="5:7">
      <c r="E1478" s="264"/>
      <c r="G1478" s="264"/>
    </row>
    <row r="1479" spans="5:7">
      <c r="E1479" s="264"/>
      <c r="G1479" s="264"/>
    </row>
    <row r="1480" spans="5:7">
      <c r="E1480" s="264"/>
      <c r="G1480" s="264"/>
    </row>
    <row r="1481" spans="5:7">
      <c r="E1481" s="264"/>
      <c r="G1481" s="264"/>
    </row>
    <row r="1482" spans="5:7">
      <c r="E1482" s="264"/>
      <c r="G1482" s="264"/>
    </row>
    <row r="1483" spans="5:7">
      <c r="E1483" s="264"/>
      <c r="G1483" s="264"/>
    </row>
    <row r="1484" spans="5:7">
      <c r="E1484" s="264"/>
      <c r="G1484" s="264"/>
    </row>
    <row r="1485" spans="5:7">
      <c r="E1485" s="264"/>
      <c r="G1485" s="264"/>
    </row>
    <row r="1486" spans="5:7">
      <c r="E1486" s="264"/>
      <c r="G1486" s="264"/>
    </row>
    <row r="1487" spans="5:7">
      <c r="E1487" s="264"/>
      <c r="G1487" s="264"/>
    </row>
    <row r="1488" spans="5:7">
      <c r="E1488" s="264"/>
      <c r="G1488" s="264"/>
    </row>
    <row r="1489" spans="5:7">
      <c r="E1489" s="264"/>
      <c r="G1489" s="264"/>
    </row>
    <row r="1490" spans="5:7">
      <c r="E1490" s="264"/>
      <c r="G1490" s="264"/>
    </row>
    <row r="1491" spans="5:7">
      <c r="E1491" s="264"/>
      <c r="G1491" s="264"/>
    </row>
    <row r="1492" spans="5:7">
      <c r="E1492" s="264"/>
      <c r="G1492" s="264"/>
    </row>
    <row r="1493" spans="5:7">
      <c r="E1493" s="264"/>
      <c r="G1493" s="264"/>
    </row>
    <row r="1494" spans="5:7">
      <c r="E1494" s="264"/>
      <c r="G1494" s="264"/>
    </row>
    <row r="1495" spans="5:7">
      <c r="E1495" s="264"/>
      <c r="G1495" s="264"/>
    </row>
    <row r="1496" spans="5:7">
      <c r="E1496" s="264"/>
      <c r="G1496" s="264"/>
    </row>
    <row r="1497" spans="5:7">
      <c r="E1497" s="264"/>
      <c r="G1497" s="264"/>
    </row>
    <row r="1498" spans="5:7">
      <c r="E1498" s="264"/>
      <c r="G1498" s="264"/>
    </row>
    <row r="1499" spans="5:7">
      <c r="E1499" s="264"/>
      <c r="G1499" s="264"/>
    </row>
    <row r="1500" spans="5:7">
      <c r="E1500" s="264"/>
      <c r="G1500" s="264"/>
    </row>
    <row r="1501" spans="5:7">
      <c r="E1501" s="264"/>
      <c r="G1501" s="264"/>
    </row>
    <row r="1502" spans="5:7">
      <c r="E1502" s="264"/>
      <c r="G1502" s="264"/>
    </row>
    <row r="1503" spans="5:7">
      <c r="E1503" s="264"/>
      <c r="G1503" s="264"/>
    </row>
    <row r="1504" spans="5:7">
      <c r="E1504" s="264"/>
      <c r="G1504" s="264"/>
    </row>
    <row r="1505" spans="5:7">
      <c r="E1505" s="264"/>
      <c r="G1505" s="264"/>
    </row>
    <row r="1506" spans="5:7">
      <c r="E1506" s="264"/>
      <c r="G1506" s="264"/>
    </row>
    <row r="1507" spans="5:7">
      <c r="E1507" s="264"/>
      <c r="G1507" s="264"/>
    </row>
    <row r="1508" spans="5:7">
      <c r="E1508" s="264"/>
      <c r="G1508" s="264"/>
    </row>
    <row r="1509" spans="5:7">
      <c r="E1509" s="264"/>
      <c r="G1509" s="264"/>
    </row>
    <row r="1510" spans="5:7">
      <c r="E1510" s="264"/>
      <c r="G1510" s="264"/>
    </row>
    <row r="1511" spans="5:7">
      <c r="E1511" s="264"/>
      <c r="G1511" s="264"/>
    </row>
    <row r="1512" spans="5:7">
      <c r="E1512" s="264"/>
      <c r="G1512" s="264"/>
    </row>
    <row r="1513" spans="5:7">
      <c r="E1513" s="264"/>
      <c r="G1513" s="264"/>
    </row>
    <row r="1514" spans="5:7">
      <c r="E1514" s="264"/>
      <c r="G1514" s="264"/>
    </row>
    <row r="1515" spans="5:7">
      <c r="E1515" s="264"/>
      <c r="G1515" s="264"/>
    </row>
    <row r="1516" spans="5:7">
      <c r="E1516" s="264"/>
      <c r="G1516" s="264"/>
    </row>
    <row r="1517" spans="5:7">
      <c r="E1517" s="264"/>
      <c r="G1517" s="264"/>
    </row>
    <row r="1518" spans="5:7">
      <c r="E1518" s="264"/>
      <c r="G1518" s="264"/>
    </row>
    <row r="1519" spans="5:7">
      <c r="E1519" s="264"/>
      <c r="G1519" s="264"/>
    </row>
    <row r="1520" spans="5:7">
      <c r="E1520" s="264"/>
      <c r="G1520" s="264"/>
    </row>
    <row r="1521" spans="5:7">
      <c r="E1521" s="264"/>
      <c r="G1521" s="264"/>
    </row>
    <row r="1522" spans="5:7">
      <c r="E1522" s="264"/>
      <c r="G1522" s="264"/>
    </row>
    <row r="1523" spans="5:7">
      <c r="E1523" s="264"/>
      <c r="G1523" s="264"/>
    </row>
    <row r="1524" spans="5:7">
      <c r="E1524" s="264"/>
      <c r="G1524" s="264"/>
    </row>
    <row r="1525" spans="5:7">
      <c r="E1525" s="264"/>
      <c r="G1525" s="264"/>
    </row>
    <row r="1526" spans="5:7">
      <c r="E1526" s="264"/>
      <c r="G1526" s="264"/>
    </row>
    <row r="1527" spans="5:7">
      <c r="E1527" s="264"/>
      <c r="G1527" s="264"/>
    </row>
    <row r="1528" spans="5:7">
      <c r="E1528" s="264"/>
      <c r="G1528" s="264"/>
    </row>
    <row r="1529" spans="5:7">
      <c r="E1529" s="264"/>
      <c r="G1529" s="264"/>
    </row>
    <row r="1530" spans="5:7">
      <c r="E1530" s="264"/>
      <c r="G1530" s="264"/>
    </row>
    <row r="1531" spans="5:7">
      <c r="E1531" s="264"/>
      <c r="G1531" s="264"/>
    </row>
    <row r="1532" spans="5:7">
      <c r="E1532" s="264"/>
      <c r="G1532" s="264"/>
    </row>
    <row r="1533" spans="5:7">
      <c r="E1533" s="264"/>
      <c r="G1533" s="264"/>
    </row>
    <row r="1534" spans="5:7">
      <c r="E1534" s="264"/>
      <c r="G1534" s="264"/>
    </row>
    <row r="1535" spans="5:7">
      <c r="E1535" s="264"/>
      <c r="G1535" s="264"/>
    </row>
    <row r="1536" spans="5:7">
      <c r="E1536" s="264"/>
      <c r="G1536" s="264"/>
    </row>
    <row r="1537" spans="5:7">
      <c r="E1537" s="264"/>
      <c r="G1537" s="264"/>
    </row>
    <row r="1538" spans="5:7">
      <c r="E1538" s="264"/>
      <c r="G1538" s="264"/>
    </row>
    <row r="1539" spans="5:7">
      <c r="E1539" s="264"/>
      <c r="G1539" s="264"/>
    </row>
    <row r="1540" spans="5:7">
      <c r="E1540" s="264"/>
      <c r="G1540" s="264"/>
    </row>
    <row r="1541" spans="5:7">
      <c r="E1541" s="264"/>
      <c r="G1541" s="264"/>
    </row>
    <row r="1542" spans="5:7">
      <c r="E1542" s="264"/>
      <c r="G1542" s="264"/>
    </row>
    <row r="1543" spans="5:7">
      <c r="E1543" s="264"/>
      <c r="G1543" s="264"/>
    </row>
    <row r="1544" spans="5:7">
      <c r="E1544" s="264"/>
      <c r="G1544" s="264"/>
    </row>
    <row r="1545" spans="5:7">
      <c r="E1545" s="264"/>
      <c r="G1545" s="264"/>
    </row>
    <row r="1546" spans="5:7">
      <c r="E1546" s="264"/>
      <c r="G1546" s="264"/>
    </row>
    <row r="1547" spans="5:7">
      <c r="E1547" s="264"/>
      <c r="G1547" s="264"/>
    </row>
    <row r="1548" spans="5:7">
      <c r="E1548" s="264"/>
      <c r="G1548" s="264"/>
    </row>
    <row r="1549" spans="5:7">
      <c r="E1549" s="264"/>
      <c r="G1549" s="264"/>
    </row>
    <row r="1550" spans="5:7">
      <c r="E1550" s="264"/>
      <c r="G1550" s="264"/>
    </row>
    <row r="1551" spans="5:7">
      <c r="E1551" s="264"/>
      <c r="G1551" s="264"/>
    </row>
    <row r="1552" spans="5:7">
      <c r="E1552" s="264"/>
      <c r="G1552" s="264"/>
    </row>
    <row r="1553" spans="5:7">
      <c r="E1553" s="264"/>
      <c r="G1553" s="264"/>
    </row>
    <row r="1554" spans="5:7">
      <c r="E1554" s="264"/>
      <c r="G1554" s="264"/>
    </row>
    <row r="1555" spans="5:7">
      <c r="E1555" s="264"/>
      <c r="G1555" s="264"/>
    </row>
    <row r="1556" spans="5:7">
      <c r="E1556" s="264"/>
      <c r="G1556" s="264"/>
    </row>
    <row r="1557" spans="5:7">
      <c r="E1557" s="264"/>
      <c r="G1557" s="264"/>
    </row>
    <row r="1558" spans="5:7">
      <c r="E1558" s="264"/>
      <c r="G1558" s="264"/>
    </row>
    <row r="1559" spans="5:7">
      <c r="E1559" s="264"/>
      <c r="G1559" s="264"/>
    </row>
    <row r="1560" spans="5:7">
      <c r="E1560" s="264"/>
      <c r="G1560" s="264"/>
    </row>
    <row r="1561" spans="5:7">
      <c r="E1561" s="264"/>
      <c r="G1561" s="264"/>
    </row>
    <row r="1562" spans="5:7">
      <c r="E1562" s="264"/>
      <c r="G1562" s="264"/>
    </row>
    <row r="1563" spans="5:7">
      <c r="E1563" s="264"/>
      <c r="G1563" s="264"/>
    </row>
    <row r="1564" spans="5:7">
      <c r="E1564" s="264"/>
      <c r="G1564" s="264"/>
    </row>
    <row r="1565" spans="5:7">
      <c r="E1565" s="264"/>
      <c r="G1565" s="264"/>
    </row>
    <row r="1566" spans="5:7">
      <c r="E1566" s="264"/>
      <c r="G1566" s="264"/>
    </row>
    <row r="1567" spans="5:7">
      <c r="E1567" s="264"/>
      <c r="G1567" s="264"/>
    </row>
    <row r="1568" spans="5:7">
      <c r="E1568" s="264"/>
      <c r="G1568" s="264"/>
    </row>
    <row r="1569" spans="5:7">
      <c r="E1569" s="264"/>
      <c r="G1569" s="264"/>
    </row>
    <row r="1570" spans="5:7">
      <c r="E1570" s="264"/>
      <c r="G1570" s="264"/>
    </row>
    <row r="1571" spans="5:7">
      <c r="E1571" s="264"/>
      <c r="G1571" s="264"/>
    </row>
    <row r="1572" spans="5:7">
      <c r="E1572" s="264"/>
      <c r="G1572" s="264"/>
    </row>
    <row r="1573" spans="5:7">
      <c r="E1573" s="264"/>
      <c r="G1573" s="264"/>
    </row>
    <row r="1574" spans="5:7">
      <c r="E1574" s="264"/>
      <c r="G1574" s="264"/>
    </row>
    <row r="1575" spans="5:7">
      <c r="E1575" s="264"/>
      <c r="G1575" s="264"/>
    </row>
    <row r="1576" spans="5:7">
      <c r="E1576" s="264"/>
      <c r="G1576" s="264"/>
    </row>
    <row r="1577" spans="5:7">
      <c r="E1577" s="264"/>
      <c r="G1577" s="264"/>
    </row>
    <row r="1578" spans="5:7">
      <c r="E1578" s="264"/>
      <c r="G1578" s="264"/>
    </row>
    <row r="1579" spans="5:7">
      <c r="E1579" s="264"/>
      <c r="G1579" s="264"/>
    </row>
    <row r="1580" spans="5:7">
      <c r="E1580" s="264"/>
      <c r="G1580" s="264"/>
    </row>
    <row r="1581" spans="5:7">
      <c r="E1581" s="264"/>
      <c r="G1581" s="264"/>
    </row>
    <row r="1582" spans="5:7">
      <c r="E1582" s="264"/>
      <c r="G1582" s="264"/>
    </row>
    <row r="1583" spans="5:7">
      <c r="E1583" s="264"/>
      <c r="G1583" s="264"/>
    </row>
    <row r="1584" spans="5:7">
      <c r="E1584" s="264"/>
      <c r="G1584" s="264"/>
    </row>
    <row r="1585" spans="5:7">
      <c r="E1585" s="264"/>
      <c r="G1585" s="264"/>
    </row>
    <row r="1586" spans="5:7">
      <c r="E1586" s="264"/>
      <c r="G1586" s="264"/>
    </row>
    <row r="1587" spans="5:7">
      <c r="E1587" s="264"/>
      <c r="G1587" s="264"/>
    </row>
    <row r="1588" spans="5:7">
      <c r="E1588" s="264"/>
      <c r="G1588" s="264"/>
    </row>
    <row r="1589" spans="5:7">
      <c r="E1589" s="264"/>
      <c r="G1589" s="264"/>
    </row>
    <row r="1590" spans="5:7">
      <c r="E1590" s="264"/>
      <c r="G1590" s="264"/>
    </row>
    <row r="1591" spans="5:7">
      <c r="E1591" s="264"/>
      <c r="G1591" s="264"/>
    </row>
    <row r="1592" spans="5:7">
      <c r="E1592" s="264"/>
      <c r="G1592" s="264"/>
    </row>
    <row r="1593" spans="5:7">
      <c r="E1593" s="264"/>
      <c r="G1593" s="264"/>
    </row>
    <row r="1594" spans="5:7">
      <c r="E1594" s="264"/>
      <c r="G1594" s="264"/>
    </row>
    <row r="1595" spans="5:7">
      <c r="E1595" s="264"/>
      <c r="G1595" s="264"/>
    </row>
    <row r="1596" spans="5:7">
      <c r="E1596" s="264"/>
      <c r="G1596" s="264"/>
    </row>
    <row r="1597" spans="5:7">
      <c r="E1597" s="264"/>
      <c r="G1597" s="264"/>
    </row>
    <row r="1598" spans="5:7">
      <c r="E1598" s="264"/>
      <c r="G1598" s="264"/>
    </row>
    <row r="1599" spans="5:7">
      <c r="E1599" s="264"/>
      <c r="G1599" s="264"/>
    </row>
    <row r="1600" spans="5:7">
      <c r="E1600" s="264"/>
      <c r="G1600" s="264"/>
    </row>
    <row r="1601" spans="5:7">
      <c r="E1601" s="264"/>
      <c r="G1601" s="264"/>
    </row>
    <row r="1602" spans="5:7">
      <c r="E1602" s="264"/>
      <c r="G1602" s="264"/>
    </row>
    <row r="1603" spans="5:7">
      <c r="E1603" s="264"/>
      <c r="G1603" s="264"/>
    </row>
    <row r="1604" spans="5:7">
      <c r="E1604" s="264"/>
      <c r="G1604" s="264"/>
    </row>
    <row r="1605" spans="5:7">
      <c r="E1605" s="264"/>
      <c r="G1605" s="264"/>
    </row>
    <row r="1606" spans="5:7">
      <c r="E1606" s="264"/>
      <c r="G1606" s="264"/>
    </row>
    <row r="1607" spans="5:7">
      <c r="E1607" s="264"/>
      <c r="G1607" s="264"/>
    </row>
    <row r="1608" spans="5:7">
      <c r="E1608" s="264"/>
      <c r="G1608" s="264"/>
    </row>
    <row r="1609" spans="5:7">
      <c r="E1609" s="264"/>
      <c r="G1609" s="264"/>
    </row>
    <row r="1610" spans="5:7">
      <c r="E1610" s="264"/>
      <c r="G1610" s="264"/>
    </row>
    <row r="1611" spans="5:7">
      <c r="E1611" s="264"/>
      <c r="G1611" s="264"/>
    </row>
    <row r="1612" spans="5:7">
      <c r="E1612" s="264"/>
      <c r="G1612" s="264"/>
    </row>
    <row r="1613" spans="5:7">
      <c r="E1613" s="264"/>
      <c r="G1613" s="264"/>
    </row>
    <row r="1614" spans="5:7">
      <c r="E1614" s="264"/>
      <c r="G1614" s="264"/>
    </row>
    <row r="1615" spans="5:7">
      <c r="E1615" s="264"/>
      <c r="G1615" s="264"/>
    </row>
    <row r="1616" spans="5:7">
      <c r="E1616" s="264"/>
      <c r="G1616" s="264"/>
    </row>
    <row r="1617" spans="5:7">
      <c r="E1617" s="264"/>
      <c r="G1617" s="264"/>
    </row>
    <row r="1618" spans="5:7">
      <c r="E1618" s="264"/>
      <c r="G1618" s="264"/>
    </row>
    <row r="1619" spans="5:7">
      <c r="E1619" s="264"/>
      <c r="G1619" s="264"/>
    </row>
    <row r="1620" spans="5:7">
      <c r="E1620" s="264"/>
      <c r="G1620" s="264"/>
    </row>
    <row r="1621" spans="5:7">
      <c r="E1621" s="264"/>
      <c r="G1621" s="264"/>
    </row>
    <row r="1622" spans="5:7">
      <c r="E1622" s="264"/>
      <c r="G1622" s="264"/>
    </row>
    <row r="1623" spans="5:7">
      <c r="E1623" s="264"/>
      <c r="G1623" s="264"/>
    </row>
    <row r="1624" spans="5:7">
      <c r="E1624" s="264"/>
      <c r="G1624" s="264"/>
    </row>
    <row r="1625" spans="5:7">
      <c r="E1625" s="264"/>
      <c r="G1625" s="264"/>
    </row>
    <row r="1626" spans="5:7">
      <c r="E1626" s="264"/>
      <c r="G1626" s="264"/>
    </row>
    <row r="1627" spans="5:7">
      <c r="E1627" s="264"/>
      <c r="G1627" s="264"/>
    </row>
    <row r="1628" spans="5:7">
      <c r="E1628" s="264"/>
      <c r="G1628" s="264"/>
    </row>
    <row r="1629" spans="5:7">
      <c r="E1629" s="264"/>
      <c r="G1629" s="264"/>
    </row>
    <row r="1630" spans="5:7">
      <c r="E1630" s="264"/>
      <c r="G1630" s="264"/>
    </row>
    <row r="1631" spans="5:7">
      <c r="E1631" s="264"/>
      <c r="G1631" s="264"/>
    </row>
    <row r="1632" spans="5:7">
      <c r="E1632" s="264"/>
      <c r="G1632" s="264"/>
    </row>
    <row r="1633" spans="5:7">
      <c r="E1633" s="264"/>
      <c r="G1633" s="264"/>
    </row>
    <row r="1634" spans="5:7">
      <c r="E1634" s="264"/>
      <c r="G1634" s="264"/>
    </row>
    <row r="1635" spans="5:7">
      <c r="E1635" s="264"/>
      <c r="G1635" s="264"/>
    </row>
    <row r="1636" spans="5:7">
      <c r="E1636" s="264"/>
      <c r="G1636" s="264"/>
    </row>
    <row r="1637" spans="5:7">
      <c r="E1637" s="264"/>
      <c r="G1637" s="264"/>
    </row>
    <row r="1638" spans="5:7">
      <c r="E1638" s="264"/>
      <c r="G1638" s="264"/>
    </row>
    <row r="1639" spans="5:7">
      <c r="E1639" s="264"/>
      <c r="G1639" s="264"/>
    </row>
    <row r="1640" spans="5:7">
      <c r="E1640" s="264"/>
      <c r="G1640" s="264"/>
    </row>
    <row r="1641" spans="5:7">
      <c r="E1641" s="264"/>
      <c r="G1641" s="264"/>
    </row>
    <row r="1642" spans="5:7">
      <c r="E1642" s="264"/>
      <c r="G1642" s="264"/>
    </row>
    <row r="1643" spans="5:7">
      <c r="E1643" s="264"/>
      <c r="G1643" s="264"/>
    </row>
    <row r="1644" spans="5:7">
      <c r="E1644" s="264"/>
      <c r="G1644" s="264"/>
    </row>
    <row r="1645" spans="5:7">
      <c r="E1645" s="264"/>
      <c r="G1645" s="264"/>
    </row>
    <row r="1646" spans="5:7">
      <c r="E1646" s="264"/>
      <c r="G1646" s="264"/>
    </row>
    <row r="1647" spans="5:7">
      <c r="E1647" s="264"/>
      <c r="G1647" s="264"/>
    </row>
    <row r="1648" spans="5:7">
      <c r="E1648" s="264"/>
      <c r="G1648" s="264"/>
    </row>
    <row r="1649" spans="5:7">
      <c r="E1649" s="264"/>
      <c r="G1649" s="264"/>
    </row>
    <row r="1650" spans="5:7">
      <c r="E1650" s="264"/>
      <c r="G1650" s="264"/>
    </row>
    <row r="1651" spans="5:7">
      <c r="E1651" s="264"/>
      <c r="G1651" s="264"/>
    </row>
    <row r="1652" spans="5:7">
      <c r="E1652" s="264"/>
      <c r="G1652" s="264"/>
    </row>
    <row r="1653" spans="5:7">
      <c r="E1653" s="264"/>
      <c r="G1653" s="264"/>
    </row>
    <row r="1654" spans="5:7">
      <c r="E1654" s="264"/>
      <c r="G1654" s="264"/>
    </row>
    <row r="1655" spans="5:7">
      <c r="E1655" s="264"/>
      <c r="G1655" s="264"/>
    </row>
    <row r="1656" spans="5:7">
      <c r="E1656" s="264"/>
      <c r="G1656" s="264"/>
    </row>
    <row r="1657" spans="5:7">
      <c r="E1657" s="264"/>
      <c r="G1657" s="264"/>
    </row>
    <row r="1658" spans="5:7">
      <c r="E1658" s="264"/>
      <c r="G1658" s="264"/>
    </row>
    <row r="1659" spans="5:7">
      <c r="E1659" s="264"/>
      <c r="G1659" s="264"/>
    </row>
    <row r="1660" spans="5:7">
      <c r="E1660" s="264"/>
      <c r="G1660" s="264"/>
    </row>
    <row r="1661" spans="5:7">
      <c r="E1661" s="264"/>
      <c r="G1661" s="264"/>
    </row>
    <row r="1662" spans="5:7">
      <c r="E1662" s="264"/>
      <c r="G1662" s="264"/>
    </row>
    <row r="1663" spans="5:7">
      <c r="E1663" s="264"/>
      <c r="G1663" s="264"/>
    </row>
    <row r="1664" spans="5:7">
      <c r="E1664" s="264"/>
      <c r="G1664" s="264"/>
    </row>
    <row r="1665" spans="5:7">
      <c r="E1665" s="264"/>
      <c r="G1665" s="264"/>
    </row>
    <row r="1666" spans="5:7">
      <c r="E1666" s="264"/>
      <c r="G1666" s="264"/>
    </row>
    <row r="1667" spans="5:7">
      <c r="E1667" s="264"/>
      <c r="G1667" s="264"/>
    </row>
    <row r="1668" spans="5:7">
      <c r="E1668" s="264"/>
      <c r="G1668" s="264"/>
    </row>
    <row r="1669" spans="5:7">
      <c r="E1669" s="264"/>
      <c r="G1669" s="264"/>
    </row>
    <row r="1670" spans="5:7">
      <c r="E1670" s="264"/>
      <c r="G1670" s="264"/>
    </row>
    <row r="1671" spans="5:7">
      <c r="E1671" s="264"/>
      <c r="G1671" s="264"/>
    </row>
    <row r="1672" spans="5:7">
      <c r="E1672" s="264"/>
      <c r="G1672" s="264"/>
    </row>
    <row r="1673" spans="5:7">
      <c r="E1673" s="264"/>
      <c r="G1673" s="264"/>
    </row>
    <row r="1674" spans="5:7">
      <c r="E1674" s="264"/>
      <c r="G1674" s="264"/>
    </row>
    <row r="1675" spans="5:7">
      <c r="E1675" s="264"/>
      <c r="G1675" s="264"/>
    </row>
    <row r="1676" spans="5:7">
      <c r="E1676" s="264"/>
      <c r="G1676" s="264"/>
    </row>
    <row r="1677" spans="5:7">
      <c r="E1677" s="264"/>
      <c r="G1677" s="264"/>
    </row>
    <row r="1678" spans="5:7">
      <c r="E1678" s="264"/>
      <c r="G1678" s="264"/>
    </row>
    <row r="1679" spans="5:7">
      <c r="E1679" s="264"/>
      <c r="G1679" s="264"/>
    </row>
    <row r="1680" spans="5:7">
      <c r="E1680" s="264"/>
      <c r="G1680" s="264"/>
    </row>
    <row r="1681" spans="5:7">
      <c r="E1681" s="264"/>
      <c r="G1681" s="264"/>
    </row>
    <row r="1682" spans="5:7">
      <c r="E1682" s="264"/>
      <c r="G1682" s="264"/>
    </row>
    <row r="1683" spans="5:7">
      <c r="E1683" s="264"/>
      <c r="G1683" s="264"/>
    </row>
    <row r="1684" spans="5:7">
      <c r="E1684" s="264"/>
      <c r="G1684" s="264"/>
    </row>
    <row r="1685" spans="5:7">
      <c r="E1685" s="264"/>
      <c r="G1685" s="264"/>
    </row>
    <row r="1686" spans="5:7">
      <c r="E1686" s="264"/>
      <c r="G1686" s="264"/>
    </row>
    <row r="1687" spans="5:7">
      <c r="E1687" s="264"/>
      <c r="G1687" s="264"/>
    </row>
    <row r="1688" spans="5:7">
      <c r="E1688" s="264"/>
      <c r="G1688" s="264"/>
    </row>
    <row r="1689" spans="5:7">
      <c r="E1689" s="264"/>
      <c r="G1689" s="264"/>
    </row>
    <row r="1690" spans="5:7">
      <c r="E1690" s="264"/>
      <c r="G1690" s="264"/>
    </row>
    <row r="1691" spans="5:7">
      <c r="E1691" s="264"/>
      <c r="G1691" s="264"/>
    </row>
    <row r="1692" spans="5:7">
      <c r="E1692" s="264"/>
      <c r="G1692" s="264"/>
    </row>
    <row r="1693" spans="5:7">
      <c r="E1693" s="264"/>
      <c r="G1693" s="264"/>
    </row>
    <row r="1694" spans="5:7">
      <c r="E1694" s="264"/>
      <c r="G1694" s="264"/>
    </row>
    <row r="1695" spans="5:7">
      <c r="E1695" s="264"/>
      <c r="G1695" s="264"/>
    </row>
    <row r="1696" spans="5:7">
      <c r="E1696" s="264"/>
      <c r="G1696" s="264"/>
    </row>
    <row r="1697" spans="5:7">
      <c r="E1697" s="264"/>
      <c r="G1697" s="264"/>
    </row>
    <row r="1698" spans="5:7">
      <c r="E1698" s="264"/>
      <c r="G1698" s="264"/>
    </row>
    <row r="1699" spans="5:7">
      <c r="E1699" s="264"/>
      <c r="G1699" s="264"/>
    </row>
    <row r="1700" spans="5:7">
      <c r="E1700" s="264"/>
      <c r="G1700" s="264"/>
    </row>
    <row r="1701" spans="5:7">
      <c r="E1701" s="264"/>
      <c r="G1701" s="264"/>
    </row>
    <row r="1702" spans="5:7">
      <c r="E1702" s="264"/>
      <c r="G1702" s="264"/>
    </row>
    <row r="1703" spans="5:7">
      <c r="E1703" s="264"/>
      <c r="G1703" s="264"/>
    </row>
    <row r="1704" spans="5:7">
      <c r="E1704" s="264"/>
      <c r="G1704" s="264"/>
    </row>
    <row r="1705" spans="5:7">
      <c r="E1705" s="264"/>
      <c r="G1705" s="264"/>
    </row>
    <row r="1706" spans="5:7">
      <c r="E1706" s="264"/>
      <c r="G1706" s="264"/>
    </row>
    <row r="1707" spans="5:7">
      <c r="E1707" s="264"/>
      <c r="G1707" s="264"/>
    </row>
    <row r="1708" spans="5:7">
      <c r="E1708" s="264"/>
      <c r="G1708" s="264"/>
    </row>
    <row r="1709" spans="5:7">
      <c r="E1709" s="264"/>
      <c r="G1709" s="264"/>
    </row>
    <row r="1710" spans="5:7">
      <c r="E1710" s="264"/>
      <c r="G1710" s="264"/>
    </row>
    <row r="1711" spans="5:7">
      <c r="E1711" s="264"/>
      <c r="G1711" s="264"/>
    </row>
    <row r="1712" spans="5:7">
      <c r="E1712" s="264"/>
      <c r="G1712" s="264"/>
    </row>
    <row r="1713" spans="5:7">
      <c r="E1713" s="264"/>
      <c r="G1713" s="264"/>
    </row>
    <row r="1714" spans="5:7">
      <c r="E1714" s="264"/>
      <c r="G1714" s="264"/>
    </row>
    <row r="1715" spans="5:7">
      <c r="E1715" s="264"/>
      <c r="G1715" s="264"/>
    </row>
    <row r="1716" spans="5:7">
      <c r="E1716" s="264"/>
      <c r="G1716" s="264"/>
    </row>
    <row r="1717" spans="5:7">
      <c r="E1717" s="264"/>
      <c r="G1717" s="264"/>
    </row>
    <row r="1718" spans="5:7">
      <c r="E1718" s="264"/>
      <c r="G1718" s="264"/>
    </row>
    <row r="1719" spans="5:7">
      <c r="E1719" s="264"/>
      <c r="G1719" s="264"/>
    </row>
    <row r="1720" spans="5:7">
      <c r="E1720" s="264"/>
      <c r="G1720" s="264"/>
    </row>
    <row r="1721" spans="5:7">
      <c r="E1721" s="264"/>
      <c r="G1721" s="264"/>
    </row>
    <row r="1722" spans="5:7">
      <c r="E1722" s="264"/>
      <c r="G1722" s="264"/>
    </row>
    <row r="1723" spans="5:7">
      <c r="E1723" s="264"/>
      <c r="G1723" s="264"/>
    </row>
    <row r="1724" spans="5:7">
      <c r="E1724" s="264"/>
      <c r="G1724" s="264"/>
    </row>
    <row r="1725" spans="5:7">
      <c r="E1725" s="264"/>
      <c r="G1725" s="264"/>
    </row>
    <row r="1726" spans="5:7">
      <c r="E1726" s="264"/>
      <c r="G1726" s="264"/>
    </row>
    <row r="1727" spans="5:7">
      <c r="E1727" s="264"/>
      <c r="G1727" s="264"/>
    </row>
    <row r="1728" spans="5:7">
      <c r="E1728" s="264"/>
      <c r="G1728" s="264"/>
    </row>
    <row r="1729" spans="5:7">
      <c r="E1729" s="264"/>
      <c r="G1729" s="264"/>
    </row>
    <row r="1730" spans="5:7">
      <c r="E1730" s="264"/>
      <c r="G1730" s="264"/>
    </row>
    <row r="1731" spans="5:7">
      <c r="E1731" s="264"/>
      <c r="G1731" s="264"/>
    </row>
    <row r="1732" spans="5:7">
      <c r="E1732" s="264"/>
      <c r="G1732" s="264"/>
    </row>
    <row r="1733" spans="5:7">
      <c r="E1733" s="264"/>
      <c r="G1733" s="264"/>
    </row>
    <row r="1734" spans="5:7">
      <c r="E1734" s="264"/>
      <c r="G1734" s="264"/>
    </row>
    <row r="1735" spans="5:7">
      <c r="E1735" s="264"/>
      <c r="G1735" s="264"/>
    </row>
    <row r="1736" spans="5:7">
      <c r="E1736" s="264"/>
      <c r="G1736" s="264"/>
    </row>
    <row r="1737" spans="5:7">
      <c r="E1737" s="264"/>
      <c r="G1737" s="264"/>
    </row>
    <row r="1738" spans="5:7">
      <c r="E1738" s="264"/>
      <c r="G1738" s="264"/>
    </row>
    <row r="1739" spans="5:7">
      <c r="E1739" s="264"/>
      <c r="G1739" s="264"/>
    </row>
    <row r="1740" spans="5:7">
      <c r="E1740" s="264"/>
      <c r="G1740" s="264"/>
    </row>
    <row r="1741" spans="5:7">
      <c r="E1741" s="264"/>
      <c r="G1741" s="264"/>
    </row>
    <row r="1742" spans="5:7">
      <c r="E1742" s="264"/>
      <c r="G1742" s="264"/>
    </row>
    <row r="1743" spans="5:7">
      <c r="E1743" s="264"/>
      <c r="G1743" s="264"/>
    </row>
    <row r="1744" spans="5:7">
      <c r="E1744" s="264"/>
      <c r="G1744" s="264"/>
    </row>
    <row r="1745" spans="5:7">
      <c r="E1745" s="264"/>
      <c r="G1745" s="264"/>
    </row>
    <row r="1746" spans="5:7">
      <c r="E1746" s="264"/>
      <c r="G1746" s="264"/>
    </row>
    <row r="1747" spans="5:7">
      <c r="E1747" s="264"/>
      <c r="G1747" s="264"/>
    </row>
    <row r="1748" spans="5:7">
      <c r="E1748" s="264"/>
      <c r="G1748" s="264"/>
    </row>
    <row r="1749" spans="5:7">
      <c r="E1749" s="264"/>
      <c r="G1749" s="264"/>
    </row>
    <row r="1750" spans="5:7">
      <c r="E1750" s="264"/>
      <c r="G1750" s="264"/>
    </row>
    <row r="1751" spans="5:7">
      <c r="E1751" s="264"/>
      <c r="G1751" s="264"/>
    </row>
    <row r="1752" spans="5:7">
      <c r="E1752" s="264"/>
      <c r="G1752" s="264"/>
    </row>
    <row r="1753" spans="5:7">
      <c r="E1753" s="264"/>
      <c r="G1753" s="264"/>
    </row>
    <row r="1754" spans="5:7">
      <c r="E1754" s="264"/>
      <c r="G1754" s="264"/>
    </row>
    <row r="1755" spans="5:7">
      <c r="E1755" s="264"/>
      <c r="G1755" s="264"/>
    </row>
    <row r="1756" spans="5:7">
      <c r="E1756" s="264"/>
      <c r="G1756" s="264"/>
    </row>
    <row r="1757" spans="5:7">
      <c r="E1757" s="264"/>
      <c r="G1757" s="264"/>
    </row>
    <row r="1758" spans="5:7">
      <c r="E1758" s="264"/>
      <c r="G1758" s="264"/>
    </row>
    <row r="1759" spans="5:7">
      <c r="E1759" s="264"/>
      <c r="G1759" s="264"/>
    </row>
    <row r="1760" spans="5:7">
      <c r="E1760" s="264"/>
      <c r="G1760" s="264"/>
    </row>
    <row r="1761" spans="5:7">
      <c r="E1761" s="264"/>
      <c r="G1761" s="264"/>
    </row>
    <row r="1762" spans="5:7">
      <c r="E1762" s="264"/>
      <c r="G1762" s="264"/>
    </row>
    <row r="1763" spans="5:7">
      <c r="E1763" s="264"/>
      <c r="G1763" s="264"/>
    </row>
    <row r="1764" spans="5:7">
      <c r="E1764" s="264"/>
      <c r="G1764" s="264"/>
    </row>
    <row r="1765" spans="5:7">
      <c r="E1765" s="264"/>
      <c r="G1765" s="264"/>
    </row>
    <row r="1766" spans="5:7">
      <c r="E1766" s="264"/>
      <c r="G1766" s="264"/>
    </row>
    <row r="1767" spans="5:7">
      <c r="E1767" s="264"/>
      <c r="G1767" s="264"/>
    </row>
    <row r="1768" spans="5:7">
      <c r="E1768" s="264"/>
      <c r="G1768" s="264"/>
    </row>
    <row r="1769" spans="5:7">
      <c r="E1769" s="264"/>
      <c r="G1769" s="264"/>
    </row>
    <row r="1770" spans="5:7">
      <c r="E1770" s="264"/>
      <c r="G1770" s="264"/>
    </row>
    <row r="1771" spans="5:7">
      <c r="E1771" s="264"/>
      <c r="G1771" s="264"/>
    </row>
    <row r="1772" spans="5:7">
      <c r="E1772" s="264"/>
      <c r="G1772" s="264"/>
    </row>
    <row r="1773" spans="5:7">
      <c r="E1773" s="264"/>
      <c r="G1773" s="264"/>
    </row>
    <row r="1774" spans="5:7">
      <c r="E1774" s="264"/>
      <c r="G1774" s="264"/>
    </row>
    <row r="1775" spans="5:7">
      <c r="E1775" s="264"/>
      <c r="G1775" s="264"/>
    </row>
    <row r="1776" spans="5:7">
      <c r="E1776" s="264"/>
      <c r="G1776" s="264"/>
    </row>
    <row r="1777" spans="5:7">
      <c r="E1777" s="264"/>
      <c r="G1777" s="264"/>
    </row>
    <row r="1778" spans="5:7">
      <c r="E1778" s="264"/>
      <c r="G1778" s="264"/>
    </row>
    <row r="1779" spans="5:7">
      <c r="E1779" s="264"/>
      <c r="G1779" s="264"/>
    </row>
    <row r="1780" spans="5:7">
      <c r="E1780" s="264"/>
      <c r="G1780" s="264"/>
    </row>
    <row r="1781" spans="5:7">
      <c r="E1781" s="264"/>
      <c r="G1781" s="264"/>
    </row>
    <row r="1782" spans="5:7">
      <c r="E1782" s="264"/>
      <c r="G1782" s="264"/>
    </row>
    <row r="1783" spans="5:7">
      <c r="E1783" s="264"/>
      <c r="G1783" s="264"/>
    </row>
    <row r="1784" spans="5:7">
      <c r="E1784" s="264"/>
      <c r="G1784" s="264"/>
    </row>
    <row r="1785" spans="5:7">
      <c r="E1785" s="264"/>
      <c r="G1785" s="264"/>
    </row>
    <row r="1786" spans="5:7">
      <c r="E1786" s="264"/>
      <c r="G1786" s="264"/>
    </row>
    <row r="1787" spans="5:7">
      <c r="E1787" s="264"/>
      <c r="G1787" s="264"/>
    </row>
    <row r="1788" spans="5:7">
      <c r="E1788" s="264"/>
      <c r="G1788" s="264"/>
    </row>
    <row r="1789" spans="5:7">
      <c r="E1789" s="264"/>
      <c r="G1789" s="264"/>
    </row>
    <row r="1790" spans="5:7">
      <c r="E1790" s="264"/>
      <c r="G1790" s="264"/>
    </row>
    <row r="1791" spans="5:7">
      <c r="E1791" s="264"/>
      <c r="G1791" s="264"/>
    </row>
    <row r="1792" spans="5:7">
      <c r="E1792" s="264"/>
      <c r="G1792" s="264"/>
    </row>
    <row r="1793" spans="5:7">
      <c r="E1793" s="264"/>
      <c r="G1793" s="264"/>
    </row>
    <row r="1794" spans="5:7">
      <c r="E1794" s="264"/>
      <c r="G1794" s="264"/>
    </row>
    <row r="1795" spans="5:7">
      <c r="E1795" s="264"/>
      <c r="G1795" s="264"/>
    </row>
    <row r="1796" spans="5:7">
      <c r="E1796" s="264"/>
      <c r="G1796" s="264"/>
    </row>
    <row r="1797" spans="5:7">
      <c r="E1797" s="264"/>
      <c r="G1797" s="264"/>
    </row>
    <row r="1798" spans="5:7">
      <c r="E1798" s="264"/>
      <c r="G1798" s="264"/>
    </row>
    <row r="1799" spans="5:7">
      <c r="E1799" s="264"/>
      <c r="G1799" s="264"/>
    </row>
    <row r="1800" spans="5:7">
      <c r="E1800" s="264"/>
      <c r="G1800" s="264"/>
    </row>
    <row r="1801" spans="5:7">
      <c r="E1801" s="264"/>
      <c r="G1801" s="264"/>
    </row>
    <row r="1802" spans="5:7">
      <c r="E1802" s="264"/>
      <c r="G1802" s="264"/>
    </row>
    <row r="1803" spans="5:7">
      <c r="E1803" s="264"/>
      <c r="G1803" s="264"/>
    </row>
    <row r="1804" spans="5:7">
      <c r="E1804" s="264"/>
      <c r="G1804" s="264"/>
    </row>
    <row r="1805" spans="5:7">
      <c r="E1805" s="264"/>
      <c r="G1805" s="264"/>
    </row>
    <row r="1806" spans="5:7">
      <c r="E1806" s="264"/>
      <c r="G1806" s="264"/>
    </row>
    <row r="1807" spans="5:7">
      <c r="E1807" s="264"/>
      <c r="G1807" s="264"/>
    </row>
    <row r="1808" spans="5:7">
      <c r="E1808" s="264"/>
      <c r="G1808" s="264"/>
    </row>
    <row r="1809" spans="5:7">
      <c r="E1809" s="264"/>
      <c r="G1809" s="264"/>
    </row>
    <row r="1810" spans="5:7">
      <c r="E1810" s="264"/>
      <c r="G1810" s="264"/>
    </row>
    <row r="1811" spans="5:7">
      <c r="E1811" s="264"/>
      <c r="G1811" s="264"/>
    </row>
    <row r="1812" spans="5:7">
      <c r="E1812" s="264"/>
      <c r="G1812" s="264"/>
    </row>
    <row r="1813" spans="5:7">
      <c r="E1813" s="264"/>
      <c r="G1813" s="264"/>
    </row>
    <row r="1814" spans="5:7">
      <c r="E1814" s="264"/>
      <c r="G1814" s="264"/>
    </row>
    <row r="1815" spans="5:7">
      <c r="E1815" s="264"/>
      <c r="G1815" s="264"/>
    </row>
    <row r="1816" spans="5:7">
      <c r="E1816" s="264"/>
      <c r="G1816" s="264"/>
    </row>
    <row r="1817" spans="5:7">
      <c r="E1817" s="264"/>
      <c r="G1817" s="264"/>
    </row>
    <row r="1818" spans="5:7">
      <c r="E1818" s="264"/>
      <c r="G1818" s="264"/>
    </row>
    <row r="1819" spans="5:7">
      <c r="E1819" s="264"/>
      <c r="G1819" s="264"/>
    </row>
    <row r="1820" spans="5:7">
      <c r="E1820" s="264"/>
      <c r="G1820" s="264"/>
    </row>
    <row r="1821" spans="5:7">
      <c r="E1821" s="264"/>
      <c r="G1821" s="264"/>
    </row>
    <row r="1822" spans="5:7">
      <c r="E1822" s="264"/>
      <c r="G1822" s="264"/>
    </row>
    <row r="1823" spans="5:7">
      <c r="E1823" s="264"/>
      <c r="G1823" s="264"/>
    </row>
    <row r="1824" spans="5:7">
      <c r="E1824" s="264"/>
      <c r="G1824" s="264"/>
    </row>
    <row r="1825" spans="5:7">
      <c r="E1825" s="264"/>
      <c r="G1825" s="264"/>
    </row>
    <row r="1826" spans="5:7">
      <c r="E1826" s="264"/>
      <c r="G1826" s="264"/>
    </row>
    <row r="1827" spans="5:7">
      <c r="E1827" s="264"/>
      <c r="G1827" s="264"/>
    </row>
    <row r="1828" spans="5:7">
      <c r="E1828" s="264"/>
      <c r="G1828" s="264"/>
    </row>
    <row r="1829" spans="5:7">
      <c r="E1829" s="264"/>
      <c r="G1829" s="264"/>
    </row>
    <row r="1830" spans="5:7">
      <c r="E1830" s="264"/>
      <c r="G1830" s="264"/>
    </row>
    <row r="1831" spans="5:7">
      <c r="E1831" s="264"/>
      <c r="G1831" s="264"/>
    </row>
    <row r="1832" spans="5:7">
      <c r="E1832" s="264"/>
      <c r="G1832" s="264"/>
    </row>
    <row r="1833" spans="5:7">
      <c r="E1833" s="264"/>
      <c r="G1833" s="264"/>
    </row>
    <row r="1834" spans="5:7">
      <c r="E1834" s="264"/>
      <c r="G1834" s="264"/>
    </row>
    <row r="1835" spans="5:7">
      <c r="E1835" s="264"/>
      <c r="G1835" s="264"/>
    </row>
    <row r="1836" spans="5:7">
      <c r="E1836" s="264"/>
      <c r="G1836" s="264"/>
    </row>
    <row r="1837" spans="5:7">
      <c r="E1837" s="264"/>
      <c r="G1837" s="264"/>
    </row>
    <row r="1838" spans="5:7">
      <c r="E1838" s="264"/>
      <c r="G1838" s="264"/>
    </row>
    <row r="1839" spans="5:7">
      <c r="E1839" s="264"/>
      <c r="G1839" s="264"/>
    </row>
    <row r="1840" spans="5:7">
      <c r="E1840" s="264"/>
      <c r="G1840" s="264"/>
    </row>
    <row r="1841" spans="5:7">
      <c r="E1841" s="264"/>
      <c r="G1841" s="264"/>
    </row>
    <row r="1842" spans="5:7">
      <c r="E1842" s="264"/>
      <c r="G1842" s="264"/>
    </row>
    <row r="1843" spans="5:7">
      <c r="E1843" s="264"/>
      <c r="G1843" s="264"/>
    </row>
    <row r="1844" spans="5:7">
      <c r="E1844" s="264"/>
      <c r="G1844" s="264"/>
    </row>
    <row r="1845" spans="5:7">
      <c r="E1845" s="264"/>
      <c r="G1845" s="264"/>
    </row>
    <row r="1846" spans="5:7">
      <c r="E1846" s="264"/>
      <c r="G1846" s="264"/>
    </row>
    <row r="1847" spans="5:7">
      <c r="E1847" s="264"/>
      <c r="G1847" s="264"/>
    </row>
    <row r="1848" spans="5:7">
      <c r="E1848" s="264"/>
      <c r="G1848" s="264"/>
    </row>
    <row r="1849" spans="5:7">
      <c r="E1849" s="264"/>
      <c r="G1849" s="264"/>
    </row>
    <row r="1850" spans="5:7">
      <c r="E1850" s="264"/>
      <c r="G1850" s="264"/>
    </row>
    <row r="1851" spans="5:7">
      <c r="E1851" s="264"/>
      <c r="G1851" s="264"/>
    </row>
    <row r="1852" spans="5:7">
      <c r="E1852" s="264"/>
      <c r="G1852" s="264"/>
    </row>
    <row r="1853" spans="5:7">
      <c r="E1853" s="264"/>
      <c r="G1853" s="264"/>
    </row>
    <row r="1854" spans="5:7">
      <c r="E1854" s="264"/>
      <c r="G1854" s="264"/>
    </row>
    <row r="1855" spans="5:7">
      <c r="E1855" s="264"/>
      <c r="G1855" s="264"/>
    </row>
    <row r="1856" spans="5:7">
      <c r="E1856" s="264"/>
      <c r="G1856" s="264"/>
    </row>
    <row r="1857" spans="5:7">
      <c r="E1857" s="264"/>
      <c r="G1857" s="264"/>
    </row>
    <row r="1858" spans="5:7">
      <c r="E1858" s="264"/>
      <c r="G1858" s="264"/>
    </row>
    <row r="1859" spans="5:7">
      <c r="E1859" s="264"/>
      <c r="G1859" s="264"/>
    </row>
    <row r="1860" spans="5:7">
      <c r="E1860" s="264"/>
      <c r="G1860" s="264"/>
    </row>
    <row r="1861" spans="5:7">
      <c r="E1861" s="264"/>
      <c r="G1861" s="264"/>
    </row>
    <row r="1862" spans="5:7">
      <c r="E1862" s="264"/>
      <c r="G1862" s="264"/>
    </row>
    <row r="1863" spans="5:7">
      <c r="E1863" s="264"/>
      <c r="G1863" s="264"/>
    </row>
    <row r="1864" spans="5:7">
      <c r="E1864" s="264"/>
      <c r="G1864" s="264"/>
    </row>
    <row r="1865" spans="5:7">
      <c r="E1865" s="264"/>
      <c r="G1865" s="264"/>
    </row>
    <row r="1866" spans="5:7">
      <c r="E1866" s="264"/>
      <c r="G1866" s="264"/>
    </row>
    <row r="1867" spans="5:7">
      <c r="E1867" s="264"/>
      <c r="G1867" s="264"/>
    </row>
    <row r="1868" spans="5:7">
      <c r="E1868" s="264"/>
      <c r="G1868" s="264"/>
    </row>
    <row r="1869" spans="5:7">
      <c r="E1869" s="264"/>
      <c r="G1869" s="264"/>
    </row>
    <row r="1870" spans="5:7">
      <c r="E1870" s="264"/>
      <c r="G1870" s="264"/>
    </row>
    <row r="1871" spans="5:7">
      <c r="E1871" s="264"/>
      <c r="G1871" s="264"/>
    </row>
    <row r="1872" spans="5:7">
      <c r="E1872" s="264"/>
      <c r="G1872" s="264"/>
    </row>
    <row r="1873" spans="5:7">
      <c r="E1873" s="264"/>
      <c r="G1873" s="264"/>
    </row>
    <row r="1874" spans="5:7">
      <c r="E1874" s="264"/>
      <c r="G1874" s="264"/>
    </row>
    <row r="1875" spans="5:7">
      <c r="E1875" s="264"/>
      <c r="G1875" s="264"/>
    </row>
    <row r="1876" spans="5:7">
      <c r="E1876" s="264"/>
      <c r="G1876" s="264"/>
    </row>
    <row r="1877" spans="5:7">
      <c r="E1877" s="264"/>
      <c r="G1877" s="264"/>
    </row>
    <row r="1878" spans="5:7">
      <c r="E1878" s="264"/>
      <c r="G1878" s="264"/>
    </row>
    <row r="1879" spans="5:7">
      <c r="E1879" s="264"/>
      <c r="G1879" s="264"/>
    </row>
    <row r="1880" spans="5:7">
      <c r="E1880" s="264"/>
      <c r="G1880" s="264"/>
    </row>
    <row r="1881" spans="5:7">
      <c r="E1881" s="264"/>
      <c r="G1881" s="264"/>
    </row>
    <row r="1882" spans="5:7">
      <c r="E1882" s="264"/>
      <c r="G1882" s="264"/>
    </row>
    <row r="1883" spans="5:7">
      <c r="E1883" s="264"/>
      <c r="G1883" s="264"/>
    </row>
    <row r="1884" spans="5:7">
      <c r="E1884" s="264"/>
      <c r="G1884" s="264"/>
    </row>
    <row r="1885" spans="5:7">
      <c r="E1885" s="264"/>
      <c r="G1885" s="264"/>
    </row>
    <row r="1886" spans="5:7">
      <c r="E1886" s="264"/>
      <c r="G1886" s="264"/>
    </row>
    <row r="1887" spans="5:7">
      <c r="E1887" s="264"/>
      <c r="G1887" s="264"/>
    </row>
    <row r="1888" spans="5:7">
      <c r="E1888" s="264"/>
      <c r="G1888" s="264"/>
    </row>
    <row r="1889" spans="5:7">
      <c r="E1889" s="264"/>
      <c r="G1889" s="264"/>
    </row>
    <row r="1890" spans="5:7">
      <c r="E1890" s="264"/>
      <c r="G1890" s="264"/>
    </row>
    <row r="1891" spans="5:7">
      <c r="E1891" s="264"/>
      <c r="G1891" s="264"/>
    </row>
    <row r="1892" spans="5:7">
      <c r="E1892" s="264"/>
      <c r="G1892" s="264"/>
    </row>
    <row r="1893" spans="5:7">
      <c r="E1893" s="264"/>
      <c r="G1893" s="264"/>
    </row>
    <row r="1894" spans="5:7">
      <c r="E1894" s="264"/>
      <c r="G1894" s="264"/>
    </row>
    <row r="1895" spans="5:7">
      <c r="E1895" s="264"/>
      <c r="G1895" s="264"/>
    </row>
    <row r="1896" spans="5:7">
      <c r="E1896" s="264"/>
      <c r="G1896" s="264"/>
    </row>
    <row r="1897" spans="5:7">
      <c r="E1897" s="264"/>
      <c r="G1897" s="264"/>
    </row>
    <row r="1898" spans="5:7">
      <c r="E1898" s="264"/>
      <c r="G1898" s="264"/>
    </row>
    <row r="1899" spans="5:7">
      <c r="E1899" s="264"/>
      <c r="G1899" s="264"/>
    </row>
    <row r="1900" spans="5:7">
      <c r="E1900" s="264"/>
      <c r="G1900" s="264"/>
    </row>
    <row r="1901" spans="5:7">
      <c r="E1901" s="264"/>
      <c r="G1901" s="264"/>
    </row>
    <row r="1902" spans="5:7">
      <c r="E1902" s="264"/>
      <c r="G1902" s="264"/>
    </row>
    <row r="1903" spans="5:7">
      <c r="E1903" s="264"/>
      <c r="G1903" s="264"/>
    </row>
    <row r="1904" spans="5:7">
      <c r="E1904" s="264"/>
      <c r="G1904" s="264"/>
    </row>
    <row r="1905" spans="5:7">
      <c r="E1905" s="264"/>
      <c r="G1905" s="264"/>
    </row>
    <row r="1906" spans="5:7">
      <c r="E1906" s="264"/>
      <c r="G1906" s="264"/>
    </row>
    <row r="1907" spans="5:7">
      <c r="E1907" s="264"/>
      <c r="G1907" s="264"/>
    </row>
    <row r="1908" spans="5:7">
      <c r="E1908" s="264"/>
      <c r="G1908" s="264"/>
    </row>
    <row r="1909" spans="5:7">
      <c r="E1909" s="264"/>
      <c r="G1909" s="264"/>
    </row>
    <row r="1910" spans="5:7">
      <c r="E1910" s="264"/>
      <c r="G1910" s="264"/>
    </row>
    <row r="1911" spans="5:7">
      <c r="E1911" s="264"/>
      <c r="G1911" s="264"/>
    </row>
    <row r="1912" spans="5:7">
      <c r="E1912" s="264"/>
      <c r="G1912" s="264"/>
    </row>
    <row r="1913" spans="5:7">
      <c r="E1913" s="264"/>
      <c r="G1913" s="264"/>
    </row>
    <row r="1914" spans="5:7">
      <c r="E1914" s="264"/>
      <c r="G1914" s="264"/>
    </row>
    <row r="1915" spans="5:7">
      <c r="E1915" s="264"/>
      <c r="G1915" s="264"/>
    </row>
    <row r="1916" spans="5:7">
      <c r="E1916" s="264"/>
      <c r="G1916" s="264"/>
    </row>
    <row r="1917" spans="5:7">
      <c r="E1917" s="264"/>
      <c r="G1917" s="264"/>
    </row>
    <row r="1918" spans="5:7">
      <c r="E1918" s="264"/>
      <c r="G1918" s="264"/>
    </row>
    <row r="1919" spans="5:7">
      <c r="E1919" s="264"/>
      <c r="G1919" s="264"/>
    </row>
    <row r="1920" spans="5:7">
      <c r="E1920" s="264"/>
      <c r="G1920" s="264"/>
    </row>
    <row r="1921" spans="5:7">
      <c r="E1921" s="264"/>
      <c r="G1921" s="264"/>
    </row>
    <row r="1922" spans="5:7">
      <c r="E1922" s="264"/>
      <c r="G1922" s="264"/>
    </row>
    <row r="1923" spans="5:7">
      <c r="E1923" s="264"/>
      <c r="G1923" s="264"/>
    </row>
    <row r="1924" spans="5:7">
      <c r="E1924" s="264"/>
      <c r="G1924" s="264"/>
    </row>
    <row r="1925" spans="5:7">
      <c r="E1925" s="264"/>
      <c r="G1925" s="264"/>
    </row>
    <row r="1926" spans="5:7">
      <c r="E1926" s="264"/>
      <c r="G1926" s="264"/>
    </row>
    <row r="1927" spans="5:7">
      <c r="E1927" s="264"/>
      <c r="G1927" s="264"/>
    </row>
    <row r="1928" spans="5:7">
      <c r="E1928" s="264"/>
      <c r="G1928" s="264"/>
    </row>
    <row r="1929" spans="5:7">
      <c r="E1929" s="264"/>
      <c r="G1929" s="264"/>
    </row>
    <row r="1930" spans="5:7">
      <c r="E1930" s="264"/>
      <c r="G1930" s="264"/>
    </row>
    <row r="1931" spans="5:7">
      <c r="E1931" s="264"/>
      <c r="G1931" s="264"/>
    </row>
    <row r="1932" spans="5:7">
      <c r="E1932" s="264"/>
      <c r="G1932" s="264"/>
    </row>
    <row r="1933" spans="5:7">
      <c r="E1933" s="264"/>
      <c r="G1933" s="264"/>
    </row>
    <row r="1934" spans="5:7">
      <c r="E1934" s="264"/>
      <c r="G1934" s="264"/>
    </row>
    <row r="1935" spans="5:7">
      <c r="E1935" s="264"/>
      <c r="G1935" s="264"/>
    </row>
    <row r="1936" spans="5:7">
      <c r="E1936" s="264"/>
      <c r="G1936" s="264"/>
    </row>
    <row r="1937" spans="5:7">
      <c r="E1937" s="264"/>
      <c r="G1937" s="264"/>
    </row>
    <row r="1938" spans="5:7">
      <c r="E1938" s="264"/>
      <c r="G1938" s="264"/>
    </row>
    <row r="1939" spans="5:7">
      <c r="E1939" s="264"/>
      <c r="G1939" s="264"/>
    </row>
    <row r="1940" spans="5:7">
      <c r="E1940" s="264"/>
      <c r="G1940" s="264"/>
    </row>
    <row r="1941" spans="5:7">
      <c r="E1941" s="264"/>
      <c r="G1941" s="264"/>
    </row>
    <row r="1942" spans="5:7">
      <c r="E1942" s="264"/>
      <c r="G1942" s="264"/>
    </row>
    <row r="1943" spans="5:7">
      <c r="E1943" s="264"/>
      <c r="G1943" s="264"/>
    </row>
    <row r="1944" spans="5:7">
      <c r="E1944" s="264"/>
      <c r="G1944" s="264"/>
    </row>
    <row r="1945" spans="5:7">
      <c r="E1945" s="264"/>
      <c r="G1945" s="264"/>
    </row>
    <row r="1946" spans="5:7">
      <c r="E1946" s="264"/>
      <c r="G1946" s="264"/>
    </row>
    <row r="1947" spans="5:7">
      <c r="E1947" s="264"/>
      <c r="G1947" s="264"/>
    </row>
    <row r="1948" spans="5:7">
      <c r="E1948" s="264"/>
      <c r="G1948" s="264"/>
    </row>
    <row r="1949" spans="5:7">
      <c r="E1949" s="264"/>
      <c r="G1949" s="264"/>
    </row>
    <row r="1950" spans="5:7">
      <c r="E1950" s="264"/>
      <c r="G1950" s="264"/>
    </row>
    <row r="1951" spans="5:7">
      <c r="E1951" s="264"/>
      <c r="G1951" s="264"/>
    </row>
    <row r="1952" spans="5:7">
      <c r="E1952" s="264"/>
      <c r="G1952" s="264"/>
    </row>
    <row r="1953" spans="5:7">
      <c r="E1953" s="264"/>
      <c r="G1953" s="264"/>
    </row>
    <row r="1954" spans="5:7">
      <c r="E1954" s="264"/>
      <c r="G1954" s="264"/>
    </row>
    <row r="1955" spans="5:7">
      <c r="E1955" s="264"/>
      <c r="G1955" s="264"/>
    </row>
    <row r="1956" spans="5:7">
      <c r="E1956" s="264"/>
      <c r="G1956" s="264"/>
    </row>
    <row r="1957" spans="5:7">
      <c r="E1957" s="264"/>
      <c r="G1957" s="264"/>
    </row>
    <row r="1958" spans="5:7">
      <c r="E1958" s="264"/>
      <c r="G1958" s="264"/>
    </row>
    <row r="1959" spans="5:7">
      <c r="E1959" s="264"/>
      <c r="G1959" s="264"/>
    </row>
    <row r="1960" spans="5:7">
      <c r="E1960" s="264"/>
      <c r="G1960" s="264"/>
    </row>
    <row r="1961" spans="5:7">
      <c r="E1961" s="264"/>
      <c r="G1961" s="264"/>
    </row>
    <row r="1962" spans="5:7">
      <c r="E1962" s="264"/>
      <c r="G1962" s="264"/>
    </row>
    <row r="1963" spans="5:7">
      <c r="E1963" s="264"/>
      <c r="G1963" s="264"/>
    </row>
    <row r="1964" spans="5:7">
      <c r="E1964" s="264"/>
      <c r="G1964" s="264"/>
    </row>
    <row r="1965" spans="5:7">
      <c r="E1965" s="264"/>
      <c r="G1965" s="264"/>
    </row>
    <row r="1966" spans="5:7">
      <c r="E1966" s="264"/>
      <c r="G1966" s="264"/>
    </row>
    <row r="1967" spans="5:7">
      <c r="E1967" s="264"/>
      <c r="G1967" s="264"/>
    </row>
    <row r="1968" spans="5:7">
      <c r="E1968" s="264"/>
      <c r="G1968" s="264"/>
    </row>
    <row r="1969" spans="5:7">
      <c r="E1969" s="264"/>
      <c r="G1969" s="264"/>
    </row>
    <row r="1970" spans="5:7">
      <c r="E1970" s="264"/>
      <c r="G1970" s="264"/>
    </row>
    <row r="1971" spans="5:7">
      <c r="E1971" s="264"/>
      <c r="G1971" s="264"/>
    </row>
    <row r="1972" spans="5:7">
      <c r="E1972" s="264"/>
      <c r="G1972" s="264"/>
    </row>
    <row r="1973" spans="5:7">
      <c r="E1973" s="264"/>
      <c r="G1973" s="264"/>
    </row>
    <row r="1974" spans="5:7">
      <c r="E1974" s="264"/>
      <c r="G1974" s="264"/>
    </row>
    <row r="1975" spans="5:7">
      <c r="E1975" s="264"/>
      <c r="G1975" s="264"/>
    </row>
    <row r="1976" spans="5:7">
      <c r="E1976" s="264"/>
      <c r="G1976" s="264"/>
    </row>
    <row r="1977" spans="5:7">
      <c r="E1977" s="264"/>
      <c r="G1977" s="264"/>
    </row>
    <row r="1978" spans="5:7">
      <c r="E1978" s="264"/>
      <c r="G1978" s="264"/>
    </row>
    <row r="1979" spans="5:7">
      <c r="E1979" s="264"/>
      <c r="G1979" s="264"/>
    </row>
    <row r="1980" spans="5:7">
      <c r="E1980" s="264"/>
      <c r="G1980" s="264"/>
    </row>
    <row r="1981" spans="5:7">
      <c r="E1981" s="264"/>
      <c r="G1981" s="264"/>
    </row>
    <row r="1982" spans="5:7">
      <c r="E1982" s="264"/>
      <c r="G1982" s="264"/>
    </row>
    <row r="1983" spans="5:7">
      <c r="E1983" s="264"/>
      <c r="G1983" s="264"/>
    </row>
    <row r="1984" spans="5:7">
      <c r="E1984" s="264"/>
      <c r="G1984" s="264"/>
    </row>
    <row r="1985" spans="5:7">
      <c r="E1985" s="264"/>
      <c r="G1985" s="264"/>
    </row>
    <row r="1986" spans="5:7">
      <c r="E1986" s="264"/>
      <c r="G1986" s="264"/>
    </row>
    <row r="1987" spans="5:7">
      <c r="E1987" s="264"/>
      <c r="G1987" s="264"/>
    </row>
    <row r="1988" spans="5:7">
      <c r="E1988" s="264"/>
      <c r="G1988" s="264"/>
    </row>
    <row r="1989" spans="5:7">
      <c r="E1989" s="264"/>
      <c r="G1989" s="264"/>
    </row>
    <row r="1990" spans="5:7">
      <c r="E1990" s="264"/>
      <c r="G1990" s="264"/>
    </row>
    <row r="1991" spans="5:7">
      <c r="E1991" s="264"/>
      <c r="G1991" s="264"/>
    </row>
    <row r="1992" spans="5:7">
      <c r="E1992" s="264"/>
      <c r="G1992" s="264"/>
    </row>
    <row r="1993" spans="5:7">
      <c r="E1993" s="264"/>
      <c r="G1993" s="264"/>
    </row>
    <row r="1994" spans="5:7">
      <c r="E1994" s="264"/>
      <c r="G1994" s="264"/>
    </row>
    <row r="1995" spans="5:7">
      <c r="E1995" s="264"/>
      <c r="G1995" s="264"/>
    </row>
    <row r="1996" spans="5:7">
      <c r="E1996" s="264"/>
      <c r="G1996" s="264"/>
    </row>
    <row r="1997" spans="5:7">
      <c r="E1997" s="264"/>
      <c r="G1997" s="264"/>
    </row>
    <row r="1998" spans="5:7">
      <c r="E1998" s="264"/>
      <c r="G1998" s="264"/>
    </row>
    <row r="1999" spans="5:7">
      <c r="E1999" s="264"/>
      <c r="G1999" s="264"/>
    </row>
    <row r="2000" spans="5:7">
      <c r="E2000" s="264"/>
      <c r="G2000" s="264"/>
    </row>
    <row r="2001" spans="5:7">
      <c r="E2001" s="264"/>
      <c r="G2001" s="264"/>
    </row>
    <row r="2002" spans="5:7">
      <c r="E2002" s="264"/>
      <c r="G2002" s="264"/>
    </row>
    <row r="2003" spans="5:7">
      <c r="E2003" s="264"/>
      <c r="G2003" s="264"/>
    </row>
    <row r="2004" spans="5:7">
      <c r="E2004" s="264"/>
      <c r="G2004" s="264"/>
    </row>
    <row r="2005" spans="5:7">
      <c r="E2005" s="264"/>
      <c r="G2005" s="264"/>
    </row>
    <row r="2006" spans="5:7">
      <c r="E2006" s="264"/>
      <c r="G2006" s="264"/>
    </row>
    <row r="2007" spans="5:7">
      <c r="E2007" s="264"/>
      <c r="G2007" s="264"/>
    </row>
    <row r="2008" spans="5:7">
      <c r="E2008" s="264"/>
      <c r="G2008" s="264"/>
    </row>
    <row r="2009" spans="5:7">
      <c r="E2009" s="264"/>
      <c r="G2009" s="264"/>
    </row>
    <row r="2010" spans="5:7">
      <c r="E2010" s="264"/>
      <c r="G2010" s="264"/>
    </row>
    <row r="2011" spans="5:7">
      <c r="E2011" s="264"/>
      <c r="G2011" s="264"/>
    </row>
    <row r="2012" spans="5:7">
      <c r="E2012" s="264"/>
      <c r="G2012" s="264"/>
    </row>
    <row r="2013" spans="5:7">
      <c r="E2013" s="264"/>
      <c r="G2013" s="264"/>
    </row>
    <row r="2014" spans="5:7">
      <c r="E2014" s="264"/>
      <c r="G2014" s="264"/>
    </row>
    <row r="2015" spans="5:7">
      <c r="E2015" s="264"/>
      <c r="G2015" s="264"/>
    </row>
    <row r="2016" spans="5:7">
      <c r="E2016" s="264"/>
      <c r="G2016" s="264"/>
    </row>
    <row r="2017" spans="5:7">
      <c r="E2017" s="264"/>
      <c r="G2017" s="264"/>
    </row>
    <row r="2018" spans="5:7">
      <c r="E2018" s="264"/>
      <c r="G2018" s="264"/>
    </row>
    <row r="2019" spans="5:7">
      <c r="E2019" s="264"/>
      <c r="G2019" s="264"/>
    </row>
    <row r="2020" spans="5:7">
      <c r="E2020" s="264"/>
      <c r="G2020" s="264"/>
    </row>
    <row r="2021" spans="5:7">
      <c r="E2021" s="264"/>
      <c r="G2021" s="264"/>
    </row>
    <row r="2022" spans="5:7">
      <c r="E2022" s="264"/>
      <c r="G2022" s="264"/>
    </row>
    <row r="2023" spans="5:7">
      <c r="E2023" s="264"/>
      <c r="G2023" s="264"/>
    </row>
    <row r="2024" spans="5:7">
      <c r="E2024" s="264"/>
      <c r="G2024" s="264"/>
    </row>
    <row r="2025" spans="5:7">
      <c r="E2025" s="264"/>
      <c r="G2025" s="264"/>
    </row>
    <row r="2026" spans="5:7">
      <c r="E2026" s="264"/>
      <c r="G2026" s="264"/>
    </row>
    <row r="2027" spans="5:7">
      <c r="E2027" s="264"/>
      <c r="G2027" s="264"/>
    </row>
    <row r="2028" spans="5:7">
      <c r="E2028" s="264"/>
      <c r="G2028" s="264"/>
    </row>
    <row r="2029" spans="5:7">
      <c r="E2029" s="264"/>
      <c r="G2029" s="264"/>
    </row>
    <row r="2030" spans="5:7">
      <c r="E2030" s="264"/>
      <c r="G2030" s="264"/>
    </row>
    <row r="2031" spans="5:7">
      <c r="E2031" s="264"/>
      <c r="G2031" s="264"/>
    </row>
    <row r="2032" spans="5:7">
      <c r="E2032" s="264"/>
      <c r="G2032" s="264"/>
    </row>
    <row r="2033" spans="5:7">
      <c r="E2033" s="264"/>
      <c r="G2033" s="264"/>
    </row>
    <row r="2034" spans="5:7">
      <c r="E2034" s="264"/>
      <c r="G2034" s="264"/>
    </row>
    <row r="2035" spans="5:7">
      <c r="E2035" s="264"/>
      <c r="G2035" s="264"/>
    </row>
    <row r="2036" spans="5:7">
      <c r="E2036" s="264"/>
      <c r="G2036" s="264"/>
    </row>
    <row r="2037" spans="5:7">
      <c r="E2037" s="264"/>
      <c r="G2037" s="264"/>
    </row>
    <row r="2038" spans="5:7">
      <c r="E2038" s="264"/>
      <c r="G2038" s="264"/>
    </row>
    <row r="2039" spans="5:7">
      <c r="E2039" s="264"/>
      <c r="G2039" s="264"/>
    </row>
    <row r="2040" spans="5:7">
      <c r="E2040" s="264"/>
      <c r="G2040" s="264"/>
    </row>
    <row r="2041" spans="5:7">
      <c r="E2041" s="264"/>
      <c r="G2041" s="264"/>
    </row>
    <row r="2042" spans="5:7">
      <c r="E2042" s="264"/>
      <c r="G2042" s="264"/>
    </row>
    <row r="2043" spans="5:7">
      <c r="E2043" s="264"/>
      <c r="G2043" s="264"/>
    </row>
    <row r="2044" spans="5:7">
      <c r="E2044" s="264"/>
      <c r="G2044" s="264"/>
    </row>
    <row r="2045" spans="5:7">
      <c r="E2045" s="264"/>
      <c r="G2045" s="264"/>
    </row>
    <row r="2046" spans="5:7">
      <c r="E2046" s="264"/>
      <c r="G2046" s="264"/>
    </row>
    <row r="2047" spans="5:7">
      <c r="E2047" s="264"/>
      <c r="G2047" s="264"/>
    </row>
    <row r="2048" spans="5:7">
      <c r="E2048" s="264"/>
      <c r="G2048" s="264"/>
    </row>
    <row r="2049" spans="5:7">
      <c r="E2049" s="264"/>
      <c r="G2049" s="264"/>
    </row>
    <row r="2050" spans="5:7">
      <c r="E2050" s="264"/>
      <c r="G2050" s="264"/>
    </row>
    <row r="2051" spans="5:7">
      <c r="E2051" s="264"/>
      <c r="G2051" s="264"/>
    </row>
    <row r="2052" spans="5:7">
      <c r="E2052" s="264"/>
      <c r="G2052" s="264"/>
    </row>
    <row r="2053" spans="5:7">
      <c r="E2053" s="264"/>
      <c r="G2053" s="264"/>
    </row>
    <row r="2054" spans="5:7">
      <c r="E2054" s="264"/>
      <c r="G2054" s="264"/>
    </row>
    <row r="2055" spans="5:7">
      <c r="E2055" s="264"/>
      <c r="G2055" s="264"/>
    </row>
    <row r="2056" spans="5:7">
      <c r="E2056" s="264"/>
      <c r="G2056" s="264"/>
    </row>
    <row r="2057" spans="5:7">
      <c r="E2057" s="264"/>
      <c r="G2057" s="264"/>
    </row>
    <row r="2058" spans="5:7">
      <c r="E2058" s="264"/>
      <c r="G2058" s="264"/>
    </row>
    <row r="2059" spans="5:7">
      <c r="E2059" s="264"/>
      <c r="G2059" s="264"/>
    </row>
    <row r="2060" spans="5:7">
      <c r="E2060" s="264"/>
      <c r="G2060" s="264"/>
    </row>
    <row r="2061" spans="5:7">
      <c r="E2061" s="264"/>
      <c r="G2061" s="264"/>
    </row>
    <row r="2062" spans="5:7">
      <c r="E2062" s="264"/>
      <c r="G2062" s="264"/>
    </row>
    <row r="2063" spans="5:7">
      <c r="E2063" s="264"/>
      <c r="G2063" s="264"/>
    </row>
    <row r="2064" spans="5:7">
      <c r="E2064" s="264"/>
      <c r="G2064" s="264"/>
    </row>
    <row r="2065" spans="5:7">
      <c r="E2065" s="264"/>
      <c r="G2065" s="264"/>
    </row>
    <row r="2066" spans="5:7">
      <c r="E2066" s="264"/>
      <c r="G2066" s="264"/>
    </row>
    <row r="2067" spans="5:7">
      <c r="E2067" s="264"/>
      <c r="G2067" s="264"/>
    </row>
    <row r="2068" spans="5:7">
      <c r="E2068" s="264"/>
      <c r="G2068" s="264"/>
    </row>
    <row r="2069" spans="5:7">
      <c r="E2069" s="264"/>
      <c r="G2069" s="264"/>
    </row>
    <row r="2070" spans="5:7">
      <c r="E2070" s="264"/>
      <c r="G2070" s="264"/>
    </row>
    <row r="2071" spans="5:7">
      <c r="E2071" s="264"/>
      <c r="G2071" s="264"/>
    </row>
    <row r="2072" spans="5:7">
      <c r="E2072" s="264"/>
      <c r="G2072" s="264"/>
    </row>
    <row r="2073" spans="5:7">
      <c r="E2073" s="264"/>
      <c r="G2073" s="264"/>
    </row>
    <row r="2074" spans="5:7">
      <c r="E2074" s="264"/>
      <c r="G2074" s="264"/>
    </row>
    <row r="2075" spans="5:7">
      <c r="E2075" s="264"/>
      <c r="G2075" s="264"/>
    </row>
    <row r="2076" spans="5:7">
      <c r="E2076" s="264"/>
      <c r="G2076" s="264"/>
    </row>
    <row r="2077" spans="5:7">
      <c r="E2077" s="264"/>
      <c r="G2077" s="264"/>
    </row>
    <row r="2078" spans="5:7">
      <c r="E2078" s="264"/>
      <c r="G2078" s="264"/>
    </row>
    <row r="2079" spans="5:7">
      <c r="E2079" s="264"/>
      <c r="G2079" s="264"/>
    </row>
    <row r="2080" spans="5:7">
      <c r="E2080" s="264"/>
      <c r="G2080" s="264"/>
    </row>
    <row r="2081" spans="5:7">
      <c r="E2081" s="264"/>
      <c r="G2081" s="264"/>
    </row>
    <row r="2082" spans="5:7">
      <c r="E2082" s="264"/>
      <c r="G2082" s="264"/>
    </row>
    <row r="2083" spans="5:7">
      <c r="E2083" s="264"/>
      <c r="G2083" s="264"/>
    </row>
    <row r="2084" spans="5:7">
      <c r="E2084" s="264"/>
      <c r="G2084" s="264"/>
    </row>
    <row r="2085" spans="5:7">
      <c r="E2085" s="264"/>
      <c r="G2085" s="264"/>
    </row>
    <row r="2086" spans="5:7">
      <c r="E2086" s="264"/>
      <c r="G2086" s="264"/>
    </row>
    <row r="2087" spans="5:7">
      <c r="E2087" s="264"/>
      <c r="G2087" s="264"/>
    </row>
    <row r="2088" spans="5:7">
      <c r="E2088" s="264"/>
      <c r="G2088" s="264"/>
    </row>
    <row r="2089" spans="5:7">
      <c r="E2089" s="264"/>
      <c r="G2089" s="264"/>
    </row>
    <row r="2090" spans="5:7">
      <c r="E2090" s="264"/>
      <c r="G2090" s="264"/>
    </row>
    <row r="2091" spans="5:7">
      <c r="E2091" s="264"/>
      <c r="G2091" s="264"/>
    </row>
    <row r="2092" spans="5:7">
      <c r="E2092" s="264"/>
      <c r="G2092" s="264"/>
    </row>
    <row r="2093" spans="5:7">
      <c r="E2093" s="264"/>
      <c r="G2093" s="264"/>
    </row>
    <row r="2094" spans="5:7">
      <c r="E2094" s="264"/>
      <c r="G2094" s="264"/>
    </row>
    <row r="2095" spans="5:7">
      <c r="E2095" s="264"/>
      <c r="G2095" s="264"/>
    </row>
    <row r="2096" spans="5:7">
      <c r="E2096" s="264"/>
      <c r="G2096" s="264"/>
    </row>
    <row r="2097" spans="5:7">
      <c r="E2097" s="264"/>
      <c r="G2097" s="264"/>
    </row>
    <row r="2098" spans="5:7">
      <c r="E2098" s="264"/>
      <c r="G2098" s="264"/>
    </row>
    <row r="2099" spans="5:7">
      <c r="E2099" s="264"/>
      <c r="G2099" s="264"/>
    </row>
    <row r="2100" spans="5:7">
      <c r="E2100" s="264"/>
      <c r="G2100" s="264"/>
    </row>
    <row r="2101" spans="5:7">
      <c r="E2101" s="264"/>
      <c r="G2101" s="264"/>
    </row>
    <row r="2102" spans="5:7">
      <c r="E2102" s="264"/>
      <c r="G2102" s="264"/>
    </row>
    <row r="2103" spans="5:7">
      <c r="E2103" s="264"/>
      <c r="G2103" s="264"/>
    </row>
    <row r="2104" spans="5:7">
      <c r="E2104" s="264"/>
      <c r="G2104" s="264"/>
    </row>
    <row r="2105" spans="5:7">
      <c r="E2105" s="264"/>
      <c r="G2105" s="264"/>
    </row>
    <row r="2106" spans="5:7">
      <c r="E2106" s="264"/>
      <c r="G2106" s="264"/>
    </row>
    <row r="2107" spans="5:7">
      <c r="E2107" s="264"/>
      <c r="G2107" s="264"/>
    </row>
    <row r="2108" spans="5:7">
      <c r="E2108" s="264"/>
      <c r="G2108" s="264"/>
    </row>
    <row r="2109" spans="5:7">
      <c r="E2109" s="264"/>
      <c r="G2109" s="264"/>
    </row>
    <row r="2110" spans="5:7">
      <c r="E2110" s="264"/>
      <c r="G2110" s="264"/>
    </row>
    <row r="2111" spans="5:7">
      <c r="E2111" s="264"/>
      <c r="G2111" s="264"/>
    </row>
    <row r="2112" spans="5:7">
      <c r="E2112" s="264"/>
      <c r="G2112" s="264"/>
    </row>
    <row r="2113" spans="5:7">
      <c r="E2113" s="264"/>
      <c r="G2113" s="264"/>
    </row>
    <row r="2114" spans="5:7">
      <c r="E2114" s="264"/>
      <c r="G2114" s="264"/>
    </row>
    <row r="2115" spans="5:7">
      <c r="E2115" s="264"/>
      <c r="G2115" s="264"/>
    </row>
    <row r="2116" spans="5:7">
      <c r="E2116" s="264"/>
      <c r="G2116" s="264"/>
    </row>
    <row r="2117" spans="5:7">
      <c r="E2117" s="264"/>
      <c r="G2117" s="264"/>
    </row>
    <row r="2118" spans="5:7">
      <c r="E2118" s="264"/>
      <c r="G2118" s="264"/>
    </row>
    <row r="2119" spans="5:7">
      <c r="E2119" s="264"/>
      <c r="G2119" s="264"/>
    </row>
    <row r="2120" spans="5:7">
      <c r="E2120" s="264"/>
      <c r="G2120" s="264"/>
    </row>
    <row r="2121" spans="5:7">
      <c r="E2121" s="264"/>
      <c r="G2121" s="264"/>
    </row>
    <row r="2122" spans="5:7">
      <c r="E2122" s="264"/>
      <c r="G2122" s="264"/>
    </row>
    <row r="2123" spans="5:7">
      <c r="E2123" s="264"/>
      <c r="G2123" s="264"/>
    </row>
    <row r="2124" spans="5:7">
      <c r="E2124" s="264"/>
      <c r="G2124" s="264"/>
    </row>
    <row r="2125" spans="5:7">
      <c r="E2125" s="264"/>
      <c r="G2125" s="264"/>
    </row>
    <row r="2126" spans="5:7">
      <c r="E2126" s="264"/>
      <c r="G2126" s="264"/>
    </row>
    <row r="2127" spans="5:7">
      <c r="E2127" s="264"/>
      <c r="G2127" s="264"/>
    </row>
    <row r="2128" spans="5:7">
      <c r="E2128" s="264"/>
      <c r="G2128" s="264"/>
    </row>
    <row r="2129" spans="5:7">
      <c r="E2129" s="264"/>
      <c r="G2129" s="264"/>
    </row>
    <row r="2130" spans="5:7">
      <c r="E2130" s="264"/>
      <c r="G2130" s="264"/>
    </row>
    <row r="2131" spans="5:7">
      <c r="E2131" s="264"/>
      <c r="G2131" s="264"/>
    </row>
    <row r="2132" spans="5:7">
      <c r="E2132" s="264"/>
      <c r="G2132" s="264"/>
    </row>
    <row r="2133" spans="5:7">
      <c r="E2133" s="264"/>
      <c r="G2133" s="264"/>
    </row>
    <row r="2134" spans="5:7">
      <c r="E2134" s="264"/>
      <c r="G2134" s="264"/>
    </row>
    <row r="2135" spans="5:7">
      <c r="E2135" s="264"/>
      <c r="G2135" s="264"/>
    </row>
    <row r="2136" spans="5:7">
      <c r="E2136" s="264"/>
      <c r="G2136" s="264"/>
    </row>
    <row r="2137" spans="5:7">
      <c r="E2137" s="264"/>
      <c r="G2137" s="264"/>
    </row>
    <row r="2138" spans="5:7">
      <c r="E2138" s="264"/>
      <c r="G2138" s="264"/>
    </row>
    <row r="2139" spans="5:7">
      <c r="E2139" s="264"/>
      <c r="G2139" s="264"/>
    </row>
    <row r="2140" spans="5:7">
      <c r="E2140" s="264"/>
      <c r="G2140" s="264"/>
    </row>
    <row r="2141" spans="5:7">
      <c r="E2141" s="264"/>
      <c r="G2141" s="264"/>
    </row>
    <row r="2142" spans="5:7">
      <c r="E2142" s="264"/>
      <c r="G2142" s="264"/>
    </row>
    <row r="2143" spans="5:7">
      <c r="E2143" s="264"/>
      <c r="G2143" s="264"/>
    </row>
    <row r="2144" spans="5:7">
      <c r="E2144" s="264"/>
      <c r="G2144" s="264"/>
    </row>
    <row r="2145" spans="5:7">
      <c r="E2145" s="264"/>
      <c r="G2145" s="264"/>
    </row>
    <row r="2146" spans="5:7">
      <c r="E2146" s="264"/>
      <c r="G2146" s="264"/>
    </row>
    <row r="2147" spans="5:7">
      <c r="E2147" s="264"/>
      <c r="G2147" s="264"/>
    </row>
    <row r="2148" spans="5:7">
      <c r="E2148" s="264"/>
      <c r="G2148" s="264"/>
    </row>
    <row r="2149" spans="5:7">
      <c r="E2149" s="264"/>
      <c r="G2149" s="264"/>
    </row>
    <row r="2150" spans="5:7">
      <c r="E2150" s="264"/>
      <c r="G2150" s="264"/>
    </row>
    <row r="2151" spans="5:7">
      <c r="E2151" s="264"/>
      <c r="G2151" s="264"/>
    </row>
    <row r="2152" spans="5:7">
      <c r="E2152" s="264"/>
      <c r="G2152" s="264"/>
    </row>
    <row r="2153" spans="5:7">
      <c r="E2153" s="264"/>
      <c r="G2153" s="264"/>
    </row>
    <row r="2154" spans="5:7">
      <c r="E2154" s="264"/>
      <c r="G2154" s="264"/>
    </row>
    <row r="2155" spans="5:7">
      <c r="E2155" s="264"/>
      <c r="G2155" s="264"/>
    </row>
    <row r="2156" spans="5:7">
      <c r="E2156" s="264"/>
      <c r="G2156" s="264"/>
    </row>
    <row r="2157" spans="5:7">
      <c r="E2157" s="264"/>
      <c r="G2157" s="264"/>
    </row>
    <row r="2158" spans="5:7">
      <c r="E2158" s="264"/>
      <c r="G2158" s="264"/>
    </row>
    <row r="2159" spans="5:7">
      <c r="E2159" s="264"/>
      <c r="G2159" s="264"/>
    </row>
    <row r="2160" spans="5:7">
      <c r="E2160" s="264"/>
      <c r="G2160" s="264"/>
    </row>
    <row r="2161" spans="5:7">
      <c r="E2161" s="264"/>
      <c r="G2161" s="264"/>
    </row>
    <row r="2162" spans="5:7">
      <c r="E2162" s="264"/>
      <c r="G2162" s="264"/>
    </row>
    <row r="2163" spans="5:7">
      <c r="E2163" s="264"/>
      <c r="G2163" s="264"/>
    </row>
    <row r="2164" spans="5:7">
      <c r="E2164" s="264"/>
      <c r="G2164" s="264"/>
    </row>
    <row r="2165" spans="5:7">
      <c r="E2165" s="264"/>
      <c r="G2165" s="264"/>
    </row>
    <row r="2166" spans="5:7">
      <c r="E2166" s="264"/>
      <c r="G2166" s="264"/>
    </row>
    <row r="2167" spans="5:7">
      <c r="E2167" s="264"/>
      <c r="G2167" s="264"/>
    </row>
    <row r="2168" spans="5:7">
      <c r="E2168" s="264"/>
      <c r="G2168" s="264"/>
    </row>
    <row r="2169" spans="5:7">
      <c r="E2169" s="264"/>
      <c r="G2169" s="264"/>
    </row>
    <row r="2170" spans="5:7">
      <c r="E2170" s="264"/>
      <c r="G2170" s="264"/>
    </row>
    <row r="2171" spans="5:7">
      <c r="E2171" s="264"/>
      <c r="G2171" s="264"/>
    </row>
    <row r="2172" spans="5:7">
      <c r="E2172" s="264"/>
      <c r="G2172" s="264"/>
    </row>
    <row r="2173" spans="5:7">
      <c r="E2173" s="264"/>
      <c r="G2173" s="264"/>
    </row>
    <row r="2174" spans="5:7">
      <c r="E2174" s="264"/>
      <c r="G2174" s="264"/>
    </row>
    <row r="2175" spans="5:7">
      <c r="E2175" s="264"/>
      <c r="G2175" s="264"/>
    </row>
    <row r="2176" spans="5:7">
      <c r="E2176" s="264"/>
      <c r="G2176" s="264"/>
    </row>
    <row r="2177" spans="5:7">
      <c r="E2177" s="264"/>
      <c r="G2177" s="264"/>
    </row>
    <row r="2178" spans="5:7">
      <c r="E2178" s="264"/>
      <c r="G2178" s="264"/>
    </row>
    <row r="2179" spans="5:7">
      <c r="E2179" s="264"/>
      <c r="G2179" s="264"/>
    </row>
    <row r="2180" spans="5:7">
      <c r="E2180" s="264"/>
      <c r="G2180" s="264"/>
    </row>
    <row r="2181" spans="5:7">
      <c r="E2181" s="264"/>
      <c r="G2181" s="264"/>
    </row>
    <row r="2182" spans="5:7">
      <c r="E2182" s="264"/>
      <c r="G2182" s="264"/>
    </row>
    <row r="2183" spans="5:7">
      <c r="E2183" s="264"/>
      <c r="G2183" s="264"/>
    </row>
    <row r="2184" spans="5:7">
      <c r="E2184" s="264"/>
      <c r="G2184" s="264"/>
    </row>
    <row r="2185" spans="5:7">
      <c r="E2185" s="264"/>
      <c r="G2185" s="264"/>
    </row>
    <row r="2186" spans="5:7">
      <c r="E2186" s="264"/>
      <c r="G2186" s="264"/>
    </row>
    <row r="2187" spans="5:7">
      <c r="E2187" s="264"/>
      <c r="G2187" s="264"/>
    </row>
    <row r="2188" spans="5:7">
      <c r="E2188" s="264"/>
      <c r="G2188" s="264"/>
    </row>
    <row r="2189" spans="5:7">
      <c r="E2189" s="264"/>
      <c r="G2189" s="264"/>
    </row>
    <row r="2190" spans="5:7">
      <c r="E2190" s="264"/>
      <c r="G2190" s="264"/>
    </row>
    <row r="2191" spans="5:7">
      <c r="E2191" s="264"/>
      <c r="G2191" s="264"/>
    </row>
    <row r="2192" spans="5:7">
      <c r="E2192" s="264"/>
      <c r="G2192" s="264"/>
    </row>
    <row r="2193" spans="5:7">
      <c r="E2193" s="264"/>
      <c r="G2193" s="264"/>
    </row>
    <row r="2194" spans="5:7">
      <c r="E2194" s="264"/>
      <c r="G2194" s="264"/>
    </row>
    <row r="2195" spans="5:7">
      <c r="E2195" s="264"/>
      <c r="G2195" s="264"/>
    </row>
    <row r="2196" spans="5:7">
      <c r="E2196" s="264"/>
      <c r="G2196" s="264"/>
    </row>
    <row r="2197" spans="5:7">
      <c r="E2197" s="264"/>
      <c r="G2197" s="264"/>
    </row>
    <row r="2198" spans="5:7">
      <c r="E2198" s="264"/>
      <c r="G2198" s="264"/>
    </row>
    <row r="2199" spans="5:7">
      <c r="E2199" s="264"/>
      <c r="G2199" s="264"/>
    </row>
    <row r="2200" spans="5:7">
      <c r="E2200" s="264"/>
      <c r="G2200" s="264"/>
    </row>
    <row r="2201" spans="5:7">
      <c r="E2201" s="264"/>
      <c r="G2201" s="264"/>
    </row>
    <row r="2202" spans="5:7">
      <c r="E2202" s="264"/>
      <c r="G2202" s="264"/>
    </row>
    <row r="2203" spans="5:7">
      <c r="E2203" s="264"/>
      <c r="G2203" s="264"/>
    </row>
    <row r="2204" spans="5:7">
      <c r="E2204" s="264"/>
      <c r="G2204" s="264"/>
    </row>
    <row r="2205" spans="5:7">
      <c r="E2205" s="264"/>
      <c r="G2205" s="264"/>
    </row>
    <row r="2206" spans="5:7">
      <c r="E2206" s="264"/>
      <c r="G2206" s="264"/>
    </row>
    <row r="2207" spans="5:7">
      <c r="E2207" s="264"/>
      <c r="G2207" s="264"/>
    </row>
    <row r="2208" spans="5:7">
      <c r="E2208" s="264"/>
      <c r="G2208" s="264"/>
    </row>
    <row r="2209" spans="5:7">
      <c r="E2209" s="264"/>
      <c r="G2209" s="264"/>
    </row>
    <row r="2210" spans="5:7">
      <c r="E2210" s="264"/>
      <c r="G2210" s="264"/>
    </row>
    <row r="2211" spans="5:7">
      <c r="E2211" s="264"/>
      <c r="G2211" s="264"/>
    </row>
    <row r="2212" spans="5:7">
      <c r="E2212" s="264"/>
      <c r="G2212" s="264"/>
    </row>
    <row r="2213" spans="5:7">
      <c r="E2213" s="264"/>
      <c r="G2213" s="264"/>
    </row>
    <row r="2214" spans="5:7">
      <c r="E2214" s="264"/>
      <c r="G2214" s="264"/>
    </row>
    <row r="2215" spans="5:7">
      <c r="E2215" s="264"/>
      <c r="G2215" s="264"/>
    </row>
    <row r="2216" spans="5:7">
      <c r="E2216" s="264"/>
      <c r="G2216" s="264"/>
    </row>
    <row r="2217" spans="5:7">
      <c r="E2217" s="264"/>
      <c r="G2217" s="264"/>
    </row>
    <row r="2218" spans="5:7">
      <c r="E2218" s="264"/>
      <c r="G2218" s="264"/>
    </row>
    <row r="2219" spans="5:7">
      <c r="E2219" s="264"/>
      <c r="G2219" s="264"/>
    </row>
    <row r="2220" spans="5:7">
      <c r="E2220" s="264"/>
      <c r="G2220" s="264"/>
    </row>
    <row r="2221" spans="5:7">
      <c r="E2221" s="264"/>
      <c r="G2221" s="264"/>
    </row>
    <row r="2222" spans="5:7">
      <c r="E2222" s="264"/>
      <c r="G2222" s="264"/>
    </row>
    <row r="2223" spans="5:7">
      <c r="E2223" s="264"/>
      <c r="G2223" s="264"/>
    </row>
    <row r="2224" spans="5:7">
      <c r="E2224" s="264"/>
      <c r="G2224" s="264"/>
    </row>
    <row r="2225" spans="5:7">
      <c r="E2225" s="264"/>
      <c r="G2225" s="264"/>
    </row>
    <row r="2226" spans="5:7">
      <c r="E2226" s="264"/>
      <c r="G2226" s="264"/>
    </row>
    <row r="2227" spans="5:7">
      <c r="E2227" s="264"/>
      <c r="G2227" s="264"/>
    </row>
    <row r="2228" spans="5:7">
      <c r="E2228" s="264"/>
      <c r="G2228" s="264"/>
    </row>
    <row r="2229" spans="5:7">
      <c r="E2229" s="264"/>
      <c r="G2229" s="264"/>
    </row>
    <row r="2230" spans="5:7">
      <c r="E2230" s="264"/>
      <c r="G2230" s="264"/>
    </row>
    <row r="2231" spans="5:7">
      <c r="E2231" s="264"/>
      <c r="G2231" s="264"/>
    </row>
    <row r="2232" spans="5:7">
      <c r="E2232" s="264"/>
      <c r="G2232" s="264"/>
    </row>
    <row r="2233" spans="5:7">
      <c r="E2233" s="264"/>
      <c r="G2233" s="264"/>
    </row>
    <row r="2234" spans="5:7">
      <c r="E2234" s="264"/>
      <c r="G2234" s="264"/>
    </row>
    <row r="2235" spans="5:7">
      <c r="E2235" s="264"/>
      <c r="G2235" s="264"/>
    </row>
    <row r="2236" spans="5:7">
      <c r="E2236" s="264"/>
      <c r="G2236" s="264"/>
    </row>
    <row r="2237" spans="5:7">
      <c r="E2237" s="264"/>
      <c r="G2237" s="264"/>
    </row>
    <row r="2238" spans="5:7">
      <c r="E2238" s="264"/>
      <c r="G2238" s="264"/>
    </row>
    <row r="2239" spans="5:7">
      <c r="E2239" s="264"/>
      <c r="G2239" s="264"/>
    </row>
    <row r="2240" spans="5:7">
      <c r="E2240" s="264"/>
      <c r="G2240" s="264"/>
    </row>
    <row r="2241" spans="5:7">
      <c r="E2241" s="264"/>
      <c r="G2241" s="264"/>
    </row>
    <row r="2242" spans="5:7">
      <c r="E2242" s="264"/>
      <c r="G2242" s="264"/>
    </row>
    <row r="2243" spans="5:7">
      <c r="E2243" s="264"/>
      <c r="G2243" s="264"/>
    </row>
    <row r="2244" spans="5:7">
      <c r="E2244" s="264"/>
      <c r="G2244" s="264"/>
    </row>
    <row r="2245" spans="5:7">
      <c r="E2245" s="264"/>
      <c r="G2245" s="264"/>
    </row>
    <row r="2246" spans="5:7">
      <c r="E2246" s="264"/>
      <c r="G2246" s="264"/>
    </row>
    <row r="2247" spans="5:7">
      <c r="E2247" s="264"/>
      <c r="G2247" s="264"/>
    </row>
    <row r="2248" spans="5:7">
      <c r="E2248" s="264"/>
      <c r="G2248" s="264"/>
    </row>
    <row r="2249" spans="5:7">
      <c r="E2249" s="264"/>
      <c r="G2249" s="264"/>
    </row>
    <row r="2250" spans="5:7">
      <c r="E2250" s="264"/>
      <c r="G2250" s="264"/>
    </row>
    <row r="2251" spans="5:7">
      <c r="E2251" s="264"/>
      <c r="G2251" s="264"/>
    </row>
    <row r="2252" spans="5:7">
      <c r="E2252" s="264"/>
      <c r="G2252" s="264"/>
    </row>
    <row r="2253" spans="5:7">
      <c r="E2253" s="264"/>
      <c r="G2253" s="264"/>
    </row>
    <row r="2254" spans="5:7">
      <c r="E2254" s="264"/>
      <c r="G2254" s="264"/>
    </row>
    <row r="2255" spans="5:7">
      <c r="E2255" s="264"/>
      <c r="G2255" s="264"/>
    </row>
    <row r="2256" spans="5:7">
      <c r="E2256" s="264"/>
      <c r="G2256" s="264"/>
    </row>
    <row r="2257" spans="5:7">
      <c r="E2257" s="264"/>
      <c r="G2257" s="264"/>
    </row>
    <row r="2258" spans="5:7">
      <c r="E2258" s="264"/>
      <c r="G2258" s="264"/>
    </row>
    <row r="2259" spans="5:7">
      <c r="E2259" s="264"/>
      <c r="G2259" s="264"/>
    </row>
    <row r="2260" spans="5:7">
      <c r="E2260" s="264"/>
      <c r="G2260" s="264"/>
    </row>
    <row r="2261" spans="5:7">
      <c r="E2261" s="264"/>
      <c r="G2261" s="264"/>
    </row>
    <row r="2262" spans="5:7">
      <c r="E2262" s="264"/>
      <c r="G2262" s="264"/>
    </row>
    <row r="2263" spans="5:7">
      <c r="E2263" s="264"/>
      <c r="G2263" s="264"/>
    </row>
    <row r="2264" spans="5:7">
      <c r="E2264" s="264"/>
      <c r="G2264" s="264"/>
    </row>
    <row r="2265" spans="5:7">
      <c r="E2265" s="264"/>
      <c r="G2265" s="264"/>
    </row>
    <row r="2266" spans="5:7">
      <c r="E2266" s="264"/>
      <c r="G2266" s="264"/>
    </row>
    <row r="2267" spans="5:7">
      <c r="E2267" s="264"/>
      <c r="G2267" s="264"/>
    </row>
    <row r="2268" spans="5:7">
      <c r="E2268" s="264"/>
      <c r="G2268" s="264"/>
    </row>
    <row r="2269" spans="5:7">
      <c r="E2269" s="264"/>
      <c r="G2269" s="264"/>
    </row>
    <row r="2270" spans="5:7">
      <c r="E2270" s="264"/>
      <c r="G2270" s="264"/>
    </row>
    <row r="2271" spans="5:7">
      <c r="E2271" s="264"/>
      <c r="G2271" s="264"/>
    </row>
    <row r="2272" spans="5:7">
      <c r="E2272" s="264"/>
      <c r="G2272" s="264"/>
    </row>
    <row r="2273" spans="5:7">
      <c r="E2273" s="264"/>
      <c r="G2273" s="264"/>
    </row>
    <row r="2274" spans="5:7">
      <c r="E2274" s="264"/>
      <c r="G2274" s="264"/>
    </row>
    <row r="2275" spans="5:7">
      <c r="E2275" s="264"/>
      <c r="G2275" s="264"/>
    </row>
    <row r="2276" spans="5:7">
      <c r="E2276" s="264"/>
      <c r="G2276" s="264"/>
    </row>
    <row r="2277" spans="5:7">
      <c r="E2277" s="264"/>
      <c r="G2277" s="264"/>
    </row>
    <row r="2278" spans="5:7">
      <c r="E2278" s="264"/>
      <c r="G2278" s="264"/>
    </row>
    <row r="2279" spans="5:7">
      <c r="E2279" s="264"/>
      <c r="G2279" s="264"/>
    </row>
    <row r="2280" spans="5:7">
      <c r="E2280" s="264"/>
      <c r="G2280" s="264"/>
    </row>
    <row r="2281" spans="5:7">
      <c r="E2281" s="264"/>
      <c r="G2281" s="264"/>
    </row>
    <row r="2282" spans="5:7">
      <c r="E2282" s="264"/>
      <c r="G2282" s="264"/>
    </row>
    <row r="2283" spans="5:7">
      <c r="E2283" s="264"/>
      <c r="G2283" s="264"/>
    </row>
    <row r="2284" spans="5:7">
      <c r="E2284" s="264"/>
      <c r="G2284" s="264"/>
    </row>
    <row r="2285" spans="5:7">
      <c r="E2285" s="264"/>
      <c r="G2285" s="264"/>
    </row>
    <row r="2286" spans="5:7">
      <c r="E2286" s="264"/>
      <c r="G2286" s="264"/>
    </row>
    <row r="2287" spans="5:7">
      <c r="E2287" s="264"/>
      <c r="G2287" s="264"/>
    </row>
    <row r="2288" spans="5:7">
      <c r="E2288" s="264"/>
      <c r="G2288" s="264"/>
    </row>
    <row r="2289" spans="5:7">
      <c r="E2289" s="264"/>
      <c r="G2289" s="264"/>
    </row>
    <row r="2290" spans="5:7">
      <c r="E2290" s="264"/>
      <c r="G2290" s="264"/>
    </row>
    <row r="2291" spans="5:7">
      <c r="E2291" s="264"/>
      <c r="G2291" s="264"/>
    </row>
    <row r="2292" spans="5:7">
      <c r="E2292" s="264"/>
      <c r="G2292" s="264"/>
    </row>
    <row r="2293" spans="5:7">
      <c r="E2293" s="264"/>
      <c r="G2293" s="264"/>
    </row>
    <row r="2294" spans="5:7">
      <c r="E2294" s="264"/>
      <c r="G2294" s="264"/>
    </row>
    <row r="2295" spans="5:7">
      <c r="E2295" s="264"/>
      <c r="G2295" s="264"/>
    </row>
    <row r="2296" spans="5:7">
      <c r="E2296" s="264"/>
      <c r="G2296" s="264"/>
    </row>
    <row r="2297" spans="5:7">
      <c r="E2297" s="264"/>
      <c r="G2297" s="264"/>
    </row>
    <row r="2298" spans="5:7">
      <c r="E2298" s="264"/>
      <c r="G2298" s="264"/>
    </row>
    <row r="2299" spans="5:7">
      <c r="E2299" s="264"/>
      <c r="G2299" s="264"/>
    </row>
    <row r="2300" spans="5:7">
      <c r="E2300" s="264"/>
      <c r="G2300" s="264"/>
    </row>
    <row r="2301" spans="5:7">
      <c r="E2301" s="264"/>
      <c r="G2301" s="264"/>
    </row>
    <row r="2302" spans="5:7">
      <c r="E2302" s="264"/>
      <c r="G2302" s="264"/>
    </row>
    <row r="2303" spans="5:7">
      <c r="E2303" s="264"/>
      <c r="G2303" s="264"/>
    </row>
    <row r="2304" spans="5:7">
      <c r="E2304" s="264"/>
      <c r="G2304" s="264"/>
    </row>
    <row r="2305" spans="5:7">
      <c r="E2305" s="264"/>
      <c r="G2305" s="264"/>
    </row>
    <row r="2306" spans="5:7">
      <c r="E2306" s="264"/>
      <c r="G2306" s="264"/>
    </row>
    <row r="2307" spans="5:7">
      <c r="E2307" s="264"/>
      <c r="G2307" s="264"/>
    </row>
    <row r="2308" spans="5:7">
      <c r="E2308" s="264"/>
      <c r="G2308" s="264"/>
    </row>
    <row r="2309" spans="5:7">
      <c r="E2309" s="264"/>
      <c r="G2309" s="264"/>
    </row>
    <row r="2310" spans="5:7">
      <c r="E2310" s="264"/>
      <c r="G2310" s="264"/>
    </row>
    <row r="2311" spans="5:7">
      <c r="E2311" s="264"/>
      <c r="G2311" s="264"/>
    </row>
    <row r="2312" spans="5:7">
      <c r="E2312" s="264"/>
      <c r="G2312" s="264"/>
    </row>
    <row r="2313" spans="5:7">
      <c r="E2313" s="264"/>
      <c r="G2313" s="264"/>
    </row>
    <row r="2314" spans="5:7">
      <c r="E2314" s="264"/>
      <c r="G2314" s="264"/>
    </row>
    <row r="2315" spans="5:7">
      <c r="E2315" s="264"/>
      <c r="G2315" s="264"/>
    </row>
    <row r="2316" spans="5:7">
      <c r="E2316" s="264"/>
      <c r="G2316" s="264"/>
    </row>
    <row r="2317" spans="5:7">
      <c r="E2317" s="264"/>
      <c r="G2317" s="264"/>
    </row>
    <row r="2318" spans="5:7">
      <c r="E2318" s="264"/>
      <c r="G2318" s="264"/>
    </row>
    <row r="2319" spans="5:7">
      <c r="E2319" s="264"/>
      <c r="G2319" s="264"/>
    </row>
    <row r="2320" spans="5:7">
      <c r="E2320" s="264"/>
      <c r="G2320" s="264"/>
    </row>
    <row r="2321" spans="5:7">
      <c r="E2321" s="264"/>
      <c r="G2321" s="264"/>
    </row>
    <row r="2322" spans="5:7">
      <c r="E2322" s="264"/>
      <c r="G2322" s="264"/>
    </row>
    <row r="2323" spans="5:7">
      <c r="E2323" s="264"/>
      <c r="G2323" s="264"/>
    </row>
    <row r="2324" spans="5:7">
      <c r="E2324" s="264"/>
      <c r="G2324" s="264"/>
    </row>
    <row r="2325" spans="5:7">
      <c r="E2325" s="264"/>
      <c r="G2325" s="264"/>
    </row>
    <row r="2326" spans="5:7">
      <c r="E2326" s="264"/>
      <c r="G2326" s="264"/>
    </row>
    <row r="2327" spans="5:7">
      <c r="E2327" s="264"/>
      <c r="G2327" s="264"/>
    </row>
    <row r="2328" spans="5:7">
      <c r="E2328" s="264"/>
      <c r="G2328" s="264"/>
    </row>
    <row r="2329" spans="5:7">
      <c r="E2329" s="264"/>
      <c r="G2329" s="264"/>
    </row>
    <row r="2330" spans="5:7">
      <c r="E2330" s="264"/>
      <c r="G2330" s="264"/>
    </row>
    <row r="2331" spans="5:7">
      <c r="E2331" s="264"/>
      <c r="G2331" s="264"/>
    </row>
    <row r="2332" spans="5:7">
      <c r="E2332" s="264"/>
      <c r="G2332" s="264"/>
    </row>
    <row r="2333" spans="5:7">
      <c r="E2333" s="264"/>
      <c r="G2333" s="264"/>
    </row>
    <row r="2334" spans="5:7">
      <c r="E2334" s="264"/>
      <c r="G2334" s="264"/>
    </row>
    <row r="2335" spans="5:7">
      <c r="E2335" s="264"/>
      <c r="G2335" s="264"/>
    </row>
    <row r="2336" spans="5:7">
      <c r="E2336" s="264"/>
      <c r="G2336" s="264"/>
    </row>
    <row r="2337" spans="5:7">
      <c r="E2337" s="264"/>
      <c r="G2337" s="264"/>
    </row>
    <row r="2338" spans="5:7">
      <c r="E2338" s="264"/>
      <c r="G2338" s="264"/>
    </row>
    <row r="2339" spans="5:7">
      <c r="E2339" s="264"/>
      <c r="G2339" s="264"/>
    </row>
    <row r="2340" spans="5:7">
      <c r="E2340" s="264"/>
      <c r="G2340" s="264"/>
    </row>
    <row r="2341" spans="5:7">
      <c r="E2341" s="264"/>
      <c r="G2341" s="264"/>
    </row>
    <row r="2342" spans="5:7">
      <c r="E2342" s="264"/>
      <c r="G2342" s="264"/>
    </row>
    <row r="2343" spans="5:7">
      <c r="E2343" s="264"/>
      <c r="G2343" s="264"/>
    </row>
    <row r="2344" spans="5:7">
      <c r="E2344" s="264"/>
      <c r="G2344" s="264"/>
    </row>
    <row r="2345" spans="5:7">
      <c r="E2345" s="264"/>
      <c r="G2345" s="264"/>
    </row>
    <row r="2346" spans="5:7">
      <c r="E2346" s="264"/>
      <c r="G2346" s="264"/>
    </row>
    <row r="2347" spans="5:7">
      <c r="E2347" s="264"/>
      <c r="G2347" s="264"/>
    </row>
    <row r="2348" spans="5:7">
      <c r="E2348" s="264"/>
      <c r="G2348" s="264"/>
    </row>
    <row r="2349" spans="5:7">
      <c r="E2349" s="264"/>
      <c r="G2349" s="264"/>
    </row>
    <row r="2350" spans="5:7">
      <c r="E2350" s="264"/>
      <c r="G2350" s="264"/>
    </row>
    <row r="2351" spans="5:7">
      <c r="E2351" s="264"/>
      <c r="G2351" s="264"/>
    </row>
    <row r="2352" spans="5:7">
      <c r="E2352" s="264"/>
      <c r="G2352" s="264"/>
    </row>
    <row r="2353" spans="5:7">
      <c r="E2353" s="264"/>
      <c r="G2353" s="264"/>
    </row>
    <row r="2354" spans="5:7">
      <c r="E2354" s="264"/>
      <c r="G2354" s="264"/>
    </row>
    <row r="2355" spans="5:7">
      <c r="E2355" s="264"/>
      <c r="G2355" s="264"/>
    </row>
    <row r="2356" spans="5:7">
      <c r="E2356" s="264"/>
      <c r="G2356" s="264"/>
    </row>
    <row r="2357" spans="5:7">
      <c r="E2357" s="264"/>
      <c r="G2357" s="264"/>
    </row>
    <row r="2358" spans="5:7">
      <c r="E2358" s="264"/>
      <c r="G2358" s="264"/>
    </row>
    <row r="2359" spans="5:7">
      <c r="E2359" s="264"/>
      <c r="G2359" s="264"/>
    </row>
    <row r="2360" spans="5:7">
      <c r="E2360" s="264"/>
      <c r="G2360" s="264"/>
    </row>
    <row r="2361" spans="5:7">
      <c r="E2361" s="264"/>
      <c r="G2361" s="264"/>
    </row>
    <row r="2362" spans="5:7">
      <c r="E2362" s="264"/>
      <c r="G2362" s="264"/>
    </row>
    <row r="2363" spans="5:7">
      <c r="E2363" s="264"/>
      <c r="G2363" s="264"/>
    </row>
    <row r="2364" spans="5:7">
      <c r="E2364" s="264"/>
      <c r="G2364" s="264"/>
    </row>
    <row r="2365" spans="5:7">
      <c r="E2365" s="264"/>
      <c r="G2365" s="264"/>
    </row>
    <row r="2366" spans="5:7">
      <c r="E2366" s="264"/>
      <c r="G2366" s="264"/>
    </row>
    <row r="2367" spans="5:7">
      <c r="E2367" s="264"/>
      <c r="G2367" s="264"/>
    </row>
    <row r="2368" spans="5:7">
      <c r="E2368" s="264"/>
      <c r="G2368" s="264"/>
    </row>
    <row r="2369" spans="5:7">
      <c r="E2369" s="264"/>
      <c r="G2369" s="264"/>
    </row>
    <row r="2370" spans="5:7">
      <c r="E2370" s="264"/>
      <c r="G2370" s="264"/>
    </row>
    <row r="2371" spans="5:7">
      <c r="E2371" s="264"/>
      <c r="G2371" s="264"/>
    </row>
    <row r="2372" spans="5:7">
      <c r="E2372" s="264"/>
      <c r="G2372" s="264"/>
    </row>
    <row r="2373" spans="5:7">
      <c r="E2373" s="264"/>
      <c r="G2373" s="264"/>
    </row>
    <row r="2374" spans="5:7">
      <c r="E2374" s="264"/>
      <c r="G2374" s="264"/>
    </row>
    <row r="2375" spans="5:7">
      <c r="E2375" s="264"/>
      <c r="G2375" s="264"/>
    </row>
    <row r="2376" spans="5:7">
      <c r="E2376" s="264"/>
      <c r="G2376" s="264"/>
    </row>
    <row r="2377" spans="5:7">
      <c r="E2377" s="264"/>
      <c r="G2377" s="264"/>
    </row>
    <row r="2378" spans="5:7">
      <c r="E2378" s="264"/>
      <c r="G2378" s="264"/>
    </row>
    <row r="2379" spans="5:7">
      <c r="E2379" s="264"/>
      <c r="G2379" s="264"/>
    </row>
    <row r="2380" spans="5:7">
      <c r="E2380" s="264"/>
      <c r="G2380" s="264"/>
    </row>
    <row r="2381" spans="5:7">
      <c r="E2381" s="264"/>
      <c r="G2381" s="264"/>
    </row>
    <row r="2382" spans="5:7">
      <c r="E2382" s="264"/>
      <c r="G2382" s="264"/>
    </row>
    <row r="2383" spans="5:7">
      <c r="E2383" s="264"/>
      <c r="G2383" s="264"/>
    </row>
    <row r="2384" spans="5:7">
      <c r="E2384" s="264"/>
      <c r="G2384" s="264"/>
    </row>
    <row r="2385" spans="5:7">
      <c r="E2385" s="264"/>
      <c r="G2385" s="264"/>
    </row>
    <row r="2386" spans="5:7">
      <c r="E2386" s="264"/>
      <c r="G2386" s="264"/>
    </row>
    <row r="2387" spans="5:7">
      <c r="E2387" s="264"/>
      <c r="G2387" s="264"/>
    </row>
    <row r="2388" spans="5:7">
      <c r="E2388" s="264"/>
      <c r="G2388" s="264"/>
    </row>
    <row r="2389" spans="5:7">
      <c r="E2389" s="264"/>
      <c r="G2389" s="264"/>
    </row>
    <row r="2390" spans="5:7">
      <c r="E2390" s="264"/>
      <c r="G2390" s="264"/>
    </row>
    <row r="2391" spans="5:7">
      <c r="E2391" s="264"/>
      <c r="G2391" s="264"/>
    </row>
    <row r="2392" spans="5:7">
      <c r="E2392" s="264"/>
      <c r="G2392" s="264"/>
    </row>
    <row r="2393" spans="5:7">
      <c r="E2393" s="264"/>
      <c r="G2393" s="264"/>
    </row>
    <row r="2394" spans="5:7">
      <c r="E2394" s="264"/>
      <c r="G2394" s="264"/>
    </row>
    <row r="2395" spans="5:7">
      <c r="E2395" s="264"/>
      <c r="G2395" s="264"/>
    </row>
    <row r="2396" spans="5:7">
      <c r="E2396" s="264"/>
      <c r="G2396" s="264"/>
    </row>
    <row r="2397" spans="5:7">
      <c r="E2397" s="264"/>
      <c r="G2397" s="264"/>
    </row>
    <row r="2398" spans="5:7">
      <c r="E2398" s="264"/>
      <c r="G2398" s="264"/>
    </row>
    <row r="2399" spans="5:7">
      <c r="E2399" s="264"/>
      <c r="G2399" s="264"/>
    </row>
    <row r="2400" spans="5:7">
      <c r="E2400" s="264"/>
      <c r="G2400" s="264"/>
    </row>
    <row r="2401" spans="5:7">
      <c r="E2401" s="264"/>
      <c r="G2401" s="264"/>
    </row>
    <row r="2402" spans="5:7">
      <c r="E2402" s="264"/>
      <c r="G2402" s="264"/>
    </row>
    <row r="2403" spans="5:7">
      <c r="E2403" s="264"/>
      <c r="G2403" s="264"/>
    </row>
    <row r="2404" spans="5:7">
      <c r="E2404" s="264"/>
      <c r="G2404" s="264"/>
    </row>
    <row r="2405" spans="5:7">
      <c r="E2405" s="264"/>
      <c r="G2405" s="264"/>
    </row>
    <row r="2406" spans="5:7">
      <c r="E2406" s="264"/>
      <c r="G2406" s="264"/>
    </row>
    <row r="2407" spans="5:7">
      <c r="E2407" s="264"/>
      <c r="G2407" s="264"/>
    </row>
    <row r="2408" spans="5:7">
      <c r="E2408" s="264"/>
      <c r="G2408" s="264"/>
    </row>
    <row r="2409" spans="5:7">
      <c r="E2409" s="264"/>
      <c r="G2409" s="264"/>
    </row>
    <row r="2410" spans="5:7">
      <c r="E2410" s="264"/>
      <c r="G2410" s="264"/>
    </row>
    <row r="2411" spans="5:7">
      <c r="E2411" s="264"/>
      <c r="G2411" s="264"/>
    </row>
    <row r="2412" spans="5:7">
      <c r="E2412" s="264"/>
      <c r="G2412" s="264"/>
    </row>
    <row r="2413" spans="5:7">
      <c r="E2413" s="264"/>
      <c r="G2413" s="264"/>
    </row>
    <row r="2414" spans="5:7">
      <c r="E2414" s="264"/>
      <c r="G2414" s="264"/>
    </row>
    <row r="2415" spans="5:7">
      <c r="E2415" s="264"/>
      <c r="G2415" s="264"/>
    </row>
    <row r="2416" spans="5:7">
      <c r="E2416" s="264"/>
      <c r="G2416" s="264"/>
    </row>
    <row r="2417" spans="5:7">
      <c r="E2417" s="264"/>
      <c r="G2417" s="264"/>
    </row>
    <row r="2418" spans="5:7">
      <c r="E2418" s="264"/>
      <c r="G2418" s="264"/>
    </row>
    <row r="2419" spans="5:7">
      <c r="E2419" s="264"/>
      <c r="G2419" s="264"/>
    </row>
    <row r="2420" spans="5:7">
      <c r="E2420" s="264"/>
      <c r="G2420" s="264"/>
    </row>
    <row r="2421" spans="5:7">
      <c r="E2421" s="264"/>
      <c r="G2421" s="264"/>
    </row>
    <row r="2422" spans="5:7">
      <c r="E2422" s="264"/>
      <c r="G2422" s="264"/>
    </row>
    <row r="2423" spans="5:7">
      <c r="E2423" s="264"/>
      <c r="G2423" s="264"/>
    </row>
    <row r="2424" spans="5:7">
      <c r="E2424" s="264"/>
      <c r="G2424" s="264"/>
    </row>
    <row r="2425" spans="5:7">
      <c r="E2425" s="264"/>
      <c r="G2425" s="264"/>
    </row>
    <row r="2426" spans="5:7">
      <c r="E2426" s="264"/>
      <c r="G2426" s="264"/>
    </row>
    <row r="2427" spans="5:7">
      <c r="E2427" s="264"/>
      <c r="G2427" s="264"/>
    </row>
    <row r="2428" spans="5:7">
      <c r="E2428" s="264"/>
      <c r="G2428" s="264"/>
    </row>
    <row r="2429" spans="5:7">
      <c r="E2429" s="264"/>
      <c r="G2429" s="264"/>
    </row>
    <row r="2430" spans="5:7">
      <c r="E2430" s="264"/>
      <c r="G2430" s="264"/>
    </row>
    <row r="2431" spans="5:7">
      <c r="E2431" s="264"/>
      <c r="G2431" s="264"/>
    </row>
    <row r="2432" spans="5:7">
      <c r="E2432" s="264"/>
      <c r="G2432" s="264"/>
    </row>
    <row r="2433" spans="5:7">
      <c r="E2433" s="264"/>
      <c r="G2433" s="264"/>
    </row>
    <row r="2434" spans="5:7">
      <c r="E2434" s="264"/>
      <c r="G2434" s="264"/>
    </row>
    <row r="2435" spans="5:7">
      <c r="E2435" s="264"/>
      <c r="G2435" s="264"/>
    </row>
    <row r="2436" spans="5:7">
      <c r="E2436" s="264"/>
      <c r="G2436" s="264"/>
    </row>
    <row r="2437" spans="5:7">
      <c r="E2437" s="264"/>
      <c r="G2437" s="264"/>
    </row>
    <row r="2438" spans="5:7">
      <c r="E2438" s="264"/>
      <c r="G2438" s="264"/>
    </row>
    <row r="2439" spans="5:7">
      <c r="E2439" s="264"/>
      <c r="G2439" s="264"/>
    </row>
    <row r="2440" spans="5:7">
      <c r="E2440" s="264"/>
      <c r="G2440" s="264"/>
    </row>
    <row r="2441" spans="5:7">
      <c r="E2441" s="264"/>
      <c r="G2441" s="264"/>
    </row>
    <row r="2442" spans="5:7">
      <c r="E2442" s="264"/>
      <c r="G2442" s="264"/>
    </row>
    <row r="2443" spans="5:7">
      <c r="E2443" s="264"/>
      <c r="G2443" s="264"/>
    </row>
    <row r="2444" spans="5:7">
      <c r="E2444" s="264"/>
      <c r="G2444" s="264"/>
    </row>
    <row r="2445" spans="5:7">
      <c r="E2445" s="264"/>
      <c r="G2445" s="264"/>
    </row>
    <row r="2446" spans="5:7">
      <c r="E2446" s="264"/>
      <c r="G2446" s="264"/>
    </row>
    <row r="2447" spans="5:7">
      <c r="E2447" s="264"/>
      <c r="G2447" s="264"/>
    </row>
    <row r="2448" spans="5:7">
      <c r="E2448" s="264"/>
      <c r="G2448" s="264"/>
    </row>
    <row r="2449" spans="5:7">
      <c r="E2449" s="264"/>
      <c r="G2449" s="264"/>
    </row>
    <row r="2450" spans="5:7">
      <c r="E2450" s="264"/>
      <c r="G2450" s="264"/>
    </row>
    <row r="2451" spans="5:7">
      <c r="E2451" s="264"/>
      <c r="G2451" s="264"/>
    </row>
    <row r="2452" spans="5:7">
      <c r="E2452" s="264"/>
      <c r="G2452" s="264"/>
    </row>
    <row r="2453" spans="5:7">
      <c r="E2453" s="264"/>
      <c r="G2453" s="264"/>
    </row>
    <row r="2454" spans="5:7">
      <c r="E2454" s="264"/>
      <c r="G2454" s="264"/>
    </row>
    <row r="2455" spans="5:7">
      <c r="E2455" s="264"/>
      <c r="G2455" s="264"/>
    </row>
    <row r="2456" spans="5:7">
      <c r="E2456" s="264"/>
      <c r="G2456" s="264"/>
    </row>
    <row r="2457" spans="5:7">
      <c r="E2457" s="264"/>
      <c r="G2457" s="264"/>
    </row>
    <row r="2458" spans="5:7">
      <c r="E2458" s="264"/>
      <c r="G2458" s="264"/>
    </row>
    <row r="2459" spans="5:7">
      <c r="E2459" s="264"/>
      <c r="G2459" s="264"/>
    </row>
    <row r="2460" spans="5:7">
      <c r="E2460" s="264"/>
      <c r="G2460" s="264"/>
    </row>
    <row r="2461" spans="5:7">
      <c r="E2461" s="264"/>
      <c r="G2461" s="264"/>
    </row>
    <row r="2462" spans="5:7">
      <c r="E2462" s="264"/>
      <c r="G2462" s="264"/>
    </row>
    <row r="2463" spans="5:7">
      <c r="E2463" s="264"/>
      <c r="G2463" s="264"/>
    </row>
    <row r="2464" spans="5:7">
      <c r="E2464" s="264"/>
      <c r="G2464" s="264"/>
    </row>
    <row r="2465" spans="5:7">
      <c r="E2465" s="264"/>
      <c r="G2465" s="264"/>
    </row>
    <row r="2466" spans="5:7">
      <c r="E2466" s="264"/>
      <c r="G2466" s="264"/>
    </row>
    <row r="2467" spans="5:7">
      <c r="E2467" s="264"/>
      <c r="G2467" s="264"/>
    </row>
    <row r="2468" spans="5:7">
      <c r="E2468" s="264"/>
      <c r="G2468" s="264"/>
    </row>
    <row r="2469" spans="5:7">
      <c r="E2469" s="264"/>
      <c r="G2469" s="264"/>
    </row>
    <row r="2470" spans="5:7">
      <c r="E2470" s="264"/>
      <c r="G2470" s="264"/>
    </row>
    <row r="2471" spans="5:7">
      <c r="E2471" s="264"/>
      <c r="G2471" s="264"/>
    </row>
    <row r="2472" spans="5:7">
      <c r="E2472" s="264"/>
      <c r="G2472" s="264"/>
    </row>
    <row r="2473" spans="5:7">
      <c r="E2473" s="264"/>
      <c r="G2473" s="264"/>
    </row>
    <row r="2474" spans="5:7">
      <c r="E2474" s="264"/>
      <c r="G2474" s="264"/>
    </row>
    <row r="2475" spans="5:7">
      <c r="E2475" s="264"/>
      <c r="G2475" s="264"/>
    </row>
    <row r="2476" spans="5:7">
      <c r="E2476" s="264"/>
      <c r="G2476" s="264"/>
    </row>
    <row r="2477" spans="5:7">
      <c r="E2477" s="264"/>
      <c r="G2477" s="264"/>
    </row>
    <row r="2478" spans="5:7">
      <c r="E2478" s="264"/>
      <c r="G2478" s="264"/>
    </row>
    <row r="2479" spans="5:7">
      <c r="E2479" s="264"/>
      <c r="G2479" s="264"/>
    </row>
    <row r="2480" spans="5:7">
      <c r="E2480" s="264"/>
      <c r="G2480" s="264"/>
    </row>
    <row r="2481" spans="5:7">
      <c r="E2481" s="264"/>
      <c r="G2481" s="264"/>
    </row>
    <row r="2482" spans="5:7">
      <c r="E2482" s="264"/>
      <c r="G2482" s="264"/>
    </row>
    <row r="2483" spans="5:7">
      <c r="E2483" s="264"/>
      <c r="G2483" s="264"/>
    </row>
    <row r="2484" spans="5:7">
      <c r="E2484" s="264"/>
      <c r="G2484" s="264"/>
    </row>
    <row r="2485" spans="5:7">
      <c r="E2485" s="264"/>
      <c r="G2485" s="264"/>
    </row>
    <row r="2486" spans="5:7">
      <c r="E2486" s="264"/>
      <c r="G2486" s="264"/>
    </row>
    <row r="2487" spans="5:7">
      <c r="E2487" s="264"/>
      <c r="G2487" s="264"/>
    </row>
    <row r="2488" spans="5:7">
      <c r="E2488" s="264"/>
      <c r="G2488" s="264"/>
    </row>
    <row r="2489" spans="5:7">
      <c r="E2489" s="264"/>
      <c r="G2489" s="264"/>
    </row>
    <row r="2490" spans="5:7">
      <c r="E2490" s="264"/>
      <c r="G2490" s="264"/>
    </row>
    <row r="2491" spans="5:7">
      <c r="E2491" s="264"/>
      <c r="G2491" s="264"/>
    </row>
    <row r="2492" spans="5:7">
      <c r="E2492" s="264"/>
      <c r="G2492" s="264"/>
    </row>
    <row r="2493" spans="5:7">
      <c r="E2493" s="264"/>
      <c r="G2493" s="264"/>
    </row>
    <row r="2494" spans="5:7">
      <c r="E2494" s="264"/>
      <c r="G2494" s="264"/>
    </row>
    <row r="2495" spans="5:7">
      <c r="E2495" s="264"/>
      <c r="G2495" s="264"/>
    </row>
    <row r="2496" spans="5:7">
      <c r="E2496" s="264"/>
      <c r="G2496" s="264"/>
    </row>
    <row r="2497" spans="5:7">
      <c r="E2497" s="264"/>
      <c r="G2497" s="264"/>
    </row>
    <row r="2498" spans="5:7">
      <c r="E2498" s="264"/>
      <c r="G2498" s="264"/>
    </row>
    <row r="2499" spans="5:7">
      <c r="E2499" s="264"/>
      <c r="G2499" s="264"/>
    </row>
    <row r="2500" spans="5:7">
      <c r="E2500" s="264"/>
      <c r="G2500" s="264"/>
    </row>
    <row r="2501" spans="5:7">
      <c r="E2501" s="264"/>
      <c r="G2501" s="264"/>
    </row>
    <row r="2502" spans="5:7">
      <c r="E2502" s="264"/>
      <c r="G2502" s="264"/>
    </row>
    <row r="2503" spans="5:7">
      <c r="E2503" s="264"/>
      <c r="G2503" s="264"/>
    </row>
    <row r="2504" spans="5:7">
      <c r="E2504" s="264"/>
      <c r="G2504" s="264"/>
    </row>
    <row r="2505" spans="5:7">
      <c r="E2505" s="264"/>
      <c r="G2505" s="264"/>
    </row>
    <row r="2506" spans="5:7">
      <c r="E2506" s="264"/>
      <c r="G2506" s="264"/>
    </row>
    <row r="2507" spans="5:7">
      <c r="E2507" s="264"/>
      <c r="G2507" s="264"/>
    </row>
    <row r="2508" spans="5:7">
      <c r="E2508" s="264"/>
      <c r="G2508" s="264"/>
    </row>
    <row r="2509" spans="5:7">
      <c r="E2509" s="264"/>
      <c r="G2509" s="264"/>
    </row>
    <row r="2510" spans="5:7">
      <c r="E2510" s="264"/>
      <c r="G2510" s="264"/>
    </row>
    <row r="2511" spans="5:7">
      <c r="E2511" s="264"/>
      <c r="G2511" s="264"/>
    </row>
    <row r="2512" spans="5:7">
      <c r="E2512" s="264"/>
      <c r="G2512" s="264"/>
    </row>
    <row r="2513" spans="5:7">
      <c r="E2513" s="264"/>
      <c r="G2513" s="264"/>
    </row>
    <row r="2514" spans="5:7">
      <c r="E2514" s="264"/>
      <c r="G2514" s="264"/>
    </row>
    <row r="2515" spans="5:7">
      <c r="E2515" s="264"/>
      <c r="G2515" s="264"/>
    </row>
    <row r="2516" spans="5:7">
      <c r="E2516" s="264"/>
      <c r="G2516" s="264"/>
    </row>
    <row r="2517" spans="5:7">
      <c r="E2517" s="264"/>
      <c r="G2517" s="264"/>
    </row>
    <row r="2518" spans="5:7">
      <c r="E2518" s="264"/>
      <c r="G2518" s="264"/>
    </row>
    <row r="2519" spans="5:7">
      <c r="E2519" s="264"/>
      <c r="G2519" s="264"/>
    </row>
    <row r="2520" spans="5:7">
      <c r="E2520" s="264"/>
      <c r="G2520" s="264"/>
    </row>
    <row r="2521" spans="5:7">
      <c r="E2521" s="264"/>
      <c r="G2521" s="264"/>
    </row>
    <row r="2522" spans="5:7">
      <c r="E2522" s="264"/>
      <c r="G2522" s="264"/>
    </row>
    <row r="2523" spans="5:7">
      <c r="E2523" s="264"/>
      <c r="G2523" s="264"/>
    </row>
    <row r="2524" spans="5:7">
      <c r="E2524" s="264"/>
      <c r="G2524" s="264"/>
    </row>
    <row r="2525" spans="5:7">
      <c r="E2525" s="264"/>
      <c r="G2525" s="264"/>
    </row>
    <row r="2526" spans="5:7">
      <c r="E2526" s="264"/>
      <c r="G2526" s="264"/>
    </row>
    <row r="2527" spans="5:7">
      <c r="E2527" s="264"/>
      <c r="G2527" s="264"/>
    </row>
    <row r="2528" spans="5:7">
      <c r="E2528" s="264"/>
      <c r="G2528" s="264"/>
    </row>
    <row r="2529" spans="5:7">
      <c r="E2529" s="264"/>
      <c r="G2529" s="264"/>
    </row>
    <row r="2530" spans="5:7">
      <c r="E2530" s="264"/>
      <c r="G2530" s="264"/>
    </row>
    <row r="2531" spans="5:7">
      <c r="E2531" s="264"/>
      <c r="G2531" s="264"/>
    </row>
    <row r="2532" spans="5:7">
      <c r="E2532" s="264"/>
      <c r="G2532" s="264"/>
    </row>
    <row r="2533" spans="5:7">
      <c r="E2533" s="264"/>
      <c r="G2533" s="264"/>
    </row>
    <row r="2534" spans="5:7">
      <c r="E2534" s="264"/>
      <c r="G2534" s="264"/>
    </row>
    <row r="2535" spans="5:7">
      <c r="E2535" s="264"/>
      <c r="G2535" s="264"/>
    </row>
    <row r="2536" spans="5:7">
      <c r="E2536" s="264"/>
      <c r="G2536" s="264"/>
    </row>
    <row r="2537" spans="5:7">
      <c r="E2537" s="264"/>
      <c r="G2537" s="264"/>
    </row>
    <row r="2538" spans="5:7">
      <c r="E2538" s="264"/>
      <c r="G2538" s="264"/>
    </row>
    <row r="2539" spans="5:7">
      <c r="E2539" s="264"/>
      <c r="G2539" s="264"/>
    </row>
    <row r="2540" spans="5:7">
      <c r="E2540" s="264"/>
      <c r="G2540" s="264"/>
    </row>
    <row r="2541" spans="5:7">
      <c r="E2541" s="264"/>
      <c r="G2541" s="264"/>
    </row>
    <row r="2542" spans="5:7">
      <c r="E2542" s="264"/>
      <c r="G2542" s="264"/>
    </row>
    <row r="2543" spans="5:7">
      <c r="E2543" s="264"/>
      <c r="G2543" s="264"/>
    </row>
    <row r="2544" spans="5:7">
      <c r="E2544" s="264"/>
      <c r="G2544" s="264"/>
    </row>
    <row r="2545" spans="5:7">
      <c r="E2545" s="264"/>
      <c r="G2545" s="264"/>
    </row>
    <row r="2546" spans="5:7">
      <c r="E2546" s="264"/>
      <c r="G2546" s="264"/>
    </row>
    <row r="2547" spans="5:7">
      <c r="E2547" s="264"/>
      <c r="G2547" s="264"/>
    </row>
    <row r="2548" spans="5:7">
      <c r="E2548" s="264"/>
      <c r="G2548" s="264"/>
    </row>
    <row r="2549" spans="5:7">
      <c r="E2549" s="264"/>
      <c r="G2549" s="264"/>
    </row>
    <row r="2550" spans="5:7">
      <c r="E2550" s="264"/>
      <c r="G2550" s="264"/>
    </row>
    <row r="2551" spans="5:7">
      <c r="E2551" s="264"/>
      <c r="G2551" s="264"/>
    </row>
    <row r="2552" spans="5:7">
      <c r="E2552" s="264"/>
      <c r="G2552" s="264"/>
    </row>
    <row r="2553" spans="5:7">
      <c r="E2553" s="264"/>
      <c r="G2553" s="264"/>
    </row>
    <row r="2554" spans="5:7">
      <c r="E2554" s="264"/>
      <c r="G2554" s="264"/>
    </row>
    <row r="2555" spans="5:7">
      <c r="E2555" s="264"/>
      <c r="G2555" s="264"/>
    </row>
    <row r="2556" spans="5:7">
      <c r="E2556" s="264"/>
      <c r="G2556" s="264"/>
    </row>
    <row r="2557" spans="5:7">
      <c r="E2557" s="264"/>
      <c r="G2557" s="264"/>
    </row>
    <row r="2558" spans="5:7">
      <c r="E2558" s="264"/>
      <c r="G2558" s="264"/>
    </row>
    <row r="2559" spans="5:7">
      <c r="E2559" s="264"/>
      <c r="G2559" s="264"/>
    </row>
    <row r="2560" spans="5:7">
      <c r="E2560" s="264"/>
      <c r="G2560" s="264"/>
    </row>
    <row r="2561" spans="5:7">
      <c r="E2561" s="264"/>
      <c r="G2561" s="264"/>
    </row>
    <row r="2562" spans="5:7">
      <c r="E2562" s="264"/>
      <c r="G2562" s="264"/>
    </row>
    <row r="2563" spans="5:7">
      <c r="E2563" s="264"/>
      <c r="G2563" s="264"/>
    </row>
    <row r="2564" spans="5:7">
      <c r="E2564" s="264"/>
      <c r="G2564" s="264"/>
    </row>
    <row r="2565" spans="5:7">
      <c r="E2565" s="264"/>
      <c r="G2565" s="264"/>
    </row>
    <row r="2566" spans="5:7">
      <c r="E2566" s="264"/>
      <c r="G2566" s="264"/>
    </row>
    <row r="2567" spans="5:7">
      <c r="E2567" s="264"/>
      <c r="G2567" s="264"/>
    </row>
    <row r="2568" spans="5:7">
      <c r="E2568" s="264"/>
      <c r="G2568" s="264"/>
    </row>
    <row r="2569" spans="5:7">
      <c r="E2569" s="264"/>
      <c r="G2569" s="264"/>
    </row>
    <row r="2570" spans="5:7">
      <c r="E2570" s="264"/>
      <c r="G2570" s="264"/>
    </row>
    <row r="2571" spans="5:7">
      <c r="E2571" s="264"/>
      <c r="G2571" s="264"/>
    </row>
    <row r="2572" spans="5:7">
      <c r="E2572" s="264"/>
      <c r="G2572" s="264"/>
    </row>
    <row r="2573" spans="5:7">
      <c r="E2573" s="264"/>
      <c r="G2573" s="264"/>
    </row>
    <row r="2574" spans="5:7">
      <c r="E2574" s="264"/>
      <c r="G2574" s="264"/>
    </row>
    <row r="2575" spans="5:7">
      <c r="E2575" s="264"/>
      <c r="G2575" s="264"/>
    </row>
    <row r="2576" spans="5:7">
      <c r="E2576" s="264"/>
      <c r="G2576" s="264"/>
    </row>
    <row r="2577" spans="5:7">
      <c r="E2577" s="264"/>
      <c r="G2577" s="264"/>
    </row>
    <row r="2578" spans="5:7">
      <c r="E2578" s="264"/>
      <c r="G2578" s="264"/>
    </row>
    <row r="2579" spans="5:7">
      <c r="E2579" s="264"/>
      <c r="G2579" s="264"/>
    </row>
    <row r="2580" spans="5:7">
      <c r="E2580" s="264"/>
      <c r="G2580" s="264"/>
    </row>
    <row r="2581" spans="5:7">
      <c r="E2581" s="264"/>
      <c r="G2581" s="264"/>
    </row>
    <row r="2582" spans="5:7">
      <c r="E2582" s="264"/>
      <c r="G2582" s="264"/>
    </row>
    <row r="2583" spans="5:7">
      <c r="E2583" s="264"/>
      <c r="G2583" s="264"/>
    </row>
    <row r="2584" spans="5:7">
      <c r="E2584" s="264"/>
      <c r="G2584" s="264"/>
    </row>
    <row r="2585" spans="5:7">
      <c r="E2585" s="264"/>
      <c r="G2585" s="264"/>
    </row>
    <row r="2586" spans="5:7">
      <c r="E2586" s="264"/>
      <c r="G2586" s="264"/>
    </row>
    <row r="2587" spans="5:7">
      <c r="E2587" s="264"/>
      <c r="G2587" s="264"/>
    </row>
    <row r="2588" spans="5:7">
      <c r="E2588" s="264"/>
      <c r="G2588" s="264"/>
    </row>
    <row r="2589" spans="5:7">
      <c r="E2589" s="264"/>
      <c r="G2589" s="264"/>
    </row>
    <row r="2590" spans="5:7">
      <c r="E2590" s="264"/>
      <c r="G2590" s="264"/>
    </row>
    <row r="2591" spans="5:7">
      <c r="E2591" s="264"/>
      <c r="G2591" s="264"/>
    </row>
    <row r="2592" spans="5:7">
      <c r="E2592" s="264"/>
      <c r="G2592" s="264"/>
    </row>
    <row r="2593" spans="5:7">
      <c r="E2593" s="264"/>
      <c r="G2593" s="264"/>
    </row>
    <row r="2594" spans="5:7">
      <c r="E2594" s="264"/>
      <c r="G2594" s="264"/>
    </row>
    <row r="2595" spans="5:7">
      <c r="E2595" s="264"/>
      <c r="G2595" s="264"/>
    </row>
    <row r="2596" spans="5:7">
      <c r="E2596" s="264"/>
      <c r="G2596" s="264"/>
    </row>
    <row r="2597" spans="5:7">
      <c r="E2597" s="264"/>
      <c r="G2597" s="264"/>
    </row>
    <row r="2598" spans="5:7">
      <c r="E2598" s="264"/>
      <c r="G2598" s="264"/>
    </row>
    <row r="2599" spans="5:7">
      <c r="E2599" s="264"/>
      <c r="G2599" s="264"/>
    </row>
    <row r="2600" spans="5:7">
      <c r="E2600" s="264"/>
      <c r="G2600" s="264"/>
    </row>
    <row r="2601" spans="5:7">
      <c r="E2601" s="264"/>
      <c r="G2601" s="264"/>
    </row>
    <row r="2602" spans="5:7">
      <c r="E2602" s="264"/>
      <c r="G2602" s="264"/>
    </row>
    <row r="2603" spans="5:7">
      <c r="E2603" s="264"/>
      <c r="G2603" s="264"/>
    </row>
    <row r="2604" spans="5:7">
      <c r="E2604" s="264"/>
      <c r="G2604" s="264"/>
    </row>
    <row r="2605" spans="5:7">
      <c r="E2605" s="264"/>
      <c r="G2605" s="264"/>
    </row>
    <row r="2606" spans="5:7">
      <c r="E2606" s="264"/>
      <c r="G2606" s="264"/>
    </row>
    <row r="2607" spans="5:7">
      <c r="E2607" s="264"/>
      <c r="G2607" s="264"/>
    </row>
    <row r="2608" spans="5:7">
      <c r="E2608" s="264"/>
      <c r="G2608" s="264"/>
    </row>
    <row r="2609" spans="5:7">
      <c r="E2609" s="264"/>
      <c r="G2609" s="264"/>
    </row>
    <row r="2610" spans="5:7">
      <c r="E2610" s="264"/>
      <c r="G2610" s="264"/>
    </row>
    <row r="2611" spans="5:7">
      <c r="E2611" s="264"/>
      <c r="G2611" s="264"/>
    </row>
    <row r="2612" spans="5:7">
      <c r="E2612" s="264"/>
      <c r="G2612" s="264"/>
    </row>
    <row r="2613" spans="5:7">
      <c r="E2613" s="264"/>
      <c r="G2613" s="264"/>
    </row>
    <row r="2614" spans="5:7">
      <c r="E2614" s="264"/>
      <c r="G2614" s="264"/>
    </row>
    <row r="2615" spans="5:7">
      <c r="E2615" s="264"/>
      <c r="G2615" s="264"/>
    </row>
    <row r="2616" spans="5:7">
      <c r="E2616" s="264"/>
      <c r="G2616" s="264"/>
    </row>
    <row r="2617" spans="5:7">
      <c r="E2617" s="264"/>
      <c r="G2617" s="264"/>
    </row>
    <row r="2618" spans="5:7">
      <c r="E2618" s="264"/>
      <c r="G2618" s="264"/>
    </row>
    <row r="2619" spans="5:7">
      <c r="E2619" s="264"/>
      <c r="G2619" s="264"/>
    </row>
    <row r="2620" spans="5:7">
      <c r="E2620" s="264"/>
      <c r="G2620" s="264"/>
    </row>
    <row r="2621" spans="5:7">
      <c r="E2621" s="264"/>
      <c r="G2621" s="264"/>
    </row>
    <row r="2622" spans="5:7">
      <c r="E2622" s="264"/>
      <c r="G2622" s="264"/>
    </row>
    <row r="2623" spans="5:7">
      <c r="E2623" s="264"/>
      <c r="G2623" s="264"/>
    </row>
    <row r="2624" spans="5:7">
      <c r="E2624" s="264"/>
      <c r="G2624" s="264"/>
    </row>
    <row r="2625" spans="5:7">
      <c r="E2625" s="264"/>
      <c r="G2625" s="264"/>
    </row>
    <row r="2626" spans="5:7">
      <c r="E2626" s="264"/>
      <c r="G2626" s="264"/>
    </row>
    <row r="2627" spans="5:7">
      <c r="E2627" s="264"/>
      <c r="G2627" s="264"/>
    </row>
    <row r="2628" spans="5:7">
      <c r="E2628" s="264"/>
      <c r="G2628" s="264"/>
    </row>
    <row r="2629" spans="5:7">
      <c r="E2629" s="264"/>
      <c r="G2629" s="264"/>
    </row>
    <row r="2630" spans="5:7">
      <c r="E2630" s="264"/>
      <c r="G2630" s="264"/>
    </row>
    <row r="2631" spans="5:7">
      <c r="E2631" s="264"/>
      <c r="G2631" s="264"/>
    </row>
    <row r="2632" spans="5:7">
      <c r="E2632" s="264"/>
      <c r="G2632" s="264"/>
    </row>
    <row r="2633" spans="5:7">
      <c r="E2633" s="264"/>
      <c r="G2633" s="264"/>
    </row>
    <row r="2634" spans="5:7">
      <c r="E2634" s="264"/>
      <c r="G2634" s="264"/>
    </row>
    <row r="2635" spans="5:7">
      <c r="E2635" s="264"/>
      <c r="G2635" s="264"/>
    </row>
    <row r="2636" spans="5:7">
      <c r="E2636" s="264"/>
      <c r="G2636" s="264"/>
    </row>
    <row r="2637" spans="5:7">
      <c r="E2637" s="264"/>
      <c r="G2637" s="264"/>
    </row>
    <row r="2638" spans="5:7">
      <c r="E2638" s="264"/>
      <c r="G2638" s="264"/>
    </row>
    <row r="2639" spans="5:7">
      <c r="E2639" s="264"/>
      <c r="G2639" s="264"/>
    </row>
    <row r="2640" spans="5:7">
      <c r="E2640" s="264"/>
      <c r="G2640" s="264"/>
    </row>
    <row r="2641" spans="5:7">
      <c r="E2641" s="264"/>
      <c r="G2641" s="264"/>
    </row>
    <row r="2642" spans="5:7">
      <c r="E2642" s="264"/>
      <c r="G2642" s="264"/>
    </row>
    <row r="2643" spans="5:7">
      <c r="E2643" s="264"/>
      <c r="G2643" s="264"/>
    </row>
    <row r="2644" spans="5:7">
      <c r="E2644" s="264"/>
      <c r="G2644" s="264"/>
    </row>
    <row r="2645" spans="5:7">
      <c r="E2645" s="264"/>
      <c r="G2645" s="264"/>
    </row>
    <row r="2646" spans="5:7">
      <c r="E2646" s="264"/>
      <c r="G2646" s="264"/>
    </row>
    <row r="2647" spans="5:7">
      <c r="E2647" s="264"/>
      <c r="G2647" s="264"/>
    </row>
    <row r="2648" spans="5:7">
      <c r="E2648" s="264"/>
      <c r="G2648" s="264"/>
    </row>
    <row r="2649" spans="5:7">
      <c r="E2649" s="264"/>
      <c r="G2649" s="264"/>
    </row>
    <row r="2650" spans="5:7">
      <c r="E2650" s="264"/>
      <c r="G2650" s="264"/>
    </row>
    <row r="2651" spans="5:7">
      <c r="E2651" s="264"/>
      <c r="G2651" s="264"/>
    </row>
    <row r="2652" spans="5:7">
      <c r="E2652" s="264"/>
      <c r="G2652" s="264"/>
    </row>
    <row r="2653" spans="5:7">
      <c r="E2653" s="264"/>
      <c r="G2653" s="264"/>
    </row>
    <row r="2654" spans="5:7">
      <c r="E2654" s="264"/>
      <c r="G2654" s="264"/>
    </row>
    <row r="2655" spans="5:7">
      <c r="E2655" s="264"/>
      <c r="G2655" s="264"/>
    </row>
    <row r="2656" spans="5:7">
      <c r="E2656" s="264"/>
      <c r="G2656" s="264"/>
    </row>
    <row r="2657" spans="5:7">
      <c r="E2657" s="264"/>
      <c r="G2657" s="264"/>
    </row>
    <row r="2658" spans="5:7">
      <c r="E2658" s="264"/>
      <c r="G2658" s="264"/>
    </row>
    <row r="2659" spans="5:7">
      <c r="E2659" s="264"/>
      <c r="G2659" s="264"/>
    </row>
    <row r="2660" spans="5:7">
      <c r="E2660" s="264"/>
      <c r="G2660" s="264"/>
    </row>
    <row r="2661" spans="5:7">
      <c r="E2661" s="264"/>
      <c r="G2661" s="264"/>
    </row>
    <row r="2662" spans="5:7">
      <c r="E2662" s="264"/>
      <c r="G2662" s="264"/>
    </row>
    <row r="2663" spans="5:7">
      <c r="E2663" s="264"/>
      <c r="G2663" s="264"/>
    </row>
    <row r="2664" spans="5:7">
      <c r="E2664" s="264"/>
      <c r="G2664" s="264"/>
    </row>
    <row r="2665" spans="5:7">
      <c r="E2665" s="264"/>
      <c r="G2665" s="264"/>
    </row>
    <row r="2666" spans="5:7">
      <c r="E2666" s="264"/>
      <c r="G2666" s="264"/>
    </row>
    <row r="2667" spans="5:7">
      <c r="E2667" s="264"/>
      <c r="G2667" s="264"/>
    </row>
    <row r="2668" spans="5:7">
      <c r="E2668" s="264"/>
      <c r="G2668" s="264"/>
    </row>
    <row r="2669" spans="5:7">
      <c r="E2669" s="264"/>
      <c r="G2669" s="264"/>
    </row>
    <row r="2670" spans="5:7">
      <c r="E2670" s="264"/>
      <c r="G2670" s="264"/>
    </row>
    <row r="2671" spans="5:7">
      <c r="E2671" s="264"/>
      <c r="G2671" s="264"/>
    </row>
    <row r="2672" spans="5:7">
      <c r="E2672" s="264"/>
      <c r="G2672" s="264"/>
    </row>
    <row r="2673" spans="5:7">
      <c r="E2673" s="264"/>
      <c r="G2673" s="264"/>
    </row>
    <row r="2674" spans="5:7">
      <c r="E2674" s="264"/>
      <c r="G2674" s="264"/>
    </row>
    <row r="2675" spans="5:7">
      <c r="E2675" s="264"/>
      <c r="G2675" s="264"/>
    </row>
    <row r="2676" spans="5:7">
      <c r="E2676" s="264"/>
      <c r="G2676" s="264"/>
    </row>
    <row r="2677" spans="5:7">
      <c r="E2677" s="264"/>
      <c r="G2677" s="264"/>
    </row>
    <row r="2678" spans="5:7">
      <c r="E2678" s="264"/>
      <c r="G2678" s="264"/>
    </row>
    <row r="2679" spans="5:7">
      <c r="E2679" s="264"/>
      <c r="G2679" s="264"/>
    </row>
    <row r="2680" spans="5:7">
      <c r="E2680" s="264"/>
      <c r="G2680" s="264"/>
    </row>
    <row r="2681" spans="5:7">
      <c r="E2681" s="264"/>
      <c r="G2681" s="264"/>
    </row>
    <row r="2682" spans="5:7">
      <c r="E2682" s="264"/>
      <c r="G2682" s="264"/>
    </row>
    <row r="2683" spans="5:7">
      <c r="E2683" s="264"/>
      <c r="G2683" s="264"/>
    </row>
    <row r="2684" spans="5:7">
      <c r="E2684" s="264"/>
      <c r="G2684" s="264"/>
    </row>
    <row r="2685" spans="5:7">
      <c r="E2685" s="264"/>
      <c r="G2685" s="264"/>
    </row>
    <row r="2686" spans="5:7">
      <c r="E2686" s="264"/>
      <c r="G2686" s="264"/>
    </row>
    <row r="2687" spans="5:7">
      <c r="E2687" s="264"/>
      <c r="G2687" s="264"/>
    </row>
    <row r="2688" spans="5:7">
      <c r="E2688" s="264"/>
      <c r="G2688" s="264"/>
    </row>
    <row r="2689" spans="5:7">
      <c r="E2689" s="264"/>
      <c r="G2689" s="264"/>
    </row>
    <row r="2690" spans="5:7">
      <c r="E2690" s="264"/>
      <c r="G2690" s="264"/>
    </row>
    <row r="2691" spans="5:7">
      <c r="E2691" s="264"/>
      <c r="G2691" s="264"/>
    </row>
    <row r="2692" spans="5:7">
      <c r="E2692" s="264"/>
      <c r="G2692" s="264"/>
    </row>
    <row r="2693" spans="5:7">
      <c r="E2693" s="264"/>
      <c r="G2693" s="264"/>
    </row>
    <row r="2694" spans="5:7">
      <c r="E2694" s="264"/>
      <c r="G2694" s="264"/>
    </row>
    <row r="2695" spans="5:7">
      <c r="E2695" s="264"/>
      <c r="G2695" s="264"/>
    </row>
    <row r="2696" spans="5:7">
      <c r="E2696" s="264"/>
      <c r="G2696" s="264"/>
    </row>
    <row r="2697" spans="5:7">
      <c r="E2697" s="264"/>
      <c r="G2697" s="264"/>
    </row>
    <row r="2698" spans="5:7">
      <c r="E2698" s="264"/>
      <c r="G2698" s="264"/>
    </row>
    <row r="2699" spans="5:7">
      <c r="E2699" s="264"/>
      <c r="G2699" s="264"/>
    </row>
    <row r="2700" spans="5:7">
      <c r="E2700" s="264"/>
      <c r="G2700" s="264"/>
    </row>
    <row r="2701" spans="5:7">
      <c r="E2701" s="264"/>
      <c r="G2701" s="264"/>
    </row>
    <row r="2702" spans="5:7">
      <c r="E2702" s="264"/>
      <c r="G2702" s="264"/>
    </row>
    <row r="2703" spans="5:7">
      <c r="E2703" s="264"/>
      <c r="G2703" s="264"/>
    </row>
    <row r="2704" spans="5:7">
      <c r="E2704" s="264"/>
      <c r="G2704" s="264"/>
    </row>
    <row r="2705" spans="5:7">
      <c r="E2705" s="264"/>
      <c r="G2705" s="264"/>
    </row>
    <row r="2706" spans="5:7">
      <c r="E2706" s="264"/>
      <c r="G2706" s="264"/>
    </row>
    <row r="2707" spans="5:7">
      <c r="E2707" s="264"/>
      <c r="G2707" s="264"/>
    </row>
    <row r="2708" spans="5:7">
      <c r="E2708" s="264"/>
      <c r="G2708" s="264"/>
    </row>
    <row r="2709" spans="5:7">
      <c r="E2709" s="264"/>
      <c r="G2709" s="264"/>
    </row>
    <row r="2710" spans="5:7">
      <c r="E2710" s="264"/>
      <c r="G2710" s="264"/>
    </row>
    <row r="2711" spans="5:7">
      <c r="E2711" s="264"/>
      <c r="G2711" s="264"/>
    </row>
    <row r="2712" spans="5:7">
      <c r="E2712" s="264"/>
      <c r="G2712" s="264"/>
    </row>
    <row r="2713" spans="5:7">
      <c r="E2713" s="264"/>
      <c r="G2713" s="264"/>
    </row>
    <row r="2714" spans="5:7">
      <c r="E2714" s="264"/>
      <c r="G2714" s="264"/>
    </row>
    <row r="2715" spans="5:7">
      <c r="E2715" s="264"/>
      <c r="G2715" s="264"/>
    </row>
    <row r="2716" spans="5:7">
      <c r="E2716" s="264"/>
      <c r="G2716" s="264"/>
    </row>
    <row r="2717" spans="5:7">
      <c r="E2717" s="264"/>
      <c r="G2717" s="264"/>
    </row>
    <row r="2718" spans="5:7">
      <c r="E2718" s="264"/>
      <c r="G2718" s="264"/>
    </row>
    <row r="2719" spans="5:7">
      <c r="E2719" s="264"/>
      <c r="G2719" s="264"/>
    </row>
    <row r="2720" spans="5:7">
      <c r="E2720" s="264"/>
      <c r="G2720" s="264"/>
    </row>
    <row r="2721" spans="5:7">
      <c r="E2721" s="264"/>
      <c r="G2721" s="264"/>
    </row>
    <row r="2722" spans="5:7">
      <c r="E2722" s="264"/>
      <c r="G2722" s="264"/>
    </row>
    <row r="2723" spans="5:7">
      <c r="E2723" s="264"/>
      <c r="G2723" s="264"/>
    </row>
    <row r="2724" spans="5:7">
      <c r="E2724" s="264"/>
      <c r="G2724" s="264"/>
    </row>
    <row r="2725" spans="5:7">
      <c r="E2725" s="264"/>
      <c r="G2725" s="264"/>
    </row>
    <row r="2726" spans="5:7">
      <c r="E2726" s="264"/>
      <c r="G2726" s="264"/>
    </row>
    <row r="2727" spans="5:7">
      <c r="E2727" s="264"/>
      <c r="G2727" s="264"/>
    </row>
    <row r="2728" spans="5:7">
      <c r="E2728" s="264"/>
      <c r="G2728" s="264"/>
    </row>
    <row r="2729" spans="5:7">
      <c r="E2729" s="264"/>
      <c r="G2729" s="264"/>
    </row>
    <row r="2730" spans="5:7">
      <c r="E2730" s="264"/>
      <c r="G2730" s="264"/>
    </row>
    <row r="2731" spans="5:7">
      <c r="E2731" s="264"/>
      <c r="G2731" s="264"/>
    </row>
    <row r="2732" spans="5:7">
      <c r="E2732" s="264"/>
      <c r="G2732" s="264"/>
    </row>
    <row r="2733" spans="5:7">
      <c r="E2733" s="264"/>
      <c r="G2733" s="264"/>
    </row>
    <row r="2734" spans="5:7">
      <c r="E2734" s="264"/>
      <c r="G2734" s="264"/>
    </row>
    <row r="2735" spans="5:7">
      <c r="E2735" s="264"/>
      <c r="G2735" s="264"/>
    </row>
    <row r="2736" spans="5:7">
      <c r="E2736" s="264"/>
      <c r="G2736" s="264"/>
    </row>
    <row r="2737" spans="5:7">
      <c r="E2737" s="264"/>
      <c r="G2737" s="264"/>
    </row>
    <row r="2738" spans="5:7">
      <c r="E2738" s="264"/>
      <c r="G2738" s="264"/>
    </row>
    <row r="2739" spans="5:7">
      <c r="E2739" s="264"/>
      <c r="G2739" s="264"/>
    </row>
    <row r="2740" spans="5:7">
      <c r="E2740" s="264"/>
      <c r="G2740" s="264"/>
    </row>
    <row r="2741" spans="5:7">
      <c r="E2741" s="264"/>
      <c r="G2741" s="264"/>
    </row>
    <row r="2742" spans="5:7">
      <c r="E2742" s="264"/>
      <c r="G2742" s="264"/>
    </row>
    <row r="2743" spans="5:7">
      <c r="E2743" s="264"/>
      <c r="G2743" s="264"/>
    </row>
    <row r="2744" spans="5:7">
      <c r="E2744" s="264"/>
      <c r="G2744" s="264"/>
    </row>
    <row r="2745" spans="5:7">
      <c r="E2745" s="264"/>
      <c r="G2745" s="264"/>
    </row>
    <row r="2746" spans="5:7">
      <c r="E2746" s="264"/>
      <c r="G2746" s="264"/>
    </row>
    <row r="2747" spans="5:7">
      <c r="E2747" s="264"/>
      <c r="G2747" s="264"/>
    </row>
    <row r="2748" spans="5:7">
      <c r="E2748" s="264"/>
      <c r="G2748" s="264"/>
    </row>
    <row r="2749" spans="5:7">
      <c r="E2749" s="264"/>
      <c r="G2749" s="264"/>
    </row>
    <row r="2750" spans="5:7">
      <c r="E2750" s="264"/>
      <c r="G2750" s="264"/>
    </row>
    <row r="2751" spans="5:7">
      <c r="E2751" s="264"/>
      <c r="G2751" s="264"/>
    </row>
    <row r="2752" spans="5:7">
      <c r="E2752" s="264"/>
      <c r="G2752" s="264"/>
    </row>
    <row r="2753" spans="5:7">
      <c r="E2753" s="264"/>
      <c r="G2753" s="264"/>
    </row>
    <row r="2754" spans="5:7">
      <c r="E2754" s="264"/>
      <c r="G2754" s="264"/>
    </row>
    <row r="2755" spans="5:7">
      <c r="E2755" s="264"/>
      <c r="G2755" s="264"/>
    </row>
    <row r="2756" spans="5:7">
      <c r="E2756" s="264"/>
      <c r="G2756" s="264"/>
    </row>
    <row r="2757" spans="5:7">
      <c r="E2757" s="264"/>
      <c r="G2757" s="264"/>
    </row>
    <row r="2758" spans="5:7">
      <c r="E2758" s="264"/>
      <c r="G2758" s="264"/>
    </row>
    <row r="2759" spans="5:7">
      <c r="E2759" s="264"/>
      <c r="G2759" s="264"/>
    </row>
    <row r="2760" spans="5:7">
      <c r="E2760" s="264"/>
      <c r="G2760" s="264"/>
    </row>
    <row r="2761" spans="5:7">
      <c r="E2761" s="264"/>
      <c r="G2761" s="264"/>
    </row>
    <row r="2762" spans="5:7">
      <c r="E2762" s="264"/>
      <c r="G2762" s="264"/>
    </row>
    <row r="2763" spans="5:7">
      <c r="E2763" s="264"/>
      <c r="G2763" s="264"/>
    </row>
    <row r="2764" spans="5:7">
      <c r="E2764" s="264"/>
      <c r="G2764" s="264"/>
    </row>
    <row r="2765" spans="5:7">
      <c r="E2765" s="264"/>
      <c r="G2765" s="264"/>
    </row>
    <row r="2766" spans="5:7">
      <c r="E2766" s="264"/>
      <c r="G2766" s="264"/>
    </row>
    <row r="2767" spans="5:7">
      <c r="E2767" s="264"/>
      <c r="G2767" s="264"/>
    </row>
    <row r="2768" spans="5:7">
      <c r="E2768" s="264"/>
      <c r="G2768" s="264"/>
    </row>
    <row r="2769" spans="5:7">
      <c r="E2769" s="264"/>
      <c r="G2769" s="264"/>
    </row>
    <row r="2770" spans="5:7">
      <c r="E2770" s="264"/>
      <c r="G2770" s="264"/>
    </row>
    <row r="2771" spans="5:7">
      <c r="E2771" s="264"/>
      <c r="G2771" s="264"/>
    </row>
    <row r="2772" spans="5:7">
      <c r="E2772" s="264"/>
      <c r="G2772" s="264"/>
    </row>
    <row r="2773" spans="5:7">
      <c r="E2773" s="264"/>
      <c r="G2773" s="264"/>
    </row>
    <row r="2774" spans="5:7">
      <c r="E2774" s="264"/>
      <c r="G2774" s="264"/>
    </row>
    <row r="2775" spans="5:7">
      <c r="E2775" s="264"/>
      <c r="G2775" s="264"/>
    </row>
    <row r="2776" spans="5:7">
      <c r="E2776" s="264"/>
      <c r="G2776" s="264"/>
    </row>
    <row r="2777" spans="5:7">
      <c r="E2777" s="264"/>
      <c r="G2777" s="264"/>
    </row>
    <row r="2778" spans="5:7">
      <c r="E2778" s="264"/>
      <c r="G2778" s="264"/>
    </row>
    <row r="2779" spans="5:7">
      <c r="E2779" s="264"/>
      <c r="G2779" s="264"/>
    </row>
    <row r="2780" spans="5:7">
      <c r="E2780" s="264"/>
      <c r="G2780" s="264"/>
    </row>
    <row r="2781" spans="5:7">
      <c r="E2781" s="264"/>
      <c r="G2781" s="264"/>
    </row>
    <row r="2782" spans="5:7">
      <c r="E2782" s="264"/>
      <c r="G2782" s="264"/>
    </row>
    <row r="2783" spans="5:7">
      <c r="E2783" s="264"/>
      <c r="G2783" s="264"/>
    </row>
    <row r="2784" spans="5:7">
      <c r="E2784" s="264"/>
      <c r="G2784" s="264"/>
    </row>
    <row r="2785" spans="5:7">
      <c r="E2785" s="264"/>
      <c r="G2785" s="264"/>
    </row>
    <row r="2786" spans="5:7">
      <c r="E2786" s="264"/>
      <c r="G2786" s="264"/>
    </row>
    <row r="2787" spans="5:7">
      <c r="E2787" s="264"/>
      <c r="G2787" s="264"/>
    </row>
    <row r="2788" spans="5:7">
      <c r="E2788" s="264"/>
      <c r="G2788" s="264"/>
    </row>
    <row r="2789" spans="5:7">
      <c r="E2789" s="264"/>
      <c r="G2789" s="264"/>
    </row>
    <row r="2790" spans="5:7">
      <c r="E2790" s="264"/>
      <c r="G2790" s="264"/>
    </row>
    <row r="2791" spans="5:7">
      <c r="E2791" s="264"/>
      <c r="G2791" s="264"/>
    </row>
    <row r="2792" spans="5:7">
      <c r="E2792" s="264"/>
      <c r="G2792" s="264"/>
    </row>
    <row r="2793" spans="5:7">
      <c r="E2793" s="264"/>
      <c r="G2793" s="264"/>
    </row>
    <row r="2794" spans="5:7">
      <c r="E2794" s="264"/>
      <c r="G2794" s="264"/>
    </row>
    <row r="2795" spans="5:7">
      <c r="E2795" s="264"/>
      <c r="G2795" s="264"/>
    </row>
    <row r="2796" spans="5:7">
      <c r="E2796" s="264"/>
      <c r="G2796" s="264"/>
    </row>
    <row r="2797" spans="5:7">
      <c r="E2797" s="264"/>
      <c r="G2797" s="264"/>
    </row>
    <row r="2798" spans="5:7">
      <c r="E2798" s="264"/>
      <c r="G2798" s="264"/>
    </row>
    <row r="2799" spans="5:7">
      <c r="E2799" s="264"/>
      <c r="G2799" s="264"/>
    </row>
    <row r="2800" spans="5:7">
      <c r="E2800" s="264"/>
      <c r="G2800" s="264"/>
    </row>
    <row r="2801" spans="5:7">
      <c r="E2801" s="264"/>
      <c r="G2801" s="264"/>
    </row>
    <row r="2802" spans="5:7">
      <c r="E2802" s="264"/>
      <c r="G2802" s="264"/>
    </row>
    <row r="2803" spans="5:7">
      <c r="E2803" s="264"/>
      <c r="G2803" s="264"/>
    </row>
    <row r="2804" spans="5:7">
      <c r="E2804" s="264"/>
      <c r="G2804" s="264"/>
    </row>
    <row r="2805" spans="5:7">
      <c r="E2805" s="264"/>
      <c r="G2805" s="264"/>
    </row>
    <row r="2806" spans="5:7">
      <c r="E2806" s="264"/>
      <c r="G2806" s="264"/>
    </row>
    <row r="2807" spans="5:7">
      <c r="E2807" s="264"/>
      <c r="G2807" s="264"/>
    </row>
    <row r="2808" spans="5:7">
      <c r="E2808" s="264"/>
      <c r="G2808" s="264"/>
    </row>
    <row r="2809" spans="5:7">
      <c r="E2809" s="264"/>
      <c r="G2809" s="264"/>
    </row>
    <row r="2810" spans="5:7">
      <c r="E2810" s="264"/>
      <c r="G2810" s="264"/>
    </row>
    <row r="2811" spans="5:7">
      <c r="E2811" s="264"/>
      <c r="G2811" s="264"/>
    </row>
    <row r="2812" spans="5:7">
      <c r="E2812" s="264"/>
      <c r="G2812" s="264"/>
    </row>
    <row r="2813" spans="5:7">
      <c r="E2813" s="264"/>
      <c r="G2813" s="264"/>
    </row>
    <row r="2814" spans="5:7">
      <c r="E2814" s="264"/>
      <c r="G2814" s="264"/>
    </row>
    <row r="2815" spans="5:7">
      <c r="E2815" s="264"/>
      <c r="G2815" s="264"/>
    </row>
    <row r="2816" spans="5:7">
      <c r="E2816" s="264"/>
      <c r="G2816" s="264"/>
    </row>
    <row r="2817" spans="5:7">
      <c r="E2817" s="264"/>
      <c r="G2817" s="264"/>
    </row>
    <row r="2818" spans="5:7">
      <c r="E2818" s="264"/>
      <c r="G2818" s="264"/>
    </row>
    <row r="2819" spans="5:7">
      <c r="E2819" s="264"/>
      <c r="G2819" s="264"/>
    </row>
    <row r="2820" spans="5:7">
      <c r="E2820" s="264"/>
      <c r="G2820" s="264"/>
    </row>
    <row r="2821" spans="5:7">
      <c r="E2821" s="264"/>
      <c r="G2821" s="264"/>
    </row>
    <row r="2822" spans="5:7">
      <c r="E2822" s="264"/>
      <c r="G2822" s="264"/>
    </row>
    <row r="2823" spans="5:7">
      <c r="E2823" s="264"/>
      <c r="G2823" s="264"/>
    </row>
    <row r="2824" spans="5:7">
      <c r="E2824" s="264"/>
      <c r="G2824" s="264"/>
    </row>
    <row r="2825" spans="5:7">
      <c r="E2825" s="264"/>
      <c r="G2825" s="264"/>
    </row>
    <row r="2826" spans="5:7">
      <c r="E2826" s="264"/>
      <c r="G2826" s="264"/>
    </row>
    <row r="2827" spans="5:7">
      <c r="E2827" s="264"/>
      <c r="G2827" s="264"/>
    </row>
    <row r="2828" spans="5:7">
      <c r="E2828" s="264"/>
      <c r="G2828" s="264"/>
    </row>
    <row r="2829" spans="5:7">
      <c r="E2829" s="264"/>
      <c r="G2829" s="264"/>
    </row>
    <row r="2830" spans="5:7">
      <c r="E2830" s="264"/>
      <c r="G2830" s="264"/>
    </row>
    <row r="2831" spans="5:7">
      <c r="E2831" s="264"/>
      <c r="G2831" s="264"/>
    </row>
    <row r="2832" spans="5:7">
      <c r="E2832" s="264"/>
      <c r="G2832" s="264"/>
    </row>
    <row r="2833" spans="5:7">
      <c r="E2833" s="264"/>
      <c r="G2833" s="264"/>
    </row>
    <row r="2834" spans="5:7">
      <c r="E2834" s="264"/>
      <c r="G2834" s="264"/>
    </row>
    <row r="2835" spans="5:7">
      <c r="E2835" s="264"/>
      <c r="G2835" s="264"/>
    </row>
    <row r="2836" spans="5:7">
      <c r="E2836" s="264"/>
      <c r="G2836" s="264"/>
    </row>
    <row r="2837" spans="5:7">
      <c r="E2837" s="264"/>
      <c r="G2837" s="264"/>
    </row>
    <row r="2838" spans="5:7">
      <c r="E2838" s="264"/>
      <c r="G2838" s="264"/>
    </row>
    <row r="2839" spans="5:7">
      <c r="E2839" s="264"/>
      <c r="G2839" s="264"/>
    </row>
    <row r="2840" spans="5:7">
      <c r="E2840" s="264"/>
      <c r="G2840" s="264"/>
    </row>
    <row r="2841" spans="5:7">
      <c r="E2841" s="264"/>
      <c r="G2841" s="264"/>
    </row>
    <row r="2842" spans="5:7">
      <c r="E2842" s="264"/>
      <c r="G2842" s="264"/>
    </row>
    <row r="2843" spans="5:7">
      <c r="E2843" s="264"/>
      <c r="G2843" s="264"/>
    </row>
    <row r="2844" spans="5:7">
      <c r="E2844" s="264"/>
      <c r="G2844" s="264"/>
    </row>
    <row r="2845" spans="5:7">
      <c r="E2845" s="264"/>
      <c r="G2845" s="264"/>
    </row>
    <row r="2846" spans="5:7">
      <c r="E2846" s="264"/>
      <c r="G2846" s="264"/>
    </row>
    <row r="2847" spans="5:7">
      <c r="E2847" s="264"/>
      <c r="G2847" s="264"/>
    </row>
    <row r="2848" spans="5:7">
      <c r="E2848" s="264"/>
      <c r="G2848" s="264"/>
    </row>
    <row r="2849" spans="5:7">
      <c r="E2849" s="264"/>
      <c r="G2849" s="264"/>
    </row>
    <row r="2850" spans="5:7">
      <c r="E2850" s="264"/>
      <c r="G2850" s="264"/>
    </row>
    <row r="2851" spans="5:7">
      <c r="E2851" s="264"/>
      <c r="G2851" s="264"/>
    </row>
    <row r="2852" spans="5:7">
      <c r="E2852" s="264"/>
      <c r="G2852" s="264"/>
    </row>
    <row r="2853" spans="5:7">
      <c r="E2853" s="264"/>
      <c r="G2853" s="264"/>
    </row>
    <row r="2854" spans="5:7">
      <c r="E2854" s="264"/>
      <c r="G2854" s="264"/>
    </row>
    <row r="2855" spans="5:7">
      <c r="E2855" s="264"/>
      <c r="G2855" s="264"/>
    </row>
    <row r="2856" spans="5:7">
      <c r="E2856" s="264"/>
      <c r="G2856" s="264"/>
    </row>
    <row r="2857" spans="5:7">
      <c r="E2857" s="264"/>
      <c r="G2857" s="264"/>
    </row>
    <row r="2858" spans="5:7">
      <c r="E2858" s="264"/>
      <c r="G2858" s="264"/>
    </row>
    <row r="2859" spans="5:7">
      <c r="E2859" s="264"/>
      <c r="G2859" s="264"/>
    </row>
    <row r="2860" spans="5:7">
      <c r="E2860" s="264"/>
      <c r="G2860" s="264"/>
    </row>
    <row r="2861" spans="5:7">
      <c r="E2861" s="264"/>
      <c r="G2861" s="264"/>
    </row>
    <row r="2862" spans="5:7">
      <c r="E2862" s="264"/>
      <c r="G2862" s="264"/>
    </row>
    <row r="2863" spans="5:7">
      <c r="E2863" s="264"/>
      <c r="G2863" s="264"/>
    </row>
    <row r="2864" spans="5:7">
      <c r="E2864" s="264"/>
      <c r="G2864" s="264"/>
    </row>
    <row r="2865" spans="5:7">
      <c r="E2865" s="264"/>
      <c r="G2865" s="264"/>
    </row>
    <row r="2866" spans="5:7">
      <c r="E2866" s="264"/>
      <c r="G2866" s="264"/>
    </row>
    <row r="2867" spans="5:7">
      <c r="E2867" s="264"/>
      <c r="G2867" s="264"/>
    </row>
    <row r="2868" spans="5:7">
      <c r="E2868" s="264"/>
      <c r="G2868" s="264"/>
    </row>
    <row r="2869" spans="5:7">
      <c r="E2869" s="264"/>
      <c r="G2869" s="264"/>
    </row>
    <row r="2870" spans="5:7">
      <c r="E2870" s="264"/>
      <c r="G2870" s="264"/>
    </row>
    <row r="2871" spans="5:7">
      <c r="E2871" s="264"/>
      <c r="G2871" s="264"/>
    </row>
    <row r="2872" spans="5:7">
      <c r="E2872" s="264"/>
      <c r="G2872" s="264"/>
    </row>
    <row r="2873" spans="5:7">
      <c r="E2873" s="264"/>
      <c r="G2873" s="264"/>
    </row>
    <row r="2874" spans="5:7">
      <c r="E2874" s="264"/>
      <c r="G2874" s="264"/>
    </row>
    <row r="2875" spans="5:7">
      <c r="E2875" s="264"/>
      <c r="G2875" s="264"/>
    </row>
    <row r="2876" spans="5:7">
      <c r="E2876" s="264"/>
      <c r="G2876" s="264"/>
    </row>
    <row r="2877" spans="5:7">
      <c r="E2877" s="264"/>
      <c r="G2877" s="264"/>
    </row>
    <row r="2878" spans="5:7">
      <c r="E2878" s="264"/>
      <c r="G2878" s="264"/>
    </row>
    <row r="2879" spans="5:7">
      <c r="E2879" s="264"/>
      <c r="G2879" s="264"/>
    </row>
    <row r="2880" spans="5:7">
      <c r="E2880" s="264"/>
      <c r="G2880" s="264"/>
    </row>
    <row r="2881" spans="5:7">
      <c r="E2881" s="264"/>
      <c r="G2881" s="264"/>
    </row>
    <row r="2882" spans="5:7">
      <c r="E2882" s="264"/>
      <c r="G2882" s="264"/>
    </row>
    <row r="2883" spans="5:7">
      <c r="E2883" s="264"/>
      <c r="G2883" s="264"/>
    </row>
    <row r="2884" spans="5:7">
      <c r="E2884" s="264"/>
      <c r="G2884" s="264"/>
    </row>
    <row r="2885" spans="5:7">
      <c r="E2885" s="264"/>
      <c r="G2885" s="264"/>
    </row>
    <row r="2886" spans="5:7">
      <c r="E2886" s="264"/>
      <c r="G2886" s="264"/>
    </row>
    <row r="2887" spans="5:7">
      <c r="E2887" s="264"/>
      <c r="G2887" s="264"/>
    </row>
    <row r="2888" spans="5:7">
      <c r="E2888" s="264"/>
      <c r="G2888" s="264"/>
    </row>
    <row r="2889" spans="5:7">
      <c r="E2889" s="264"/>
      <c r="G2889" s="264"/>
    </row>
    <row r="2890" spans="5:7">
      <c r="E2890" s="264"/>
      <c r="G2890" s="264"/>
    </row>
    <row r="2891" spans="5:7">
      <c r="E2891" s="264"/>
      <c r="G2891" s="264"/>
    </row>
    <row r="2892" spans="5:7">
      <c r="E2892" s="264"/>
      <c r="G2892" s="264"/>
    </row>
    <row r="2893" spans="5:7">
      <c r="E2893" s="264"/>
      <c r="G2893" s="264"/>
    </row>
    <row r="2894" spans="5:7">
      <c r="E2894" s="264"/>
      <c r="G2894" s="264"/>
    </row>
    <row r="2895" spans="5:7">
      <c r="E2895" s="264"/>
      <c r="G2895" s="264"/>
    </row>
    <row r="2896" spans="5:7">
      <c r="E2896" s="264"/>
      <c r="G2896" s="264"/>
    </row>
    <row r="2897" spans="5:7">
      <c r="E2897" s="264"/>
      <c r="G2897" s="264"/>
    </row>
    <row r="2898" spans="5:7">
      <c r="E2898" s="264"/>
      <c r="G2898" s="264"/>
    </row>
    <row r="2899" spans="5:7">
      <c r="E2899" s="264"/>
      <c r="G2899" s="264"/>
    </row>
    <row r="2900" spans="5:7">
      <c r="E2900" s="264"/>
      <c r="G2900" s="264"/>
    </row>
    <row r="2901" spans="5:7">
      <c r="E2901" s="264"/>
      <c r="G2901" s="264"/>
    </row>
    <row r="2902" spans="5:7">
      <c r="E2902" s="264"/>
      <c r="G2902" s="264"/>
    </row>
    <row r="2903" spans="5:7">
      <c r="E2903" s="264"/>
      <c r="G2903" s="264"/>
    </row>
    <row r="2904" spans="5:7">
      <c r="E2904" s="264"/>
      <c r="G2904" s="264"/>
    </row>
    <row r="2905" spans="5:7">
      <c r="E2905" s="264"/>
      <c r="G2905" s="264"/>
    </row>
    <row r="2906" spans="5:7">
      <c r="E2906" s="264"/>
      <c r="G2906" s="264"/>
    </row>
    <row r="2907" spans="5:7">
      <c r="E2907" s="264"/>
      <c r="G2907" s="264"/>
    </row>
    <row r="2908" spans="5:7">
      <c r="E2908" s="264"/>
      <c r="G2908" s="264"/>
    </row>
    <row r="2909" spans="5:7">
      <c r="E2909" s="264"/>
      <c r="G2909" s="264"/>
    </row>
    <row r="2910" spans="5:7">
      <c r="E2910" s="264"/>
      <c r="G2910" s="264"/>
    </row>
    <row r="2911" spans="5:7">
      <c r="E2911" s="264"/>
      <c r="G2911" s="264"/>
    </row>
    <row r="2912" spans="5:7">
      <c r="E2912" s="264"/>
      <c r="G2912" s="264"/>
    </row>
    <row r="2913" spans="5:7">
      <c r="E2913" s="264"/>
      <c r="G2913" s="264"/>
    </row>
    <row r="2914" spans="5:7">
      <c r="E2914" s="264"/>
      <c r="G2914" s="264"/>
    </row>
    <row r="2915" spans="5:7">
      <c r="E2915" s="264"/>
      <c r="G2915" s="264"/>
    </row>
    <row r="2916" spans="5:7">
      <c r="E2916" s="264"/>
      <c r="G2916" s="264"/>
    </row>
    <row r="2917" spans="5:7">
      <c r="E2917" s="264"/>
      <c r="G2917" s="264"/>
    </row>
    <row r="2918" spans="5:7">
      <c r="E2918" s="264"/>
      <c r="G2918" s="264"/>
    </row>
    <row r="2919" spans="5:7">
      <c r="E2919" s="264"/>
      <c r="G2919" s="264"/>
    </row>
    <row r="2920" spans="5:7">
      <c r="E2920" s="264"/>
      <c r="G2920" s="264"/>
    </row>
    <row r="2921" spans="5:7">
      <c r="E2921" s="264"/>
      <c r="G2921" s="264"/>
    </row>
    <row r="2922" spans="5:7">
      <c r="E2922" s="264"/>
      <c r="G2922" s="264"/>
    </row>
    <row r="2923" spans="5:7">
      <c r="E2923" s="264"/>
      <c r="G2923" s="264"/>
    </row>
    <row r="2924" spans="5:7">
      <c r="E2924" s="264"/>
      <c r="G2924" s="264"/>
    </row>
    <row r="2925" spans="5:7">
      <c r="E2925" s="264"/>
      <c r="G2925" s="264"/>
    </row>
    <row r="2926" spans="5:7">
      <c r="E2926" s="264"/>
      <c r="G2926" s="264"/>
    </row>
    <row r="2927" spans="5:7">
      <c r="E2927" s="264"/>
      <c r="G2927" s="264"/>
    </row>
    <row r="2928" spans="5:7">
      <c r="E2928" s="264"/>
      <c r="G2928" s="264"/>
    </row>
    <row r="2929" spans="5:7">
      <c r="E2929" s="264"/>
      <c r="G2929" s="264"/>
    </row>
    <row r="2930" spans="5:7">
      <c r="E2930" s="264"/>
      <c r="G2930" s="264"/>
    </row>
    <row r="2931" spans="5:7">
      <c r="E2931" s="264"/>
      <c r="G2931" s="264"/>
    </row>
    <row r="2932" spans="5:7">
      <c r="E2932" s="264"/>
      <c r="G2932" s="264"/>
    </row>
    <row r="2933" spans="5:7">
      <c r="E2933" s="264"/>
      <c r="G2933" s="264"/>
    </row>
    <row r="2934" spans="5:7">
      <c r="E2934" s="264"/>
      <c r="G2934" s="264"/>
    </row>
    <row r="2935" spans="5:7">
      <c r="E2935" s="264"/>
      <c r="G2935" s="264"/>
    </row>
    <row r="2936" spans="5:7">
      <c r="E2936" s="264"/>
      <c r="G2936" s="264"/>
    </row>
    <row r="2937" spans="5:7">
      <c r="E2937" s="264"/>
      <c r="G2937" s="264"/>
    </row>
    <row r="2938" spans="5:7">
      <c r="E2938" s="264"/>
      <c r="G2938" s="264"/>
    </row>
    <row r="2939" spans="5:7">
      <c r="E2939" s="264"/>
      <c r="G2939" s="264"/>
    </row>
    <row r="2940" spans="5:7">
      <c r="E2940" s="264"/>
      <c r="G2940" s="264"/>
    </row>
    <row r="2941" spans="5:7">
      <c r="E2941" s="264"/>
      <c r="G2941" s="264"/>
    </row>
    <row r="2942" spans="5:7">
      <c r="E2942" s="264"/>
      <c r="G2942" s="264"/>
    </row>
    <row r="2943" spans="5:7">
      <c r="E2943" s="264"/>
      <c r="G2943" s="264"/>
    </row>
    <row r="2944" spans="5:7">
      <c r="E2944" s="264"/>
      <c r="G2944" s="264"/>
    </row>
    <row r="2945" spans="5:7">
      <c r="E2945" s="264"/>
      <c r="G2945" s="264"/>
    </row>
    <row r="2946" spans="5:7">
      <c r="E2946" s="264"/>
      <c r="G2946" s="264"/>
    </row>
    <row r="2947" spans="5:7">
      <c r="E2947" s="264"/>
      <c r="G2947" s="264"/>
    </row>
    <row r="2948" spans="5:7">
      <c r="E2948" s="264"/>
      <c r="G2948" s="264"/>
    </row>
    <row r="2949" spans="5:7">
      <c r="E2949" s="264"/>
      <c r="G2949" s="264"/>
    </row>
    <row r="2950" spans="5:7">
      <c r="E2950" s="264"/>
      <c r="G2950" s="264"/>
    </row>
    <row r="2951" spans="5:7">
      <c r="E2951" s="264"/>
      <c r="G2951" s="264"/>
    </row>
    <row r="2952" spans="5:7">
      <c r="E2952" s="264"/>
      <c r="G2952" s="264"/>
    </row>
    <row r="2953" spans="5:7">
      <c r="E2953" s="264"/>
      <c r="G2953" s="264"/>
    </row>
    <row r="2954" spans="5:7">
      <c r="E2954" s="264"/>
      <c r="G2954" s="264"/>
    </row>
    <row r="2955" spans="5:7">
      <c r="E2955" s="264"/>
      <c r="G2955" s="264"/>
    </row>
    <row r="2956" spans="5:7">
      <c r="E2956" s="264"/>
      <c r="G2956" s="264"/>
    </row>
    <row r="2957" spans="5:7">
      <c r="E2957" s="264"/>
      <c r="G2957" s="264"/>
    </row>
    <row r="2958" spans="5:7">
      <c r="E2958" s="264"/>
      <c r="G2958" s="264"/>
    </row>
    <row r="2959" spans="5:7">
      <c r="E2959" s="264"/>
      <c r="G2959" s="264"/>
    </row>
    <row r="2960" spans="5:7">
      <c r="E2960" s="264"/>
      <c r="G2960" s="264"/>
    </row>
    <row r="2961" spans="5:7">
      <c r="E2961" s="264"/>
      <c r="G2961" s="264"/>
    </row>
    <row r="2962" spans="5:7">
      <c r="E2962" s="264"/>
      <c r="G2962" s="264"/>
    </row>
    <row r="2963" spans="5:7">
      <c r="E2963" s="264"/>
      <c r="G2963" s="264"/>
    </row>
    <row r="2964" spans="5:7">
      <c r="E2964" s="264"/>
      <c r="G2964" s="264"/>
    </row>
    <row r="2965" spans="5:7">
      <c r="E2965" s="264"/>
      <c r="G2965" s="264"/>
    </row>
    <row r="2966" spans="5:7">
      <c r="E2966" s="264"/>
      <c r="G2966" s="264"/>
    </row>
    <row r="2967" spans="5:7">
      <c r="E2967" s="264"/>
      <c r="G2967" s="264"/>
    </row>
    <row r="2968" spans="5:7">
      <c r="E2968" s="264"/>
      <c r="G2968" s="264"/>
    </row>
    <row r="2969" spans="5:7">
      <c r="E2969" s="264"/>
      <c r="G2969" s="264"/>
    </row>
    <row r="2970" spans="5:7">
      <c r="E2970" s="264"/>
      <c r="G2970" s="264"/>
    </row>
    <row r="2971" spans="5:7">
      <c r="E2971" s="264"/>
      <c r="G2971" s="264"/>
    </row>
    <row r="2972" spans="5:7">
      <c r="E2972" s="264"/>
      <c r="G2972" s="264"/>
    </row>
    <row r="2973" spans="5:7">
      <c r="E2973" s="264"/>
      <c r="G2973" s="264"/>
    </row>
    <row r="2974" spans="5:7">
      <c r="E2974" s="264"/>
      <c r="G2974" s="264"/>
    </row>
    <row r="2975" spans="5:7">
      <c r="E2975" s="264"/>
      <c r="G2975" s="264"/>
    </row>
    <row r="2976" spans="5:7">
      <c r="E2976" s="264"/>
      <c r="G2976" s="264"/>
    </row>
    <row r="2977" spans="5:7">
      <c r="E2977" s="264"/>
      <c r="G2977" s="264"/>
    </row>
    <row r="2978" spans="5:7">
      <c r="E2978" s="264"/>
      <c r="G2978" s="264"/>
    </row>
    <row r="2979" spans="5:7">
      <c r="E2979" s="264"/>
      <c r="G2979" s="264"/>
    </row>
    <row r="2980" spans="5:7">
      <c r="E2980" s="264"/>
      <c r="G2980" s="264"/>
    </row>
    <row r="2981" spans="5:7">
      <c r="E2981" s="264"/>
      <c r="G2981" s="264"/>
    </row>
    <row r="2982" spans="5:7">
      <c r="E2982" s="264"/>
      <c r="G2982" s="264"/>
    </row>
    <row r="2983" spans="5:7">
      <c r="E2983" s="264"/>
      <c r="G2983" s="264"/>
    </row>
    <row r="2984" spans="5:7">
      <c r="E2984" s="264"/>
      <c r="G2984" s="264"/>
    </row>
    <row r="2985" spans="5:7">
      <c r="E2985" s="264"/>
      <c r="G2985" s="264"/>
    </row>
    <row r="2986" spans="5:7">
      <c r="E2986" s="264"/>
      <c r="G2986" s="264"/>
    </row>
    <row r="2987" spans="5:7">
      <c r="E2987" s="264"/>
      <c r="G2987" s="264"/>
    </row>
    <row r="2988" spans="5:7">
      <c r="E2988" s="264"/>
      <c r="G2988" s="264"/>
    </row>
    <row r="2989" spans="5:7">
      <c r="E2989" s="264"/>
      <c r="G2989" s="264"/>
    </row>
    <row r="2990" spans="5:7">
      <c r="E2990" s="264"/>
      <c r="G2990" s="264"/>
    </row>
    <row r="2991" spans="5:7">
      <c r="E2991" s="264"/>
      <c r="G2991" s="264"/>
    </row>
    <row r="2992" spans="5:7">
      <c r="E2992" s="264"/>
      <c r="G2992" s="264"/>
    </row>
    <row r="2993" spans="5:7">
      <c r="E2993" s="264"/>
      <c r="G2993" s="264"/>
    </row>
    <row r="2994" spans="5:7">
      <c r="E2994" s="264"/>
      <c r="G2994" s="264"/>
    </row>
    <row r="2995" spans="5:7">
      <c r="E2995" s="264"/>
      <c r="G2995" s="264"/>
    </row>
    <row r="2996" spans="5:7">
      <c r="E2996" s="264"/>
      <c r="G2996" s="264"/>
    </row>
    <row r="2997" spans="5:7">
      <c r="E2997" s="264"/>
      <c r="G2997" s="264"/>
    </row>
    <row r="2998" spans="5:7">
      <c r="E2998" s="264"/>
      <c r="G2998" s="264"/>
    </row>
    <row r="2999" spans="5:7">
      <c r="E2999" s="264"/>
      <c r="G2999" s="264"/>
    </row>
    <row r="3000" spans="5:7">
      <c r="E3000" s="264"/>
      <c r="G3000" s="264"/>
    </row>
    <row r="3001" spans="5:7">
      <c r="E3001" s="264"/>
      <c r="G3001" s="264"/>
    </row>
    <row r="3002" spans="5:7">
      <c r="E3002" s="264"/>
      <c r="G3002" s="264"/>
    </row>
    <row r="3003" spans="5:7">
      <c r="E3003" s="264"/>
      <c r="G3003" s="264"/>
    </row>
    <row r="3004" spans="5:7">
      <c r="E3004" s="264"/>
      <c r="G3004" s="264"/>
    </row>
    <row r="3005" spans="5:7">
      <c r="E3005" s="264"/>
      <c r="G3005" s="264"/>
    </row>
    <row r="3006" spans="5:7">
      <c r="E3006" s="264"/>
      <c r="G3006" s="264"/>
    </row>
    <row r="3007" spans="5:7">
      <c r="E3007" s="264"/>
      <c r="G3007" s="264"/>
    </row>
    <row r="3008" spans="5:7">
      <c r="E3008" s="264"/>
      <c r="G3008" s="264"/>
    </row>
    <row r="3009" spans="5:7">
      <c r="E3009" s="264"/>
      <c r="G3009" s="264"/>
    </row>
    <row r="3010" spans="5:7">
      <c r="E3010" s="264"/>
      <c r="G3010" s="264"/>
    </row>
    <row r="3011" spans="5:7">
      <c r="E3011" s="264"/>
      <c r="G3011" s="264"/>
    </row>
    <row r="3012" spans="5:7">
      <c r="E3012" s="264"/>
      <c r="G3012" s="264"/>
    </row>
    <row r="3013" spans="5:7">
      <c r="E3013" s="264"/>
      <c r="G3013" s="264"/>
    </row>
    <row r="3014" spans="5:7">
      <c r="E3014" s="264"/>
      <c r="G3014" s="264"/>
    </row>
    <row r="3015" spans="5:7">
      <c r="E3015" s="264"/>
      <c r="G3015" s="264"/>
    </row>
    <row r="3016" spans="5:7">
      <c r="E3016" s="264"/>
      <c r="G3016" s="264"/>
    </row>
    <row r="3017" spans="5:7">
      <c r="E3017" s="264"/>
      <c r="G3017" s="264"/>
    </row>
    <row r="3018" spans="5:7">
      <c r="E3018" s="264"/>
      <c r="G3018" s="264"/>
    </row>
    <row r="3019" spans="5:7">
      <c r="E3019" s="264"/>
      <c r="G3019" s="264"/>
    </row>
    <row r="3020" spans="5:7">
      <c r="E3020" s="264"/>
      <c r="G3020" s="264"/>
    </row>
    <row r="3021" spans="5:7">
      <c r="E3021" s="264"/>
      <c r="G3021" s="264"/>
    </row>
    <row r="3022" spans="5:7">
      <c r="E3022" s="264"/>
      <c r="G3022" s="264"/>
    </row>
    <row r="3023" spans="5:7">
      <c r="E3023" s="264"/>
      <c r="G3023" s="264"/>
    </row>
    <row r="3024" spans="5:7">
      <c r="E3024" s="264"/>
      <c r="G3024" s="264"/>
    </row>
    <row r="3025" spans="5:7">
      <c r="E3025" s="264"/>
      <c r="G3025" s="264"/>
    </row>
    <row r="3026" spans="5:7">
      <c r="E3026" s="264"/>
      <c r="G3026" s="264"/>
    </row>
    <row r="3027" spans="5:7">
      <c r="E3027" s="264"/>
      <c r="G3027" s="264"/>
    </row>
    <row r="3028" spans="5:7">
      <c r="E3028" s="264"/>
      <c r="G3028" s="264"/>
    </row>
    <row r="3029" spans="5:7">
      <c r="E3029" s="264"/>
      <c r="G3029" s="264"/>
    </row>
    <row r="3030" spans="5:7">
      <c r="E3030" s="264"/>
      <c r="G3030" s="264"/>
    </row>
    <row r="3031" spans="5:7">
      <c r="E3031" s="264"/>
      <c r="G3031" s="264"/>
    </row>
    <row r="3032" spans="5:7">
      <c r="E3032" s="264"/>
      <c r="G3032" s="264"/>
    </row>
    <row r="3033" spans="5:7">
      <c r="E3033" s="264"/>
      <c r="G3033" s="264"/>
    </row>
    <row r="3034" spans="5:7">
      <c r="E3034" s="264"/>
      <c r="G3034" s="264"/>
    </row>
    <row r="3035" spans="5:7">
      <c r="E3035" s="264"/>
      <c r="G3035" s="264"/>
    </row>
    <row r="3036" spans="5:7">
      <c r="E3036" s="264"/>
      <c r="G3036" s="264"/>
    </row>
    <row r="3037" spans="5:7">
      <c r="E3037" s="264"/>
      <c r="G3037" s="264"/>
    </row>
    <row r="3038" spans="5:7">
      <c r="E3038" s="264"/>
      <c r="G3038" s="264"/>
    </row>
    <row r="3039" spans="5:7">
      <c r="E3039" s="264"/>
      <c r="G3039" s="264"/>
    </row>
    <row r="3040" spans="5:7">
      <c r="E3040" s="264"/>
      <c r="G3040" s="264"/>
    </row>
    <row r="3041" spans="5:7">
      <c r="E3041" s="264"/>
      <c r="G3041" s="264"/>
    </row>
    <row r="3042" spans="5:7">
      <c r="E3042" s="264"/>
      <c r="G3042" s="264"/>
    </row>
    <row r="3043" spans="5:7">
      <c r="E3043" s="264"/>
      <c r="G3043" s="264"/>
    </row>
    <row r="3044" spans="5:7">
      <c r="E3044" s="264"/>
      <c r="G3044" s="264"/>
    </row>
    <row r="3045" spans="5:7">
      <c r="E3045" s="264"/>
      <c r="G3045" s="264"/>
    </row>
    <row r="3046" spans="5:7">
      <c r="E3046" s="264"/>
      <c r="G3046" s="264"/>
    </row>
    <row r="3047" spans="5:7">
      <c r="E3047" s="264"/>
      <c r="G3047" s="264"/>
    </row>
    <row r="3048" spans="5:7">
      <c r="E3048" s="264"/>
      <c r="G3048" s="264"/>
    </row>
    <row r="3049" spans="5:7">
      <c r="E3049" s="264"/>
      <c r="G3049" s="264"/>
    </row>
    <row r="3050" spans="5:7">
      <c r="E3050" s="264"/>
      <c r="G3050" s="264"/>
    </row>
    <row r="3051" spans="5:7">
      <c r="E3051" s="264"/>
      <c r="G3051" s="264"/>
    </row>
    <row r="3052" spans="5:7">
      <c r="E3052" s="264"/>
      <c r="G3052" s="264"/>
    </row>
    <row r="3053" spans="5:7">
      <c r="E3053" s="264"/>
      <c r="G3053" s="264"/>
    </row>
    <row r="3054" spans="5:7">
      <c r="E3054" s="264"/>
      <c r="G3054" s="264"/>
    </row>
    <row r="3055" spans="5:7">
      <c r="E3055" s="264"/>
      <c r="G3055" s="264"/>
    </row>
    <row r="3056" spans="5:7">
      <c r="E3056" s="264"/>
      <c r="G3056" s="264"/>
    </row>
    <row r="3057" spans="5:7">
      <c r="E3057" s="264"/>
      <c r="G3057" s="264"/>
    </row>
    <row r="3058" spans="5:7">
      <c r="E3058" s="264"/>
      <c r="G3058" s="264"/>
    </row>
    <row r="3059" spans="5:7">
      <c r="E3059" s="264"/>
      <c r="G3059" s="264"/>
    </row>
    <row r="3060" spans="5:7">
      <c r="E3060" s="264"/>
      <c r="G3060" s="264"/>
    </row>
    <row r="3061" spans="5:7">
      <c r="E3061" s="264"/>
      <c r="G3061" s="264"/>
    </row>
    <row r="3062" spans="5:7">
      <c r="E3062" s="264"/>
      <c r="G3062" s="264"/>
    </row>
    <row r="3063" spans="5:7">
      <c r="E3063" s="264"/>
      <c r="G3063" s="264"/>
    </row>
    <row r="3064" spans="5:7">
      <c r="E3064" s="264"/>
      <c r="G3064" s="264"/>
    </row>
    <row r="3065" spans="5:7">
      <c r="E3065" s="264"/>
      <c r="G3065" s="264"/>
    </row>
    <row r="3066" spans="5:7">
      <c r="E3066" s="264"/>
      <c r="G3066" s="264"/>
    </row>
    <row r="3067" spans="5:7">
      <c r="E3067" s="264"/>
      <c r="G3067" s="264"/>
    </row>
    <row r="3068" spans="5:7">
      <c r="E3068" s="264"/>
      <c r="G3068" s="264"/>
    </row>
    <row r="3069" spans="5:7">
      <c r="E3069" s="264"/>
      <c r="G3069" s="264"/>
    </row>
    <row r="3070" spans="5:7">
      <c r="E3070" s="264"/>
      <c r="G3070" s="264"/>
    </row>
    <row r="3071" spans="5:7">
      <c r="E3071" s="264"/>
      <c r="G3071" s="264"/>
    </row>
    <row r="3072" spans="5:7">
      <c r="E3072" s="264"/>
      <c r="G3072" s="264"/>
    </row>
    <row r="3073" spans="5:7">
      <c r="E3073" s="264"/>
      <c r="G3073" s="264"/>
    </row>
    <row r="3074" spans="5:7">
      <c r="E3074" s="264"/>
      <c r="G3074" s="264"/>
    </row>
    <row r="3075" spans="5:7">
      <c r="E3075" s="264"/>
      <c r="G3075" s="264"/>
    </row>
    <row r="3076" spans="5:7">
      <c r="E3076" s="264"/>
      <c r="G3076" s="264"/>
    </row>
    <row r="3077" spans="5:7">
      <c r="E3077" s="264"/>
      <c r="G3077" s="264"/>
    </row>
    <row r="3078" spans="5:7">
      <c r="E3078" s="264"/>
      <c r="G3078" s="264"/>
    </row>
    <row r="3079" spans="5:7">
      <c r="E3079" s="264"/>
      <c r="G3079" s="264"/>
    </row>
    <row r="3080" spans="5:7">
      <c r="E3080" s="264"/>
      <c r="G3080" s="264"/>
    </row>
    <row r="3081" spans="5:7">
      <c r="E3081" s="264"/>
      <c r="G3081" s="264"/>
    </row>
    <row r="3082" spans="5:7">
      <c r="E3082" s="264"/>
      <c r="G3082" s="264"/>
    </row>
    <row r="3083" spans="5:7">
      <c r="E3083" s="264"/>
      <c r="G3083" s="264"/>
    </row>
    <row r="3084" spans="5:7">
      <c r="E3084" s="264"/>
      <c r="G3084" s="264"/>
    </row>
    <row r="3085" spans="5:7">
      <c r="E3085" s="264"/>
      <c r="G3085" s="264"/>
    </row>
    <row r="3086" spans="5:7">
      <c r="E3086" s="264"/>
      <c r="G3086" s="264"/>
    </row>
    <row r="3087" spans="5:7">
      <c r="E3087" s="264"/>
      <c r="G3087" s="264"/>
    </row>
    <row r="3088" spans="5:7">
      <c r="E3088" s="264"/>
      <c r="G3088" s="264"/>
    </row>
    <row r="3089" spans="5:7">
      <c r="E3089" s="264"/>
      <c r="G3089" s="264"/>
    </row>
    <row r="3090" spans="5:7">
      <c r="E3090" s="264"/>
      <c r="G3090" s="264"/>
    </row>
    <row r="3091" spans="5:7">
      <c r="E3091" s="264"/>
      <c r="G3091" s="264"/>
    </row>
    <row r="3092" spans="5:7">
      <c r="E3092" s="264"/>
      <c r="G3092" s="264"/>
    </row>
    <row r="3093" spans="5:7">
      <c r="E3093" s="264"/>
      <c r="G3093" s="264"/>
    </row>
    <row r="3094" spans="5:7">
      <c r="E3094" s="264"/>
      <c r="G3094" s="264"/>
    </row>
    <row r="3095" spans="5:7">
      <c r="E3095" s="264"/>
      <c r="G3095" s="264"/>
    </row>
    <row r="3096" spans="5:7">
      <c r="E3096" s="264"/>
      <c r="G3096" s="264"/>
    </row>
    <row r="3097" spans="5:7">
      <c r="E3097" s="264"/>
      <c r="G3097" s="264"/>
    </row>
    <row r="3098" spans="5:7">
      <c r="E3098" s="264"/>
      <c r="G3098" s="264"/>
    </row>
    <row r="3099" spans="5:7">
      <c r="E3099" s="264"/>
      <c r="G3099" s="264"/>
    </row>
    <row r="3100" spans="5:7">
      <c r="E3100" s="264"/>
      <c r="G3100" s="264"/>
    </row>
    <row r="3101" spans="5:7">
      <c r="E3101" s="264"/>
      <c r="G3101" s="264"/>
    </row>
    <row r="3102" spans="5:7">
      <c r="E3102" s="264"/>
      <c r="G3102" s="264"/>
    </row>
    <row r="3103" spans="5:7">
      <c r="E3103" s="264"/>
      <c r="G3103" s="264"/>
    </row>
    <row r="3104" spans="5:7">
      <c r="E3104" s="264"/>
      <c r="G3104" s="264"/>
    </row>
    <row r="3105" spans="5:7">
      <c r="E3105" s="264"/>
      <c r="G3105" s="264"/>
    </row>
    <row r="3106" spans="5:7">
      <c r="E3106" s="264"/>
      <c r="G3106" s="264"/>
    </row>
    <row r="3107" spans="5:7">
      <c r="E3107" s="264"/>
      <c r="G3107" s="264"/>
    </row>
    <row r="3108" spans="5:7">
      <c r="E3108" s="264"/>
      <c r="G3108" s="264"/>
    </row>
    <row r="3109" spans="5:7">
      <c r="E3109" s="264"/>
      <c r="G3109" s="264"/>
    </row>
    <row r="3110" spans="5:7">
      <c r="E3110" s="264"/>
      <c r="G3110" s="264"/>
    </row>
    <row r="3111" spans="5:7">
      <c r="E3111" s="264"/>
      <c r="G3111" s="264"/>
    </row>
    <row r="3112" spans="5:7">
      <c r="E3112" s="264"/>
      <c r="G3112" s="264"/>
    </row>
    <row r="3113" spans="5:7">
      <c r="E3113" s="264"/>
      <c r="G3113" s="264"/>
    </row>
    <row r="3114" spans="5:7">
      <c r="E3114" s="264"/>
      <c r="G3114" s="264"/>
    </row>
    <row r="3115" spans="5:7">
      <c r="E3115" s="264"/>
      <c r="G3115" s="264"/>
    </row>
    <row r="3116" spans="5:7">
      <c r="E3116" s="264"/>
      <c r="G3116" s="264"/>
    </row>
    <row r="3117" spans="5:7">
      <c r="E3117" s="264"/>
      <c r="G3117" s="264"/>
    </row>
    <row r="3118" spans="5:7">
      <c r="E3118" s="264"/>
      <c r="G3118" s="264"/>
    </row>
    <row r="3119" spans="5:7">
      <c r="E3119" s="264"/>
      <c r="G3119" s="264"/>
    </row>
    <row r="3120" spans="5:7">
      <c r="E3120" s="264"/>
      <c r="G3120" s="264"/>
    </row>
    <row r="3121" spans="5:7">
      <c r="E3121" s="264"/>
      <c r="G3121" s="264"/>
    </row>
    <row r="3122" spans="5:7">
      <c r="E3122" s="264"/>
      <c r="G3122" s="264"/>
    </row>
    <row r="3123" spans="5:7">
      <c r="E3123" s="264"/>
      <c r="G3123" s="264"/>
    </row>
    <row r="3124" spans="5:7">
      <c r="E3124" s="264"/>
      <c r="G3124" s="264"/>
    </row>
    <row r="3125" spans="5:7">
      <c r="E3125" s="264"/>
      <c r="G3125" s="264"/>
    </row>
    <row r="3126" spans="5:7">
      <c r="E3126" s="264"/>
      <c r="G3126" s="264"/>
    </row>
    <row r="3127" spans="5:7">
      <c r="E3127" s="264"/>
      <c r="G3127" s="264"/>
    </row>
    <row r="3128" spans="5:7">
      <c r="E3128" s="264"/>
      <c r="G3128" s="264"/>
    </row>
    <row r="3129" spans="5:7">
      <c r="E3129" s="264"/>
      <c r="G3129" s="264"/>
    </row>
    <row r="3130" spans="5:7">
      <c r="E3130" s="264"/>
      <c r="G3130" s="264"/>
    </row>
    <row r="3131" spans="5:7">
      <c r="E3131" s="264"/>
      <c r="G3131" s="264"/>
    </row>
    <row r="3132" spans="5:7">
      <c r="E3132" s="264"/>
      <c r="G3132" s="264"/>
    </row>
    <row r="3133" spans="5:7">
      <c r="E3133" s="264"/>
      <c r="G3133" s="264"/>
    </row>
    <row r="3134" spans="5:7">
      <c r="E3134" s="264"/>
      <c r="G3134" s="264"/>
    </row>
    <row r="3135" spans="5:7">
      <c r="E3135" s="264"/>
      <c r="G3135" s="264"/>
    </row>
    <row r="3136" spans="5:7">
      <c r="E3136" s="264"/>
      <c r="G3136" s="264"/>
    </row>
    <row r="3137" spans="5:7">
      <c r="E3137" s="264"/>
      <c r="G3137" s="264"/>
    </row>
    <row r="3138" spans="5:7">
      <c r="E3138" s="264"/>
      <c r="G3138" s="264"/>
    </row>
    <row r="3139" spans="5:7">
      <c r="E3139" s="264"/>
      <c r="G3139" s="264"/>
    </row>
    <row r="3140" spans="5:7">
      <c r="E3140" s="264"/>
      <c r="G3140" s="264"/>
    </row>
    <row r="3141" spans="5:7">
      <c r="E3141" s="264"/>
      <c r="G3141" s="264"/>
    </row>
    <row r="3142" spans="5:7">
      <c r="E3142" s="264"/>
      <c r="G3142" s="264"/>
    </row>
    <row r="3143" spans="5:7">
      <c r="E3143" s="264"/>
      <c r="G3143" s="264"/>
    </row>
    <row r="3144" spans="5:7">
      <c r="E3144" s="264"/>
      <c r="G3144" s="264"/>
    </row>
    <row r="3145" spans="5:7">
      <c r="E3145" s="264"/>
      <c r="G3145" s="264"/>
    </row>
    <row r="3146" spans="5:7">
      <c r="E3146" s="264"/>
      <c r="G3146" s="264"/>
    </row>
    <row r="3147" spans="5:7">
      <c r="E3147" s="264"/>
      <c r="G3147" s="264"/>
    </row>
    <row r="3148" spans="5:7">
      <c r="E3148" s="264"/>
      <c r="G3148" s="264"/>
    </row>
    <row r="3149" spans="5:7">
      <c r="E3149" s="264"/>
      <c r="G3149" s="264"/>
    </row>
    <row r="3150" spans="5:7">
      <c r="E3150" s="264"/>
      <c r="G3150" s="264"/>
    </row>
    <row r="3151" spans="5:7">
      <c r="E3151" s="264"/>
      <c r="G3151" s="264"/>
    </row>
    <row r="3152" spans="5:7">
      <c r="E3152" s="264"/>
      <c r="G3152" s="264"/>
    </row>
    <row r="3153" spans="5:7">
      <c r="E3153" s="264"/>
      <c r="G3153" s="264"/>
    </row>
    <row r="3154" spans="5:7">
      <c r="E3154" s="264"/>
      <c r="G3154" s="264"/>
    </row>
    <row r="3155" spans="5:7">
      <c r="E3155" s="264"/>
      <c r="G3155" s="264"/>
    </row>
    <row r="3156" spans="5:7">
      <c r="E3156" s="264"/>
      <c r="G3156" s="264"/>
    </row>
    <row r="3157" spans="5:7">
      <c r="E3157" s="264"/>
      <c r="G3157" s="264"/>
    </row>
    <row r="3158" spans="5:7">
      <c r="E3158" s="264"/>
      <c r="G3158" s="264"/>
    </row>
    <row r="3159" spans="5:7">
      <c r="E3159" s="264"/>
      <c r="G3159" s="264"/>
    </row>
    <row r="3160" spans="5:7">
      <c r="E3160" s="264"/>
      <c r="G3160" s="264"/>
    </row>
    <row r="3161" spans="5:7">
      <c r="E3161" s="264"/>
      <c r="G3161" s="264"/>
    </row>
    <row r="3162" spans="5:7">
      <c r="E3162" s="264"/>
      <c r="G3162" s="264"/>
    </row>
    <row r="3163" spans="5:7">
      <c r="E3163" s="264"/>
      <c r="G3163" s="264"/>
    </row>
    <row r="3164" spans="5:7">
      <c r="E3164" s="264"/>
      <c r="G3164" s="264"/>
    </row>
    <row r="3165" spans="5:7">
      <c r="E3165" s="264"/>
      <c r="G3165" s="264"/>
    </row>
    <row r="3166" spans="5:7">
      <c r="E3166" s="264"/>
      <c r="G3166" s="264"/>
    </row>
    <row r="3167" spans="5:7">
      <c r="E3167" s="264"/>
      <c r="G3167" s="264"/>
    </row>
    <row r="3168" spans="5:7">
      <c r="E3168" s="264"/>
      <c r="G3168" s="264"/>
    </row>
    <row r="3169" spans="5:7">
      <c r="E3169" s="264"/>
      <c r="G3169" s="264"/>
    </row>
    <row r="3170" spans="5:7">
      <c r="E3170" s="264"/>
      <c r="G3170" s="264"/>
    </row>
    <row r="3171" spans="5:7">
      <c r="E3171" s="264"/>
      <c r="G3171" s="264"/>
    </row>
    <row r="3172" spans="5:7">
      <c r="E3172" s="264"/>
      <c r="G3172" s="264"/>
    </row>
    <row r="3173" spans="5:7">
      <c r="E3173" s="264"/>
      <c r="G3173" s="264"/>
    </row>
    <row r="3174" spans="5:7">
      <c r="E3174" s="264"/>
      <c r="G3174" s="264"/>
    </row>
    <row r="3175" spans="5:7">
      <c r="E3175" s="264"/>
      <c r="G3175" s="264"/>
    </row>
    <row r="3176" spans="5:7">
      <c r="E3176" s="264"/>
      <c r="G3176" s="264"/>
    </row>
    <row r="3177" spans="5:7">
      <c r="E3177" s="264"/>
      <c r="G3177" s="264"/>
    </row>
    <row r="3178" spans="5:7">
      <c r="E3178" s="264"/>
      <c r="G3178" s="264"/>
    </row>
    <row r="3179" spans="5:7">
      <c r="E3179" s="264"/>
      <c r="G3179" s="264"/>
    </row>
    <row r="3180" spans="5:7">
      <c r="E3180" s="264"/>
      <c r="G3180" s="264"/>
    </row>
    <row r="3181" spans="5:7">
      <c r="E3181" s="264"/>
      <c r="G3181" s="264"/>
    </row>
    <row r="3182" spans="5:7">
      <c r="E3182" s="264"/>
      <c r="G3182" s="264"/>
    </row>
    <row r="3183" spans="5:7">
      <c r="E3183" s="264"/>
      <c r="G3183" s="264"/>
    </row>
    <row r="3184" spans="5:7">
      <c r="E3184" s="264"/>
      <c r="G3184" s="264"/>
    </row>
    <row r="3185" spans="5:7">
      <c r="E3185" s="264"/>
      <c r="G3185" s="264"/>
    </row>
    <row r="3186" spans="5:7">
      <c r="E3186" s="264"/>
      <c r="G3186" s="264"/>
    </row>
    <row r="3187" spans="5:7">
      <c r="E3187" s="264"/>
      <c r="G3187" s="264"/>
    </row>
    <row r="3188" spans="5:7">
      <c r="E3188" s="264"/>
      <c r="G3188" s="264"/>
    </row>
    <row r="3189" spans="5:7">
      <c r="E3189" s="264"/>
      <c r="G3189" s="264"/>
    </row>
    <row r="3190" spans="5:7">
      <c r="E3190" s="264"/>
      <c r="G3190" s="264"/>
    </row>
    <row r="3191" spans="5:7">
      <c r="E3191" s="264"/>
      <c r="G3191" s="264"/>
    </row>
    <row r="3192" spans="5:7">
      <c r="E3192" s="264"/>
      <c r="G3192" s="264"/>
    </row>
    <row r="3193" spans="5:7">
      <c r="E3193" s="264"/>
      <c r="G3193" s="264"/>
    </row>
    <row r="3194" spans="5:7">
      <c r="E3194" s="264"/>
      <c r="G3194" s="264"/>
    </row>
    <row r="3195" spans="5:7">
      <c r="E3195" s="264"/>
      <c r="G3195" s="264"/>
    </row>
    <row r="3196" spans="5:7">
      <c r="E3196" s="264"/>
      <c r="G3196" s="264"/>
    </row>
    <row r="3197" spans="5:7">
      <c r="E3197" s="264"/>
      <c r="G3197" s="264"/>
    </row>
    <row r="3198" spans="5:7">
      <c r="E3198" s="264"/>
      <c r="G3198" s="264"/>
    </row>
    <row r="3199" spans="5:7">
      <c r="E3199" s="264"/>
      <c r="G3199" s="264"/>
    </row>
    <row r="3200" spans="5:7">
      <c r="E3200" s="264"/>
      <c r="G3200" s="264"/>
    </row>
    <row r="3201" spans="5:7">
      <c r="E3201" s="264"/>
      <c r="G3201" s="264"/>
    </row>
    <row r="3202" spans="5:7">
      <c r="E3202" s="264"/>
      <c r="G3202" s="264"/>
    </row>
    <row r="3203" spans="5:7">
      <c r="E3203" s="264"/>
      <c r="G3203" s="264"/>
    </row>
    <row r="3204" spans="5:7">
      <c r="E3204" s="264"/>
      <c r="G3204" s="264"/>
    </row>
    <row r="3205" spans="5:7">
      <c r="E3205" s="264"/>
      <c r="G3205" s="264"/>
    </row>
    <row r="3206" spans="5:7">
      <c r="E3206" s="264"/>
      <c r="G3206" s="264"/>
    </row>
    <row r="3207" spans="5:7">
      <c r="E3207" s="264"/>
      <c r="G3207" s="264"/>
    </row>
    <row r="3208" spans="5:7">
      <c r="E3208" s="264"/>
      <c r="G3208" s="264"/>
    </row>
    <row r="3209" spans="5:7">
      <c r="E3209" s="264"/>
      <c r="G3209" s="264"/>
    </row>
    <row r="3210" spans="5:7">
      <c r="E3210" s="264"/>
      <c r="G3210" s="264"/>
    </row>
    <row r="3211" spans="5:7">
      <c r="E3211" s="264"/>
      <c r="G3211" s="264"/>
    </row>
    <row r="3212" spans="5:7">
      <c r="E3212" s="264"/>
      <c r="G3212" s="264"/>
    </row>
    <row r="3213" spans="5:7">
      <c r="E3213" s="264"/>
      <c r="G3213" s="264"/>
    </row>
    <row r="3214" spans="5:7">
      <c r="E3214" s="264"/>
      <c r="G3214" s="264"/>
    </row>
    <row r="3215" spans="5:7">
      <c r="E3215" s="264"/>
      <c r="G3215" s="264"/>
    </row>
    <row r="3216" spans="5:7">
      <c r="E3216" s="264"/>
      <c r="G3216" s="264"/>
    </row>
    <row r="3217" spans="5:7">
      <c r="E3217" s="264"/>
      <c r="G3217" s="264"/>
    </row>
    <row r="3218" spans="5:7">
      <c r="E3218" s="264"/>
      <c r="G3218" s="264"/>
    </row>
    <row r="3219" spans="5:7">
      <c r="E3219" s="264"/>
      <c r="G3219" s="264"/>
    </row>
    <row r="3220" spans="5:7">
      <c r="E3220" s="264"/>
      <c r="G3220" s="264"/>
    </row>
    <row r="3221" spans="5:7">
      <c r="E3221" s="264"/>
      <c r="G3221" s="264"/>
    </row>
    <row r="3222" spans="5:7">
      <c r="E3222" s="264"/>
      <c r="G3222" s="264"/>
    </row>
    <row r="3223" spans="5:7">
      <c r="E3223" s="264"/>
      <c r="G3223" s="264"/>
    </row>
    <row r="3224" spans="5:7">
      <c r="E3224" s="264"/>
      <c r="G3224" s="264"/>
    </row>
    <row r="3225" spans="5:7">
      <c r="E3225" s="264"/>
      <c r="G3225" s="264"/>
    </row>
    <row r="3226" spans="5:7">
      <c r="E3226" s="264"/>
      <c r="G3226" s="264"/>
    </row>
    <row r="3227" spans="5:7">
      <c r="E3227" s="264"/>
      <c r="G3227" s="264"/>
    </row>
    <row r="3228" spans="5:7">
      <c r="E3228" s="264"/>
      <c r="G3228" s="264"/>
    </row>
    <row r="3229" spans="5:7">
      <c r="E3229" s="264"/>
      <c r="G3229" s="264"/>
    </row>
    <row r="3230" spans="5:7">
      <c r="E3230" s="264"/>
      <c r="G3230" s="264"/>
    </row>
    <row r="3231" spans="5:7">
      <c r="E3231" s="264"/>
      <c r="G3231" s="264"/>
    </row>
    <row r="3232" spans="5:7">
      <c r="E3232" s="264"/>
      <c r="G3232" s="264"/>
    </row>
    <row r="3233" spans="5:7">
      <c r="E3233" s="264"/>
      <c r="G3233" s="264"/>
    </row>
    <row r="3234" spans="5:7">
      <c r="E3234" s="264"/>
      <c r="G3234" s="264"/>
    </row>
    <row r="3235" spans="5:7">
      <c r="E3235" s="264"/>
      <c r="G3235" s="264"/>
    </row>
    <row r="3236" spans="5:7">
      <c r="E3236" s="264"/>
      <c r="G3236" s="264"/>
    </row>
    <row r="3237" spans="5:7">
      <c r="E3237" s="264"/>
      <c r="G3237" s="264"/>
    </row>
    <row r="3238" spans="5:7">
      <c r="E3238" s="264"/>
      <c r="G3238" s="264"/>
    </row>
    <row r="3239" spans="5:7">
      <c r="E3239" s="264"/>
      <c r="G3239" s="264"/>
    </row>
    <row r="3240" spans="5:7">
      <c r="E3240" s="264"/>
      <c r="G3240" s="264"/>
    </row>
    <row r="3241" spans="5:7">
      <c r="E3241" s="264"/>
      <c r="G3241" s="264"/>
    </row>
    <row r="3242" spans="5:7">
      <c r="E3242" s="264"/>
      <c r="G3242" s="264"/>
    </row>
    <row r="3243" spans="5:7">
      <c r="E3243" s="264"/>
      <c r="G3243" s="264"/>
    </row>
    <row r="3244" spans="5:7">
      <c r="E3244" s="264"/>
      <c r="G3244" s="264"/>
    </row>
    <row r="3245" spans="5:7">
      <c r="E3245" s="264"/>
      <c r="G3245" s="264"/>
    </row>
    <row r="3246" spans="5:7">
      <c r="E3246" s="264"/>
      <c r="G3246" s="264"/>
    </row>
    <row r="3247" spans="5:7">
      <c r="E3247" s="264"/>
      <c r="G3247" s="264"/>
    </row>
    <row r="3248" spans="5:7">
      <c r="E3248" s="264"/>
      <c r="G3248" s="264"/>
    </row>
    <row r="3249" spans="5:7">
      <c r="E3249" s="264"/>
      <c r="G3249" s="264"/>
    </row>
    <row r="3250" spans="5:7">
      <c r="E3250" s="264"/>
      <c r="G3250" s="264"/>
    </row>
    <row r="3251" spans="5:7">
      <c r="E3251" s="264"/>
      <c r="G3251" s="264"/>
    </row>
    <row r="3252" spans="5:7">
      <c r="E3252" s="264"/>
      <c r="G3252" s="264"/>
    </row>
    <row r="3253" spans="5:7">
      <c r="E3253" s="264"/>
      <c r="G3253" s="264"/>
    </row>
    <row r="3254" spans="5:7">
      <c r="E3254" s="264"/>
      <c r="G3254" s="264"/>
    </row>
    <row r="3255" spans="5:7">
      <c r="E3255" s="264"/>
      <c r="G3255" s="264"/>
    </row>
    <row r="3256" spans="5:7">
      <c r="E3256" s="264"/>
      <c r="G3256" s="264"/>
    </row>
    <row r="3257" spans="5:7">
      <c r="E3257" s="264"/>
      <c r="G3257" s="264"/>
    </row>
    <row r="3258" spans="5:7">
      <c r="E3258" s="264"/>
      <c r="G3258" s="264"/>
    </row>
    <row r="3259" spans="5:7">
      <c r="E3259" s="264"/>
      <c r="G3259" s="264"/>
    </row>
    <row r="3260" spans="5:7">
      <c r="E3260" s="264"/>
      <c r="G3260" s="264"/>
    </row>
    <row r="3261" spans="5:7">
      <c r="E3261" s="264"/>
      <c r="G3261" s="264"/>
    </row>
    <row r="3262" spans="5:7">
      <c r="E3262" s="264"/>
      <c r="G3262" s="264"/>
    </row>
    <row r="3263" spans="5:7">
      <c r="E3263" s="264"/>
      <c r="G3263" s="264"/>
    </row>
    <row r="3264" spans="5:7">
      <c r="E3264" s="264"/>
      <c r="G3264" s="264"/>
    </row>
    <row r="3265" spans="5:7">
      <c r="E3265" s="264"/>
      <c r="G3265" s="264"/>
    </row>
    <row r="3266" spans="5:7">
      <c r="E3266" s="264"/>
      <c r="G3266" s="264"/>
    </row>
    <row r="3267" spans="5:7">
      <c r="E3267" s="264"/>
      <c r="G3267" s="264"/>
    </row>
    <row r="3268" spans="5:7">
      <c r="E3268" s="264"/>
      <c r="G3268" s="264"/>
    </row>
    <row r="3269" spans="5:7">
      <c r="E3269" s="264"/>
      <c r="G3269" s="264"/>
    </row>
    <row r="3270" spans="5:7">
      <c r="E3270" s="264"/>
      <c r="G3270" s="264"/>
    </row>
    <row r="3271" spans="5:7">
      <c r="E3271" s="264"/>
      <c r="G3271" s="264"/>
    </row>
    <row r="3272" spans="5:7">
      <c r="E3272" s="264"/>
      <c r="G3272" s="264"/>
    </row>
    <row r="3273" spans="5:7">
      <c r="E3273" s="264"/>
      <c r="G3273" s="264"/>
    </row>
    <row r="3274" spans="5:7">
      <c r="E3274" s="264"/>
      <c r="G3274" s="264"/>
    </row>
    <row r="3275" spans="5:7">
      <c r="E3275" s="264"/>
      <c r="G3275" s="264"/>
    </row>
    <row r="3276" spans="5:7">
      <c r="E3276" s="264"/>
      <c r="G3276" s="264"/>
    </row>
    <row r="3277" spans="5:7">
      <c r="E3277" s="264"/>
      <c r="G3277" s="264"/>
    </row>
    <row r="3278" spans="5:7">
      <c r="E3278" s="264"/>
      <c r="G3278" s="264"/>
    </row>
    <row r="3279" spans="5:7">
      <c r="E3279" s="264"/>
      <c r="G3279" s="264"/>
    </row>
    <row r="3280" spans="5:7">
      <c r="E3280" s="264"/>
      <c r="G3280" s="264"/>
    </row>
    <row r="3281" spans="5:7">
      <c r="E3281" s="264"/>
      <c r="G3281" s="264"/>
    </row>
    <row r="3282" spans="5:7">
      <c r="E3282" s="264"/>
      <c r="G3282" s="264"/>
    </row>
    <row r="3283" spans="5:7">
      <c r="E3283" s="264"/>
      <c r="G3283" s="264"/>
    </row>
    <row r="3284" spans="5:7">
      <c r="E3284" s="264"/>
      <c r="G3284" s="264"/>
    </row>
    <row r="3285" spans="5:7">
      <c r="E3285" s="264"/>
      <c r="G3285" s="264"/>
    </row>
    <row r="3286" spans="5:7">
      <c r="E3286" s="264"/>
      <c r="G3286" s="264"/>
    </row>
    <row r="3287" spans="5:7">
      <c r="E3287" s="264"/>
      <c r="G3287" s="264"/>
    </row>
    <row r="3288" spans="5:7">
      <c r="E3288" s="264"/>
      <c r="G3288" s="264"/>
    </row>
    <row r="3289" spans="5:7">
      <c r="E3289" s="264"/>
      <c r="G3289" s="264"/>
    </row>
    <row r="3290" spans="5:7">
      <c r="E3290" s="264"/>
      <c r="G3290" s="264"/>
    </row>
    <row r="3291" spans="5:7">
      <c r="E3291" s="264"/>
      <c r="G3291" s="264"/>
    </row>
    <row r="3292" spans="5:7">
      <c r="E3292" s="264"/>
      <c r="G3292" s="264"/>
    </row>
    <row r="3293" spans="5:7">
      <c r="E3293" s="264"/>
      <c r="G3293" s="264"/>
    </row>
    <row r="3294" spans="5:7">
      <c r="E3294" s="264"/>
      <c r="G3294" s="264"/>
    </row>
    <row r="3295" spans="5:7">
      <c r="E3295" s="264"/>
      <c r="G3295" s="264"/>
    </row>
    <row r="3296" spans="5:7">
      <c r="E3296" s="264"/>
      <c r="G3296" s="264"/>
    </row>
    <row r="3297" spans="5:7">
      <c r="E3297" s="264"/>
      <c r="G3297" s="264"/>
    </row>
    <row r="3298" spans="5:7">
      <c r="E3298" s="264"/>
      <c r="G3298" s="264"/>
    </row>
    <row r="3299" spans="5:7">
      <c r="E3299" s="264"/>
      <c r="G3299" s="264"/>
    </row>
    <row r="3300" spans="5:7">
      <c r="E3300" s="264"/>
      <c r="G3300" s="264"/>
    </row>
    <row r="3301" spans="5:7">
      <c r="E3301" s="264"/>
      <c r="G3301" s="264"/>
    </row>
    <row r="3302" spans="5:7">
      <c r="E3302" s="264"/>
      <c r="G3302" s="264"/>
    </row>
    <row r="3303" spans="5:7">
      <c r="E3303" s="264"/>
      <c r="G3303" s="264"/>
    </row>
    <row r="3304" spans="5:7">
      <c r="E3304" s="264"/>
      <c r="G3304" s="264"/>
    </row>
    <row r="3305" spans="5:7">
      <c r="E3305" s="264"/>
      <c r="G3305" s="264"/>
    </row>
    <row r="3306" spans="5:7">
      <c r="E3306" s="264"/>
      <c r="G3306" s="264"/>
    </row>
    <row r="3307" spans="5:7">
      <c r="E3307" s="264"/>
      <c r="G3307" s="264"/>
    </row>
    <row r="3308" spans="5:7">
      <c r="E3308" s="264"/>
      <c r="G3308" s="264"/>
    </row>
    <row r="3309" spans="5:7">
      <c r="E3309" s="264"/>
      <c r="G3309" s="264"/>
    </row>
    <row r="3310" spans="5:7">
      <c r="E3310" s="264"/>
      <c r="G3310" s="264"/>
    </row>
    <row r="3311" spans="5:7">
      <c r="E3311" s="264"/>
      <c r="G3311" s="264"/>
    </row>
    <row r="3312" spans="5:7">
      <c r="E3312" s="264"/>
      <c r="G3312" s="264"/>
    </row>
    <row r="3313" spans="5:7">
      <c r="E3313" s="264"/>
      <c r="G3313" s="264"/>
    </row>
    <row r="3314" spans="5:7">
      <c r="E3314" s="264"/>
      <c r="G3314" s="264"/>
    </row>
    <row r="3315" spans="5:7">
      <c r="E3315" s="264"/>
      <c r="G3315" s="264"/>
    </row>
    <row r="3316" spans="5:7">
      <c r="E3316" s="264"/>
      <c r="G3316" s="264"/>
    </row>
    <row r="3317" spans="5:7">
      <c r="E3317" s="264"/>
      <c r="G3317" s="264"/>
    </row>
    <row r="3318" spans="5:7">
      <c r="E3318" s="264"/>
      <c r="G3318" s="264"/>
    </row>
    <row r="3319" spans="5:7">
      <c r="E3319" s="264"/>
      <c r="G3319" s="264"/>
    </row>
    <row r="3320" spans="5:7">
      <c r="E3320" s="264"/>
      <c r="G3320" s="264"/>
    </row>
    <row r="3321" spans="5:7">
      <c r="E3321" s="264"/>
      <c r="G3321" s="264"/>
    </row>
    <row r="3322" spans="5:7">
      <c r="E3322" s="264"/>
      <c r="G3322" s="264"/>
    </row>
    <row r="3323" spans="5:7">
      <c r="E3323" s="264"/>
      <c r="G3323" s="264"/>
    </row>
    <row r="3324" spans="5:7">
      <c r="E3324" s="264"/>
      <c r="G3324" s="264"/>
    </row>
    <row r="3325" spans="5:7">
      <c r="E3325" s="264"/>
      <c r="G3325" s="264"/>
    </row>
    <row r="3326" spans="5:7">
      <c r="E3326" s="264"/>
      <c r="G3326" s="264"/>
    </row>
    <row r="3327" spans="5:7">
      <c r="E3327" s="264"/>
      <c r="G3327" s="264"/>
    </row>
    <row r="3328" spans="5:7">
      <c r="E3328" s="264"/>
      <c r="G3328" s="264"/>
    </row>
    <row r="3329" spans="5:7">
      <c r="E3329" s="264"/>
      <c r="G3329" s="264"/>
    </row>
    <row r="3330" spans="5:7">
      <c r="E3330" s="264"/>
      <c r="G3330" s="264"/>
    </row>
    <row r="3331" spans="5:7">
      <c r="E3331" s="264"/>
      <c r="G3331" s="264"/>
    </row>
    <row r="3332" spans="5:7">
      <c r="E3332" s="264"/>
      <c r="G3332" s="264"/>
    </row>
    <row r="3333" spans="5:7">
      <c r="E3333" s="264"/>
      <c r="G3333" s="264"/>
    </row>
    <row r="3334" spans="5:7">
      <c r="E3334" s="264"/>
      <c r="G3334" s="264"/>
    </row>
    <row r="3335" spans="5:7">
      <c r="E3335" s="264"/>
      <c r="G3335" s="264"/>
    </row>
    <row r="3336" spans="5:7">
      <c r="E3336" s="264"/>
      <c r="G3336" s="264"/>
    </row>
    <row r="3337" spans="5:7">
      <c r="E3337" s="264"/>
      <c r="G3337" s="264"/>
    </row>
    <row r="3338" spans="5:7">
      <c r="E3338" s="264"/>
      <c r="G3338" s="264"/>
    </row>
    <row r="3339" spans="5:7">
      <c r="E3339" s="264"/>
      <c r="G3339" s="264"/>
    </row>
    <row r="3340" spans="5:7">
      <c r="E3340" s="264"/>
      <c r="G3340" s="264"/>
    </row>
    <row r="3341" spans="5:7">
      <c r="E3341" s="264"/>
      <c r="G3341" s="264"/>
    </row>
    <row r="3342" spans="5:7">
      <c r="E3342" s="264"/>
      <c r="G3342" s="264"/>
    </row>
    <row r="3343" spans="5:7">
      <c r="E3343" s="264"/>
      <c r="G3343" s="264"/>
    </row>
    <row r="3344" spans="5:7">
      <c r="E3344" s="264"/>
      <c r="G3344" s="264"/>
    </row>
    <row r="3345" spans="5:7">
      <c r="E3345" s="264"/>
      <c r="G3345" s="264"/>
    </row>
    <row r="3346" spans="5:7">
      <c r="E3346" s="264"/>
      <c r="G3346" s="264"/>
    </row>
    <row r="3347" spans="5:7">
      <c r="E3347" s="264"/>
      <c r="G3347" s="264"/>
    </row>
    <row r="3348" spans="5:7">
      <c r="E3348" s="264"/>
      <c r="G3348" s="264"/>
    </row>
    <row r="3349" spans="5:7">
      <c r="E3349" s="264"/>
      <c r="G3349" s="264"/>
    </row>
    <row r="3350" spans="5:7">
      <c r="E3350" s="264"/>
      <c r="G3350" s="264"/>
    </row>
    <row r="3351" spans="5:7">
      <c r="E3351" s="264"/>
      <c r="G3351" s="264"/>
    </row>
    <row r="3352" spans="5:7">
      <c r="E3352" s="264"/>
      <c r="G3352" s="264"/>
    </row>
    <row r="3353" spans="5:7">
      <c r="E3353" s="264"/>
      <c r="G3353" s="264"/>
    </row>
    <row r="3354" spans="5:7">
      <c r="E3354" s="264"/>
      <c r="G3354" s="264"/>
    </row>
    <row r="3355" spans="5:7">
      <c r="E3355" s="264"/>
      <c r="G3355" s="264"/>
    </row>
    <row r="3356" spans="5:7">
      <c r="E3356" s="264"/>
      <c r="G3356" s="264"/>
    </row>
    <row r="3357" spans="5:7">
      <c r="E3357" s="264"/>
      <c r="G3357" s="264"/>
    </row>
    <row r="3358" spans="5:7">
      <c r="E3358" s="264"/>
      <c r="G3358" s="264"/>
    </row>
    <row r="3359" spans="5:7">
      <c r="E3359" s="264"/>
      <c r="G3359" s="264"/>
    </row>
    <row r="3360" spans="5:7">
      <c r="E3360" s="264"/>
      <c r="G3360" s="264"/>
    </row>
    <row r="3361" spans="5:7">
      <c r="E3361" s="264"/>
      <c r="G3361" s="264"/>
    </row>
    <row r="3362" spans="5:7">
      <c r="E3362" s="264"/>
      <c r="G3362" s="264"/>
    </row>
    <row r="3363" spans="5:7">
      <c r="E3363" s="264"/>
      <c r="G3363" s="264"/>
    </row>
    <row r="3364" spans="5:7">
      <c r="E3364" s="264"/>
      <c r="G3364" s="264"/>
    </row>
    <row r="3365" spans="5:7">
      <c r="E3365" s="264"/>
      <c r="G3365" s="264"/>
    </row>
    <row r="3366" spans="5:7">
      <c r="E3366" s="264"/>
      <c r="G3366" s="264"/>
    </row>
    <row r="3367" spans="5:7">
      <c r="E3367" s="264"/>
      <c r="G3367" s="264"/>
    </row>
    <row r="3368" spans="5:7">
      <c r="E3368" s="264"/>
      <c r="G3368" s="264"/>
    </row>
    <row r="3369" spans="5:7">
      <c r="E3369" s="264"/>
      <c r="G3369" s="264"/>
    </row>
    <row r="3370" spans="5:7">
      <c r="E3370" s="264"/>
      <c r="G3370" s="264"/>
    </row>
    <row r="3371" spans="5:7">
      <c r="E3371" s="264"/>
      <c r="G3371" s="264"/>
    </row>
    <row r="3372" spans="5:7">
      <c r="E3372" s="264"/>
      <c r="G3372" s="264"/>
    </row>
    <row r="3373" spans="5:7">
      <c r="E3373" s="264"/>
      <c r="G3373" s="264"/>
    </row>
    <row r="3374" spans="5:7">
      <c r="E3374" s="264"/>
      <c r="G3374" s="264"/>
    </row>
    <row r="3375" spans="5:7">
      <c r="E3375" s="264"/>
      <c r="G3375" s="264"/>
    </row>
    <row r="3376" spans="5:7">
      <c r="E3376" s="264"/>
      <c r="G3376" s="264"/>
    </row>
    <row r="3377" spans="5:7">
      <c r="E3377" s="264"/>
      <c r="G3377" s="264"/>
    </row>
    <row r="3378" spans="5:7">
      <c r="E3378" s="264"/>
      <c r="G3378" s="264"/>
    </row>
    <row r="3379" spans="5:7">
      <c r="E3379" s="264"/>
      <c r="G3379" s="264"/>
    </row>
    <row r="3380" spans="5:7">
      <c r="E3380" s="264"/>
      <c r="G3380" s="264"/>
    </row>
    <row r="3381" spans="5:7">
      <c r="E3381" s="264"/>
      <c r="G3381" s="264"/>
    </row>
    <row r="3382" spans="5:7">
      <c r="E3382" s="264"/>
      <c r="G3382" s="264"/>
    </row>
    <row r="3383" spans="5:7">
      <c r="E3383" s="264"/>
      <c r="G3383" s="264"/>
    </row>
    <row r="3384" spans="5:7">
      <c r="E3384" s="264"/>
      <c r="G3384" s="264"/>
    </row>
    <row r="3385" spans="5:7">
      <c r="E3385" s="264"/>
      <c r="G3385" s="264"/>
    </row>
    <row r="3386" spans="5:7">
      <c r="E3386" s="264"/>
      <c r="G3386" s="264"/>
    </row>
    <row r="3387" spans="5:7">
      <c r="E3387" s="264"/>
      <c r="G3387" s="264"/>
    </row>
    <row r="3388" spans="5:7">
      <c r="E3388" s="264"/>
      <c r="G3388" s="264"/>
    </row>
    <row r="3389" spans="5:7">
      <c r="E3389" s="264"/>
      <c r="G3389" s="264"/>
    </row>
    <row r="3390" spans="5:7">
      <c r="E3390" s="264"/>
      <c r="G3390" s="264"/>
    </row>
    <row r="3391" spans="5:7">
      <c r="E3391" s="264"/>
      <c r="G3391" s="264"/>
    </row>
    <row r="3392" spans="5:7">
      <c r="E3392" s="264"/>
      <c r="G3392" s="264"/>
    </row>
    <row r="3393" spans="5:7">
      <c r="E3393" s="264"/>
      <c r="G3393" s="264"/>
    </row>
    <row r="3394" spans="5:7">
      <c r="E3394" s="264"/>
      <c r="G3394" s="264"/>
    </row>
    <row r="3395" spans="5:7">
      <c r="E3395" s="264"/>
      <c r="G3395" s="264"/>
    </row>
    <row r="3396" spans="5:7">
      <c r="E3396" s="264"/>
      <c r="G3396" s="264"/>
    </row>
    <row r="3397" spans="5:7">
      <c r="E3397" s="264"/>
      <c r="G3397" s="264"/>
    </row>
    <row r="3398" spans="5:7">
      <c r="E3398" s="264"/>
      <c r="G3398" s="264"/>
    </row>
    <row r="3399" spans="5:7">
      <c r="E3399" s="264"/>
      <c r="G3399" s="264"/>
    </row>
    <row r="3400" spans="5:7">
      <c r="E3400" s="264"/>
      <c r="G3400" s="264"/>
    </row>
    <row r="3401" spans="5:7">
      <c r="E3401" s="264"/>
      <c r="G3401" s="264"/>
    </row>
    <row r="3402" spans="5:7">
      <c r="E3402" s="264"/>
      <c r="G3402" s="264"/>
    </row>
    <row r="3403" spans="5:7">
      <c r="E3403" s="264"/>
      <c r="G3403" s="264"/>
    </row>
    <row r="3404" spans="5:7">
      <c r="E3404" s="264"/>
      <c r="G3404" s="264"/>
    </row>
    <row r="3405" spans="5:7">
      <c r="E3405" s="264"/>
      <c r="G3405" s="264"/>
    </row>
    <row r="3406" spans="5:7">
      <c r="E3406" s="264"/>
      <c r="G3406" s="264"/>
    </row>
    <row r="3407" spans="5:7">
      <c r="E3407" s="264"/>
      <c r="G3407" s="264"/>
    </row>
    <row r="3408" spans="5:7">
      <c r="E3408" s="264"/>
      <c r="G3408" s="264"/>
    </row>
    <row r="3409" spans="5:7">
      <c r="E3409" s="264"/>
      <c r="G3409" s="264"/>
    </row>
    <row r="3410" spans="5:7">
      <c r="E3410" s="264"/>
      <c r="G3410" s="264"/>
    </row>
    <row r="3411" spans="5:7">
      <c r="E3411" s="264"/>
      <c r="G3411" s="264"/>
    </row>
    <row r="3412" spans="5:7">
      <c r="E3412" s="264"/>
      <c r="G3412" s="264"/>
    </row>
    <row r="3413" spans="5:7">
      <c r="E3413" s="264"/>
      <c r="G3413" s="264"/>
    </row>
    <row r="3414" spans="5:7">
      <c r="E3414" s="264"/>
      <c r="G3414" s="264"/>
    </row>
    <row r="3415" spans="5:7">
      <c r="E3415" s="264"/>
      <c r="G3415" s="264"/>
    </row>
    <row r="3416" spans="5:7">
      <c r="E3416" s="264"/>
      <c r="G3416" s="264"/>
    </row>
    <row r="3417" spans="5:7">
      <c r="E3417" s="264"/>
      <c r="G3417" s="264"/>
    </row>
    <row r="3418" spans="5:7">
      <c r="E3418" s="264"/>
      <c r="G3418" s="264"/>
    </row>
    <row r="3419" spans="5:7">
      <c r="E3419" s="264"/>
      <c r="G3419" s="264"/>
    </row>
    <row r="3420" spans="5:7">
      <c r="E3420" s="264"/>
      <c r="G3420" s="264"/>
    </row>
    <row r="3421" spans="5:7">
      <c r="E3421" s="264"/>
      <c r="G3421" s="264"/>
    </row>
    <row r="3422" spans="5:7">
      <c r="E3422" s="264"/>
      <c r="G3422" s="264"/>
    </row>
    <row r="3423" spans="5:7">
      <c r="E3423" s="264"/>
      <c r="G3423" s="264"/>
    </row>
    <row r="3424" spans="5:7">
      <c r="E3424" s="264"/>
      <c r="G3424" s="264"/>
    </row>
    <row r="3425" spans="5:7">
      <c r="E3425" s="264"/>
      <c r="G3425" s="264"/>
    </row>
    <row r="3426" spans="5:7">
      <c r="E3426" s="264"/>
      <c r="G3426" s="264"/>
    </row>
    <row r="3427" spans="5:7">
      <c r="E3427" s="264"/>
      <c r="G3427" s="264"/>
    </row>
    <row r="3428" spans="5:7">
      <c r="E3428" s="264"/>
      <c r="G3428" s="264"/>
    </row>
    <row r="3429" spans="5:7">
      <c r="E3429" s="264"/>
      <c r="G3429" s="264"/>
    </row>
    <row r="3430" spans="5:7">
      <c r="E3430" s="264"/>
      <c r="G3430" s="264"/>
    </row>
    <row r="3431" spans="5:7">
      <c r="E3431" s="264"/>
      <c r="G3431" s="264"/>
    </row>
    <row r="3432" spans="5:7">
      <c r="E3432" s="264"/>
      <c r="G3432" s="264"/>
    </row>
    <row r="3433" spans="5:7">
      <c r="E3433" s="264"/>
      <c r="G3433" s="264"/>
    </row>
    <row r="3434" spans="5:7">
      <c r="E3434" s="264"/>
      <c r="G3434" s="264"/>
    </row>
    <row r="3435" spans="5:7">
      <c r="E3435" s="264"/>
      <c r="G3435" s="264"/>
    </row>
    <row r="3436" spans="5:7">
      <c r="E3436" s="264"/>
      <c r="G3436" s="264"/>
    </row>
    <row r="3437" spans="5:7">
      <c r="E3437" s="264"/>
      <c r="G3437" s="264"/>
    </row>
    <row r="3438" spans="5:7">
      <c r="E3438" s="264"/>
      <c r="G3438" s="264"/>
    </row>
    <row r="3439" spans="5:7">
      <c r="E3439" s="264"/>
      <c r="G3439" s="264"/>
    </row>
    <row r="3440" spans="5:7">
      <c r="E3440" s="264"/>
      <c r="G3440" s="264"/>
    </row>
    <row r="3441" spans="5:7">
      <c r="E3441" s="264"/>
      <c r="G3441" s="264"/>
    </row>
    <row r="3442" spans="5:7">
      <c r="E3442" s="264"/>
      <c r="G3442" s="264"/>
    </row>
    <row r="3443" spans="5:7">
      <c r="E3443" s="264"/>
      <c r="G3443" s="264"/>
    </row>
    <row r="3444" spans="5:7">
      <c r="E3444" s="264"/>
      <c r="G3444" s="264"/>
    </row>
    <row r="3445" spans="5:7">
      <c r="E3445" s="264"/>
      <c r="G3445" s="264"/>
    </row>
    <row r="3446" spans="5:7">
      <c r="E3446" s="264"/>
      <c r="G3446" s="264"/>
    </row>
    <row r="3447" spans="5:7">
      <c r="E3447" s="264"/>
      <c r="G3447" s="264"/>
    </row>
    <row r="3448" spans="5:7">
      <c r="E3448" s="264"/>
      <c r="G3448" s="264"/>
    </row>
    <row r="3449" spans="5:7">
      <c r="E3449" s="264"/>
      <c r="G3449" s="264"/>
    </row>
    <row r="3450" spans="5:7">
      <c r="E3450" s="264"/>
      <c r="G3450" s="264"/>
    </row>
    <row r="3451" spans="5:7">
      <c r="E3451" s="264"/>
      <c r="G3451" s="264"/>
    </row>
    <row r="3452" spans="5:7">
      <c r="E3452" s="264"/>
      <c r="G3452" s="264"/>
    </row>
    <row r="3453" spans="5:7">
      <c r="E3453" s="264"/>
      <c r="G3453" s="264"/>
    </row>
    <row r="3454" spans="5:7">
      <c r="E3454" s="264"/>
      <c r="G3454" s="264"/>
    </row>
    <row r="3455" spans="5:7">
      <c r="E3455" s="264"/>
      <c r="G3455" s="264"/>
    </row>
    <row r="3456" spans="5:7">
      <c r="E3456" s="264"/>
      <c r="G3456" s="264"/>
    </row>
    <row r="3457" spans="5:7">
      <c r="E3457" s="264"/>
      <c r="G3457" s="264"/>
    </row>
    <row r="3458" spans="5:7">
      <c r="E3458" s="264"/>
      <c r="G3458" s="264"/>
    </row>
    <row r="3459" spans="5:7">
      <c r="E3459" s="264"/>
      <c r="G3459" s="264"/>
    </row>
    <row r="3460" spans="5:7">
      <c r="E3460" s="264"/>
      <c r="G3460" s="264"/>
    </row>
    <row r="3461" spans="5:7">
      <c r="E3461" s="264"/>
      <c r="G3461" s="264"/>
    </row>
    <row r="3462" spans="5:7">
      <c r="E3462" s="264"/>
      <c r="G3462" s="264"/>
    </row>
    <row r="3463" spans="5:7">
      <c r="E3463" s="264"/>
      <c r="G3463" s="264"/>
    </row>
    <row r="3464" spans="5:7">
      <c r="E3464" s="264"/>
      <c r="G3464" s="264"/>
    </row>
    <row r="3465" spans="5:7">
      <c r="E3465" s="264"/>
      <c r="G3465" s="264"/>
    </row>
    <row r="3466" spans="5:7">
      <c r="E3466" s="264"/>
      <c r="G3466" s="264"/>
    </row>
    <row r="3467" spans="5:7">
      <c r="E3467" s="264"/>
      <c r="G3467" s="264"/>
    </row>
    <row r="3468" spans="5:7">
      <c r="E3468" s="264"/>
      <c r="G3468" s="264"/>
    </row>
    <row r="3469" spans="5:7">
      <c r="E3469" s="264"/>
      <c r="G3469" s="264"/>
    </row>
    <row r="3470" spans="5:7">
      <c r="E3470" s="264"/>
      <c r="G3470" s="264"/>
    </row>
    <row r="3471" spans="5:7">
      <c r="E3471" s="264"/>
      <c r="G3471" s="264"/>
    </row>
    <row r="3472" spans="5:7">
      <c r="E3472" s="264"/>
      <c r="G3472" s="264"/>
    </row>
    <row r="3473" spans="5:7">
      <c r="E3473" s="264"/>
      <c r="G3473" s="264"/>
    </row>
    <row r="3474" spans="5:7">
      <c r="E3474" s="264"/>
      <c r="G3474" s="264"/>
    </row>
    <row r="3475" spans="5:7">
      <c r="E3475" s="264"/>
      <c r="G3475" s="264"/>
    </row>
    <row r="3476" spans="5:7">
      <c r="E3476" s="264"/>
      <c r="G3476" s="264"/>
    </row>
    <row r="3477" spans="5:7">
      <c r="E3477" s="264"/>
      <c r="G3477" s="264"/>
    </row>
    <row r="3478" spans="5:7">
      <c r="E3478" s="264"/>
      <c r="G3478" s="264"/>
    </row>
    <row r="3479" spans="5:7">
      <c r="E3479" s="264"/>
      <c r="G3479" s="264"/>
    </row>
    <row r="3480" spans="5:7">
      <c r="E3480" s="264"/>
      <c r="G3480" s="264"/>
    </row>
    <row r="3481" spans="5:7">
      <c r="E3481" s="264"/>
      <c r="G3481" s="264"/>
    </row>
    <row r="3482" spans="5:7">
      <c r="E3482" s="264"/>
      <c r="G3482" s="264"/>
    </row>
    <row r="3483" spans="5:7">
      <c r="E3483" s="264"/>
      <c r="G3483" s="264"/>
    </row>
    <row r="3484" spans="5:7">
      <c r="E3484" s="264"/>
      <c r="G3484" s="264"/>
    </row>
    <row r="3485" spans="5:7">
      <c r="E3485" s="264"/>
      <c r="G3485" s="264"/>
    </row>
    <row r="3486" spans="5:7">
      <c r="E3486" s="264"/>
      <c r="G3486" s="264"/>
    </row>
    <row r="3487" spans="5:7">
      <c r="E3487" s="264"/>
      <c r="G3487" s="264"/>
    </row>
    <row r="3488" spans="5:7">
      <c r="E3488" s="264"/>
      <c r="G3488" s="264"/>
    </row>
    <row r="3489" spans="5:7">
      <c r="E3489" s="264"/>
      <c r="G3489" s="264"/>
    </row>
    <row r="3490" spans="5:7">
      <c r="E3490" s="264"/>
      <c r="G3490" s="264"/>
    </row>
    <row r="3491" spans="5:7">
      <c r="E3491" s="264"/>
      <c r="G3491" s="264"/>
    </row>
    <row r="3492" spans="5:7">
      <c r="E3492" s="264"/>
      <c r="G3492" s="264"/>
    </row>
    <row r="3493" spans="5:7">
      <c r="E3493" s="264"/>
      <c r="G3493" s="264"/>
    </row>
    <row r="3494" spans="5:7">
      <c r="E3494" s="264"/>
      <c r="G3494" s="264"/>
    </row>
    <row r="3495" spans="5:7">
      <c r="E3495" s="264"/>
      <c r="G3495" s="264"/>
    </row>
    <row r="3496" spans="5:7">
      <c r="E3496" s="264"/>
      <c r="G3496" s="264"/>
    </row>
    <row r="3497" spans="5:7">
      <c r="E3497" s="264"/>
      <c r="G3497" s="264"/>
    </row>
    <row r="3498" spans="5:7">
      <c r="E3498" s="264"/>
      <c r="G3498" s="264"/>
    </row>
    <row r="3499" spans="5:7">
      <c r="E3499" s="264"/>
      <c r="G3499" s="264"/>
    </row>
    <row r="3500" spans="5:7">
      <c r="E3500" s="264"/>
      <c r="G3500" s="264"/>
    </row>
    <row r="3501" spans="5:7">
      <c r="E3501" s="264"/>
      <c r="G3501" s="264"/>
    </row>
    <row r="3502" spans="5:7">
      <c r="E3502" s="264"/>
      <c r="G3502" s="264"/>
    </row>
    <row r="3503" spans="5:7">
      <c r="E3503" s="264"/>
      <c r="G3503" s="264"/>
    </row>
    <row r="3504" spans="5:7">
      <c r="E3504" s="264"/>
      <c r="G3504" s="264"/>
    </row>
    <row r="3505" spans="5:7">
      <c r="E3505" s="264"/>
      <c r="G3505" s="264"/>
    </row>
    <row r="3506" spans="5:7">
      <c r="E3506" s="264"/>
      <c r="G3506" s="264"/>
    </row>
    <row r="3507" spans="5:7">
      <c r="E3507" s="264"/>
      <c r="G3507" s="264"/>
    </row>
    <row r="3508" spans="5:7">
      <c r="E3508" s="264"/>
      <c r="G3508" s="264"/>
    </row>
    <row r="3509" spans="5:7">
      <c r="E3509" s="264"/>
      <c r="G3509" s="264"/>
    </row>
    <row r="3510" spans="5:7">
      <c r="E3510" s="264"/>
      <c r="G3510" s="264"/>
    </row>
    <row r="3511" spans="5:7">
      <c r="E3511" s="264"/>
      <c r="G3511" s="264"/>
    </row>
    <row r="3512" spans="5:7">
      <c r="E3512" s="264"/>
      <c r="G3512" s="264"/>
    </row>
    <row r="3513" spans="5:7">
      <c r="E3513" s="264"/>
      <c r="G3513" s="264"/>
    </row>
    <row r="3514" spans="5:7">
      <c r="E3514" s="264"/>
      <c r="G3514" s="264"/>
    </row>
    <row r="3515" spans="5:7">
      <c r="E3515" s="264"/>
      <c r="G3515" s="264"/>
    </row>
    <row r="3516" spans="5:7">
      <c r="E3516" s="264"/>
      <c r="G3516" s="264"/>
    </row>
    <row r="3517" spans="5:7">
      <c r="E3517" s="264"/>
      <c r="G3517" s="264"/>
    </row>
    <row r="3518" spans="5:7">
      <c r="E3518" s="264"/>
      <c r="G3518" s="264"/>
    </row>
    <row r="3519" spans="5:7">
      <c r="E3519" s="264"/>
      <c r="G3519" s="264"/>
    </row>
    <row r="3520" spans="5:7">
      <c r="E3520" s="264"/>
      <c r="G3520" s="264"/>
    </row>
    <row r="3521" spans="5:7">
      <c r="E3521" s="264"/>
      <c r="G3521" s="264"/>
    </row>
    <row r="3522" spans="5:7">
      <c r="E3522" s="264"/>
      <c r="G3522" s="264"/>
    </row>
    <row r="3523" spans="5:7">
      <c r="E3523" s="264"/>
      <c r="G3523" s="264"/>
    </row>
    <row r="3524" spans="5:7">
      <c r="E3524" s="264"/>
      <c r="G3524" s="264"/>
    </row>
    <row r="3525" spans="5:7">
      <c r="E3525" s="264"/>
      <c r="G3525" s="264"/>
    </row>
    <row r="3526" spans="5:7">
      <c r="E3526" s="264"/>
      <c r="G3526" s="264"/>
    </row>
    <row r="3527" spans="5:7">
      <c r="E3527" s="264"/>
      <c r="G3527" s="264"/>
    </row>
    <row r="3528" spans="5:7">
      <c r="E3528" s="264"/>
      <c r="G3528" s="264"/>
    </row>
    <row r="3529" spans="5:7">
      <c r="E3529" s="264"/>
      <c r="G3529" s="264"/>
    </row>
    <row r="3530" spans="5:7">
      <c r="E3530" s="264"/>
      <c r="G3530" s="264"/>
    </row>
    <row r="3531" spans="5:7">
      <c r="E3531" s="264"/>
      <c r="G3531" s="264"/>
    </row>
    <row r="3532" spans="5:7">
      <c r="E3532" s="264"/>
      <c r="G3532" s="264"/>
    </row>
    <row r="3533" spans="5:7">
      <c r="E3533" s="264"/>
      <c r="G3533" s="264"/>
    </row>
    <row r="3534" spans="5:7">
      <c r="E3534" s="264"/>
      <c r="G3534" s="264"/>
    </row>
    <row r="3535" spans="5:7">
      <c r="E3535" s="264"/>
      <c r="G3535" s="264"/>
    </row>
    <row r="3536" spans="5:7">
      <c r="E3536" s="264"/>
      <c r="G3536" s="264"/>
    </row>
    <row r="3537" spans="5:7">
      <c r="E3537" s="264"/>
      <c r="G3537" s="264"/>
    </row>
    <row r="3538" spans="5:7">
      <c r="E3538" s="264"/>
      <c r="G3538" s="264"/>
    </row>
    <row r="3539" spans="5:7">
      <c r="E3539" s="264"/>
      <c r="G3539" s="264"/>
    </row>
    <row r="3540" spans="5:7">
      <c r="E3540" s="264"/>
      <c r="G3540" s="264"/>
    </row>
    <row r="3541" spans="5:7">
      <c r="E3541" s="264"/>
      <c r="G3541" s="264"/>
    </row>
    <row r="3542" spans="5:7">
      <c r="E3542" s="264"/>
      <c r="G3542" s="264"/>
    </row>
    <row r="3543" spans="5:7">
      <c r="E3543" s="264"/>
      <c r="G3543" s="264"/>
    </row>
    <row r="3544" spans="5:7">
      <c r="E3544" s="264"/>
      <c r="G3544" s="264"/>
    </row>
    <row r="3545" spans="5:7">
      <c r="E3545" s="264"/>
      <c r="G3545" s="264"/>
    </row>
    <row r="3546" spans="5:7">
      <c r="E3546" s="264"/>
      <c r="G3546" s="264"/>
    </row>
    <row r="3547" spans="5:7">
      <c r="E3547" s="264"/>
      <c r="G3547" s="264"/>
    </row>
    <row r="3548" spans="5:7">
      <c r="E3548" s="264"/>
      <c r="G3548" s="264"/>
    </row>
    <row r="3549" spans="5:7">
      <c r="E3549" s="264"/>
      <c r="G3549" s="264"/>
    </row>
    <row r="3550" spans="5:7">
      <c r="E3550" s="264"/>
      <c r="G3550" s="264"/>
    </row>
    <row r="3551" spans="5:7">
      <c r="E3551" s="264"/>
      <c r="G3551" s="264"/>
    </row>
    <row r="3552" spans="5:7">
      <c r="E3552" s="264"/>
      <c r="G3552" s="264"/>
    </row>
    <row r="3553" spans="5:7">
      <c r="E3553" s="264"/>
      <c r="G3553" s="264"/>
    </row>
    <row r="3554" spans="5:7">
      <c r="E3554" s="264"/>
      <c r="G3554" s="264"/>
    </row>
    <row r="3555" spans="5:7">
      <c r="E3555" s="264"/>
      <c r="G3555" s="264"/>
    </row>
    <row r="3556" spans="5:7">
      <c r="E3556" s="264"/>
      <c r="G3556" s="264"/>
    </row>
    <row r="3557" spans="5:7">
      <c r="E3557" s="264"/>
      <c r="G3557" s="264"/>
    </row>
    <row r="3558" spans="5:7">
      <c r="E3558" s="264"/>
      <c r="G3558" s="264"/>
    </row>
    <row r="3559" spans="5:7">
      <c r="E3559" s="264"/>
      <c r="G3559" s="264"/>
    </row>
    <row r="3560" spans="5:7">
      <c r="E3560" s="264"/>
      <c r="G3560" s="264"/>
    </row>
    <row r="3561" spans="5:7">
      <c r="E3561" s="264"/>
      <c r="G3561" s="264"/>
    </row>
    <row r="3562" spans="5:7">
      <c r="E3562" s="264"/>
      <c r="G3562" s="264"/>
    </row>
    <row r="3563" spans="5:7">
      <c r="E3563" s="264"/>
      <c r="G3563" s="264"/>
    </row>
    <row r="3564" spans="5:7">
      <c r="E3564" s="264"/>
      <c r="G3564" s="264"/>
    </row>
    <row r="3565" spans="5:7">
      <c r="E3565" s="264"/>
      <c r="G3565" s="264"/>
    </row>
    <row r="3566" spans="5:7">
      <c r="E3566" s="264"/>
      <c r="G3566" s="264"/>
    </row>
    <row r="3567" spans="5:7">
      <c r="E3567" s="264"/>
      <c r="G3567" s="264"/>
    </row>
    <row r="3568" spans="5:7">
      <c r="E3568" s="264"/>
      <c r="G3568" s="264"/>
    </row>
    <row r="3569" spans="5:7">
      <c r="E3569" s="264"/>
      <c r="G3569" s="264"/>
    </row>
    <row r="3570" spans="5:7">
      <c r="E3570" s="264"/>
      <c r="G3570" s="264"/>
    </row>
    <row r="3571" spans="5:7">
      <c r="E3571" s="264"/>
      <c r="G3571" s="264"/>
    </row>
    <row r="3572" spans="5:7">
      <c r="E3572" s="264"/>
      <c r="G3572" s="264"/>
    </row>
    <row r="3573" spans="5:7">
      <c r="E3573" s="264"/>
      <c r="G3573" s="264"/>
    </row>
    <row r="3574" spans="5:7">
      <c r="E3574" s="264"/>
      <c r="G3574" s="264"/>
    </row>
    <row r="3575" spans="5:7">
      <c r="E3575" s="264"/>
      <c r="G3575" s="264"/>
    </row>
    <row r="3576" spans="5:7">
      <c r="E3576" s="264"/>
      <c r="G3576" s="264"/>
    </row>
    <row r="3577" spans="5:7">
      <c r="E3577" s="264"/>
      <c r="G3577" s="264"/>
    </row>
    <row r="3578" spans="5:7">
      <c r="E3578" s="264"/>
      <c r="G3578" s="264"/>
    </row>
    <row r="3579" spans="5:7">
      <c r="E3579" s="264"/>
      <c r="G3579" s="264"/>
    </row>
    <row r="3580" spans="5:7">
      <c r="E3580" s="264"/>
      <c r="G3580" s="264"/>
    </row>
    <row r="3581" spans="5:7">
      <c r="E3581" s="264"/>
      <c r="G3581" s="264"/>
    </row>
    <row r="3582" spans="5:7">
      <c r="E3582" s="264"/>
      <c r="G3582" s="264"/>
    </row>
    <row r="3583" spans="5:7">
      <c r="E3583" s="264"/>
      <c r="G3583" s="264"/>
    </row>
    <row r="3584" spans="5:7">
      <c r="E3584" s="264"/>
      <c r="G3584" s="264"/>
    </row>
    <row r="3585" spans="5:7">
      <c r="E3585" s="264"/>
      <c r="G3585" s="264"/>
    </row>
    <row r="3586" spans="5:7">
      <c r="E3586" s="264"/>
      <c r="G3586" s="264"/>
    </row>
    <row r="3587" spans="5:7">
      <c r="E3587" s="264"/>
      <c r="G3587" s="264"/>
    </row>
    <row r="3588" spans="5:7">
      <c r="E3588" s="264"/>
      <c r="G3588" s="264"/>
    </row>
    <row r="3589" spans="5:7">
      <c r="E3589" s="264"/>
      <c r="G3589" s="264"/>
    </row>
    <row r="3590" spans="5:7">
      <c r="E3590" s="264"/>
      <c r="G3590" s="264"/>
    </row>
    <row r="3591" spans="5:7">
      <c r="E3591" s="264"/>
      <c r="G3591" s="264"/>
    </row>
    <row r="3592" spans="5:7">
      <c r="E3592" s="264"/>
      <c r="G3592" s="264"/>
    </row>
    <row r="3593" spans="5:7">
      <c r="E3593" s="264"/>
      <c r="G3593" s="264"/>
    </row>
    <row r="3594" spans="5:7">
      <c r="E3594" s="264"/>
      <c r="G3594" s="264"/>
    </row>
    <row r="3595" spans="5:7">
      <c r="E3595" s="264"/>
      <c r="G3595" s="264"/>
    </row>
    <row r="3596" spans="5:7">
      <c r="E3596" s="264"/>
      <c r="G3596" s="264"/>
    </row>
    <row r="3597" spans="5:7">
      <c r="E3597" s="264"/>
      <c r="G3597" s="264"/>
    </row>
    <row r="3598" spans="5:7">
      <c r="E3598" s="264"/>
      <c r="G3598" s="264"/>
    </row>
    <row r="3599" spans="5:7">
      <c r="E3599" s="264"/>
      <c r="G3599" s="264"/>
    </row>
    <row r="3600" spans="5:7">
      <c r="E3600" s="264"/>
      <c r="G3600" s="264"/>
    </row>
    <row r="3601" spans="5:7">
      <c r="E3601" s="264"/>
      <c r="G3601" s="264"/>
    </row>
    <row r="3602" spans="5:7">
      <c r="E3602" s="264"/>
      <c r="G3602" s="264"/>
    </row>
    <row r="3603" spans="5:7">
      <c r="E3603" s="264"/>
      <c r="G3603" s="264"/>
    </row>
    <row r="3604" spans="5:7">
      <c r="E3604" s="264"/>
      <c r="G3604" s="264"/>
    </row>
    <row r="3605" spans="5:7">
      <c r="E3605" s="264"/>
      <c r="G3605" s="264"/>
    </row>
    <row r="3606" spans="5:7">
      <c r="E3606" s="264"/>
      <c r="G3606" s="264"/>
    </row>
    <row r="3607" spans="5:7">
      <c r="E3607" s="264"/>
      <c r="G3607" s="264"/>
    </row>
    <row r="3608" spans="5:7">
      <c r="E3608" s="264"/>
      <c r="G3608" s="264"/>
    </row>
    <row r="3609" spans="5:7">
      <c r="E3609" s="264"/>
      <c r="G3609" s="264"/>
    </row>
    <row r="3610" spans="5:7">
      <c r="E3610" s="264"/>
      <c r="G3610" s="264"/>
    </row>
    <row r="3611" spans="5:7">
      <c r="E3611" s="264"/>
      <c r="G3611" s="264"/>
    </row>
    <row r="3612" spans="5:7">
      <c r="E3612" s="264"/>
      <c r="G3612" s="264"/>
    </row>
    <row r="3613" spans="5:7">
      <c r="E3613" s="264"/>
      <c r="G3613" s="264"/>
    </row>
    <row r="3614" spans="5:7">
      <c r="E3614" s="264"/>
      <c r="G3614" s="264"/>
    </row>
    <row r="3615" spans="5:7">
      <c r="E3615" s="264"/>
      <c r="G3615" s="264"/>
    </row>
    <row r="3616" spans="5:7">
      <c r="E3616" s="264"/>
      <c r="G3616" s="264"/>
    </row>
    <row r="3617" spans="5:7">
      <c r="E3617" s="264"/>
      <c r="G3617" s="264"/>
    </row>
    <row r="3618" spans="5:7">
      <c r="E3618" s="264"/>
      <c r="G3618" s="264"/>
    </row>
    <row r="3619" spans="5:7">
      <c r="E3619" s="264"/>
      <c r="G3619" s="264"/>
    </row>
    <row r="3620" spans="5:7">
      <c r="E3620" s="264"/>
      <c r="G3620" s="264"/>
    </row>
    <row r="3621" spans="5:7">
      <c r="E3621" s="264"/>
      <c r="G3621" s="264"/>
    </row>
    <row r="3622" spans="5:7">
      <c r="E3622" s="264"/>
      <c r="G3622" s="264"/>
    </row>
    <row r="3623" spans="5:7">
      <c r="E3623" s="264"/>
      <c r="G3623" s="264"/>
    </row>
    <row r="3624" spans="5:7">
      <c r="E3624" s="264"/>
      <c r="G3624" s="264"/>
    </row>
    <row r="3625" spans="5:7">
      <c r="E3625" s="264"/>
      <c r="G3625" s="264"/>
    </row>
    <row r="3626" spans="5:7">
      <c r="E3626" s="264"/>
      <c r="G3626" s="264"/>
    </row>
    <row r="3627" spans="5:7">
      <c r="E3627" s="264"/>
      <c r="G3627" s="264"/>
    </row>
    <row r="3628" spans="5:7">
      <c r="E3628" s="264"/>
      <c r="G3628" s="264"/>
    </row>
    <row r="3629" spans="5:7">
      <c r="E3629" s="264"/>
      <c r="G3629" s="264"/>
    </row>
    <row r="3630" spans="5:7">
      <c r="E3630" s="264"/>
      <c r="G3630" s="264"/>
    </row>
    <row r="3631" spans="5:7">
      <c r="E3631" s="264"/>
      <c r="G3631" s="264"/>
    </row>
    <row r="3632" spans="5:7">
      <c r="E3632" s="264"/>
      <c r="G3632" s="264"/>
    </row>
    <row r="3633" spans="5:7">
      <c r="E3633" s="264"/>
      <c r="G3633" s="264"/>
    </row>
    <row r="3634" spans="5:7">
      <c r="E3634" s="264"/>
      <c r="G3634" s="264"/>
    </row>
    <row r="3635" spans="5:7">
      <c r="E3635" s="264"/>
      <c r="G3635" s="264"/>
    </row>
    <row r="3636" spans="5:7">
      <c r="E3636" s="264"/>
      <c r="G3636" s="264"/>
    </row>
    <row r="3637" spans="5:7">
      <c r="E3637" s="264"/>
      <c r="G3637" s="264"/>
    </row>
    <row r="3638" spans="5:7">
      <c r="E3638" s="264"/>
      <c r="G3638" s="264"/>
    </row>
    <row r="3639" spans="5:7">
      <c r="E3639" s="264"/>
      <c r="G3639" s="264"/>
    </row>
    <row r="3640" spans="5:7">
      <c r="E3640" s="264"/>
      <c r="G3640" s="264"/>
    </row>
    <row r="3641" spans="5:7">
      <c r="E3641" s="264"/>
      <c r="G3641" s="264"/>
    </row>
    <row r="3642" spans="5:7">
      <c r="E3642" s="264"/>
      <c r="G3642" s="264"/>
    </row>
    <row r="3643" spans="5:7">
      <c r="E3643" s="264"/>
      <c r="G3643" s="264"/>
    </row>
    <row r="3644" spans="5:7">
      <c r="E3644" s="264"/>
      <c r="G3644" s="264"/>
    </row>
    <row r="3645" spans="5:7">
      <c r="E3645" s="264"/>
      <c r="G3645" s="264"/>
    </row>
    <row r="3646" spans="5:7">
      <c r="E3646" s="264"/>
      <c r="G3646" s="264"/>
    </row>
    <row r="3647" spans="5:7">
      <c r="E3647" s="264"/>
      <c r="G3647" s="264"/>
    </row>
    <row r="3648" spans="5:7">
      <c r="E3648" s="264"/>
      <c r="G3648" s="264"/>
    </row>
    <row r="3649" spans="5:7">
      <c r="E3649" s="264"/>
      <c r="G3649" s="264"/>
    </row>
    <row r="3650" spans="5:7">
      <c r="E3650" s="264"/>
      <c r="G3650" s="264"/>
    </row>
    <row r="3651" spans="5:7">
      <c r="E3651" s="264"/>
      <c r="G3651" s="264"/>
    </row>
    <row r="3652" spans="5:7">
      <c r="E3652" s="264"/>
      <c r="G3652" s="264"/>
    </row>
    <row r="3653" spans="5:7">
      <c r="E3653" s="264"/>
      <c r="G3653" s="264"/>
    </row>
    <row r="3654" spans="5:7">
      <c r="E3654" s="264"/>
      <c r="G3654" s="264"/>
    </row>
    <row r="3655" spans="5:7">
      <c r="E3655" s="264"/>
      <c r="G3655" s="264"/>
    </row>
    <row r="3656" spans="5:7">
      <c r="E3656" s="264"/>
      <c r="G3656" s="264"/>
    </row>
    <row r="3657" spans="5:7">
      <c r="E3657" s="264"/>
      <c r="G3657" s="264"/>
    </row>
    <row r="3658" spans="5:7">
      <c r="E3658" s="264"/>
      <c r="G3658" s="264"/>
    </row>
    <row r="3659" spans="5:7">
      <c r="E3659" s="264"/>
      <c r="G3659" s="264"/>
    </row>
    <row r="3660" spans="5:7">
      <c r="E3660" s="264"/>
      <c r="G3660" s="264"/>
    </row>
    <row r="3661" spans="5:7">
      <c r="E3661" s="264"/>
      <c r="G3661" s="264"/>
    </row>
    <row r="3662" spans="5:7">
      <c r="E3662" s="264"/>
      <c r="G3662" s="264"/>
    </row>
    <row r="3663" spans="5:7">
      <c r="E3663" s="264"/>
      <c r="G3663" s="264"/>
    </row>
    <row r="3664" spans="5:7">
      <c r="E3664" s="264"/>
      <c r="G3664" s="264"/>
    </row>
    <row r="3665" spans="5:7">
      <c r="E3665" s="264"/>
      <c r="G3665" s="264"/>
    </row>
    <row r="3666" spans="5:7">
      <c r="E3666" s="264"/>
      <c r="G3666" s="264"/>
    </row>
    <row r="3667" spans="5:7">
      <c r="E3667" s="264"/>
      <c r="G3667" s="264"/>
    </row>
    <row r="3668" spans="5:7">
      <c r="E3668" s="264"/>
      <c r="G3668" s="264"/>
    </row>
    <row r="3669" spans="5:7">
      <c r="E3669" s="264"/>
      <c r="G3669" s="264"/>
    </row>
    <row r="3670" spans="5:7">
      <c r="E3670" s="264"/>
      <c r="G3670" s="264"/>
    </row>
    <row r="3671" spans="5:7">
      <c r="E3671" s="264"/>
      <c r="G3671" s="264"/>
    </row>
    <row r="3672" spans="5:7">
      <c r="E3672" s="264"/>
      <c r="G3672" s="264"/>
    </row>
    <row r="3673" spans="5:7">
      <c r="E3673" s="264"/>
      <c r="G3673" s="264"/>
    </row>
    <row r="3674" spans="5:7">
      <c r="E3674" s="264"/>
      <c r="G3674" s="264"/>
    </row>
    <row r="3675" spans="5:7">
      <c r="E3675" s="264"/>
      <c r="G3675" s="264"/>
    </row>
    <row r="3676" spans="5:7">
      <c r="E3676" s="264"/>
      <c r="G3676" s="264"/>
    </row>
    <row r="3677" spans="5:7">
      <c r="E3677" s="264"/>
      <c r="G3677" s="264"/>
    </row>
    <row r="3678" spans="5:7">
      <c r="E3678" s="264"/>
      <c r="G3678" s="264"/>
    </row>
    <row r="3679" spans="5:7">
      <c r="E3679" s="264"/>
      <c r="G3679" s="264"/>
    </row>
    <row r="3680" spans="5:7">
      <c r="E3680" s="264"/>
      <c r="G3680" s="264"/>
    </row>
    <row r="3681" spans="5:7">
      <c r="E3681" s="264"/>
      <c r="G3681" s="264"/>
    </row>
    <row r="3682" spans="5:7">
      <c r="E3682" s="264"/>
      <c r="G3682" s="264"/>
    </row>
    <row r="3683" spans="5:7">
      <c r="E3683" s="264"/>
      <c r="G3683" s="264"/>
    </row>
    <row r="3684" spans="5:7">
      <c r="E3684" s="264"/>
      <c r="G3684" s="264"/>
    </row>
    <row r="3685" spans="5:7">
      <c r="E3685" s="264"/>
      <c r="G3685" s="264"/>
    </row>
    <row r="3686" spans="5:7">
      <c r="E3686" s="264"/>
      <c r="G3686" s="264"/>
    </row>
    <row r="3687" spans="5:7">
      <c r="E3687" s="264"/>
      <c r="G3687" s="264"/>
    </row>
    <row r="3688" spans="5:7">
      <c r="E3688" s="264"/>
      <c r="G3688" s="264"/>
    </row>
    <row r="3689" spans="5:7">
      <c r="E3689" s="264"/>
      <c r="G3689" s="264"/>
    </row>
    <row r="3690" spans="5:7">
      <c r="E3690" s="264"/>
      <c r="G3690" s="264"/>
    </row>
    <row r="3691" spans="5:7">
      <c r="E3691" s="264"/>
      <c r="G3691" s="264"/>
    </row>
    <row r="3692" spans="5:7">
      <c r="E3692" s="264"/>
      <c r="G3692" s="264"/>
    </row>
    <row r="3693" spans="5:7">
      <c r="E3693" s="264"/>
      <c r="G3693" s="264"/>
    </row>
    <row r="3694" spans="5:7">
      <c r="E3694" s="264"/>
      <c r="G3694" s="264"/>
    </row>
    <row r="3695" spans="5:7">
      <c r="E3695" s="264"/>
      <c r="G3695" s="264"/>
    </row>
    <row r="3696" spans="5:7">
      <c r="E3696" s="264"/>
      <c r="G3696" s="264"/>
    </row>
    <row r="3697" spans="5:7">
      <c r="E3697" s="264"/>
      <c r="G3697" s="264"/>
    </row>
    <row r="3698" spans="5:7">
      <c r="E3698" s="264"/>
      <c r="G3698" s="264"/>
    </row>
    <row r="3699" spans="5:7">
      <c r="E3699" s="264"/>
      <c r="G3699" s="264"/>
    </row>
    <row r="3700" spans="5:7">
      <c r="E3700" s="264"/>
      <c r="G3700" s="264"/>
    </row>
    <row r="3701" spans="5:7">
      <c r="E3701" s="264"/>
      <c r="G3701" s="264"/>
    </row>
    <row r="3702" spans="5:7">
      <c r="E3702" s="264"/>
      <c r="G3702" s="264"/>
    </row>
    <row r="3703" spans="5:7">
      <c r="E3703" s="264"/>
      <c r="G3703" s="264"/>
    </row>
    <row r="3704" spans="5:7">
      <c r="E3704" s="264"/>
      <c r="G3704" s="264"/>
    </row>
    <row r="3705" spans="5:7">
      <c r="E3705" s="264"/>
      <c r="G3705" s="264"/>
    </row>
    <row r="3706" spans="5:7">
      <c r="E3706" s="264"/>
      <c r="G3706" s="264"/>
    </row>
    <row r="3707" spans="5:7">
      <c r="E3707" s="264"/>
      <c r="G3707" s="264"/>
    </row>
    <row r="3708" spans="5:7">
      <c r="E3708" s="264"/>
      <c r="G3708" s="264"/>
    </row>
    <row r="3709" spans="5:7">
      <c r="E3709" s="264"/>
      <c r="G3709" s="264"/>
    </row>
    <row r="3710" spans="5:7">
      <c r="E3710" s="264"/>
      <c r="G3710" s="264"/>
    </row>
    <row r="3711" spans="5:7">
      <c r="E3711" s="264"/>
      <c r="G3711" s="264"/>
    </row>
    <row r="3712" spans="5:7">
      <c r="E3712" s="264"/>
      <c r="G3712" s="264"/>
    </row>
    <row r="3713" spans="5:7">
      <c r="E3713" s="264"/>
      <c r="G3713" s="264"/>
    </row>
    <row r="3714" spans="5:7">
      <c r="E3714" s="264"/>
      <c r="G3714" s="264"/>
    </row>
    <row r="3715" spans="5:7">
      <c r="E3715" s="264"/>
      <c r="G3715" s="264"/>
    </row>
    <row r="3716" spans="5:7">
      <c r="E3716" s="264"/>
      <c r="G3716" s="264"/>
    </row>
    <row r="3717" spans="5:7">
      <c r="E3717" s="264"/>
      <c r="G3717" s="264"/>
    </row>
    <row r="3718" spans="5:7">
      <c r="E3718" s="264"/>
      <c r="G3718" s="264"/>
    </row>
    <row r="3719" spans="5:7">
      <c r="E3719" s="264"/>
      <c r="G3719" s="264"/>
    </row>
    <row r="3720" spans="5:7">
      <c r="E3720" s="264"/>
      <c r="G3720" s="264"/>
    </row>
    <row r="3721" spans="5:7">
      <c r="E3721" s="264"/>
      <c r="G3721" s="264"/>
    </row>
    <row r="3722" spans="5:7">
      <c r="E3722" s="264"/>
      <c r="G3722" s="264"/>
    </row>
    <row r="3723" spans="5:7">
      <c r="E3723" s="264"/>
      <c r="G3723" s="264"/>
    </row>
    <row r="3724" spans="5:7">
      <c r="E3724" s="264"/>
      <c r="G3724" s="264"/>
    </row>
    <row r="3725" spans="5:7">
      <c r="E3725" s="264"/>
      <c r="G3725" s="264"/>
    </row>
    <row r="3726" spans="5:7">
      <c r="E3726" s="264"/>
      <c r="G3726" s="264"/>
    </row>
    <row r="3727" spans="5:7">
      <c r="E3727" s="264"/>
      <c r="G3727" s="264"/>
    </row>
    <row r="3728" spans="5:7">
      <c r="E3728" s="264"/>
      <c r="G3728" s="264"/>
    </row>
    <row r="3729" spans="5:7">
      <c r="E3729" s="264"/>
      <c r="G3729" s="264"/>
    </row>
    <row r="3730" spans="5:7">
      <c r="E3730" s="264"/>
      <c r="G3730" s="264"/>
    </row>
    <row r="3731" spans="5:7">
      <c r="E3731" s="264"/>
      <c r="G3731" s="264"/>
    </row>
    <row r="3732" spans="5:7">
      <c r="E3732" s="264"/>
      <c r="G3732" s="264"/>
    </row>
    <row r="3733" spans="5:7">
      <c r="E3733" s="264"/>
      <c r="G3733" s="264"/>
    </row>
    <row r="3734" spans="5:7">
      <c r="E3734" s="264"/>
      <c r="G3734" s="264"/>
    </row>
    <row r="3735" spans="5:7">
      <c r="E3735" s="264"/>
      <c r="G3735" s="264"/>
    </row>
    <row r="3736" spans="5:7">
      <c r="E3736" s="264"/>
      <c r="G3736" s="264"/>
    </row>
    <row r="3737" spans="5:7">
      <c r="E3737" s="264"/>
      <c r="G3737" s="264"/>
    </row>
    <row r="3738" spans="5:7">
      <c r="E3738" s="264"/>
      <c r="G3738" s="264"/>
    </row>
    <row r="3739" spans="5:7">
      <c r="E3739" s="264"/>
      <c r="G3739" s="264"/>
    </row>
    <row r="3740" spans="5:7">
      <c r="E3740" s="264"/>
      <c r="G3740" s="264"/>
    </row>
    <row r="3741" spans="5:7">
      <c r="E3741" s="264"/>
      <c r="G3741" s="264"/>
    </row>
    <row r="3742" spans="5:7">
      <c r="E3742" s="264"/>
      <c r="G3742" s="264"/>
    </row>
    <row r="3743" spans="5:7">
      <c r="E3743" s="264"/>
      <c r="G3743" s="264"/>
    </row>
    <row r="3744" spans="5:7">
      <c r="E3744" s="264"/>
      <c r="G3744" s="264"/>
    </row>
    <row r="3745" spans="5:7">
      <c r="E3745" s="264"/>
      <c r="G3745" s="264"/>
    </row>
    <row r="3746" spans="5:7">
      <c r="E3746" s="264"/>
      <c r="G3746" s="264"/>
    </row>
    <row r="3747" spans="5:7">
      <c r="E3747" s="264"/>
      <c r="G3747" s="264"/>
    </row>
    <row r="3748" spans="5:7">
      <c r="E3748" s="264"/>
      <c r="G3748" s="264"/>
    </row>
    <row r="3749" spans="5:7">
      <c r="E3749" s="264"/>
      <c r="G3749" s="264"/>
    </row>
    <row r="3750" spans="5:7">
      <c r="E3750" s="264"/>
      <c r="G3750" s="264"/>
    </row>
    <row r="3751" spans="5:7">
      <c r="E3751" s="264"/>
      <c r="G3751" s="264"/>
    </row>
    <row r="3752" spans="5:7">
      <c r="E3752" s="264"/>
      <c r="G3752" s="264"/>
    </row>
    <row r="3753" spans="5:7">
      <c r="E3753" s="264"/>
      <c r="G3753" s="264"/>
    </row>
    <row r="3754" spans="5:7">
      <c r="E3754" s="264"/>
      <c r="G3754" s="264"/>
    </row>
    <row r="3755" spans="5:7">
      <c r="E3755" s="264"/>
      <c r="G3755" s="264"/>
    </row>
    <row r="3756" spans="5:7">
      <c r="E3756" s="264"/>
      <c r="G3756" s="264"/>
    </row>
    <row r="3757" spans="5:7">
      <c r="E3757" s="264"/>
      <c r="G3757" s="264"/>
    </row>
    <row r="3758" spans="5:7">
      <c r="E3758" s="264"/>
      <c r="G3758" s="264"/>
    </row>
    <row r="3759" spans="5:7">
      <c r="E3759" s="264"/>
      <c r="G3759" s="264"/>
    </row>
    <row r="3760" spans="5:7">
      <c r="E3760" s="264"/>
      <c r="G3760" s="264"/>
    </row>
    <row r="3761" spans="5:7">
      <c r="E3761" s="264"/>
      <c r="G3761" s="264"/>
    </row>
    <row r="3762" spans="5:7">
      <c r="E3762" s="264"/>
      <c r="G3762" s="264"/>
    </row>
    <row r="3763" spans="5:7">
      <c r="E3763" s="264"/>
      <c r="G3763" s="264"/>
    </row>
    <row r="3764" spans="5:7">
      <c r="E3764" s="264"/>
      <c r="G3764" s="264"/>
    </row>
    <row r="3765" spans="5:7">
      <c r="E3765" s="264"/>
      <c r="G3765" s="264"/>
    </row>
    <row r="3766" spans="5:7">
      <c r="E3766" s="264"/>
      <c r="G3766" s="264"/>
    </row>
    <row r="3767" spans="5:7">
      <c r="E3767" s="264"/>
      <c r="G3767" s="264"/>
    </row>
    <row r="3768" spans="5:7">
      <c r="E3768" s="264"/>
      <c r="G3768" s="264"/>
    </row>
    <row r="3769" spans="5:7">
      <c r="E3769" s="264"/>
      <c r="G3769" s="264"/>
    </row>
    <row r="3770" spans="5:7">
      <c r="E3770" s="264"/>
      <c r="G3770" s="264"/>
    </row>
    <row r="3771" spans="5:7">
      <c r="E3771" s="264"/>
      <c r="G3771" s="264"/>
    </row>
    <row r="3772" spans="5:7">
      <c r="E3772" s="264"/>
      <c r="G3772" s="264"/>
    </row>
    <row r="3773" spans="5:7">
      <c r="E3773" s="264"/>
      <c r="G3773" s="264"/>
    </row>
    <row r="3774" spans="5:7">
      <c r="E3774" s="264"/>
      <c r="G3774" s="264"/>
    </row>
    <row r="3775" spans="5:7">
      <c r="E3775" s="264"/>
      <c r="G3775" s="264"/>
    </row>
    <row r="3776" spans="5:7">
      <c r="E3776" s="264"/>
      <c r="G3776" s="264"/>
    </row>
    <row r="3777" spans="5:7">
      <c r="E3777" s="264"/>
      <c r="G3777" s="264"/>
    </row>
    <row r="3778" spans="5:7">
      <c r="E3778" s="264"/>
      <c r="G3778" s="264"/>
    </row>
    <row r="3779" spans="5:7">
      <c r="E3779" s="264"/>
      <c r="G3779" s="264"/>
    </row>
    <row r="3780" spans="5:7">
      <c r="E3780" s="264"/>
      <c r="G3780" s="264"/>
    </row>
    <row r="3781" spans="5:7">
      <c r="E3781" s="264"/>
      <c r="G3781" s="264"/>
    </row>
    <row r="3782" spans="5:7">
      <c r="E3782" s="264"/>
      <c r="G3782" s="264"/>
    </row>
    <row r="3783" spans="5:7">
      <c r="E3783" s="264"/>
      <c r="G3783" s="264"/>
    </row>
    <row r="3784" spans="5:7">
      <c r="E3784" s="264"/>
      <c r="G3784" s="264"/>
    </row>
    <row r="3785" spans="5:7">
      <c r="E3785" s="264"/>
      <c r="G3785" s="264"/>
    </row>
    <row r="3786" spans="5:7">
      <c r="E3786" s="264"/>
      <c r="G3786" s="264"/>
    </row>
    <row r="3787" spans="5:7">
      <c r="E3787" s="264"/>
      <c r="G3787" s="264"/>
    </row>
    <row r="3788" spans="5:7">
      <c r="E3788" s="264"/>
      <c r="G3788" s="264"/>
    </row>
    <row r="3789" spans="5:7">
      <c r="E3789" s="264"/>
      <c r="G3789" s="264"/>
    </row>
    <row r="3790" spans="5:7">
      <c r="E3790" s="264"/>
      <c r="G3790" s="264"/>
    </row>
    <row r="3791" spans="5:7">
      <c r="E3791" s="264"/>
      <c r="G3791" s="264"/>
    </row>
    <row r="3792" spans="5:7">
      <c r="E3792" s="264"/>
      <c r="G3792" s="264"/>
    </row>
    <row r="3793" spans="5:7">
      <c r="E3793" s="264"/>
      <c r="G3793" s="264"/>
    </row>
    <row r="3794" spans="5:7">
      <c r="E3794" s="264"/>
      <c r="G3794" s="264"/>
    </row>
    <row r="3795" spans="5:7">
      <c r="E3795" s="264"/>
      <c r="G3795" s="264"/>
    </row>
    <row r="3796" spans="5:7">
      <c r="E3796" s="264"/>
      <c r="G3796" s="264"/>
    </row>
    <row r="3797" spans="5:7">
      <c r="E3797" s="264"/>
      <c r="G3797" s="264"/>
    </row>
    <row r="3798" spans="5:7">
      <c r="E3798" s="264"/>
      <c r="G3798" s="264"/>
    </row>
    <row r="3799" spans="5:7">
      <c r="E3799" s="264"/>
      <c r="G3799" s="264"/>
    </row>
    <row r="3800" spans="5:7">
      <c r="E3800" s="264"/>
      <c r="G3800" s="264"/>
    </row>
    <row r="3801" spans="5:7">
      <c r="E3801" s="264"/>
      <c r="G3801" s="264"/>
    </row>
    <row r="3802" spans="5:7">
      <c r="E3802" s="264"/>
      <c r="G3802" s="264"/>
    </row>
    <row r="3803" spans="5:7">
      <c r="E3803" s="264"/>
      <c r="G3803" s="264"/>
    </row>
    <row r="3804" spans="5:7">
      <c r="E3804" s="264"/>
      <c r="G3804" s="264"/>
    </row>
    <row r="3805" spans="5:7">
      <c r="E3805" s="264"/>
      <c r="G3805" s="264"/>
    </row>
    <row r="3806" spans="5:7">
      <c r="E3806" s="264"/>
      <c r="G3806" s="264"/>
    </row>
    <row r="3807" spans="5:7">
      <c r="E3807" s="264"/>
      <c r="G3807" s="264"/>
    </row>
    <row r="3808" spans="5:7">
      <c r="E3808" s="264"/>
      <c r="G3808" s="264"/>
    </row>
    <row r="3809" spans="5:7">
      <c r="E3809" s="264"/>
      <c r="G3809" s="264"/>
    </row>
    <row r="3810" spans="5:7">
      <c r="E3810" s="264"/>
      <c r="G3810" s="264"/>
    </row>
    <row r="3811" spans="5:7">
      <c r="E3811" s="264"/>
      <c r="G3811" s="264"/>
    </row>
    <row r="3812" spans="5:7">
      <c r="E3812" s="264"/>
      <c r="G3812" s="264"/>
    </row>
    <row r="3813" spans="5:7">
      <c r="E3813" s="264"/>
      <c r="G3813" s="264"/>
    </row>
    <row r="3814" spans="5:7">
      <c r="E3814" s="264"/>
      <c r="G3814" s="264"/>
    </row>
    <row r="3815" spans="5:7">
      <c r="E3815" s="264"/>
      <c r="G3815" s="264"/>
    </row>
    <row r="3816" spans="5:7">
      <c r="E3816" s="264"/>
      <c r="G3816" s="264"/>
    </row>
    <row r="3817" spans="5:7">
      <c r="E3817" s="264"/>
      <c r="G3817" s="264"/>
    </row>
    <row r="3818" spans="5:7">
      <c r="E3818" s="264"/>
      <c r="G3818" s="264"/>
    </row>
    <row r="3819" spans="5:7">
      <c r="E3819" s="264"/>
      <c r="G3819" s="264"/>
    </row>
    <row r="3820" spans="5:7">
      <c r="E3820" s="264"/>
      <c r="G3820" s="264"/>
    </row>
    <row r="3821" spans="5:7">
      <c r="E3821" s="264"/>
      <c r="G3821" s="264"/>
    </row>
    <row r="3822" spans="5:7">
      <c r="E3822" s="264"/>
      <c r="G3822" s="264"/>
    </row>
    <row r="3823" spans="5:7">
      <c r="E3823" s="264"/>
      <c r="G3823" s="264"/>
    </row>
    <row r="3824" spans="5:7">
      <c r="E3824" s="264"/>
      <c r="G3824" s="264"/>
    </row>
    <row r="3825" spans="5:7">
      <c r="E3825" s="264"/>
      <c r="G3825" s="264"/>
    </row>
    <row r="3826" spans="5:7">
      <c r="E3826" s="264"/>
      <c r="G3826" s="264"/>
    </row>
    <row r="3827" spans="5:7">
      <c r="E3827" s="264"/>
      <c r="G3827" s="264"/>
    </row>
    <row r="3828" spans="5:7">
      <c r="E3828" s="264"/>
      <c r="G3828" s="264"/>
    </row>
    <row r="3829" spans="5:7">
      <c r="E3829" s="264"/>
      <c r="G3829" s="264"/>
    </row>
    <row r="3830" spans="5:7">
      <c r="E3830" s="264"/>
      <c r="G3830" s="264"/>
    </row>
    <row r="3831" spans="5:7">
      <c r="E3831" s="264"/>
      <c r="G3831" s="264"/>
    </row>
    <row r="3832" spans="5:7">
      <c r="E3832" s="264"/>
      <c r="G3832" s="264"/>
    </row>
    <row r="3833" spans="5:7">
      <c r="E3833" s="264"/>
      <c r="G3833" s="264"/>
    </row>
    <row r="3834" spans="5:7">
      <c r="E3834" s="264"/>
      <c r="G3834" s="264"/>
    </row>
    <row r="3835" spans="5:7">
      <c r="E3835" s="264"/>
      <c r="G3835" s="264"/>
    </row>
    <row r="3836" spans="5:7">
      <c r="E3836" s="264"/>
      <c r="G3836" s="264"/>
    </row>
    <row r="3837" spans="5:7">
      <c r="E3837" s="264"/>
      <c r="G3837" s="264"/>
    </row>
    <row r="3838" spans="5:7">
      <c r="E3838" s="264"/>
      <c r="G3838" s="264"/>
    </row>
    <row r="3839" spans="5:7">
      <c r="E3839" s="264"/>
      <c r="G3839" s="264"/>
    </row>
    <row r="3840" spans="5:7">
      <c r="E3840" s="264"/>
      <c r="G3840" s="264"/>
    </row>
    <row r="3841" spans="5:7">
      <c r="E3841" s="264"/>
      <c r="G3841" s="264"/>
    </row>
    <row r="3842" spans="5:7">
      <c r="E3842" s="264"/>
      <c r="G3842" s="264"/>
    </row>
    <row r="3843" spans="5:7">
      <c r="E3843" s="264"/>
      <c r="G3843" s="264"/>
    </row>
    <row r="3844" spans="5:7">
      <c r="E3844" s="264"/>
      <c r="G3844" s="264"/>
    </row>
    <row r="3845" spans="5:7">
      <c r="E3845" s="264"/>
      <c r="G3845" s="264"/>
    </row>
    <row r="3846" spans="5:7">
      <c r="E3846" s="264"/>
      <c r="G3846" s="264"/>
    </row>
    <row r="3847" spans="5:7">
      <c r="E3847" s="264"/>
      <c r="G3847" s="264"/>
    </row>
    <row r="3848" spans="5:7">
      <c r="E3848" s="264"/>
      <c r="G3848" s="264"/>
    </row>
    <row r="3849" spans="5:7">
      <c r="E3849" s="264"/>
      <c r="G3849" s="264"/>
    </row>
    <row r="3850" spans="5:7">
      <c r="E3850" s="264"/>
      <c r="G3850" s="264"/>
    </row>
    <row r="3851" spans="5:7">
      <c r="E3851" s="264"/>
      <c r="G3851" s="264"/>
    </row>
    <row r="3852" spans="5:7">
      <c r="E3852" s="264"/>
      <c r="G3852" s="264"/>
    </row>
    <row r="3853" spans="5:7">
      <c r="E3853" s="264"/>
      <c r="G3853" s="264"/>
    </row>
    <row r="3854" spans="5:7">
      <c r="E3854" s="264"/>
      <c r="G3854" s="264"/>
    </row>
    <row r="3855" spans="5:7">
      <c r="E3855" s="264"/>
      <c r="G3855" s="264"/>
    </row>
    <row r="3856" spans="5:7">
      <c r="E3856" s="264"/>
      <c r="G3856" s="264"/>
    </row>
    <row r="3857" spans="5:7">
      <c r="E3857" s="264"/>
      <c r="G3857" s="264"/>
    </row>
    <row r="3858" spans="5:7">
      <c r="E3858" s="264"/>
      <c r="G3858" s="264"/>
    </row>
    <row r="3859" spans="5:7">
      <c r="E3859" s="264"/>
      <c r="G3859" s="264"/>
    </row>
    <row r="3860" spans="5:7">
      <c r="E3860" s="264"/>
      <c r="G3860" s="264"/>
    </row>
    <row r="3861" spans="5:7">
      <c r="E3861" s="264"/>
      <c r="G3861" s="264"/>
    </row>
    <row r="3862" spans="5:7">
      <c r="E3862" s="264"/>
      <c r="G3862" s="264"/>
    </row>
    <row r="3863" spans="5:7">
      <c r="E3863" s="264"/>
      <c r="G3863" s="264"/>
    </row>
    <row r="3864" spans="5:7">
      <c r="E3864" s="264"/>
      <c r="G3864" s="264"/>
    </row>
    <row r="3865" spans="5:7">
      <c r="E3865" s="264"/>
      <c r="G3865" s="264"/>
    </row>
    <row r="3866" spans="5:7">
      <c r="E3866" s="264"/>
      <c r="G3866" s="264"/>
    </row>
    <row r="3867" spans="5:7">
      <c r="E3867" s="264"/>
      <c r="G3867" s="264"/>
    </row>
    <row r="3868" spans="5:7">
      <c r="E3868" s="264"/>
      <c r="G3868" s="264"/>
    </row>
    <row r="3869" spans="5:7">
      <c r="E3869" s="264"/>
      <c r="G3869" s="264"/>
    </row>
    <row r="3870" spans="5:7">
      <c r="E3870" s="264"/>
      <c r="G3870" s="264"/>
    </row>
    <row r="3871" spans="5:7">
      <c r="E3871" s="264"/>
      <c r="G3871" s="264"/>
    </row>
    <row r="3872" spans="5:7">
      <c r="E3872" s="264"/>
      <c r="G3872" s="264"/>
    </row>
    <row r="3873" spans="5:7">
      <c r="E3873" s="264"/>
      <c r="G3873" s="264"/>
    </row>
    <row r="3874" spans="5:7">
      <c r="E3874" s="264"/>
      <c r="G3874" s="264"/>
    </row>
    <row r="3875" spans="5:7">
      <c r="E3875" s="264"/>
      <c r="G3875" s="264"/>
    </row>
    <row r="3876" spans="5:7">
      <c r="E3876" s="264"/>
      <c r="G3876" s="264"/>
    </row>
    <row r="3877" spans="5:7">
      <c r="E3877" s="264"/>
      <c r="G3877" s="264"/>
    </row>
    <row r="3878" spans="5:7">
      <c r="E3878" s="264"/>
      <c r="G3878" s="264"/>
    </row>
    <row r="3879" spans="5:7">
      <c r="E3879" s="264"/>
      <c r="G3879" s="264"/>
    </row>
    <row r="3880" spans="5:7">
      <c r="E3880" s="264"/>
      <c r="G3880" s="264"/>
    </row>
    <row r="3881" spans="5:7">
      <c r="E3881" s="264"/>
      <c r="G3881" s="264"/>
    </row>
    <row r="3882" spans="5:7">
      <c r="E3882" s="264"/>
      <c r="G3882" s="264"/>
    </row>
    <row r="3883" spans="5:7">
      <c r="E3883" s="264"/>
      <c r="G3883" s="264"/>
    </row>
    <row r="3884" spans="5:7">
      <c r="E3884" s="264"/>
      <c r="G3884" s="264"/>
    </row>
    <row r="3885" spans="5:7">
      <c r="E3885" s="264"/>
      <c r="G3885" s="264"/>
    </row>
    <row r="3886" spans="5:7">
      <c r="E3886" s="264"/>
      <c r="G3886" s="264"/>
    </row>
    <row r="3887" spans="5:7">
      <c r="E3887" s="264"/>
      <c r="G3887" s="264"/>
    </row>
    <row r="3888" spans="5:7">
      <c r="E3888" s="264"/>
      <c r="G3888" s="264"/>
    </row>
    <row r="3889" spans="5:7">
      <c r="E3889" s="264"/>
      <c r="G3889" s="264"/>
    </row>
    <row r="3890" spans="5:7">
      <c r="E3890" s="264"/>
      <c r="G3890" s="264"/>
    </row>
    <row r="3891" spans="5:7">
      <c r="E3891" s="264"/>
      <c r="G3891" s="264"/>
    </row>
    <row r="3892" spans="5:7">
      <c r="E3892" s="264"/>
      <c r="G3892" s="264"/>
    </row>
    <row r="3893" spans="5:7">
      <c r="E3893" s="264"/>
      <c r="G3893" s="264"/>
    </row>
    <row r="3894" spans="5:7">
      <c r="E3894" s="264"/>
      <c r="G3894" s="264"/>
    </row>
    <row r="3895" spans="5:7">
      <c r="E3895" s="264"/>
      <c r="G3895" s="264"/>
    </row>
    <row r="3896" spans="5:7">
      <c r="E3896" s="264"/>
      <c r="G3896" s="264"/>
    </row>
    <row r="3897" spans="5:7">
      <c r="E3897" s="264"/>
      <c r="G3897" s="264"/>
    </row>
    <row r="3898" spans="5:7">
      <c r="E3898" s="264"/>
      <c r="G3898" s="264"/>
    </row>
    <row r="3899" spans="5:7">
      <c r="E3899" s="264"/>
      <c r="G3899" s="264"/>
    </row>
    <row r="3900" spans="5:7">
      <c r="E3900" s="264"/>
      <c r="G3900" s="264"/>
    </row>
    <row r="3901" spans="5:7">
      <c r="E3901" s="264"/>
      <c r="G3901" s="264"/>
    </row>
    <row r="3902" spans="5:7">
      <c r="E3902" s="264"/>
      <c r="G3902" s="264"/>
    </row>
    <row r="3903" spans="5:7">
      <c r="E3903" s="264"/>
      <c r="G3903" s="264"/>
    </row>
    <row r="3904" spans="5:7">
      <c r="E3904" s="264"/>
      <c r="G3904" s="264"/>
    </row>
    <row r="3905" spans="5:7">
      <c r="E3905" s="264"/>
      <c r="G3905" s="264"/>
    </row>
    <row r="3906" spans="5:7">
      <c r="E3906" s="264"/>
      <c r="G3906" s="264"/>
    </row>
    <row r="3907" spans="5:7">
      <c r="E3907" s="264"/>
      <c r="G3907" s="264"/>
    </row>
    <row r="3908" spans="5:7">
      <c r="E3908" s="264"/>
      <c r="G3908" s="264"/>
    </row>
    <row r="3909" spans="5:7">
      <c r="E3909" s="264"/>
      <c r="G3909" s="264"/>
    </row>
    <row r="3910" spans="5:7">
      <c r="E3910" s="264"/>
      <c r="G3910" s="264"/>
    </row>
    <row r="3911" spans="5:7">
      <c r="E3911" s="264"/>
      <c r="G3911" s="264"/>
    </row>
    <row r="3912" spans="5:7">
      <c r="E3912" s="264"/>
      <c r="G3912" s="264"/>
    </row>
    <row r="3913" spans="5:7">
      <c r="E3913" s="264"/>
      <c r="G3913" s="264"/>
    </row>
    <row r="3914" spans="5:7">
      <c r="E3914" s="264"/>
      <c r="G3914" s="264"/>
    </row>
    <row r="3915" spans="5:7">
      <c r="E3915" s="264"/>
      <c r="G3915" s="264"/>
    </row>
    <row r="3916" spans="5:7">
      <c r="E3916" s="264"/>
      <c r="G3916" s="264"/>
    </row>
    <row r="3917" spans="5:7">
      <c r="E3917" s="264"/>
      <c r="G3917" s="264"/>
    </row>
    <row r="3918" spans="5:7">
      <c r="E3918" s="264"/>
      <c r="G3918" s="264"/>
    </row>
    <row r="3919" spans="5:7">
      <c r="E3919" s="264"/>
      <c r="G3919" s="264"/>
    </row>
    <row r="3920" spans="5:7">
      <c r="E3920" s="264"/>
      <c r="G3920" s="264"/>
    </row>
    <row r="3921" spans="5:7">
      <c r="E3921" s="264"/>
      <c r="G3921" s="264"/>
    </row>
    <row r="3922" spans="5:7">
      <c r="E3922" s="264"/>
      <c r="G3922" s="264"/>
    </row>
    <row r="3923" spans="5:7">
      <c r="E3923" s="264"/>
      <c r="G3923" s="264"/>
    </row>
    <row r="3924" spans="5:7">
      <c r="E3924" s="264"/>
      <c r="G3924" s="264"/>
    </row>
    <row r="3925" spans="5:7">
      <c r="E3925" s="264"/>
      <c r="G3925" s="264"/>
    </row>
    <row r="3926" spans="5:7">
      <c r="E3926" s="264"/>
      <c r="G3926" s="264"/>
    </row>
    <row r="3927" spans="5:7">
      <c r="E3927" s="264"/>
      <c r="G3927" s="264"/>
    </row>
    <row r="3928" spans="5:7">
      <c r="E3928" s="264"/>
      <c r="G3928" s="264"/>
    </row>
    <row r="3929" spans="5:7">
      <c r="E3929" s="264"/>
      <c r="G3929" s="264"/>
    </row>
    <row r="3930" spans="5:7">
      <c r="E3930" s="264"/>
      <c r="G3930" s="264"/>
    </row>
    <row r="3931" spans="5:7">
      <c r="E3931" s="264"/>
      <c r="G3931" s="264"/>
    </row>
    <row r="3932" spans="5:7">
      <c r="E3932" s="264"/>
      <c r="G3932" s="264"/>
    </row>
    <row r="3933" spans="5:7">
      <c r="E3933" s="264"/>
      <c r="G3933" s="264"/>
    </row>
    <row r="3934" spans="5:7">
      <c r="E3934" s="264"/>
      <c r="G3934" s="264"/>
    </row>
    <row r="3935" spans="5:7">
      <c r="E3935" s="264"/>
      <c r="G3935" s="264"/>
    </row>
    <row r="3936" spans="5:7">
      <c r="E3936" s="264"/>
      <c r="G3936" s="264"/>
    </row>
    <row r="3937" spans="5:7">
      <c r="E3937" s="264"/>
      <c r="G3937" s="264"/>
    </row>
    <row r="3938" spans="5:7">
      <c r="E3938" s="264"/>
      <c r="G3938" s="264"/>
    </row>
    <row r="3939" spans="5:7">
      <c r="E3939" s="264"/>
      <c r="G3939" s="264"/>
    </row>
    <row r="3940" spans="5:7">
      <c r="E3940" s="264"/>
      <c r="G3940" s="264"/>
    </row>
    <row r="3941" spans="5:7">
      <c r="E3941" s="264"/>
      <c r="G3941" s="264"/>
    </row>
    <row r="3942" spans="5:7">
      <c r="E3942" s="264"/>
      <c r="G3942" s="264"/>
    </row>
    <row r="3943" spans="5:7">
      <c r="E3943" s="264"/>
      <c r="G3943" s="264"/>
    </row>
    <row r="3944" spans="5:7">
      <c r="E3944" s="264"/>
      <c r="G3944" s="264"/>
    </row>
    <row r="3945" spans="5:7">
      <c r="E3945" s="264"/>
      <c r="G3945" s="264"/>
    </row>
    <row r="3946" spans="5:7">
      <c r="E3946" s="264"/>
      <c r="G3946" s="264"/>
    </row>
    <row r="3947" spans="5:7">
      <c r="E3947" s="264"/>
      <c r="G3947" s="264"/>
    </row>
    <row r="3948" spans="5:7">
      <c r="E3948" s="264"/>
      <c r="G3948" s="264"/>
    </row>
    <row r="3949" spans="5:7">
      <c r="E3949" s="264"/>
      <c r="G3949" s="264"/>
    </row>
    <row r="3950" spans="5:7">
      <c r="E3950" s="264"/>
      <c r="G3950" s="264"/>
    </row>
    <row r="3951" spans="5:7">
      <c r="E3951" s="264"/>
      <c r="G3951" s="264"/>
    </row>
    <row r="3952" spans="5:7">
      <c r="E3952" s="264"/>
      <c r="G3952" s="264"/>
    </row>
    <row r="3953" spans="5:7">
      <c r="E3953" s="264"/>
      <c r="G3953" s="264"/>
    </row>
    <row r="3954" spans="5:7">
      <c r="E3954" s="264"/>
      <c r="G3954" s="264"/>
    </row>
    <row r="3955" spans="5:7">
      <c r="E3955" s="264"/>
      <c r="G3955" s="264"/>
    </row>
    <row r="3956" spans="5:7">
      <c r="E3956" s="264"/>
      <c r="G3956" s="264"/>
    </row>
    <row r="3957" spans="5:7">
      <c r="E3957" s="264"/>
      <c r="G3957" s="264"/>
    </row>
    <row r="3958" spans="5:7">
      <c r="E3958" s="264"/>
      <c r="G3958" s="264"/>
    </row>
    <row r="3959" spans="5:7">
      <c r="E3959" s="264"/>
      <c r="G3959" s="264"/>
    </row>
    <row r="3960" spans="5:7">
      <c r="E3960" s="264"/>
      <c r="G3960" s="264"/>
    </row>
    <row r="3961" spans="5:7">
      <c r="E3961" s="264"/>
      <c r="G3961" s="264"/>
    </row>
    <row r="3962" spans="5:7">
      <c r="E3962" s="264"/>
      <c r="G3962" s="264"/>
    </row>
    <row r="3963" spans="5:7">
      <c r="E3963" s="264"/>
      <c r="G3963" s="264"/>
    </row>
    <row r="3964" spans="5:7">
      <c r="E3964" s="264"/>
      <c r="G3964" s="264"/>
    </row>
    <row r="3965" spans="5:7">
      <c r="E3965" s="264"/>
      <c r="G3965" s="264"/>
    </row>
    <row r="3966" spans="5:7">
      <c r="E3966" s="264"/>
      <c r="G3966" s="264"/>
    </row>
    <row r="3967" spans="5:7">
      <c r="E3967" s="264"/>
      <c r="G3967" s="264"/>
    </row>
    <row r="3968" spans="5:7">
      <c r="E3968" s="264"/>
      <c r="G3968" s="264"/>
    </row>
    <row r="3969" spans="5:7">
      <c r="E3969" s="264"/>
      <c r="G3969" s="264"/>
    </row>
    <row r="3970" spans="5:7">
      <c r="E3970" s="264"/>
      <c r="G3970" s="264"/>
    </row>
    <row r="3971" spans="5:7">
      <c r="E3971" s="264"/>
      <c r="G3971" s="264"/>
    </row>
    <row r="3972" spans="5:7">
      <c r="E3972" s="264"/>
      <c r="G3972" s="264"/>
    </row>
    <row r="3973" spans="5:7">
      <c r="E3973" s="264"/>
      <c r="G3973" s="264"/>
    </row>
    <row r="3974" spans="5:7">
      <c r="E3974" s="264"/>
      <c r="G3974" s="264"/>
    </row>
    <row r="3975" spans="5:7">
      <c r="E3975" s="264"/>
      <c r="G3975" s="264"/>
    </row>
    <row r="3976" spans="5:7">
      <c r="E3976" s="264"/>
      <c r="G3976" s="264"/>
    </row>
    <row r="3977" spans="5:7">
      <c r="E3977" s="264"/>
      <c r="G3977" s="264"/>
    </row>
    <row r="3978" spans="5:7">
      <c r="E3978" s="264"/>
      <c r="G3978" s="264"/>
    </row>
    <row r="3979" spans="5:7">
      <c r="E3979" s="264"/>
      <c r="G3979" s="264"/>
    </row>
    <row r="3980" spans="5:7">
      <c r="E3980" s="264"/>
      <c r="G3980" s="264"/>
    </row>
    <row r="3981" spans="5:7">
      <c r="E3981" s="264"/>
      <c r="G3981" s="264"/>
    </row>
    <row r="3982" spans="5:7">
      <c r="E3982" s="264"/>
      <c r="G3982" s="264"/>
    </row>
    <row r="3983" spans="5:7">
      <c r="E3983" s="264"/>
      <c r="G3983" s="264"/>
    </row>
    <row r="3984" spans="5:7">
      <c r="E3984" s="264"/>
      <c r="G3984" s="264"/>
    </row>
    <row r="3985" spans="5:7">
      <c r="E3985" s="264"/>
      <c r="G3985" s="264"/>
    </row>
    <row r="3986" spans="5:7">
      <c r="E3986" s="264"/>
      <c r="G3986" s="264"/>
    </row>
    <row r="3987" spans="5:7">
      <c r="E3987" s="264"/>
      <c r="G3987" s="264"/>
    </row>
    <row r="3988" spans="5:7">
      <c r="E3988" s="264"/>
      <c r="G3988" s="264"/>
    </row>
    <row r="3989" spans="5:7">
      <c r="E3989" s="264"/>
      <c r="G3989" s="264"/>
    </row>
    <row r="3990" spans="5:7">
      <c r="E3990" s="264"/>
      <c r="G3990" s="264"/>
    </row>
    <row r="3991" spans="5:7">
      <c r="E3991" s="264"/>
      <c r="G3991" s="264"/>
    </row>
    <row r="3992" spans="5:7">
      <c r="E3992" s="264"/>
      <c r="G3992" s="264"/>
    </row>
    <row r="3993" spans="5:7">
      <c r="E3993" s="264"/>
      <c r="G3993" s="264"/>
    </row>
    <row r="3994" spans="5:7">
      <c r="E3994" s="264"/>
      <c r="G3994" s="264"/>
    </row>
    <row r="3995" spans="5:7">
      <c r="E3995" s="264"/>
      <c r="G3995" s="264"/>
    </row>
    <row r="3996" spans="5:7">
      <c r="E3996" s="264"/>
      <c r="G3996" s="264"/>
    </row>
    <row r="3997" spans="5:7">
      <c r="E3997" s="264"/>
      <c r="G3997" s="264"/>
    </row>
    <row r="3998" spans="5:7">
      <c r="E3998" s="264"/>
      <c r="G3998" s="264"/>
    </row>
    <row r="3999" spans="5:7">
      <c r="E3999" s="264"/>
      <c r="G3999" s="264"/>
    </row>
    <row r="4000" spans="5:7">
      <c r="E4000" s="264"/>
      <c r="G4000" s="264"/>
    </row>
    <row r="4001" spans="5:7">
      <c r="E4001" s="264"/>
      <c r="G4001" s="264"/>
    </row>
    <row r="4002" spans="5:7">
      <c r="E4002" s="264"/>
      <c r="G4002" s="264"/>
    </row>
    <row r="4003" spans="5:7">
      <c r="E4003" s="264"/>
      <c r="G4003" s="264"/>
    </row>
    <row r="4004" spans="5:7">
      <c r="E4004" s="264"/>
      <c r="G4004" s="264"/>
    </row>
    <row r="4005" spans="5:7">
      <c r="E4005" s="264"/>
      <c r="G4005" s="264"/>
    </row>
    <row r="4006" spans="5:7">
      <c r="E4006" s="264"/>
      <c r="G4006" s="264"/>
    </row>
    <row r="4007" spans="5:7">
      <c r="E4007" s="264"/>
      <c r="G4007" s="264"/>
    </row>
    <row r="4008" spans="5:7">
      <c r="E4008" s="264"/>
      <c r="G4008" s="264"/>
    </row>
    <row r="4009" spans="5:7">
      <c r="E4009" s="264"/>
      <c r="G4009" s="264"/>
    </row>
    <row r="4010" spans="5:7">
      <c r="E4010" s="264"/>
      <c r="G4010" s="264"/>
    </row>
    <row r="4011" spans="5:7">
      <c r="E4011" s="264"/>
      <c r="G4011" s="264"/>
    </row>
    <row r="4012" spans="5:7">
      <c r="E4012" s="264"/>
      <c r="G4012" s="264"/>
    </row>
    <row r="4013" spans="5:7">
      <c r="E4013" s="264"/>
      <c r="G4013" s="264"/>
    </row>
    <row r="4014" spans="5:7">
      <c r="E4014" s="264"/>
      <c r="G4014" s="264"/>
    </row>
    <row r="4015" spans="5:7">
      <c r="E4015" s="264"/>
      <c r="G4015" s="264"/>
    </row>
    <row r="4016" spans="5:7">
      <c r="E4016" s="264"/>
      <c r="G4016" s="264"/>
    </row>
    <row r="4017" spans="5:7">
      <c r="E4017" s="264"/>
      <c r="G4017" s="264"/>
    </row>
    <row r="4018" spans="5:7">
      <c r="E4018" s="264"/>
      <c r="G4018" s="264"/>
    </row>
    <row r="4019" spans="5:7">
      <c r="E4019" s="264"/>
      <c r="G4019" s="264"/>
    </row>
    <row r="4020" spans="5:7">
      <c r="E4020" s="264"/>
      <c r="G4020" s="264"/>
    </row>
    <row r="4021" spans="5:7">
      <c r="E4021" s="264"/>
      <c r="G4021" s="264"/>
    </row>
    <row r="4022" spans="5:7">
      <c r="E4022" s="264"/>
      <c r="G4022" s="264"/>
    </row>
    <row r="4023" spans="5:7">
      <c r="E4023" s="264"/>
      <c r="G4023" s="264"/>
    </row>
    <row r="4024" spans="5:7">
      <c r="E4024" s="264"/>
      <c r="G4024" s="264"/>
    </row>
    <row r="4025" spans="5:7">
      <c r="E4025" s="264"/>
      <c r="G4025" s="264"/>
    </row>
    <row r="4026" spans="5:7">
      <c r="E4026" s="264"/>
      <c r="G4026" s="264"/>
    </row>
    <row r="4027" spans="5:7">
      <c r="E4027" s="264"/>
      <c r="G4027" s="264"/>
    </row>
    <row r="4028" spans="5:7">
      <c r="E4028" s="264"/>
      <c r="G4028" s="264"/>
    </row>
    <row r="4029" spans="5:7">
      <c r="E4029" s="264"/>
      <c r="G4029" s="264"/>
    </row>
    <row r="4030" spans="5:7">
      <c r="E4030" s="264"/>
      <c r="G4030" s="264"/>
    </row>
    <row r="4031" spans="5:7">
      <c r="E4031" s="264"/>
      <c r="G4031" s="264"/>
    </row>
    <row r="4032" spans="5:7">
      <c r="E4032" s="264"/>
      <c r="G4032" s="264"/>
    </row>
    <row r="4033" spans="5:7">
      <c r="E4033" s="264"/>
      <c r="G4033" s="264"/>
    </row>
    <row r="4034" spans="5:7">
      <c r="E4034" s="264"/>
      <c r="G4034" s="264"/>
    </row>
    <row r="4035" spans="5:7">
      <c r="E4035" s="264"/>
      <c r="G4035" s="264"/>
    </row>
    <row r="4036" spans="5:7">
      <c r="E4036" s="264"/>
      <c r="G4036" s="264"/>
    </row>
    <row r="4037" spans="5:7">
      <c r="E4037" s="264"/>
      <c r="G4037" s="264"/>
    </row>
    <row r="4038" spans="5:7">
      <c r="E4038" s="264"/>
      <c r="G4038" s="264"/>
    </row>
    <row r="4039" spans="5:7">
      <c r="E4039" s="264"/>
      <c r="G4039" s="264"/>
    </row>
    <row r="4040" spans="5:7">
      <c r="E4040" s="264"/>
      <c r="G4040" s="264"/>
    </row>
    <row r="4041" spans="5:7">
      <c r="E4041" s="264"/>
      <c r="G4041" s="264"/>
    </row>
    <row r="4042" spans="5:7">
      <c r="E4042" s="264"/>
      <c r="G4042" s="264"/>
    </row>
    <row r="4043" spans="5:7">
      <c r="E4043" s="264"/>
      <c r="G4043" s="264"/>
    </row>
    <row r="4044" spans="5:7">
      <c r="E4044" s="264"/>
      <c r="G4044" s="264"/>
    </row>
    <row r="4045" spans="5:7">
      <c r="E4045" s="264"/>
      <c r="G4045" s="264"/>
    </row>
    <row r="4046" spans="5:7">
      <c r="E4046" s="264"/>
      <c r="G4046" s="264"/>
    </row>
    <row r="4047" spans="5:7">
      <c r="E4047" s="264"/>
      <c r="G4047" s="264"/>
    </row>
    <row r="4048" spans="5:7">
      <c r="E4048" s="264"/>
      <c r="G4048" s="264"/>
    </row>
    <row r="4049" spans="5:7">
      <c r="E4049" s="264"/>
      <c r="G4049" s="264"/>
    </row>
    <row r="4050" spans="5:7">
      <c r="E4050" s="264"/>
      <c r="G4050" s="264"/>
    </row>
    <row r="4051" spans="5:7">
      <c r="E4051" s="264"/>
      <c r="G4051" s="264"/>
    </row>
    <row r="4052" spans="5:7">
      <c r="E4052" s="264"/>
      <c r="G4052" s="264"/>
    </row>
    <row r="4053" spans="5:7">
      <c r="E4053" s="264"/>
      <c r="G4053" s="264"/>
    </row>
    <row r="4054" spans="5:7">
      <c r="E4054" s="264"/>
      <c r="G4054" s="264"/>
    </row>
    <row r="4055" spans="5:7">
      <c r="E4055" s="264"/>
      <c r="G4055" s="264"/>
    </row>
    <row r="4056" spans="5:7">
      <c r="E4056" s="264"/>
      <c r="G4056" s="264"/>
    </row>
    <row r="4057" spans="5:7">
      <c r="E4057" s="264"/>
      <c r="G4057" s="264"/>
    </row>
    <row r="4058" spans="5:7">
      <c r="E4058" s="264"/>
      <c r="G4058" s="264"/>
    </row>
    <row r="4059" spans="5:7">
      <c r="E4059" s="264"/>
      <c r="G4059" s="264"/>
    </row>
    <row r="4060" spans="5:7">
      <c r="E4060" s="264"/>
      <c r="G4060" s="264"/>
    </row>
    <row r="4061" spans="5:7">
      <c r="E4061" s="264"/>
      <c r="G4061" s="264"/>
    </row>
    <row r="4062" spans="5:7">
      <c r="E4062" s="264"/>
      <c r="G4062" s="264"/>
    </row>
    <row r="4063" spans="5:7">
      <c r="E4063" s="264"/>
      <c r="G4063" s="264"/>
    </row>
    <row r="4064" spans="5:7">
      <c r="E4064" s="264"/>
      <c r="G4064" s="264"/>
    </row>
    <row r="4065" spans="5:7">
      <c r="E4065" s="264"/>
      <c r="G4065" s="264"/>
    </row>
    <row r="4066" spans="5:7">
      <c r="E4066" s="264"/>
      <c r="G4066" s="264"/>
    </row>
    <row r="4067" spans="5:7">
      <c r="E4067" s="264"/>
      <c r="G4067" s="264"/>
    </row>
    <row r="4068" spans="5:7">
      <c r="E4068" s="264"/>
      <c r="G4068" s="264"/>
    </row>
    <row r="4069" spans="5:7">
      <c r="E4069" s="264"/>
      <c r="G4069" s="264"/>
    </row>
    <row r="4070" spans="5:7">
      <c r="E4070" s="264"/>
      <c r="G4070" s="264"/>
    </row>
    <row r="4071" spans="5:7">
      <c r="E4071" s="264"/>
      <c r="G4071" s="264"/>
    </row>
    <row r="4072" spans="5:7">
      <c r="E4072" s="264"/>
      <c r="G4072" s="264"/>
    </row>
    <row r="4073" spans="5:7">
      <c r="E4073" s="264"/>
      <c r="G4073" s="264"/>
    </row>
    <row r="4074" spans="5:7">
      <c r="E4074" s="264"/>
      <c r="G4074" s="264"/>
    </row>
    <row r="4075" spans="5:7">
      <c r="E4075" s="264"/>
      <c r="G4075" s="264"/>
    </row>
    <row r="4076" spans="5:7">
      <c r="E4076" s="264"/>
      <c r="G4076" s="264"/>
    </row>
    <row r="4077" spans="5:7">
      <c r="E4077" s="264"/>
      <c r="G4077" s="264"/>
    </row>
    <row r="4078" spans="5:7">
      <c r="E4078" s="264"/>
      <c r="G4078" s="264"/>
    </row>
    <row r="4079" spans="5:7">
      <c r="E4079" s="264"/>
      <c r="G4079" s="264"/>
    </row>
    <row r="4080" spans="5:7">
      <c r="E4080" s="264"/>
      <c r="G4080" s="264"/>
    </row>
    <row r="4081" spans="5:7">
      <c r="E4081" s="264"/>
      <c r="G4081" s="264"/>
    </row>
    <row r="4082" spans="5:7">
      <c r="E4082" s="264"/>
      <c r="G4082" s="264"/>
    </row>
    <row r="4083" spans="5:7">
      <c r="E4083" s="264"/>
      <c r="G4083" s="264"/>
    </row>
    <row r="4084" spans="5:7">
      <c r="E4084" s="264"/>
      <c r="G4084" s="264"/>
    </row>
    <row r="4085" spans="5:7">
      <c r="E4085" s="264"/>
      <c r="G4085" s="264"/>
    </row>
    <row r="4086" spans="5:7">
      <c r="E4086" s="264"/>
      <c r="G4086" s="264"/>
    </row>
    <row r="4087" spans="5:7">
      <c r="E4087" s="264"/>
      <c r="G4087" s="264"/>
    </row>
    <row r="4088" spans="5:7">
      <c r="E4088" s="264"/>
      <c r="G4088" s="264"/>
    </row>
    <row r="4089" spans="5:7">
      <c r="E4089" s="264"/>
      <c r="G4089" s="264"/>
    </row>
    <row r="4090" spans="5:7">
      <c r="E4090" s="264"/>
      <c r="G4090" s="264"/>
    </row>
    <row r="4091" spans="5:7">
      <c r="E4091" s="264"/>
      <c r="G4091" s="264"/>
    </row>
    <row r="4092" spans="5:7">
      <c r="E4092" s="264"/>
      <c r="G4092" s="264"/>
    </row>
    <row r="4093" spans="5:7">
      <c r="E4093" s="264"/>
      <c r="G4093" s="264"/>
    </row>
    <row r="4094" spans="5:7">
      <c r="E4094" s="264"/>
      <c r="G4094" s="264"/>
    </row>
    <row r="4095" spans="5:7">
      <c r="E4095" s="264"/>
      <c r="G4095" s="264"/>
    </row>
    <row r="4096" spans="5:7">
      <c r="E4096" s="264"/>
      <c r="G4096" s="264"/>
    </row>
    <row r="4097" spans="5:7">
      <c r="E4097" s="264"/>
      <c r="G4097" s="264"/>
    </row>
    <row r="4098" spans="5:7">
      <c r="E4098" s="264"/>
      <c r="G4098" s="264"/>
    </row>
    <row r="4099" spans="5:7">
      <c r="E4099" s="264"/>
      <c r="G4099" s="264"/>
    </row>
    <row r="4100" spans="5:7">
      <c r="E4100" s="264"/>
      <c r="G4100" s="264"/>
    </row>
    <row r="4101" spans="5:7">
      <c r="E4101" s="264"/>
      <c r="G4101" s="264"/>
    </row>
    <row r="4102" spans="5:7">
      <c r="E4102" s="264"/>
      <c r="G4102" s="264"/>
    </row>
    <row r="4103" spans="5:7">
      <c r="E4103" s="264"/>
      <c r="G4103" s="264"/>
    </row>
    <row r="4104" spans="5:7">
      <c r="E4104" s="264"/>
      <c r="G4104" s="264"/>
    </row>
    <row r="4105" spans="5:7">
      <c r="E4105" s="264"/>
      <c r="G4105" s="264"/>
    </row>
    <row r="4106" spans="5:7">
      <c r="E4106" s="264"/>
      <c r="G4106" s="264"/>
    </row>
    <row r="4107" spans="5:7">
      <c r="E4107" s="264"/>
      <c r="G4107" s="264"/>
    </row>
    <row r="4108" spans="5:7">
      <c r="E4108" s="264"/>
      <c r="G4108" s="264"/>
    </row>
    <row r="4109" spans="5:7">
      <c r="E4109" s="264"/>
      <c r="G4109" s="264"/>
    </row>
    <row r="4110" spans="5:7">
      <c r="E4110" s="264"/>
      <c r="G4110" s="264"/>
    </row>
    <row r="4111" spans="5:7">
      <c r="E4111" s="264"/>
      <c r="G4111" s="264"/>
    </row>
    <row r="4112" spans="5:7">
      <c r="E4112" s="264"/>
      <c r="G4112" s="264"/>
    </row>
    <row r="4113" spans="5:7">
      <c r="E4113" s="264"/>
      <c r="G4113" s="264"/>
    </row>
    <row r="4114" spans="5:7">
      <c r="E4114" s="264"/>
      <c r="G4114" s="264"/>
    </row>
    <row r="4115" spans="5:7">
      <c r="E4115" s="264"/>
      <c r="G4115" s="264"/>
    </row>
    <row r="4116" spans="5:7">
      <c r="E4116" s="264"/>
      <c r="G4116" s="264"/>
    </row>
    <row r="4117" spans="5:7">
      <c r="E4117" s="264"/>
      <c r="G4117" s="264"/>
    </row>
    <row r="4118" spans="5:7">
      <c r="E4118" s="264"/>
      <c r="G4118" s="264"/>
    </row>
    <row r="4119" spans="5:7">
      <c r="E4119" s="264"/>
      <c r="G4119" s="264"/>
    </row>
    <row r="4120" spans="5:7">
      <c r="E4120" s="264"/>
      <c r="G4120" s="264"/>
    </row>
    <row r="4121" spans="5:7">
      <c r="E4121" s="264"/>
      <c r="G4121" s="264"/>
    </row>
    <row r="4122" spans="5:7">
      <c r="E4122" s="264"/>
      <c r="G4122" s="264"/>
    </row>
    <row r="4123" spans="5:7">
      <c r="E4123" s="264"/>
      <c r="G4123" s="264"/>
    </row>
    <row r="4124" spans="5:7">
      <c r="E4124" s="264"/>
      <c r="G4124" s="264"/>
    </row>
    <row r="4125" spans="5:7">
      <c r="E4125" s="264"/>
      <c r="G4125" s="264"/>
    </row>
    <row r="4126" spans="5:7">
      <c r="E4126" s="264"/>
      <c r="G4126" s="264"/>
    </row>
    <row r="4127" spans="5:7">
      <c r="E4127" s="264"/>
      <c r="G4127" s="264"/>
    </row>
    <row r="4128" spans="5:7">
      <c r="E4128" s="264"/>
      <c r="G4128" s="264"/>
    </row>
    <row r="4129" spans="5:7">
      <c r="E4129" s="264"/>
      <c r="G4129" s="264"/>
    </row>
    <row r="4130" spans="5:7">
      <c r="E4130" s="264"/>
      <c r="G4130" s="264"/>
    </row>
    <row r="4131" spans="5:7">
      <c r="E4131" s="264"/>
      <c r="G4131" s="264"/>
    </row>
    <row r="4132" spans="5:7">
      <c r="E4132" s="264"/>
      <c r="G4132" s="264"/>
    </row>
    <row r="4133" spans="5:7">
      <c r="E4133" s="264"/>
      <c r="G4133" s="264"/>
    </row>
    <row r="4134" spans="5:7">
      <c r="E4134" s="264"/>
      <c r="G4134" s="264"/>
    </row>
    <row r="4135" spans="5:7">
      <c r="E4135" s="264"/>
      <c r="G4135" s="264"/>
    </row>
    <row r="4136" spans="5:7">
      <c r="E4136" s="264"/>
      <c r="G4136" s="264"/>
    </row>
    <row r="4137" spans="5:7">
      <c r="E4137" s="264"/>
      <c r="G4137" s="264"/>
    </row>
    <row r="4138" spans="5:7">
      <c r="E4138" s="264"/>
      <c r="G4138" s="264"/>
    </row>
    <row r="4139" spans="5:7">
      <c r="E4139" s="264"/>
      <c r="G4139" s="264"/>
    </row>
    <row r="4140" spans="5:7">
      <c r="E4140" s="264"/>
      <c r="G4140" s="264"/>
    </row>
    <row r="4141" spans="5:7">
      <c r="E4141" s="264"/>
      <c r="G4141" s="264"/>
    </row>
    <row r="4142" spans="5:7">
      <c r="E4142" s="264"/>
      <c r="G4142" s="264"/>
    </row>
    <row r="4143" spans="5:7">
      <c r="E4143" s="264"/>
      <c r="G4143" s="264"/>
    </row>
    <row r="4144" spans="5:7">
      <c r="E4144" s="264"/>
      <c r="G4144" s="264"/>
    </row>
    <row r="4145" spans="5:7">
      <c r="E4145" s="264"/>
      <c r="G4145" s="264"/>
    </row>
    <row r="4146" spans="5:7">
      <c r="E4146" s="264"/>
      <c r="G4146" s="264"/>
    </row>
    <row r="4147" spans="5:7">
      <c r="E4147" s="264"/>
      <c r="G4147" s="264"/>
    </row>
    <row r="4148" spans="5:7">
      <c r="E4148" s="264"/>
      <c r="G4148" s="264"/>
    </row>
    <row r="4149" spans="5:7">
      <c r="E4149" s="264"/>
      <c r="G4149" s="264"/>
    </row>
    <row r="4150" spans="5:7">
      <c r="E4150" s="264"/>
      <c r="G4150" s="264"/>
    </row>
    <row r="4151" spans="5:7">
      <c r="E4151" s="264"/>
      <c r="G4151" s="264"/>
    </row>
    <row r="4152" spans="5:7">
      <c r="E4152" s="264"/>
      <c r="G4152" s="264"/>
    </row>
    <row r="4153" spans="5:7">
      <c r="E4153" s="264"/>
      <c r="G4153" s="264"/>
    </row>
    <row r="4154" spans="5:7">
      <c r="E4154" s="264"/>
      <c r="G4154" s="264"/>
    </row>
    <row r="4155" spans="5:7">
      <c r="E4155" s="264"/>
      <c r="G4155" s="264"/>
    </row>
    <row r="4156" spans="5:7">
      <c r="E4156" s="264"/>
      <c r="G4156" s="264"/>
    </row>
    <row r="4157" spans="5:7">
      <c r="E4157" s="264"/>
      <c r="G4157" s="264"/>
    </row>
    <row r="4158" spans="5:7">
      <c r="E4158" s="264"/>
      <c r="G4158" s="264"/>
    </row>
    <row r="4159" spans="5:7">
      <c r="E4159" s="264"/>
      <c r="G4159" s="264"/>
    </row>
    <row r="4160" spans="5:7">
      <c r="E4160" s="264"/>
      <c r="G4160" s="264"/>
    </row>
    <row r="4161" spans="5:7">
      <c r="E4161" s="264"/>
      <c r="G4161" s="264"/>
    </row>
    <row r="4162" spans="5:7">
      <c r="E4162" s="264"/>
      <c r="G4162" s="264"/>
    </row>
    <row r="4163" spans="5:7">
      <c r="E4163" s="264"/>
      <c r="G4163" s="264"/>
    </row>
    <row r="4164" spans="5:7">
      <c r="E4164" s="264"/>
      <c r="G4164" s="264"/>
    </row>
    <row r="4165" spans="5:7">
      <c r="E4165" s="264"/>
      <c r="G4165" s="264"/>
    </row>
    <row r="4166" spans="5:7">
      <c r="E4166" s="264"/>
      <c r="G4166" s="264"/>
    </row>
    <row r="4167" spans="5:7">
      <c r="E4167" s="264"/>
      <c r="G4167" s="264"/>
    </row>
    <row r="4168" spans="5:7">
      <c r="E4168" s="264"/>
      <c r="G4168" s="264"/>
    </row>
    <row r="4169" spans="5:7">
      <c r="E4169" s="264"/>
      <c r="G4169" s="264"/>
    </row>
    <row r="4170" spans="5:7">
      <c r="E4170" s="264"/>
      <c r="G4170" s="264"/>
    </row>
    <row r="4171" spans="5:7">
      <c r="E4171" s="264"/>
      <c r="G4171" s="264"/>
    </row>
    <row r="4172" spans="5:7">
      <c r="E4172" s="264"/>
      <c r="G4172" s="264"/>
    </row>
    <row r="4173" spans="5:7">
      <c r="E4173" s="264"/>
      <c r="G4173" s="264"/>
    </row>
    <row r="4174" spans="5:7">
      <c r="E4174" s="264"/>
      <c r="G4174" s="264"/>
    </row>
    <row r="4175" spans="5:7">
      <c r="E4175" s="264"/>
      <c r="G4175" s="264"/>
    </row>
    <row r="4176" spans="5:7">
      <c r="E4176" s="264"/>
      <c r="G4176" s="264"/>
    </row>
    <row r="4177" spans="5:7">
      <c r="E4177" s="264"/>
      <c r="G4177" s="264"/>
    </row>
    <row r="4178" spans="5:7">
      <c r="E4178" s="264"/>
      <c r="G4178" s="264"/>
    </row>
    <row r="4179" spans="5:7">
      <c r="E4179" s="264"/>
      <c r="G4179" s="264"/>
    </row>
    <row r="4180" spans="5:7">
      <c r="E4180" s="264"/>
      <c r="G4180" s="264"/>
    </row>
    <row r="4181" spans="5:7">
      <c r="E4181" s="264"/>
      <c r="G4181" s="264"/>
    </row>
    <row r="4182" spans="5:7">
      <c r="E4182" s="264"/>
      <c r="G4182" s="264"/>
    </row>
    <row r="4183" spans="5:7">
      <c r="E4183" s="264"/>
      <c r="G4183" s="264"/>
    </row>
    <row r="4184" spans="5:7">
      <c r="E4184" s="264"/>
      <c r="G4184" s="264"/>
    </row>
    <row r="4185" spans="5:7">
      <c r="E4185" s="264"/>
      <c r="G4185" s="264"/>
    </row>
    <row r="4186" spans="5:7">
      <c r="E4186" s="264"/>
      <c r="G4186" s="264"/>
    </row>
    <row r="4187" spans="5:7">
      <c r="E4187" s="264"/>
      <c r="G4187" s="264"/>
    </row>
    <row r="4188" spans="5:7">
      <c r="E4188" s="264"/>
      <c r="G4188" s="264"/>
    </row>
    <row r="4189" spans="5:7">
      <c r="E4189" s="264"/>
      <c r="G4189" s="264"/>
    </row>
    <row r="4190" spans="5:7">
      <c r="E4190" s="264"/>
      <c r="G4190" s="264"/>
    </row>
    <row r="4191" spans="5:7">
      <c r="E4191" s="264"/>
      <c r="G4191" s="264"/>
    </row>
    <row r="4192" spans="5:7">
      <c r="E4192" s="264"/>
      <c r="G4192" s="264"/>
    </row>
    <row r="4193" spans="5:7">
      <c r="E4193" s="264"/>
      <c r="G4193" s="264"/>
    </row>
    <row r="4194" spans="5:7">
      <c r="E4194" s="264"/>
      <c r="G4194" s="264"/>
    </row>
    <row r="4195" spans="5:7">
      <c r="E4195" s="264"/>
      <c r="G4195" s="264"/>
    </row>
    <row r="4196" spans="5:7">
      <c r="E4196" s="264"/>
      <c r="G4196" s="264"/>
    </row>
    <row r="4197" spans="5:7">
      <c r="E4197" s="264"/>
      <c r="G4197" s="264"/>
    </row>
    <row r="4198" spans="5:7">
      <c r="E4198" s="264"/>
      <c r="G4198" s="264"/>
    </row>
    <row r="4199" spans="5:7">
      <c r="E4199" s="264"/>
      <c r="G4199" s="264"/>
    </row>
    <row r="4200" spans="5:7">
      <c r="E4200" s="264"/>
      <c r="G4200" s="264"/>
    </row>
    <row r="4201" spans="5:7">
      <c r="E4201" s="264"/>
      <c r="G4201" s="264"/>
    </row>
    <row r="4202" spans="5:7">
      <c r="E4202" s="264"/>
      <c r="G4202" s="264"/>
    </row>
    <row r="4203" spans="5:7">
      <c r="E4203" s="264"/>
      <c r="G4203" s="264"/>
    </row>
    <row r="4204" spans="5:7">
      <c r="E4204" s="264"/>
      <c r="G4204" s="264"/>
    </row>
    <row r="4205" spans="5:7">
      <c r="E4205" s="264"/>
      <c r="G4205" s="264"/>
    </row>
    <row r="4206" spans="5:7">
      <c r="E4206" s="264"/>
      <c r="G4206" s="264"/>
    </row>
    <row r="4207" spans="5:7">
      <c r="E4207" s="264"/>
      <c r="G4207" s="264"/>
    </row>
    <row r="4208" spans="5:7">
      <c r="E4208" s="264"/>
      <c r="G4208" s="264"/>
    </row>
    <row r="4209" spans="5:7">
      <c r="E4209" s="264"/>
      <c r="G4209" s="264"/>
    </row>
    <row r="4210" spans="5:7">
      <c r="E4210" s="264"/>
      <c r="G4210" s="264"/>
    </row>
    <row r="4211" spans="5:7">
      <c r="E4211" s="264"/>
      <c r="G4211" s="264"/>
    </row>
    <row r="4212" spans="5:7">
      <c r="E4212" s="264"/>
      <c r="G4212" s="264"/>
    </row>
    <row r="4213" spans="5:7">
      <c r="E4213" s="264"/>
      <c r="G4213" s="264"/>
    </row>
    <row r="4214" spans="5:7">
      <c r="E4214" s="264"/>
      <c r="G4214" s="264"/>
    </row>
    <row r="4215" spans="5:7">
      <c r="E4215" s="264"/>
      <c r="G4215" s="264"/>
    </row>
    <row r="4216" spans="5:7">
      <c r="E4216" s="264"/>
      <c r="G4216" s="264"/>
    </row>
    <row r="4217" spans="5:7">
      <c r="E4217" s="264"/>
      <c r="G4217" s="264"/>
    </row>
    <row r="4218" spans="5:7">
      <c r="E4218" s="264"/>
      <c r="G4218" s="264"/>
    </row>
    <row r="4219" spans="5:7">
      <c r="E4219" s="264"/>
      <c r="G4219" s="264"/>
    </row>
    <row r="4220" spans="5:7">
      <c r="E4220" s="264"/>
      <c r="G4220" s="264"/>
    </row>
    <row r="4221" spans="5:7">
      <c r="E4221" s="264"/>
      <c r="G4221" s="264"/>
    </row>
    <row r="4222" spans="5:7">
      <c r="E4222" s="264"/>
      <c r="G4222" s="264"/>
    </row>
    <row r="4223" spans="5:7">
      <c r="E4223" s="264"/>
      <c r="G4223" s="264"/>
    </row>
    <row r="4224" spans="5:7">
      <c r="E4224" s="264"/>
      <c r="G4224" s="264"/>
    </row>
    <row r="4225" spans="5:7">
      <c r="E4225" s="264"/>
      <c r="G4225" s="264"/>
    </row>
    <row r="4226" spans="5:7">
      <c r="E4226" s="264"/>
      <c r="G4226" s="264"/>
    </row>
    <row r="4227" spans="5:7">
      <c r="E4227" s="264"/>
      <c r="G4227" s="264"/>
    </row>
    <row r="4228" spans="5:7">
      <c r="E4228" s="264"/>
      <c r="G4228" s="264"/>
    </row>
    <row r="4229" spans="5:7">
      <c r="E4229" s="264"/>
      <c r="G4229" s="264"/>
    </row>
    <row r="4230" spans="5:7">
      <c r="E4230" s="264"/>
      <c r="G4230" s="264"/>
    </row>
    <row r="4231" spans="5:7">
      <c r="E4231" s="264"/>
      <c r="G4231" s="264"/>
    </row>
    <row r="4232" spans="5:7">
      <c r="E4232" s="264"/>
      <c r="G4232" s="264"/>
    </row>
    <row r="4233" spans="5:7">
      <c r="E4233" s="264"/>
      <c r="G4233" s="264"/>
    </row>
    <row r="4234" spans="5:7">
      <c r="E4234" s="264"/>
      <c r="G4234" s="264"/>
    </row>
    <row r="4235" spans="5:7">
      <c r="E4235" s="264"/>
      <c r="G4235" s="264"/>
    </row>
    <row r="4236" spans="5:7">
      <c r="E4236" s="264"/>
      <c r="G4236" s="264"/>
    </row>
    <row r="4237" spans="5:7">
      <c r="E4237" s="264"/>
      <c r="G4237" s="264"/>
    </row>
    <row r="4238" spans="5:7">
      <c r="E4238" s="264"/>
      <c r="G4238" s="264"/>
    </row>
    <row r="4239" spans="5:7">
      <c r="E4239" s="264"/>
      <c r="G4239" s="264"/>
    </row>
    <row r="4240" spans="5:7">
      <c r="E4240" s="264"/>
      <c r="G4240" s="264"/>
    </row>
    <row r="4241" spans="5:7">
      <c r="E4241" s="264"/>
      <c r="G4241" s="264"/>
    </row>
    <row r="4242" spans="5:7">
      <c r="E4242" s="264"/>
      <c r="G4242" s="264"/>
    </row>
    <row r="4243" spans="5:7">
      <c r="E4243" s="264"/>
      <c r="G4243" s="264"/>
    </row>
    <row r="4244" spans="5:7">
      <c r="E4244" s="264"/>
      <c r="G4244" s="264"/>
    </row>
    <row r="4245" spans="5:7">
      <c r="E4245" s="264"/>
      <c r="G4245" s="264"/>
    </row>
    <row r="4246" spans="5:7">
      <c r="E4246" s="264"/>
      <c r="G4246" s="264"/>
    </row>
    <row r="4247" spans="5:7">
      <c r="E4247" s="264"/>
      <c r="G4247" s="264"/>
    </row>
    <row r="4248" spans="5:7">
      <c r="E4248" s="264"/>
      <c r="G4248" s="264"/>
    </row>
    <row r="4249" spans="5:7">
      <c r="E4249" s="264"/>
      <c r="G4249" s="264"/>
    </row>
    <row r="4250" spans="5:7">
      <c r="E4250" s="264"/>
      <c r="G4250" s="264"/>
    </row>
    <row r="4251" spans="5:7">
      <c r="E4251" s="264"/>
      <c r="G4251" s="264"/>
    </row>
    <row r="4252" spans="5:7">
      <c r="E4252" s="264"/>
      <c r="G4252" s="264"/>
    </row>
    <row r="4253" spans="5:7">
      <c r="E4253" s="264"/>
      <c r="G4253" s="264"/>
    </row>
    <row r="4254" spans="5:7">
      <c r="E4254" s="264"/>
      <c r="G4254" s="264"/>
    </row>
    <row r="4255" spans="5:7">
      <c r="E4255" s="264"/>
      <c r="G4255" s="264"/>
    </row>
    <row r="4256" spans="5:7">
      <c r="E4256" s="264"/>
      <c r="G4256" s="264"/>
    </row>
    <row r="4257" spans="5:7">
      <c r="E4257" s="264"/>
      <c r="G4257" s="264"/>
    </row>
    <row r="4258" spans="5:7">
      <c r="E4258" s="264"/>
      <c r="G4258" s="264"/>
    </row>
    <row r="4259" spans="5:7">
      <c r="E4259" s="264"/>
      <c r="G4259" s="264"/>
    </row>
    <row r="4260" spans="5:7">
      <c r="E4260" s="264"/>
      <c r="G4260" s="264"/>
    </row>
    <row r="4261" spans="5:7">
      <c r="E4261" s="264"/>
      <c r="G4261" s="264"/>
    </row>
    <row r="4262" spans="5:7">
      <c r="E4262" s="264"/>
      <c r="G4262" s="264"/>
    </row>
    <row r="4263" spans="5:7">
      <c r="E4263" s="264"/>
      <c r="G4263" s="264"/>
    </row>
    <row r="4264" spans="5:7">
      <c r="E4264" s="264"/>
      <c r="G4264" s="264"/>
    </row>
    <row r="4265" spans="5:7">
      <c r="E4265" s="264"/>
      <c r="G4265" s="264"/>
    </row>
    <row r="4266" spans="5:7">
      <c r="E4266" s="264"/>
      <c r="G4266" s="264"/>
    </row>
    <row r="4267" spans="5:7">
      <c r="E4267" s="264"/>
      <c r="G4267" s="264"/>
    </row>
    <row r="4268" spans="5:7">
      <c r="E4268" s="264"/>
      <c r="G4268" s="264"/>
    </row>
    <row r="4269" spans="5:7">
      <c r="E4269" s="264"/>
      <c r="G4269" s="264"/>
    </row>
    <row r="4270" spans="5:7">
      <c r="E4270" s="264"/>
      <c r="G4270" s="264"/>
    </row>
    <row r="4271" spans="5:7">
      <c r="E4271" s="264"/>
      <c r="G4271" s="264"/>
    </row>
    <row r="4272" spans="5:7">
      <c r="E4272" s="264"/>
      <c r="G4272" s="264"/>
    </row>
    <row r="4273" spans="5:7">
      <c r="E4273" s="264"/>
      <c r="G4273" s="264"/>
    </row>
    <row r="4274" spans="5:7">
      <c r="E4274" s="264"/>
      <c r="G4274" s="264"/>
    </row>
    <row r="4275" spans="5:7">
      <c r="E4275" s="264"/>
      <c r="G4275" s="264"/>
    </row>
    <row r="4276" spans="5:7">
      <c r="E4276" s="264"/>
      <c r="G4276" s="264"/>
    </row>
    <row r="4277" spans="5:7">
      <c r="E4277" s="264"/>
      <c r="G4277" s="264"/>
    </row>
    <row r="4278" spans="5:7">
      <c r="E4278" s="264"/>
      <c r="G4278" s="264"/>
    </row>
    <row r="4279" spans="5:7">
      <c r="E4279" s="264"/>
      <c r="G4279" s="264"/>
    </row>
    <row r="4280" spans="5:7">
      <c r="E4280" s="264"/>
      <c r="G4280" s="264"/>
    </row>
    <row r="4281" spans="5:7">
      <c r="E4281" s="264"/>
      <c r="G4281" s="264"/>
    </row>
    <row r="4282" spans="5:7">
      <c r="E4282" s="264"/>
      <c r="G4282" s="264"/>
    </row>
    <row r="4283" spans="5:7">
      <c r="E4283" s="264"/>
      <c r="G4283" s="264"/>
    </row>
    <row r="4284" spans="5:7">
      <c r="E4284" s="264"/>
      <c r="G4284" s="264"/>
    </row>
    <row r="4285" spans="5:7">
      <c r="E4285" s="264"/>
      <c r="G4285" s="264"/>
    </row>
    <row r="4286" spans="5:7">
      <c r="E4286" s="264"/>
      <c r="G4286" s="264"/>
    </row>
    <row r="4287" spans="5:7">
      <c r="E4287" s="264"/>
      <c r="G4287" s="264"/>
    </row>
    <row r="4288" spans="5:7">
      <c r="E4288" s="264"/>
      <c r="G4288" s="264"/>
    </row>
    <row r="4289" spans="5:7">
      <c r="E4289" s="264"/>
      <c r="G4289" s="264"/>
    </row>
    <row r="4290" spans="5:7">
      <c r="E4290" s="264"/>
      <c r="G4290" s="264"/>
    </row>
    <row r="4291" spans="5:7">
      <c r="E4291" s="264"/>
      <c r="G4291" s="264"/>
    </row>
    <row r="4292" spans="5:7">
      <c r="E4292" s="264"/>
      <c r="G4292" s="264"/>
    </row>
    <row r="4293" spans="5:7">
      <c r="E4293" s="264"/>
      <c r="G4293" s="264"/>
    </row>
    <row r="4294" spans="5:7">
      <c r="E4294" s="264"/>
      <c r="G4294" s="264"/>
    </row>
    <row r="4295" spans="5:7">
      <c r="E4295" s="264"/>
      <c r="G4295" s="264"/>
    </row>
    <row r="4296" spans="5:7">
      <c r="E4296" s="264"/>
      <c r="G4296" s="264"/>
    </row>
    <row r="4297" spans="5:7">
      <c r="E4297" s="264"/>
      <c r="G4297" s="264"/>
    </row>
    <row r="4298" spans="5:7">
      <c r="E4298" s="264"/>
      <c r="G4298" s="264"/>
    </row>
    <row r="4299" spans="5:7">
      <c r="E4299" s="264"/>
      <c r="G4299" s="264"/>
    </row>
    <row r="4300" spans="5:7">
      <c r="E4300" s="264"/>
      <c r="G4300" s="264"/>
    </row>
    <row r="4301" spans="5:7">
      <c r="E4301" s="264"/>
      <c r="G4301" s="264"/>
    </row>
    <row r="4302" spans="5:7">
      <c r="E4302" s="264"/>
      <c r="G4302" s="264"/>
    </row>
    <row r="4303" spans="5:7">
      <c r="E4303" s="264"/>
      <c r="G4303" s="264"/>
    </row>
    <row r="4304" spans="5:7">
      <c r="E4304" s="264"/>
      <c r="G4304" s="264"/>
    </row>
    <row r="4305" spans="5:7">
      <c r="E4305" s="264"/>
      <c r="G4305" s="264"/>
    </row>
    <row r="4306" spans="5:7">
      <c r="E4306" s="264"/>
      <c r="G4306" s="264"/>
    </row>
    <row r="4307" spans="5:7">
      <c r="E4307" s="264"/>
      <c r="G4307" s="264"/>
    </row>
    <row r="4308" spans="5:7">
      <c r="E4308" s="264"/>
      <c r="G4308" s="264"/>
    </row>
    <row r="4309" spans="5:7">
      <c r="E4309" s="264"/>
      <c r="G4309" s="264"/>
    </row>
    <row r="4310" spans="5:7">
      <c r="E4310" s="264"/>
      <c r="G4310" s="264"/>
    </row>
    <row r="4311" spans="5:7">
      <c r="E4311" s="264"/>
      <c r="G4311" s="264"/>
    </row>
    <row r="4312" spans="5:7">
      <c r="E4312" s="264"/>
      <c r="G4312" s="264"/>
    </row>
    <row r="4313" spans="5:7">
      <c r="E4313" s="264"/>
      <c r="G4313" s="264"/>
    </row>
    <row r="4314" spans="5:7">
      <c r="E4314" s="264"/>
      <c r="G4314" s="264"/>
    </row>
    <row r="4315" spans="5:7">
      <c r="E4315" s="264"/>
      <c r="G4315" s="264"/>
    </row>
    <row r="4316" spans="5:7">
      <c r="E4316" s="264"/>
      <c r="G4316" s="264"/>
    </row>
    <row r="4317" spans="5:7">
      <c r="E4317" s="264"/>
      <c r="G4317" s="264"/>
    </row>
    <row r="4318" spans="5:7">
      <c r="E4318" s="264"/>
      <c r="G4318" s="264"/>
    </row>
    <row r="4319" spans="5:7">
      <c r="E4319" s="264"/>
      <c r="G4319" s="264"/>
    </row>
    <row r="4320" spans="5:7">
      <c r="E4320" s="264"/>
      <c r="G4320" s="264"/>
    </row>
    <row r="4321" spans="5:7">
      <c r="E4321" s="264"/>
      <c r="G4321" s="264"/>
    </row>
    <row r="4322" spans="5:7">
      <c r="E4322" s="264"/>
      <c r="G4322" s="264"/>
    </row>
    <row r="4323" spans="5:7">
      <c r="E4323" s="264"/>
      <c r="G4323" s="264"/>
    </row>
    <row r="4324" spans="5:7">
      <c r="E4324" s="264"/>
      <c r="G4324" s="264"/>
    </row>
    <row r="4325" spans="5:7">
      <c r="E4325" s="264"/>
      <c r="G4325" s="264"/>
    </row>
    <row r="4326" spans="5:7">
      <c r="E4326" s="264"/>
      <c r="G4326" s="264"/>
    </row>
    <row r="4327" spans="5:7">
      <c r="E4327" s="264"/>
      <c r="G4327" s="264"/>
    </row>
    <row r="4328" spans="5:7">
      <c r="E4328" s="264"/>
      <c r="G4328" s="264"/>
    </row>
    <row r="4329" spans="5:7">
      <c r="E4329" s="264"/>
      <c r="G4329" s="264"/>
    </row>
    <row r="4330" spans="5:7">
      <c r="E4330" s="264"/>
      <c r="G4330" s="264"/>
    </row>
    <row r="4331" spans="5:7">
      <c r="E4331" s="264"/>
      <c r="G4331" s="264"/>
    </row>
    <row r="4332" spans="5:7">
      <c r="E4332" s="264"/>
      <c r="G4332" s="264"/>
    </row>
    <row r="4333" spans="5:7">
      <c r="E4333" s="264"/>
      <c r="G4333" s="264"/>
    </row>
    <row r="4334" spans="5:7">
      <c r="E4334" s="264"/>
      <c r="G4334" s="264"/>
    </row>
    <row r="4335" spans="5:7">
      <c r="E4335" s="264"/>
      <c r="G4335" s="264"/>
    </row>
    <row r="4336" spans="5:7">
      <c r="E4336" s="264"/>
      <c r="G4336" s="264"/>
    </row>
    <row r="4337" spans="5:7">
      <c r="E4337" s="264"/>
      <c r="G4337" s="264"/>
    </row>
    <row r="4338" spans="5:7">
      <c r="E4338" s="264"/>
      <c r="G4338" s="264"/>
    </row>
    <row r="4339" spans="5:7">
      <c r="E4339" s="264"/>
      <c r="G4339" s="264"/>
    </row>
    <row r="4340" spans="5:7">
      <c r="E4340" s="264"/>
      <c r="G4340" s="264"/>
    </row>
    <row r="4341" spans="5:7">
      <c r="E4341" s="264"/>
      <c r="G4341" s="264"/>
    </row>
    <row r="4342" spans="5:7">
      <c r="E4342" s="264"/>
      <c r="G4342" s="264"/>
    </row>
    <row r="4343" spans="5:7">
      <c r="E4343" s="264"/>
      <c r="G4343" s="264"/>
    </row>
    <row r="4344" spans="5:7">
      <c r="E4344" s="264"/>
      <c r="G4344" s="264"/>
    </row>
    <row r="4345" spans="5:7">
      <c r="E4345" s="264"/>
      <c r="G4345" s="264"/>
    </row>
    <row r="4346" spans="5:7">
      <c r="E4346" s="264"/>
      <c r="G4346" s="264"/>
    </row>
    <row r="4347" spans="5:7">
      <c r="E4347" s="264"/>
      <c r="G4347" s="264"/>
    </row>
    <row r="4348" spans="5:7">
      <c r="E4348" s="264"/>
      <c r="G4348" s="264"/>
    </row>
    <row r="4349" spans="5:7">
      <c r="E4349" s="264"/>
      <c r="G4349" s="264"/>
    </row>
    <row r="4350" spans="5:7">
      <c r="E4350" s="264"/>
      <c r="G4350" s="264"/>
    </row>
    <row r="4351" spans="5:7">
      <c r="E4351" s="264"/>
      <c r="G4351" s="264"/>
    </row>
    <row r="4352" spans="5:7">
      <c r="E4352" s="264"/>
      <c r="G4352" s="264"/>
    </row>
    <row r="4353" spans="5:7">
      <c r="E4353" s="264"/>
      <c r="G4353" s="264"/>
    </row>
    <row r="4354" spans="5:7">
      <c r="E4354" s="264"/>
      <c r="G4354" s="264"/>
    </row>
    <row r="4355" spans="5:7">
      <c r="E4355" s="264"/>
      <c r="G4355" s="264"/>
    </row>
    <row r="4356" spans="5:7">
      <c r="E4356" s="264"/>
      <c r="G4356" s="264"/>
    </row>
    <row r="4357" spans="5:7">
      <c r="E4357" s="264"/>
      <c r="G4357" s="264"/>
    </row>
    <row r="4358" spans="5:7">
      <c r="E4358" s="264"/>
      <c r="G4358" s="264"/>
    </row>
    <row r="4359" spans="5:7">
      <c r="E4359" s="264"/>
      <c r="G4359" s="264"/>
    </row>
    <row r="4360" spans="5:7">
      <c r="E4360" s="264"/>
      <c r="G4360" s="264"/>
    </row>
    <row r="4361" spans="5:7">
      <c r="E4361" s="264"/>
      <c r="G4361" s="264"/>
    </row>
    <row r="4362" spans="5:7">
      <c r="E4362" s="264"/>
      <c r="G4362" s="264"/>
    </row>
    <row r="4363" spans="5:7">
      <c r="E4363" s="264"/>
      <c r="G4363" s="264"/>
    </row>
    <row r="4364" spans="5:7">
      <c r="E4364" s="264"/>
      <c r="G4364" s="264"/>
    </row>
    <row r="4365" spans="5:7">
      <c r="E4365" s="264"/>
      <c r="G4365" s="264"/>
    </row>
    <row r="4366" spans="5:7">
      <c r="E4366" s="264"/>
      <c r="G4366" s="264"/>
    </row>
    <row r="4367" spans="5:7">
      <c r="E4367" s="264"/>
      <c r="G4367" s="264"/>
    </row>
    <row r="4368" spans="5:7">
      <c r="E4368" s="264"/>
      <c r="G4368" s="264"/>
    </row>
    <row r="4369" spans="5:7">
      <c r="E4369" s="264"/>
      <c r="G4369" s="264"/>
    </row>
    <row r="4370" spans="5:7">
      <c r="E4370" s="264"/>
      <c r="G4370" s="264"/>
    </row>
    <row r="4371" spans="5:7">
      <c r="E4371" s="264"/>
      <c r="G4371" s="264"/>
    </row>
    <row r="4372" spans="5:7">
      <c r="E4372" s="264"/>
      <c r="G4372" s="264"/>
    </row>
    <row r="4373" spans="5:7">
      <c r="E4373" s="264"/>
      <c r="G4373" s="264"/>
    </row>
    <row r="4374" spans="5:7">
      <c r="E4374" s="264"/>
      <c r="G4374" s="264"/>
    </row>
    <row r="4375" spans="5:7">
      <c r="E4375" s="264"/>
      <c r="G4375" s="264"/>
    </row>
    <row r="4376" spans="5:7">
      <c r="E4376" s="264"/>
      <c r="G4376" s="264"/>
    </row>
    <row r="4377" spans="5:7">
      <c r="E4377" s="264"/>
      <c r="G4377" s="264"/>
    </row>
    <row r="4378" spans="5:7">
      <c r="E4378" s="264"/>
      <c r="G4378" s="264"/>
    </row>
    <row r="4379" spans="5:7">
      <c r="E4379" s="264"/>
      <c r="G4379" s="264"/>
    </row>
    <row r="4380" spans="5:7">
      <c r="E4380" s="264"/>
      <c r="G4380" s="264"/>
    </row>
    <row r="4381" spans="5:7">
      <c r="E4381" s="264"/>
      <c r="G4381" s="264"/>
    </row>
    <row r="4382" spans="5:7">
      <c r="E4382" s="264"/>
      <c r="G4382" s="264"/>
    </row>
    <row r="4383" spans="5:7">
      <c r="E4383" s="264"/>
      <c r="G4383" s="264"/>
    </row>
    <row r="4384" spans="5:7">
      <c r="E4384" s="264"/>
      <c r="G4384" s="264"/>
    </row>
    <row r="4385" spans="5:7">
      <c r="E4385" s="264"/>
      <c r="G4385" s="264"/>
    </row>
    <row r="4386" spans="5:7">
      <c r="E4386" s="264"/>
      <c r="G4386" s="264"/>
    </row>
    <row r="4387" spans="5:7">
      <c r="E4387" s="264"/>
      <c r="G4387" s="264"/>
    </row>
    <row r="4388" spans="5:7">
      <c r="E4388" s="264"/>
      <c r="G4388" s="264"/>
    </row>
    <row r="4389" spans="5:7">
      <c r="E4389" s="264"/>
      <c r="G4389" s="264"/>
    </row>
    <row r="4390" spans="5:7">
      <c r="E4390" s="264"/>
      <c r="G4390" s="264"/>
    </row>
    <row r="4391" spans="5:7">
      <c r="E4391" s="264"/>
      <c r="G4391" s="264"/>
    </row>
    <row r="4392" spans="5:7">
      <c r="E4392" s="264"/>
      <c r="G4392" s="264"/>
    </row>
    <row r="4393" spans="5:7">
      <c r="E4393" s="264"/>
      <c r="G4393" s="264"/>
    </row>
    <row r="4394" spans="5:7">
      <c r="E4394" s="264"/>
      <c r="G4394" s="264"/>
    </row>
    <row r="4395" spans="5:7">
      <c r="E4395" s="264"/>
      <c r="G4395" s="264"/>
    </row>
    <row r="4396" spans="5:7">
      <c r="E4396" s="264"/>
      <c r="G4396" s="264"/>
    </row>
    <row r="4397" spans="5:7">
      <c r="E4397" s="264"/>
      <c r="G4397" s="264"/>
    </row>
    <row r="4398" spans="5:7">
      <c r="E4398" s="264"/>
      <c r="G4398" s="264"/>
    </row>
    <row r="4399" spans="5:7">
      <c r="E4399" s="264"/>
      <c r="G4399" s="264"/>
    </row>
    <row r="4400" spans="5:7">
      <c r="E4400" s="264"/>
      <c r="G4400" s="264"/>
    </row>
    <row r="4401" spans="5:7">
      <c r="E4401" s="264"/>
      <c r="G4401" s="264"/>
    </row>
    <row r="4402" spans="5:7">
      <c r="E4402" s="264"/>
      <c r="G4402" s="264"/>
    </row>
    <row r="4403" spans="5:7">
      <c r="E4403" s="264"/>
      <c r="G4403" s="264"/>
    </row>
    <row r="4404" spans="5:7">
      <c r="E4404" s="264"/>
      <c r="G4404" s="264"/>
    </row>
    <row r="4405" spans="5:7">
      <c r="E4405" s="264"/>
      <c r="G4405" s="264"/>
    </row>
    <row r="4406" spans="5:7">
      <c r="E4406" s="264"/>
      <c r="G4406" s="264"/>
    </row>
    <row r="4407" spans="5:7">
      <c r="E4407" s="264"/>
      <c r="G4407" s="264"/>
    </row>
    <row r="4408" spans="5:7">
      <c r="E4408" s="264"/>
      <c r="G4408" s="264"/>
    </row>
    <row r="4409" spans="5:7">
      <c r="E4409" s="264"/>
      <c r="G4409" s="264"/>
    </row>
    <row r="4410" spans="5:7">
      <c r="E4410" s="264"/>
      <c r="G4410" s="264"/>
    </row>
    <row r="4411" spans="5:7">
      <c r="E4411" s="264"/>
      <c r="G4411" s="264"/>
    </row>
    <row r="4412" spans="5:7">
      <c r="E4412" s="264"/>
      <c r="G4412" s="264"/>
    </row>
    <row r="4413" spans="5:7">
      <c r="E4413" s="264"/>
      <c r="G4413" s="264"/>
    </row>
    <row r="4414" spans="5:7">
      <c r="E4414" s="264"/>
      <c r="G4414" s="264"/>
    </row>
    <row r="4415" spans="5:7">
      <c r="E4415" s="264"/>
      <c r="G4415" s="264"/>
    </row>
    <row r="4416" spans="5:7">
      <c r="E4416" s="264"/>
      <c r="G4416" s="264"/>
    </row>
    <row r="4417" spans="5:7">
      <c r="E4417" s="264"/>
      <c r="G4417" s="264"/>
    </row>
    <row r="4418" spans="5:7">
      <c r="E4418" s="264"/>
      <c r="G4418" s="264"/>
    </row>
    <row r="4419" spans="5:7">
      <c r="E4419" s="264"/>
      <c r="G4419" s="264"/>
    </row>
    <row r="4420" spans="5:7">
      <c r="E4420" s="264"/>
      <c r="G4420" s="264"/>
    </row>
    <row r="4421" spans="5:7">
      <c r="E4421" s="264"/>
      <c r="G4421" s="264"/>
    </row>
    <row r="4422" spans="5:7">
      <c r="E4422" s="264"/>
      <c r="G4422" s="264"/>
    </row>
    <row r="4423" spans="5:7">
      <c r="E4423" s="264"/>
      <c r="G4423" s="264"/>
    </row>
    <row r="4424" spans="5:7">
      <c r="E4424" s="264"/>
      <c r="G4424" s="264"/>
    </row>
    <row r="4425" spans="5:7">
      <c r="E4425" s="264"/>
      <c r="G4425" s="264"/>
    </row>
    <row r="4426" spans="5:7">
      <c r="E4426" s="264"/>
      <c r="G4426" s="264"/>
    </row>
    <row r="4427" spans="5:7">
      <c r="E4427" s="264"/>
      <c r="G4427" s="264"/>
    </row>
    <row r="4428" spans="5:7">
      <c r="E4428" s="264"/>
      <c r="G4428" s="264"/>
    </row>
    <row r="4429" spans="5:7">
      <c r="E4429" s="264"/>
      <c r="G4429" s="264"/>
    </row>
    <row r="4430" spans="5:7">
      <c r="E4430" s="264"/>
      <c r="G4430" s="264"/>
    </row>
    <row r="4431" spans="5:7">
      <c r="E4431" s="264"/>
      <c r="G4431" s="264"/>
    </row>
    <row r="4432" spans="5:7">
      <c r="E4432" s="264"/>
      <c r="G4432" s="264"/>
    </row>
    <row r="4433" spans="5:7">
      <c r="E4433" s="264"/>
      <c r="G4433" s="264"/>
    </row>
    <row r="4434" spans="5:7">
      <c r="E4434" s="264"/>
      <c r="G4434" s="264"/>
    </row>
    <row r="4435" spans="5:7">
      <c r="E4435" s="264"/>
      <c r="G4435" s="264"/>
    </row>
    <row r="4436" spans="5:7">
      <c r="E4436" s="264"/>
      <c r="G4436" s="264"/>
    </row>
    <row r="4437" spans="5:7">
      <c r="E4437" s="264"/>
      <c r="G4437" s="264"/>
    </row>
    <row r="4438" spans="5:7">
      <c r="E4438" s="264"/>
      <c r="G4438" s="264"/>
    </row>
    <row r="4439" spans="5:7">
      <c r="E4439" s="264"/>
      <c r="G4439" s="264"/>
    </row>
    <row r="4440" spans="5:7">
      <c r="E4440" s="264"/>
      <c r="G4440" s="264"/>
    </row>
    <row r="4441" spans="5:7">
      <c r="E4441" s="264"/>
      <c r="G4441" s="264"/>
    </row>
    <row r="4442" spans="5:7">
      <c r="E4442" s="264"/>
      <c r="G4442" s="264"/>
    </row>
    <row r="4443" spans="5:7">
      <c r="E4443" s="264"/>
      <c r="G4443" s="264"/>
    </row>
    <row r="4444" spans="5:7">
      <c r="E4444" s="264"/>
      <c r="G4444" s="264"/>
    </row>
    <row r="4445" spans="5:7">
      <c r="E4445" s="264"/>
      <c r="G4445" s="264"/>
    </row>
    <row r="4446" spans="5:7">
      <c r="E4446" s="264"/>
      <c r="G4446" s="264"/>
    </row>
    <row r="4447" spans="5:7">
      <c r="E4447" s="264"/>
      <c r="G4447" s="264"/>
    </row>
    <row r="4448" spans="5:7">
      <c r="E4448" s="264"/>
      <c r="G4448" s="264"/>
    </row>
    <row r="4449" spans="5:7">
      <c r="E4449" s="264"/>
      <c r="G4449" s="264"/>
    </row>
    <row r="4450" spans="5:7">
      <c r="E4450" s="264"/>
      <c r="G4450" s="264"/>
    </row>
    <row r="4451" spans="5:7">
      <c r="E4451" s="264"/>
      <c r="G4451" s="264"/>
    </row>
    <row r="4452" spans="5:7">
      <c r="E4452" s="264"/>
      <c r="G4452" s="264"/>
    </row>
    <row r="4453" spans="5:7">
      <c r="E4453" s="264"/>
      <c r="G4453" s="264"/>
    </row>
    <row r="4454" spans="5:7">
      <c r="E4454" s="264"/>
      <c r="G4454" s="264"/>
    </row>
    <row r="4455" spans="5:7">
      <c r="E4455" s="264"/>
      <c r="G4455" s="264"/>
    </row>
    <row r="4456" spans="5:7">
      <c r="E4456" s="264"/>
      <c r="G4456" s="264"/>
    </row>
    <row r="4457" spans="5:7">
      <c r="E4457" s="264"/>
      <c r="G4457" s="264"/>
    </row>
    <row r="4458" spans="5:7">
      <c r="E4458" s="264"/>
      <c r="G4458" s="264"/>
    </row>
    <row r="4459" spans="5:7">
      <c r="E4459" s="264"/>
      <c r="G4459" s="264"/>
    </row>
    <row r="4460" spans="5:7">
      <c r="E4460" s="264"/>
      <c r="G4460" s="264"/>
    </row>
    <row r="4461" spans="5:7">
      <c r="E4461" s="264"/>
      <c r="G4461" s="264"/>
    </row>
    <row r="4462" spans="5:7">
      <c r="E4462" s="264"/>
      <c r="G4462" s="264"/>
    </row>
    <row r="4463" spans="5:7">
      <c r="E4463" s="264"/>
      <c r="G4463" s="264"/>
    </row>
    <row r="4464" spans="5:7">
      <c r="E4464" s="264"/>
      <c r="G4464" s="264"/>
    </row>
    <row r="4465" spans="5:7">
      <c r="E4465" s="264"/>
      <c r="G4465" s="264"/>
    </row>
    <row r="4466" spans="5:7">
      <c r="E4466" s="264"/>
      <c r="G4466" s="264"/>
    </row>
    <row r="4467" spans="5:7">
      <c r="E4467" s="264"/>
      <c r="G4467" s="264"/>
    </row>
    <row r="4468" spans="5:7">
      <c r="E4468" s="264"/>
      <c r="G4468" s="264"/>
    </row>
    <row r="4469" spans="5:7">
      <c r="E4469" s="264"/>
      <c r="G4469" s="264"/>
    </row>
    <row r="4470" spans="5:7">
      <c r="E4470" s="264"/>
      <c r="G4470" s="264"/>
    </row>
    <row r="4471" spans="5:7">
      <c r="E4471" s="264"/>
      <c r="G4471" s="264"/>
    </row>
    <row r="4472" spans="5:7">
      <c r="E4472" s="264"/>
      <c r="G4472" s="264"/>
    </row>
    <row r="4473" spans="5:7">
      <c r="E4473" s="264"/>
      <c r="G4473" s="264"/>
    </row>
    <row r="4474" spans="5:7">
      <c r="E4474" s="264"/>
      <c r="G4474" s="264"/>
    </row>
    <row r="4475" spans="5:7">
      <c r="E4475" s="264"/>
      <c r="G4475" s="264"/>
    </row>
    <row r="4476" spans="5:7">
      <c r="E4476" s="264"/>
      <c r="G4476" s="264"/>
    </row>
    <row r="4477" spans="5:7">
      <c r="E4477" s="264"/>
      <c r="G4477" s="264"/>
    </row>
    <row r="4478" spans="5:7">
      <c r="E4478" s="264"/>
      <c r="G4478" s="264"/>
    </row>
    <row r="4479" spans="5:7">
      <c r="E4479" s="264"/>
      <c r="G4479" s="264"/>
    </row>
    <row r="4480" spans="5:7">
      <c r="E4480" s="264"/>
      <c r="G4480" s="264"/>
    </row>
    <row r="4481" spans="5:7">
      <c r="E4481" s="264"/>
      <c r="G4481" s="264"/>
    </row>
    <row r="4482" spans="5:7">
      <c r="E4482" s="264"/>
      <c r="G4482" s="264"/>
    </row>
    <row r="4483" spans="5:7">
      <c r="E4483" s="264"/>
      <c r="G4483" s="264"/>
    </row>
    <row r="4484" spans="5:7">
      <c r="E4484" s="264"/>
      <c r="G4484" s="264"/>
    </row>
    <row r="4485" spans="5:7">
      <c r="E4485" s="264"/>
      <c r="G4485" s="264"/>
    </row>
    <row r="4486" spans="5:7">
      <c r="E4486" s="264"/>
      <c r="G4486" s="264"/>
    </row>
    <row r="4487" spans="5:7">
      <c r="E4487" s="264"/>
      <c r="G4487" s="264"/>
    </row>
    <row r="4488" spans="5:7">
      <c r="E4488" s="264"/>
      <c r="G4488" s="264"/>
    </row>
    <row r="4489" spans="5:7">
      <c r="E4489" s="264"/>
      <c r="G4489" s="264"/>
    </row>
    <row r="4490" spans="5:7">
      <c r="E4490" s="264"/>
      <c r="G4490" s="264"/>
    </row>
    <row r="4491" spans="5:7">
      <c r="E4491" s="264"/>
      <c r="G4491" s="264"/>
    </row>
    <row r="4492" spans="5:7">
      <c r="E4492" s="264"/>
      <c r="G4492" s="264"/>
    </row>
    <row r="4493" spans="5:7">
      <c r="E4493" s="264"/>
      <c r="G4493" s="264"/>
    </row>
    <row r="4494" spans="5:7">
      <c r="E4494" s="264"/>
      <c r="G4494" s="264"/>
    </row>
    <row r="4495" spans="5:7">
      <c r="E4495" s="264"/>
      <c r="G4495" s="264"/>
    </row>
    <row r="4496" spans="5:7">
      <c r="E4496" s="264"/>
      <c r="G4496" s="264"/>
    </row>
    <row r="4497" spans="5:7">
      <c r="E4497" s="264"/>
      <c r="G4497" s="264"/>
    </row>
    <row r="4498" spans="5:7">
      <c r="E4498" s="264"/>
      <c r="G4498" s="264"/>
    </row>
    <row r="4499" spans="5:7">
      <c r="E4499" s="264"/>
      <c r="G4499" s="264"/>
    </row>
    <row r="4500" spans="5:7">
      <c r="E4500" s="264"/>
      <c r="G4500" s="264"/>
    </row>
    <row r="4501" spans="5:7">
      <c r="E4501" s="264"/>
      <c r="G4501" s="264"/>
    </row>
    <row r="4502" spans="5:7">
      <c r="E4502" s="264"/>
      <c r="G4502" s="264"/>
    </row>
    <row r="4503" spans="5:7">
      <c r="E4503" s="264"/>
      <c r="G4503" s="264"/>
    </row>
    <row r="4504" spans="5:7">
      <c r="E4504" s="264"/>
      <c r="G4504" s="264"/>
    </row>
    <row r="4505" spans="5:7">
      <c r="E4505" s="264"/>
      <c r="G4505" s="264"/>
    </row>
    <row r="4506" spans="5:7">
      <c r="E4506" s="264"/>
      <c r="G4506" s="264"/>
    </row>
    <row r="4507" spans="5:7">
      <c r="E4507" s="264"/>
      <c r="G4507" s="264"/>
    </row>
    <row r="4508" spans="5:7">
      <c r="E4508" s="264"/>
      <c r="G4508" s="264"/>
    </row>
    <row r="4509" spans="5:7">
      <c r="E4509" s="264"/>
      <c r="G4509" s="264"/>
    </row>
    <row r="4510" spans="5:7">
      <c r="E4510" s="264"/>
      <c r="G4510" s="264"/>
    </row>
    <row r="4511" spans="5:7">
      <c r="E4511" s="264"/>
      <c r="G4511" s="264"/>
    </row>
    <row r="4512" spans="5:7">
      <c r="E4512" s="264"/>
      <c r="G4512" s="264"/>
    </row>
    <row r="4513" spans="5:7">
      <c r="E4513" s="264"/>
      <c r="G4513" s="264"/>
    </row>
    <row r="4514" spans="5:7">
      <c r="E4514" s="264"/>
      <c r="G4514" s="264"/>
    </row>
    <row r="4515" spans="5:7">
      <c r="E4515" s="264"/>
      <c r="G4515" s="264"/>
    </row>
    <row r="4516" spans="5:7">
      <c r="E4516" s="264"/>
      <c r="G4516" s="264"/>
    </row>
    <row r="4517" spans="5:7">
      <c r="E4517" s="264"/>
      <c r="G4517" s="264"/>
    </row>
    <row r="4518" spans="5:7">
      <c r="E4518" s="264"/>
      <c r="G4518" s="264"/>
    </row>
    <row r="4519" spans="5:7">
      <c r="E4519" s="264"/>
      <c r="G4519" s="264"/>
    </row>
    <row r="4520" spans="5:7">
      <c r="E4520" s="264"/>
      <c r="G4520" s="264"/>
    </row>
    <row r="4521" spans="5:7">
      <c r="E4521" s="264"/>
      <c r="G4521" s="264"/>
    </row>
    <row r="4522" spans="5:7">
      <c r="E4522" s="264"/>
      <c r="G4522" s="264"/>
    </row>
    <row r="4523" spans="5:7">
      <c r="E4523" s="264"/>
      <c r="G4523" s="264"/>
    </row>
    <row r="4524" spans="5:7">
      <c r="E4524" s="264"/>
      <c r="G4524" s="264"/>
    </row>
    <row r="4525" spans="5:7">
      <c r="E4525" s="264"/>
      <c r="G4525" s="264"/>
    </row>
    <row r="4526" spans="5:7">
      <c r="E4526" s="264"/>
      <c r="G4526" s="264"/>
    </row>
    <row r="4527" spans="5:7">
      <c r="E4527" s="264"/>
      <c r="G4527" s="264"/>
    </row>
    <row r="4528" spans="5:7">
      <c r="E4528" s="264"/>
      <c r="G4528" s="264"/>
    </row>
    <row r="4529" spans="5:7">
      <c r="E4529" s="264"/>
      <c r="G4529" s="264"/>
    </row>
    <row r="4530" spans="5:7">
      <c r="E4530" s="264"/>
      <c r="G4530" s="264"/>
    </row>
    <row r="4531" spans="5:7">
      <c r="E4531" s="264"/>
      <c r="G4531" s="264"/>
    </row>
    <row r="4532" spans="5:7">
      <c r="E4532" s="264"/>
      <c r="G4532" s="264"/>
    </row>
    <row r="4533" spans="5:7">
      <c r="E4533" s="264"/>
      <c r="G4533" s="264"/>
    </row>
    <row r="4534" spans="5:7">
      <c r="E4534" s="264"/>
      <c r="G4534" s="264"/>
    </row>
    <row r="4535" spans="5:7">
      <c r="E4535" s="264"/>
      <c r="G4535" s="264"/>
    </row>
    <row r="4536" spans="5:7">
      <c r="E4536" s="264"/>
      <c r="G4536" s="264"/>
    </row>
    <row r="4537" spans="5:7">
      <c r="E4537" s="264"/>
      <c r="G4537" s="264"/>
    </row>
    <row r="4538" spans="5:7">
      <c r="E4538" s="264"/>
      <c r="G4538" s="264"/>
    </row>
    <row r="4539" spans="5:7">
      <c r="E4539" s="264"/>
      <c r="G4539" s="264"/>
    </row>
    <row r="4540" spans="5:7">
      <c r="E4540" s="264"/>
      <c r="G4540" s="264"/>
    </row>
    <row r="4541" spans="5:7">
      <c r="E4541" s="264"/>
      <c r="G4541" s="264"/>
    </row>
    <row r="4542" spans="5:7">
      <c r="E4542" s="264"/>
      <c r="G4542" s="264"/>
    </row>
    <row r="4543" spans="5:7">
      <c r="E4543" s="264"/>
      <c r="G4543" s="264"/>
    </row>
    <row r="4544" spans="5:7">
      <c r="E4544" s="264"/>
      <c r="G4544" s="264"/>
    </row>
    <row r="4545" spans="5:7">
      <c r="E4545" s="264"/>
      <c r="G4545" s="264"/>
    </row>
    <row r="4546" spans="5:7">
      <c r="E4546" s="264"/>
      <c r="G4546" s="264"/>
    </row>
    <row r="4547" spans="5:7">
      <c r="E4547" s="264"/>
      <c r="G4547" s="264"/>
    </row>
    <row r="4548" spans="5:7">
      <c r="E4548" s="264"/>
      <c r="G4548" s="264"/>
    </row>
    <row r="4549" spans="5:7">
      <c r="E4549" s="264"/>
      <c r="G4549" s="264"/>
    </row>
    <row r="4550" spans="5:7">
      <c r="E4550" s="264"/>
      <c r="G4550" s="264"/>
    </row>
    <row r="4551" spans="5:7">
      <c r="E4551" s="264"/>
      <c r="G4551" s="264"/>
    </row>
    <row r="4552" spans="5:7">
      <c r="E4552" s="264"/>
      <c r="G4552" s="264"/>
    </row>
    <row r="4553" spans="5:7">
      <c r="E4553" s="264"/>
      <c r="G4553" s="264"/>
    </row>
    <row r="4554" spans="5:7">
      <c r="E4554" s="264"/>
      <c r="G4554" s="264"/>
    </row>
    <row r="4555" spans="5:7">
      <c r="E4555" s="264"/>
      <c r="G4555" s="264"/>
    </row>
    <row r="4556" spans="5:7">
      <c r="E4556" s="264"/>
      <c r="G4556" s="264"/>
    </row>
    <row r="4557" spans="5:7">
      <c r="E4557" s="264"/>
      <c r="G4557" s="264"/>
    </row>
    <row r="4558" spans="5:7">
      <c r="E4558" s="264"/>
      <c r="G4558" s="264"/>
    </row>
    <row r="4559" spans="5:7">
      <c r="E4559" s="264"/>
      <c r="G4559" s="264"/>
    </row>
    <row r="4560" spans="5:7">
      <c r="E4560" s="264"/>
      <c r="G4560" s="264"/>
    </row>
    <row r="4561" spans="5:7">
      <c r="E4561" s="264"/>
      <c r="G4561" s="264"/>
    </row>
    <row r="4562" spans="5:7">
      <c r="E4562" s="264"/>
      <c r="G4562" s="264"/>
    </row>
    <row r="4563" spans="5:7">
      <c r="E4563" s="264"/>
      <c r="G4563" s="264"/>
    </row>
    <row r="4564" spans="5:7">
      <c r="E4564" s="264"/>
      <c r="G4564" s="264"/>
    </row>
    <row r="4565" spans="5:7">
      <c r="E4565" s="264"/>
      <c r="G4565" s="264"/>
    </row>
    <row r="4566" spans="5:7">
      <c r="E4566" s="264"/>
      <c r="G4566" s="264"/>
    </row>
    <row r="4567" spans="5:7">
      <c r="E4567" s="264"/>
      <c r="G4567" s="264"/>
    </row>
    <row r="4568" spans="5:7">
      <c r="E4568" s="264"/>
      <c r="G4568" s="264"/>
    </row>
    <row r="4569" spans="5:7">
      <c r="E4569" s="264"/>
      <c r="G4569" s="264"/>
    </row>
    <row r="4570" spans="5:7">
      <c r="E4570" s="264"/>
      <c r="G4570" s="264"/>
    </row>
    <row r="4571" spans="5:7">
      <c r="E4571" s="264"/>
      <c r="G4571" s="264"/>
    </row>
    <row r="4572" spans="5:7">
      <c r="E4572" s="264"/>
      <c r="G4572" s="264"/>
    </row>
    <row r="4573" spans="5:7">
      <c r="E4573" s="264"/>
      <c r="G4573" s="264"/>
    </row>
    <row r="4574" spans="5:7">
      <c r="E4574" s="264"/>
      <c r="G4574" s="264"/>
    </row>
    <row r="4575" spans="5:7">
      <c r="E4575" s="264"/>
      <c r="G4575" s="264"/>
    </row>
    <row r="4576" spans="5:7">
      <c r="E4576" s="264"/>
      <c r="G4576" s="264"/>
    </row>
    <row r="4577" spans="5:7">
      <c r="E4577" s="264"/>
      <c r="G4577" s="264"/>
    </row>
    <row r="4578" spans="5:7">
      <c r="E4578" s="264"/>
      <c r="G4578" s="264"/>
    </row>
    <row r="4579" spans="5:7">
      <c r="E4579" s="264"/>
      <c r="G4579" s="264"/>
    </row>
    <row r="4580" spans="5:7">
      <c r="E4580" s="264"/>
      <c r="G4580" s="264"/>
    </row>
    <row r="4581" spans="5:7">
      <c r="E4581" s="264"/>
      <c r="G4581" s="264"/>
    </row>
    <row r="4582" spans="5:7">
      <c r="E4582" s="264"/>
      <c r="G4582" s="264"/>
    </row>
    <row r="4583" spans="5:7">
      <c r="E4583" s="264"/>
      <c r="G4583" s="264"/>
    </row>
    <row r="4584" spans="5:7">
      <c r="E4584" s="264"/>
      <c r="G4584" s="264"/>
    </row>
    <row r="4585" spans="5:7">
      <c r="E4585" s="264"/>
      <c r="G4585" s="264"/>
    </row>
    <row r="4586" spans="5:7">
      <c r="E4586" s="264"/>
      <c r="G4586" s="264"/>
    </row>
    <row r="4587" spans="5:7">
      <c r="E4587" s="264"/>
      <c r="G4587" s="264"/>
    </row>
    <row r="4588" spans="5:7">
      <c r="E4588" s="264"/>
      <c r="G4588" s="264"/>
    </row>
    <row r="4589" spans="5:7">
      <c r="E4589" s="264"/>
      <c r="G4589" s="264"/>
    </row>
    <row r="4590" spans="5:7">
      <c r="E4590" s="264"/>
      <c r="G4590" s="264"/>
    </row>
    <row r="4591" spans="5:7">
      <c r="E4591" s="264"/>
      <c r="G4591" s="264"/>
    </row>
    <row r="4592" spans="5:7">
      <c r="E4592" s="264"/>
      <c r="G4592" s="264"/>
    </row>
    <row r="4593" spans="5:7">
      <c r="E4593" s="264"/>
      <c r="G4593" s="264"/>
    </row>
    <row r="4594" spans="5:7">
      <c r="E4594" s="264"/>
      <c r="G4594" s="264"/>
    </row>
    <row r="4595" spans="5:7">
      <c r="E4595" s="264"/>
      <c r="G4595" s="264"/>
    </row>
    <row r="4596" spans="5:7">
      <c r="E4596" s="264"/>
      <c r="G4596" s="264"/>
    </row>
    <row r="4597" spans="5:7">
      <c r="E4597" s="264"/>
      <c r="G4597" s="264"/>
    </row>
    <row r="4598" spans="5:7">
      <c r="E4598" s="264"/>
      <c r="G4598" s="264"/>
    </row>
    <row r="4599" spans="5:7">
      <c r="E4599" s="264"/>
      <c r="G4599" s="264"/>
    </row>
    <row r="4600" spans="5:7">
      <c r="E4600" s="264"/>
      <c r="G4600" s="264"/>
    </row>
    <row r="4601" spans="5:7">
      <c r="E4601" s="264"/>
      <c r="G4601" s="264"/>
    </row>
    <row r="4602" spans="5:7">
      <c r="E4602" s="264"/>
      <c r="G4602" s="264"/>
    </row>
    <row r="4603" spans="5:7">
      <c r="E4603" s="264"/>
      <c r="G4603" s="264"/>
    </row>
    <row r="4604" spans="5:7">
      <c r="E4604" s="264"/>
      <c r="G4604" s="264"/>
    </row>
    <row r="4605" spans="5:7">
      <c r="E4605" s="264"/>
      <c r="G4605" s="264"/>
    </row>
    <row r="4606" spans="5:7">
      <c r="E4606" s="264"/>
      <c r="G4606" s="264"/>
    </row>
    <row r="4607" spans="5:7">
      <c r="E4607" s="264"/>
      <c r="G4607" s="264"/>
    </row>
    <row r="4608" spans="5:7">
      <c r="E4608" s="264"/>
      <c r="G4608" s="264"/>
    </row>
    <row r="4609" spans="5:7">
      <c r="E4609" s="264"/>
      <c r="G4609" s="264"/>
    </row>
    <row r="4610" spans="5:7">
      <c r="E4610" s="264"/>
      <c r="G4610" s="264"/>
    </row>
    <row r="4611" spans="5:7">
      <c r="E4611" s="264"/>
      <c r="G4611" s="264"/>
    </row>
    <row r="4612" spans="5:7">
      <c r="E4612" s="264"/>
      <c r="G4612" s="264"/>
    </row>
    <row r="4613" spans="5:7">
      <c r="E4613" s="264"/>
      <c r="G4613" s="264"/>
    </row>
    <row r="4614" spans="5:7">
      <c r="E4614" s="264"/>
      <c r="G4614" s="264"/>
    </row>
    <row r="4615" spans="5:7">
      <c r="E4615" s="264"/>
      <c r="G4615" s="264"/>
    </row>
    <row r="4616" spans="5:7">
      <c r="E4616" s="264"/>
      <c r="G4616" s="264"/>
    </row>
    <row r="4617" spans="5:7">
      <c r="E4617" s="264"/>
      <c r="G4617" s="264"/>
    </row>
    <row r="4618" spans="5:7">
      <c r="E4618" s="264"/>
      <c r="G4618" s="264"/>
    </row>
    <row r="4619" spans="5:7">
      <c r="E4619" s="264"/>
      <c r="G4619" s="264"/>
    </row>
    <row r="4620" spans="5:7">
      <c r="E4620" s="264"/>
      <c r="G4620" s="264"/>
    </row>
    <row r="4621" spans="5:7">
      <c r="E4621" s="264"/>
      <c r="G4621" s="264"/>
    </row>
    <row r="4622" spans="5:7">
      <c r="E4622" s="264"/>
      <c r="G4622" s="264"/>
    </row>
    <row r="4623" spans="5:7">
      <c r="E4623" s="264"/>
      <c r="G4623" s="264"/>
    </row>
    <row r="4624" spans="5:7">
      <c r="E4624" s="264"/>
      <c r="G4624" s="264"/>
    </row>
    <row r="4625" spans="5:7">
      <c r="E4625" s="264"/>
      <c r="G4625" s="264"/>
    </row>
    <row r="4626" spans="5:7">
      <c r="E4626" s="264"/>
      <c r="G4626" s="264"/>
    </row>
    <row r="4627" spans="5:7">
      <c r="E4627" s="264"/>
      <c r="G4627" s="264"/>
    </row>
    <row r="4628" spans="5:7">
      <c r="E4628" s="264"/>
      <c r="G4628" s="264"/>
    </row>
    <row r="4629" spans="5:7">
      <c r="E4629" s="264"/>
      <c r="G4629" s="264"/>
    </row>
    <row r="4630" spans="5:7">
      <c r="E4630" s="264"/>
      <c r="G4630" s="264"/>
    </row>
    <row r="4631" spans="5:7">
      <c r="E4631" s="264"/>
      <c r="G4631" s="264"/>
    </row>
    <row r="4632" spans="5:7">
      <c r="E4632" s="264"/>
      <c r="G4632" s="264"/>
    </row>
    <row r="4633" spans="5:7">
      <c r="E4633" s="264"/>
      <c r="G4633" s="264"/>
    </row>
    <row r="4634" spans="5:7">
      <c r="E4634" s="264"/>
      <c r="G4634" s="264"/>
    </row>
    <row r="4635" spans="5:7">
      <c r="E4635" s="264"/>
      <c r="G4635" s="264"/>
    </row>
    <row r="4636" spans="5:7">
      <c r="E4636" s="264"/>
      <c r="G4636" s="264"/>
    </row>
    <row r="4637" spans="5:7">
      <c r="E4637" s="264"/>
      <c r="G4637" s="264"/>
    </row>
    <row r="4638" spans="5:7">
      <c r="E4638" s="264"/>
      <c r="G4638" s="264"/>
    </row>
    <row r="4639" spans="5:7">
      <c r="E4639" s="264"/>
      <c r="G4639" s="264"/>
    </row>
    <row r="4640" spans="5:7">
      <c r="E4640" s="264"/>
      <c r="G4640" s="264"/>
    </row>
    <row r="4641" spans="5:7">
      <c r="E4641" s="264"/>
      <c r="G4641" s="264"/>
    </row>
    <row r="4642" spans="5:7">
      <c r="E4642" s="264"/>
      <c r="G4642" s="264"/>
    </row>
    <row r="4643" spans="5:7">
      <c r="E4643" s="264"/>
      <c r="G4643" s="264"/>
    </row>
    <row r="4644" spans="5:7">
      <c r="E4644" s="264"/>
      <c r="G4644" s="264"/>
    </row>
    <row r="4645" spans="5:7">
      <c r="E4645" s="264"/>
      <c r="G4645" s="264"/>
    </row>
    <row r="4646" spans="5:7">
      <c r="E4646" s="264"/>
      <c r="G4646" s="264"/>
    </row>
    <row r="4647" spans="5:7">
      <c r="E4647" s="264"/>
      <c r="G4647" s="264"/>
    </row>
    <row r="4648" spans="5:7">
      <c r="E4648" s="264"/>
      <c r="G4648" s="264"/>
    </row>
    <row r="4649" spans="5:7">
      <c r="E4649" s="264"/>
      <c r="G4649" s="264"/>
    </row>
    <row r="4650" spans="5:7">
      <c r="E4650" s="264"/>
      <c r="G4650" s="264"/>
    </row>
    <row r="4651" spans="5:7">
      <c r="E4651" s="264"/>
      <c r="G4651" s="264"/>
    </row>
    <row r="4652" spans="5:7">
      <c r="E4652" s="264"/>
      <c r="G4652" s="264"/>
    </row>
    <row r="4653" spans="5:7">
      <c r="E4653" s="264"/>
      <c r="G4653" s="264"/>
    </row>
    <row r="4654" spans="5:7">
      <c r="E4654" s="264"/>
      <c r="G4654" s="264"/>
    </row>
    <row r="4655" spans="5:7">
      <c r="E4655" s="264"/>
      <c r="G4655" s="264"/>
    </row>
    <row r="4656" spans="5:7">
      <c r="E4656" s="264"/>
      <c r="G4656" s="264"/>
    </row>
    <row r="4657" spans="5:7">
      <c r="E4657" s="264"/>
      <c r="G4657" s="264"/>
    </row>
    <row r="4658" spans="5:7">
      <c r="E4658" s="264"/>
      <c r="G4658" s="264"/>
    </row>
    <row r="4659" spans="5:7">
      <c r="E4659" s="264"/>
      <c r="G4659" s="264"/>
    </row>
    <row r="4660" spans="5:7">
      <c r="E4660" s="264"/>
      <c r="G4660" s="264"/>
    </row>
    <row r="4661" spans="5:7">
      <c r="E4661" s="264"/>
      <c r="G4661" s="264"/>
    </row>
    <row r="4662" spans="5:7">
      <c r="E4662" s="264"/>
      <c r="G4662" s="264"/>
    </row>
    <row r="4663" spans="5:7">
      <c r="E4663" s="264"/>
      <c r="G4663" s="264"/>
    </row>
    <row r="4664" spans="5:7">
      <c r="E4664" s="264"/>
      <c r="G4664" s="264"/>
    </row>
    <row r="4665" spans="5:7">
      <c r="E4665" s="264"/>
      <c r="G4665" s="264"/>
    </row>
    <row r="4666" spans="5:7">
      <c r="E4666" s="264"/>
      <c r="G4666" s="264"/>
    </row>
    <row r="4667" spans="5:7">
      <c r="E4667" s="264"/>
      <c r="G4667" s="264"/>
    </row>
    <row r="4668" spans="5:7">
      <c r="E4668" s="264"/>
      <c r="G4668" s="264"/>
    </row>
    <row r="4669" spans="5:7">
      <c r="E4669" s="264"/>
      <c r="G4669" s="264"/>
    </row>
    <row r="4670" spans="5:7">
      <c r="E4670" s="264"/>
      <c r="G4670" s="264"/>
    </row>
    <row r="4671" spans="5:7">
      <c r="E4671" s="264"/>
      <c r="G4671" s="264"/>
    </row>
    <row r="4672" spans="5:7">
      <c r="E4672" s="264"/>
      <c r="G4672" s="264"/>
    </row>
    <row r="4673" spans="5:7">
      <c r="E4673" s="264"/>
      <c r="G4673" s="264"/>
    </row>
    <row r="4674" spans="5:7">
      <c r="E4674" s="264"/>
      <c r="G4674" s="264"/>
    </row>
    <row r="4675" spans="5:7">
      <c r="E4675" s="264"/>
      <c r="G4675" s="264"/>
    </row>
    <row r="4676" spans="5:7">
      <c r="E4676" s="264"/>
      <c r="G4676" s="264"/>
    </row>
    <row r="4677" spans="5:7">
      <c r="E4677" s="264"/>
      <c r="G4677" s="264"/>
    </row>
    <row r="4678" spans="5:7">
      <c r="E4678" s="264"/>
      <c r="G4678" s="264"/>
    </row>
    <row r="4679" spans="5:7">
      <c r="E4679" s="264"/>
      <c r="G4679" s="264"/>
    </row>
    <row r="4680" spans="5:7">
      <c r="E4680" s="264"/>
      <c r="G4680" s="264"/>
    </row>
    <row r="4681" spans="5:7">
      <c r="E4681" s="264"/>
      <c r="G4681" s="264"/>
    </row>
    <row r="4682" spans="5:7">
      <c r="E4682" s="264"/>
      <c r="G4682" s="264"/>
    </row>
    <row r="4683" spans="5:7">
      <c r="E4683" s="264"/>
      <c r="G4683" s="264"/>
    </row>
    <row r="4684" spans="5:7">
      <c r="E4684" s="264"/>
      <c r="G4684" s="264"/>
    </row>
    <row r="4685" spans="5:7">
      <c r="E4685" s="264"/>
      <c r="G4685" s="264"/>
    </row>
    <row r="4686" spans="5:7">
      <c r="E4686" s="264"/>
      <c r="G4686" s="264"/>
    </row>
    <row r="4687" spans="5:7">
      <c r="E4687" s="264"/>
      <c r="G4687" s="264"/>
    </row>
    <row r="4688" spans="5:7">
      <c r="E4688" s="264"/>
      <c r="G4688" s="264"/>
    </row>
    <row r="4689" spans="5:7">
      <c r="E4689" s="264"/>
      <c r="G4689" s="264"/>
    </row>
    <row r="4690" spans="5:7">
      <c r="E4690" s="264"/>
      <c r="G4690" s="264"/>
    </row>
    <row r="4691" spans="5:7">
      <c r="E4691" s="264"/>
      <c r="G4691" s="264"/>
    </row>
    <row r="4692" spans="5:7">
      <c r="E4692" s="264"/>
      <c r="G4692" s="264"/>
    </row>
    <row r="4693" spans="5:7">
      <c r="E4693" s="264"/>
      <c r="G4693" s="264"/>
    </row>
    <row r="4694" spans="5:7">
      <c r="E4694" s="264"/>
      <c r="G4694" s="264"/>
    </row>
    <row r="4695" spans="5:7">
      <c r="E4695" s="264"/>
      <c r="G4695" s="264"/>
    </row>
    <row r="4696" spans="5:7">
      <c r="E4696" s="264"/>
      <c r="G4696" s="264"/>
    </row>
    <row r="4697" spans="5:7">
      <c r="E4697" s="264"/>
      <c r="G4697" s="264"/>
    </row>
    <row r="4698" spans="5:7">
      <c r="E4698" s="264"/>
      <c r="G4698" s="264"/>
    </row>
    <row r="4699" spans="5:7">
      <c r="E4699" s="264"/>
      <c r="G4699" s="264"/>
    </row>
    <row r="4700" spans="5:7">
      <c r="E4700" s="264"/>
      <c r="G4700" s="264"/>
    </row>
    <row r="4701" spans="5:7">
      <c r="E4701" s="264"/>
      <c r="G4701" s="264"/>
    </row>
    <row r="4702" spans="5:7">
      <c r="E4702" s="264"/>
      <c r="G4702" s="264"/>
    </row>
    <row r="4703" spans="5:7">
      <c r="E4703" s="264"/>
      <c r="G4703" s="264"/>
    </row>
    <row r="4704" spans="5:7">
      <c r="E4704" s="264"/>
      <c r="G4704" s="264"/>
    </row>
    <row r="4705" spans="5:7">
      <c r="E4705" s="264"/>
      <c r="G4705" s="264"/>
    </row>
    <row r="4706" spans="5:7">
      <c r="E4706" s="264"/>
      <c r="G4706" s="264"/>
    </row>
    <row r="4707" spans="5:7">
      <c r="E4707" s="264"/>
      <c r="G4707" s="264"/>
    </row>
    <row r="4708" spans="5:7">
      <c r="E4708" s="264"/>
      <c r="G4708" s="264"/>
    </row>
    <row r="4709" spans="5:7">
      <c r="E4709" s="264"/>
      <c r="G4709" s="264"/>
    </row>
    <row r="4710" spans="5:7">
      <c r="E4710" s="264"/>
      <c r="G4710" s="264"/>
    </row>
    <row r="4711" spans="5:7">
      <c r="E4711" s="264"/>
      <c r="G4711" s="264"/>
    </row>
    <row r="4712" spans="5:7">
      <c r="E4712" s="264"/>
      <c r="G4712" s="264"/>
    </row>
    <row r="4713" spans="5:7">
      <c r="E4713" s="264"/>
      <c r="G4713" s="264"/>
    </row>
    <row r="4714" spans="5:7">
      <c r="E4714" s="264"/>
      <c r="G4714" s="264"/>
    </row>
    <row r="4715" spans="5:7">
      <c r="E4715" s="264"/>
      <c r="G4715" s="264"/>
    </row>
    <row r="4716" spans="5:7">
      <c r="E4716" s="264"/>
      <c r="G4716" s="264"/>
    </row>
    <row r="4717" spans="5:7">
      <c r="E4717" s="264"/>
      <c r="G4717" s="264"/>
    </row>
    <row r="4718" spans="5:7">
      <c r="E4718" s="264"/>
      <c r="G4718" s="264"/>
    </row>
    <row r="4719" spans="5:7">
      <c r="E4719" s="264"/>
      <c r="G4719" s="264"/>
    </row>
    <row r="4720" spans="5:7">
      <c r="E4720" s="264"/>
      <c r="G4720" s="264"/>
    </row>
    <row r="4721" spans="5:7">
      <c r="E4721" s="264"/>
      <c r="G4721" s="264"/>
    </row>
    <row r="4722" spans="5:7">
      <c r="E4722" s="264"/>
      <c r="G4722" s="264"/>
    </row>
    <row r="4723" spans="5:7">
      <c r="E4723" s="264"/>
      <c r="G4723" s="264"/>
    </row>
    <row r="4724" spans="5:7">
      <c r="E4724" s="264"/>
      <c r="G4724" s="264"/>
    </row>
    <row r="4725" spans="5:7">
      <c r="E4725" s="264"/>
      <c r="G4725" s="264"/>
    </row>
    <row r="4726" spans="5:7">
      <c r="E4726" s="264"/>
      <c r="G4726" s="264"/>
    </row>
    <row r="4727" spans="5:7">
      <c r="E4727" s="264"/>
      <c r="G4727" s="264"/>
    </row>
    <row r="4728" spans="5:7">
      <c r="E4728" s="264"/>
      <c r="G4728" s="264"/>
    </row>
    <row r="4729" spans="5:7">
      <c r="E4729" s="264"/>
      <c r="G4729" s="264"/>
    </row>
    <row r="4730" spans="5:7">
      <c r="E4730" s="264"/>
      <c r="G4730" s="264"/>
    </row>
    <row r="4731" spans="5:7">
      <c r="E4731" s="264"/>
      <c r="G4731" s="264"/>
    </row>
    <row r="4732" spans="5:7">
      <c r="E4732" s="264"/>
      <c r="G4732" s="264"/>
    </row>
    <row r="4733" spans="5:7">
      <c r="E4733" s="264"/>
      <c r="G4733" s="264"/>
    </row>
    <row r="4734" spans="5:7">
      <c r="E4734" s="264"/>
      <c r="G4734" s="264"/>
    </row>
    <row r="4735" spans="5:7">
      <c r="E4735" s="264"/>
      <c r="G4735" s="264"/>
    </row>
    <row r="4736" spans="5:7">
      <c r="E4736" s="264"/>
      <c r="G4736" s="264"/>
    </row>
    <row r="4737" spans="5:7">
      <c r="E4737" s="264"/>
      <c r="G4737" s="264"/>
    </row>
    <row r="4738" spans="5:7">
      <c r="E4738" s="264"/>
      <c r="G4738" s="264"/>
    </row>
    <row r="4739" spans="5:7">
      <c r="E4739" s="264"/>
      <c r="G4739" s="264"/>
    </row>
    <row r="4740" spans="5:7">
      <c r="E4740" s="264"/>
      <c r="G4740" s="264"/>
    </row>
    <row r="4741" spans="5:7">
      <c r="E4741" s="264"/>
      <c r="G4741" s="264"/>
    </row>
    <row r="4742" spans="5:7">
      <c r="E4742" s="264"/>
      <c r="G4742" s="264"/>
    </row>
    <row r="4743" spans="5:7">
      <c r="E4743" s="264"/>
      <c r="G4743" s="264"/>
    </row>
    <row r="4744" spans="5:7">
      <c r="E4744" s="264"/>
      <c r="G4744" s="264"/>
    </row>
    <row r="4745" spans="5:7">
      <c r="E4745" s="264"/>
      <c r="G4745" s="264"/>
    </row>
    <row r="4746" spans="5:7">
      <c r="E4746" s="264"/>
      <c r="G4746" s="264"/>
    </row>
    <row r="4747" spans="5:7">
      <c r="E4747" s="264"/>
      <c r="G4747" s="264"/>
    </row>
    <row r="4748" spans="5:7">
      <c r="E4748" s="264"/>
      <c r="G4748" s="264"/>
    </row>
    <row r="4749" spans="5:7">
      <c r="E4749" s="264"/>
      <c r="G4749" s="264"/>
    </row>
    <row r="4750" spans="5:7">
      <c r="E4750" s="264"/>
      <c r="G4750" s="264"/>
    </row>
    <row r="4751" spans="5:7">
      <c r="E4751" s="264"/>
      <c r="G4751" s="264"/>
    </row>
    <row r="4752" spans="5:7">
      <c r="E4752" s="264"/>
      <c r="G4752" s="264"/>
    </row>
    <row r="4753" spans="5:7">
      <c r="E4753" s="264"/>
      <c r="G4753" s="264"/>
    </row>
    <row r="4754" spans="5:7">
      <c r="E4754" s="264"/>
      <c r="G4754" s="264"/>
    </row>
    <row r="4755" spans="5:7">
      <c r="E4755" s="264"/>
      <c r="G4755" s="264"/>
    </row>
    <row r="4756" spans="5:7">
      <c r="E4756" s="264"/>
      <c r="G4756" s="264"/>
    </row>
    <row r="4757" spans="5:7">
      <c r="E4757" s="264"/>
      <c r="G4757" s="264"/>
    </row>
    <row r="4758" spans="5:7">
      <c r="E4758" s="264"/>
      <c r="G4758" s="264"/>
    </row>
    <row r="4759" spans="5:7">
      <c r="E4759" s="264"/>
      <c r="G4759" s="264"/>
    </row>
    <row r="4760" spans="5:7">
      <c r="E4760" s="264"/>
      <c r="G4760" s="264"/>
    </row>
    <row r="4761" spans="5:7">
      <c r="E4761" s="264"/>
      <c r="G4761" s="264"/>
    </row>
    <row r="4762" spans="5:7">
      <c r="E4762" s="264"/>
      <c r="G4762" s="264"/>
    </row>
    <row r="4763" spans="5:7">
      <c r="E4763" s="264"/>
      <c r="G4763" s="264"/>
    </row>
    <row r="4764" spans="5:7">
      <c r="E4764" s="264"/>
      <c r="G4764" s="264"/>
    </row>
    <row r="4765" spans="5:7">
      <c r="E4765" s="264"/>
      <c r="G4765" s="264"/>
    </row>
    <row r="4766" spans="5:7">
      <c r="E4766" s="264"/>
      <c r="G4766" s="264"/>
    </row>
    <row r="4767" spans="5:7">
      <c r="E4767" s="264"/>
      <c r="G4767" s="264"/>
    </row>
    <row r="4768" spans="5:7">
      <c r="E4768" s="264"/>
      <c r="G4768" s="264"/>
    </row>
    <row r="4769" spans="5:7">
      <c r="E4769" s="264"/>
      <c r="G4769" s="264"/>
    </row>
    <row r="4770" spans="5:7">
      <c r="E4770" s="264"/>
      <c r="G4770" s="264"/>
    </row>
    <row r="4771" spans="5:7">
      <c r="E4771" s="264"/>
      <c r="G4771" s="264"/>
    </row>
    <row r="4772" spans="5:7">
      <c r="E4772" s="264"/>
      <c r="G4772" s="264"/>
    </row>
    <row r="4773" spans="5:7">
      <c r="E4773" s="264"/>
      <c r="G4773" s="264"/>
    </row>
    <row r="4774" spans="5:7">
      <c r="E4774" s="264"/>
      <c r="G4774" s="264"/>
    </row>
    <row r="4775" spans="5:7">
      <c r="E4775" s="264"/>
      <c r="G4775" s="264"/>
    </row>
    <row r="4776" spans="5:7">
      <c r="E4776" s="264"/>
      <c r="G4776" s="264"/>
    </row>
    <row r="4777" spans="5:7">
      <c r="E4777" s="264"/>
      <c r="G4777" s="264"/>
    </row>
    <row r="4778" spans="5:7">
      <c r="E4778" s="264"/>
      <c r="G4778" s="264"/>
    </row>
    <row r="4779" spans="5:7">
      <c r="E4779" s="264"/>
      <c r="G4779" s="264"/>
    </row>
    <row r="4780" spans="5:7">
      <c r="E4780" s="264"/>
      <c r="G4780" s="264"/>
    </row>
    <row r="4781" spans="5:7">
      <c r="E4781" s="264"/>
      <c r="G4781" s="264"/>
    </row>
    <row r="4782" spans="5:7">
      <c r="E4782" s="264"/>
      <c r="G4782" s="264"/>
    </row>
    <row r="4783" spans="5:7">
      <c r="E4783" s="264"/>
      <c r="G4783" s="264"/>
    </row>
    <row r="4784" spans="5:7">
      <c r="E4784" s="264"/>
      <c r="G4784" s="264"/>
    </row>
    <row r="4785" spans="5:7">
      <c r="E4785" s="264"/>
      <c r="G4785" s="264"/>
    </row>
    <row r="4786" spans="5:7">
      <c r="E4786" s="264"/>
      <c r="G4786" s="264"/>
    </row>
    <row r="4787" spans="5:7">
      <c r="E4787" s="264"/>
      <c r="G4787" s="264"/>
    </row>
    <row r="4788" spans="5:7">
      <c r="E4788" s="264"/>
      <c r="G4788" s="264"/>
    </row>
    <row r="4789" spans="5:7">
      <c r="E4789" s="264"/>
      <c r="G4789" s="264"/>
    </row>
    <row r="4790" spans="5:7">
      <c r="E4790" s="264"/>
      <c r="G4790" s="264"/>
    </row>
    <row r="4791" spans="5:7">
      <c r="E4791" s="264"/>
      <c r="G4791" s="264"/>
    </row>
    <row r="4792" spans="5:7">
      <c r="E4792" s="264"/>
      <c r="G4792" s="264"/>
    </row>
    <row r="4793" spans="5:7">
      <c r="E4793" s="264"/>
      <c r="G4793" s="264"/>
    </row>
    <row r="4794" spans="5:7">
      <c r="E4794" s="264"/>
      <c r="G4794" s="264"/>
    </row>
    <row r="4795" spans="5:7">
      <c r="E4795" s="264"/>
      <c r="G4795" s="264"/>
    </row>
    <row r="4796" spans="5:7">
      <c r="E4796" s="264"/>
      <c r="G4796" s="264"/>
    </row>
    <row r="4797" spans="5:7">
      <c r="E4797" s="264"/>
      <c r="G4797" s="264"/>
    </row>
    <row r="4798" spans="5:7">
      <c r="E4798" s="264"/>
      <c r="G4798" s="264"/>
    </row>
    <row r="4799" spans="5:7">
      <c r="E4799" s="264"/>
      <c r="G4799" s="264"/>
    </row>
    <row r="4800" spans="5:7">
      <c r="E4800" s="264"/>
      <c r="G4800" s="264"/>
    </row>
    <row r="4801" spans="5:7">
      <c r="E4801" s="264"/>
      <c r="G4801" s="264"/>
    </row>
    <row r="4802" spans="5:7">
      <c r="E4802" s="264"/>
      <c r="G4802" s="264"/>
    </row>
    <row r="4803" spans="5:7">
      <c r="E4803" s="264"/>
      <c r="G4803" s="264"/>
    </row>
    <row r="4804" spans="5:7">
      <c r="E4804" s="264"/>
      <c r="G4804" s="264"/>
    </row>
    <row r="4805" spans="5:7">
      <c r="E4805" s="264"/>
      <c r="G4805" s="264"/>
    </row>
    <row r="4806" spans="5:7">
      <c r="E4806" s="264"/>
      <c r="G4806" s="264"/>
    </row>
    <row r="4807" spans="5:7">
      <c r="E4807" s="264"/>
      <c r="G4807" s="264"/>
    </row>
    <row r="4808" spans="5:7">
      <c r="E4808" s="264"/>
      <c r="G4808" s="264"/>
    </row>
    <row r="4809" spans="5:7">
      <c r="E4809" s="264"/>
      <c r="G4809" s="264"/>
    </row>
    <row r="4810" spans="5:7">
      <c r="E4810" s="264"/>
      <c r="G4810" s="264"/>
    </row>
    <row r="4811" spans="5:7">
      <c r="E4811" s="264"/>
      <c r="G4811" s="264"/>
    </row>
    <row r="4812" spans="5:7">
      <c r="E4812" s="264"/>
      <c r="G4812" s="264"/>
    </row>
    <row r="4813" spans="5:7">
      <c r="E4813" s="264"/>
      <c r="G4813" s="264"/>
    </row>
    <row r="4814" spans="5:7">
      <c r="E4814" s="264"/>
      <c r="G4814" s="264"/>
    </row>
    <row r="4815" spans="5:7">
      <c r="E4815" s="264"/>
      <c r="G4815" s="264"/>
    </row>
    <row r="4816" spans="5:7">
      <c r="E4816" s="264"/>
      <c r="G4816" s="264"/>
    </row>
    <row r="4817" spans="5:7">
      <c r="E4817" s="264"/>
      <c r="G4817" s="264"/>
    </row>
    <row r="4818" spans="5:7">
      <c r="E4818" s="264"/>
      <c r="G4818" s="264"/>
    </row>
    <row r="4819" spans="5:7">
      <c r="E4819" s="264"/>
      <c r="G4819" s="264"/>
    </row>
    <row r="4820" spans="5:7">
      <c r="E4820" s="264"/>
      <c r="G4820" s="264"/>
    </row>
    <row r="4821" spans="5:7">
      <c r="E4821" s="264"/>
      <c r="G4821" s="264"/>
    </row>
    <row r="4822" spans="5:7">
      <c r="E4822" s="264"/>
      <c r="G4822" s="264"/>
    </row>
    <row r="4823" spans="5:7">
      <c r="E4823" s="264"/>
      <c r="G4823" s="264"/>
    </row>
    <row r="4824" spans="5:7">
      <c r="E4824" s="264"/>
      <c r="G4824" s="264"/>
    </row>
    <row r="4825" spans="5:7">
      <c r="E4825" s="264"/>
      <c r="G4825" s="264"/>
    </row>
    <row r="4826" spans="5:7">
      <c r="E4826" s="264"/>
      <c r="G4826" s="264"/>
    </row>
    <row r="4827" spans="5:7">
      <c r="E4827" s="264"/>
      <c r="G4827" s="264"/>
    </row>
    <row r="4828" spans="5:7">
      <c r="E4828" s="264"/>
      <c r="G4828" s="264"/>
    </row>
    <row r="4829" spans="5:7">
      <c r="E4829" s="264"/>
      <c r="G4829" s="264"/>
    </row>
    <row r="4830" spans="5:7">
      <c r="E4830" s="264"/>
      <c r="G4830" s="264"/>
    </row>
    <row r="4831" spans="5:7">
      <c r="E4831" s="264"/>
      <c r="G4831" s="264"/>
    </row>
    <row r="4832" spans="5:7">
      <c r="E4832" s="264"/>
      <c r="G4832" s="264"/>
    </row>
    <row r="4833" spans="5:7">
      <c r="E4833" s="264"/>
      <c r="G4833" s="264"/>
    </row>
    <row r="4834" spans="5:7">
      <c r="E4834" s="264"/>
      <c r="G4834" s="264"/>
    </row>
    <row r="4835" spans="5:7">
      <c r="E4835" s="264"/>
      <c r="G4835" s="264"/>
    </row>
    <row r="4836" spans="5:7">
      <c r="E4836" s="264"/>
      <c r="G4836" s="264"/>
    </row>
    <row r="4837" spans="5:7">
      <c r="E4837" s="264"/>
      <c r="G4837" s="264"/>
    </row>
    <row r="4838" spans="5:7">
      <c r="E4838" s="264"/>
      <c r="G4838" s="264"/>
    </row>
    <row r="4839" spans="5:7">
      <c r="E4839" s="264"/>
      <c r="G4839" s="264"/>
    </row>
    <row r="4840" spans="5:7">
      <c r="E4840" s="264"/>
      <c r="G4840" s="264"/>
    </row>
    <row r="4841" spans="5:7">
      <c r="E4841" s="264"/>
      <c r="G4841" s="264"/>
    </row>
    <row r="4842" spans="5:7">
      <c r="E4842" s="264"/>
      <c r="G4842" s="264"/>
    </row>
    <row r="4843" spans="5:7">
      <c r="E4843" s="264"/>
      <c r="G4843" s="264"/>
    </row>
    <row r="4844" spans="5:7">
      <c r="E4844" s="264"/>
      <c r="G4844" s="264"/>
    </row>
    <row r="4845" spans="5:7">
      <c r="E4845" s="264"/>
      <c r="G4845" s="264"/>
    </row>
    <row r="4846" spans="5:7">
      <c r="E4846" s="264"/>
      <c r="G4846" s="264"/>
    </row>
    <row r="4847" spans="5:7">
      <c r="E4847" s="264"/>
      <c r="G4847" s="264"/>
    </row>
    <row r="4848" spans="5:7">
      <c r="E4848" s="264"/>
      <c r="G4848" s="264"/>
    </row>
    <row r="4849" spans="5:7">
      <c r="E4849" s="264"/>
      <c r="G4849" s="264"/>
    </row>
    <row r="4850" spans="5:7">
      <c r="E4850" s="264"/>
      <c r="G4850" s="264"/>
    </row>
    <row r="4851" spans="5:7">
      <c r="E4851" s="264"/>
      <c r="G4851" s="264"/>
    </row>
    <row r="4852" spans="5:7">
      <c r="E4852" s="264"/>
      <c r="G4852" s="264"/>
    </row>
    <row r="4853" spans="5:7">
      <c r="E4853" s="264"/>
      <c r="G4853" s="264"/>
    </row>
    <row r="4854" spans="5:7">
      <c r="E4854" s="264"/>
      <c r="G4854" s="264"/>
    </row>
    <row r="4855" spans="5:7">
      <c r="E4855" s="264"/>
      <c r="G4855" s="264"/>
    </row>
    <row r="4856" spans="5:7">
      <c r="E4856" s="264"/>
      <c r="G4856" s="264"/>
    </row>
    <row r="4857" spans="5:7">
      <c r="E4857" s="264"/>
      <c r="G4857" s="264"/>
    </row>
    <row r="4858" spans="5:7">
      <c r="E4858" s="264"/>
      <c r="G4858" s="264"/>
    </row>
    <row r="4859" spans="5:7">
      <c r="E4859" s="264"/>
      <c r="G4859" s="264"/>
    </row>
    <row r="4860" spans="5:7">
      <c r="E4860" s="264"/>
      <c r="G4860" s="264"/>
    </row>
    <row r="4861" spans="5:7">
      <c r="E4861" s="264"/>
      <c r="G4861" s="264"/>
    </row>
    <row r="4862" spans="5:7">
      <c r="E4862" s="264"/>
      <c r="G4862" s="264"/>
    </row>
    <row r="4863" spans="5:7">
      <c r="E4863" s="264"/>
      <c r="G4863" s="264"/>
    </row>
    <row r="4864" spans="5:7">
      <c r="E4864" s="264"/>
      <c r="G4864" s="264"/>
    </row>
    <row r="4865" spans="5:7">
      <c r="E4865" s="264"/>
      <c r="G4865" s="264"/>
    </row>
    <row r="4866" spans="5:7">
      <c r="E4866" s="264"/>
      <c r="G4866" s="264"/>
    </row>
    <row r="4867" spans="5:7">
      <c r="E4867" s="264"/>
      <c r="G4867" s="264"/>
    </row>
    <row r="4868" spans="5:7">
      <c r="E4868" s="264"/>
      <c r="G4868" s="264"/>
    </row>
    <row r="4869" spans="5:7">
      <c r="E4869" s="264"/>
      <c r="G4869" s="264"/>
    </row>
    <row r="4870" spans="5:7">
      <c r="E4870" s="264"/>
      <c r="G4870" s="264"/>
    </row>
    <row r="4871" spans="5:7">
      <c r="E4871" s="264"/>
      <c r="G4871" s="264"/>
    </row>
    <row r="4872" spans="5:7">
      <c r="E4872" s="264"/>
      <c r="G4872" s="264"/>
    </row>
    <row r="4873" spans="5:7">
      <c r="E4873" s="264"/>
      <c r="G4873" s="264"/>
    </row>
    <row r="4874" spans="5:7">
      <c r="E4874" s="264"/>
      <c r="G4874" s="264"/>
    </row>
    <row r="4875" spans="5:7">
      <c r="E4875" s="264"/>
      <c r="G4875" s="264"/>
    </row>
    <row r="4876" spans="5:7">
      <c r="E4876" s="264"/>
      <c r="G4876" s="264"/>
    </row>
    <row r="4877" spans="5:7">
      <c r="E4877" s="264"/>
      <c r="G4877" s="264"/>
    </row>
    <row r="4878" spans="5:7">
      <c r="E4878" s="264"/>
      <c r="G4878" s="264"/>
    </row>
    <row r="4879" spans="5:7">
      <c r="E4879" s="264"/>
      <c r="G4879" s="264"/>
    </row>
    <row r="4880" spans="5:7">
      <c r="E4880" s="264"/>
      <c r="G4880" s="264"/>
    </row>
    <row r="4881" spans="5:7">
      <c r="E4881" s="264"/>
      <c r="G4881" s="264"/>
    </row>
    <row r="4882" spans="5:7">
      <c r="E4882" s="264"/>
      <c r="G4882" s="264"/>
    </row>
    <row r="4883" spans="5:7">
      <c r="E4883" s="264"/>
      <c r="G4883" s="264"/>
    </row>
    <row r="4884" spans="5:7">
      <c r="E4884" s="264"/>
      <c r="G4884" s="264"/>
    </row>
    <row r="4885" spans="5:7">
      <c r="E4885" s="264"/>
      <c r="G4885" s="264"/>
    </row>
    <row r="4886" spans="5:7">
      <c r="E4886" s="264"/>
      <c r="G4886" s="264"/>
    </row>
    <row r="4887" spans="5:7">
      <c r="E4887" s="264"/>
      <c r="G4887" s="264"/>
    </row>
    <row r="4888" spans="5:7">
      <c r="E4888" s="264"/>
      <c r="G4888" s="264"/>
    </row>
    <row r="4889" spans="5:7">
      <c r="E4889" s="264"/>
      <c r="G4889" s="264"/>
    </row>
    <row r="4890" spans="5:7">
      <c r="E4890" s="264"/>
      <c r="G4890" s="264"/>
    </row>
    <row r="4891" spans="5:7">
      <c r="E4891" s="264"/>
      <c r="G4891" s="264"/>
    </row>
    <row r="4892" spans="5:7">
      <c r="E4892" s="264"/>
      <c r="G4892" s="264"/>
    </row>
    <row r="4893" spans="5:7">
      <c r="E4893" s="264"/>
      <c r="G4893" s="264"/>
    </row>
    <row r="4894" spans="5:7">
      <c r="E4894" s="264"/>
      <c r="G4894" s="264"/>
    </row>
    <row r="4895" spans="5:7">
      <c r="E4895" s="264"/>
      <c r="G4895" s="264"/>
    </row>
    <row r="4896" spans="5:7">
      <c r="E4896" s="264"/>
      <c r="G4896" s="264"/>
    </row>
    <row r="4897" spans="5:7">
      <c r="E4897" s="264"/>
      <c r="G4897" s="264"/>
    </row>
    <row r="4898" spans="5:7">
      <c r="E4898" s="264"/>
      <c r="G4898" s="264"/>
    </row>
    <row r="4899" spans="5:7">
      <c r="E4899" s="264"/>
      <c r="G4899" s="264"/>
    </row>
    <row r="4900" spans="5:7">
      <c r="E4900" s="264"/>
      <c r="G4900" s="264"/>
    </row>
    <row r="4901" spans="5:7">
      <c r="E4901" s="264"/>
      <c r="G4901" s="264"/>
    </row>
    <row r="4902" spans="5:7">
      <c r="E4902" s="264"/>
      <c r="G4902" s="264"/>
    </row>
    <row r="4903" spans="5:7">
      <c r="E4903" s="264"/>
      <c r="G4903" s="264"/>
    </row>
    <row r="4904" spans="5:7">
      <c r="E4904" s="264"/>
      <c r="G4904" s="264"/>
    </row>
    <row r="4905" spans="5:7">
      <c r="E4905" s="264"/>
      <c r="G4905" s="264"/>
    </row>
    <row r="4906" spans="5:7">
      <c r="E4906" s="264"/>
      <c r="G4906" s="264"/>
    </row>
    <row r="4907" spans="5:7">
      <c r="E4907" s="264"/>
      <c r="G4907" s="264"/>
    </row>
    <row r="4908" spans="5:7">
      <c r="E4908" s="264"/>
      <c r="G4908" s="264"/>
    </row>
    <row r="4909" spans="5:7">
      <c r="E4909" s="264"/>
      <c r="G4909" s="264"/>
    </row>
    <row r="4910" spans="5:7">
      <c r="E4910" s="264"/>
      <c r="G4910" s="264"/>
    </row>
    <row r="4911" spans="5:7">
      <c r="E4911" s="264"/>
      <c r="G4911" s="264"/>
    </row>
    <row r="4912" spans="5:7">
      <c r="E4912" s="264"/>
      <c r="G4912" s="264"/>
    </row>
    <row r="4913" spans="5:7">
      <c r="E4913" s="264"/>
      <c r="G4913" s="264"/>
    </row>
    <row r="4914" spans="5:7">
      <c r="E4914" s="264"/>
      <c r="G4914" s="264"/>
    </row>
    <row r="4915" spans="5:7">
      <c r="E4915" s="264"/>
      <c r="G4915" s="264"/>
    </row>
    <row r="4916" spans="5:7">
      <c r="E4916" s="264"/>
      <c r="G4916" s="264"/>
    </row>
    <row r="4917" spans="5:7">
      <c r="E4917" s="264"/>
      <c r="G4917" s="264"/>
    </row>
    <row r="4918" spans="5:7">
      <c r="E4918" s="264"/>
      <c r="G4918" s="264"/>
    </row>
    <row r="4919" spans="5:7">
      <c r="E4919" s="264"/>
      <c r="G4919" s="264"/>
    </row>
    <row r="4920" spans="5:7">
      <c r="E4920" s="264"/>
      <c r="G4920" s="264"/>
    </row>
    <row r="4921" spans="5:7">
      <c r="E4921" s="264"/>
      <c r="G4921" s="264"/>
    </row>
    <row r="4922" spans="5:7">
      <c r="E4922" s="264"/>
      <c r="G4922" s="264"/>
    </row>
    <row r="4923" spans="5:7">
      <c r="E4923" s="264"/>
      <c r="G4923" s="264"/>
    </row>
    <row r="4924" spans="5:7">
      <c r="E4924" s="264"/>
      <c r="G4924" s="264"/>
    </row>
    <row r="4925" spans="5:7">
      <c r="E4925" s="264"/>
      <c r="G4925" s="264"/>
    </row>
    <row r="4926" spans="5:7">
      <c r="E4926" s="264"/>
      <c r="G4926" s="264"/>
    </row>
    <row r="4927" spans="5:7">
      <c r="E4927" s="264"/>
      <c r="G4927" s="264"/>
    </row>
    <row r="4928" spans="5:7">
      <c r="E4928" s="264"/>
      <c r="G4928" s="264"/>
    </row>
    <row r="4929" spans="5:7">
      <c r="E4929" s="264"/>
      <c r="G4929" s="264"/>
    </row>
    <row r="4930" spans="5:7">
      <c r="E4930" s="264"/>
      <c r="G4930" s="264"/>
    </row>
    <row r="4931" spans="5:7">
      <c r="E4931" s="264"/>
      <c r="G4931" s="264"/>
    </row>
    <row r="4932" spans="5:7">
      <c r="E4932" s="264"/>
      <c r="G4932" s="264"/>
    </row>
    <row r="4933" spans="5:7">
      <c r="E4933" s="264"/>
      <c r="G4933" s="264"/>
    </row>
    <row r="4934" spans="5:7">
      <c r="E4934" s="264"/>
      <c r="G4934" s="264"/>
    </row>
    <row r="4935" spans="5:7">
      <c r="E4935" s="264"/>
      <c r="G4935" s="264"/>
    </row>
    <row r="4936" spans="5:7">
      <c r="E4936" s="264"/>
      <c r="G4936" s="264"/>
    </row>
    <row r="4937" spans="5:7">
      <c r="E4937" s="264"/>
      <c r="G4937" s="264"/>
    </row>
    <row r="4938" spans="5:7">
      <c r="E4938" s="264"/>
      <c r="G4938" s="264"/>
    </row>
    <row r="4939" spans="5:7">
      <c r="E4939" s="264"/>
      <c r="G4939" s="264"/>
    </row>
    <row r="4940" spans="5:7">
      <c r="E4940" s="264"/>
      <c r="G4940" s="264"/>
    </row>
    <row r="4941" spans="5:7">
      <c r="E4941" s="264"/>
      <c r="G4941" s="264"/>
    </row>
    <row r="4942" spans="5:7">
      <c r="E4942" s="264"/>
      <c r="G4942" s="264"/>
    </row>
    <row r="4943" spans="5:7">
      <c r="E4943" s="264"/>
      <c r="G4943" s="264"/>
    </row>
    <row r="4944" spans="5:7">
      <c r="E4944" s="264"/>
      <c r="G4944" s="264"/>
    </row>
    <row r="4945" spans="5:7">
      <c r="E4945" s="264"/>
      <c r="G4945" s="264"/>
    </row>
    <row r="4946" spans="5:7">
      <c r="E4946" s="264"/>
      <c r="G4946" s="264"/>
    </row>
    <row r="4947" spans="5:7">
      <c r="E4947" s="264"/>
      <c r="G4947" s="264"/>
    </row>
    <row r="4948" spans="5:7">
      <c r="E4948" s="264"/>
      <c r="G4948" s="264"/>
    </row>
    <row r="4949" spans="5:7">
      <c r="E4949" s="264"/>
      <c r="G4949" s="264"/>
    </row>
    <row r="4950" spans="5:7">
      <c r="E4950" s="264"/>
      <c r="G4950" s="264"/>
    </row>
    <row r="4951" spans="5:7">
      <c r="E4951" s="264"/>
      <c r="G4951" s="264"/>
    </row>
    <row r="4952" spans="5:7">
      <c r="E4952" s="264"/>
      <c r="G4952" s="264"/>
    </row>
    <row r="4953" spans="5:7">
      <c r="E4953" s="264"/>
      <c r="G4953" s="264"/>
    </row>
    <row r="4954" spans="5:7">
      <c r="E4954" s="264"/>
      <c r="G4954" s="264"/>
    </row>
    <row r="4955" spans="5:7">
      <c r="E4955" s="264"/>
      <c r="G4955" s="264"/>
    </row>
    <row r="4956" spans="5:7">
      <c r="E4956" s="264"/>
      <c r="G4956" s="264"/>
    </row>
    <row r="4957" spans="5:7">
      <c r="E4957" s="264"/>
      <c r="G4957" s="264"/>
    </row>
    <row r="4958" spans="5:7">
      <c r="E4958" s="264"/>
      <c r="G4958" s="264"/>
    </row>
    <row r="4959" spans="5:7">
      <c r="E4959" s="264"/>
      <c r="G4959" s="264"/>
    </row>
    <row r="4960" spans="5:7">
      <c r="E4960" s="264"/>
      <c r="G4960" s="264"/>
    </row>
    <row r="4961" spans="5:7">
      <c r="E4961" s="264"/>
      <c r="G4961" s="264"/>
    </row>
    <row r="4962" spans="5:7">
      <c r="E4962" s="264"/>
      <c r="G4962" s="264"/>
    </row>
    <row r="4963" spans="5:7">
      <c r="E4963" s="264"/>
      <c r="G4963" s="264"/>
    </row>
    <row r="4964" spans="5:7">
      <c r="E4964" s="264"/>
      <c r="G4964" s="264"/>
    </row>
    <row r="4965" spans="5:7">
      <c r="E4965" s="264"/>
      <c r="G4965" s="264"/>
    </row>
    <row r="4966" spans="5:7">
      <c r="E4966" s="264"/>
      <c r="G4966" s="264"/>
    </row>
    <row r="4967" spans="5:7">
      <c r="E4967" s="264"/>
      <c r="G4967" s="264"/>
    </row>
    <row r="4968" spans="5:7">
      <c r="E4968" s="264"/>
      <c r="G4968" s="264"/>
    </row>
    <row r="4969" spans="5:7">
      <c r="E4969" s="264"/>
      <c r="G4969" s="264"/>
    </row>
    <row r="4970" spans="5:7">
      <c r="E4970" s="264"/>
      <c r="G4970" s="264"/>
    </row>
    <row r="4971" spans="5:7">
      <c r="E4971" s="264"/>
      <c r="G4971" s="264"/>
    </row>
    <row r="4972" spans="5:7">
      <c r="E4972" s="264"/>
      <c r="G4972" s="264"/>
    </row>
    <row r="4973" spans="5:7">
      <c r="E4973" s="264"/>
      <c r="G4973" s="264"/>
    </row>
    <row r="4974" spans="5:7">
      <c r="E4974" s="264"/>
      <c r="G4974" s="264"/>
    </row>
    <row r="4975" spans="5:7">
      <c r="E4975" s="264"/>
      <c r="G4975" s="264"/>
    </row>
    <row r="4976" spans="5:7">
      <c r="E4976" s="264"/>
      <c r="G4976" s="264"/>
    </row>
    <row r="4977" spans="5:7">
      <c r="E4977" s="264"/>
      <c r="G4977" s="264"/>
    </row>
    <row r="4978" spans="5:7">
      <c r="E4978" s="264"/>
      <c r="G4978" s="264"/>
    </row>
    <row r="4979" spans="5:7">
      <c r="E4979" s="264"/>
      <c r="G4979" s="264"/>
    </row>
    <row r="4980" spans="5:7">
      <c r="E4980" s="264"/>
      <c r="G4980" s="264"/>
    </row>
    <row r="4981" spans="5:7">
      <c r="E4981" s="264"/>
      <c r="G4981" s="264"/>
    </row>
    <row r="4982" spans="5:7">
      <c r="E4982" s="264"/>
      <c r="G4982" s="264"/>
    </row>
    <row r="4983" spans="5:7">
      <c r="E4983" s="264"/>
      <c r="G4983" s="264"/>
    </row>
    <row r="4984" spans="5:7">
      <c r="E4984" s="264"/>
      <c r="G4984" s="264"/>
    </row>
    <row r="4985" spans="5:7">
      <c r="E4985" s="264"/>
      <c r="G4985" s="264"/>
    </row>
    <row r="4986" spans="5:7">
      <c r="E4986" s="264"/>
      <c r="G4986" s="264"/>
    </row>
    <row r="4987" spans="5:7">
      <c r="E4987" s="264"/>
      <c r="G4987" s="264"/>
    </row>
    <row r="4988" spans="5:7">
      <c r="E4988" s="264"/>
      <c r="G4988" s="264"/>
    </row>
    <row r="4989" spans="5:7">
      <c r="E4989" s="264"/>
      <c r="G4989" s="264"/>
    </row>
    <row r="4990" spans="5:7">
      <c r="E4990" s="264"/>
      <c r="G4990" s="264"/>
    </row>
    <row r="4991" spans="5:7">
      <c r="E4991" s="264"/>
      <c r="G4991" s="264"/>
    </row>
    <row r="4992" spans="5:7">
      <c r="E4992" s="264"/>
      <c r="G4992" s="264"/>
    </row>
    <row r="4993" spans="5:7">
      <c r="E4993" s="264"/>
      <c r="G4993" s="264"/>
    </row>
    <row r="4994" spans="5:7">
      <c r="E4994" s="264"/>
      <c r="G4994" s="264"/>
    </row>
    <row r="4995" spans="5:7">
      <c r="E4995" s="264"/>
      <c r="G4995" s="264"/>
    </row>
    <row r="4996" spans="5:7">
      <c r="E4996" s="264"/>
      <c r="G4996" s="264"/>
    </row>
    <row r="4997" spans="5:7">
      <c r="E4997" s="264"/>
      <c r="G4997" s="264"/>
    </row>
    <row r="4998" spans="5:7">
      <c r="E4998" s="264"/>
      <c r="G4998" s="264"/>
    </row>
    <row r="4999" spans="5:7">
      <c r="E4999" s="264"/>
      <c r="G4999" s="264"/>
    </row>
    <row r="5000" spans="5:7">
      <c r="E5000" s="264"/>
      <c r="G5000" s="264"/>
    </row>
    <row r="5001" spans="5:7">
      <c r="E5001" s="264"/>
      <c r="G5001" s="264"/>
    </row>
    <row r="5002" spans="5:7">
      <c r="E5002" s="264"/>
      <c r="G5002" s="264"/>
    </row>
    <row r="5003" spans="5:7">
      <c r="E5003" s="264"/>
      <c r="G5003" s="264"/>
    </row>
    <row r="5004" spans="5:7">
      <c r="E5004" s="264"/>
      <c r="G5004" s="264"/>
    </row>
    <row r="5005" spans="5:7">
      <c r="E5005" s="264"/>
      <c r="G5005" s="264"/>
    </row>
    <row r="5006" spans="5:7">
      <c r="E5006" s="264"/>
      <c r="G5006" s="264"/>
    </row>
    <row r="5007" spans="5:7">
      <c r="E5007" s="264"/>
      <c r="G5007" s="264"/>
    </row>
    <row r="5008" spans="5:7">
      <c r="E5008" s="264"/>
      <c r="G5008" s="264"/>
    </row>
    <row r="5009" spans="5:7">
      <c r="E5009" s="264"/>
      <c r="G5009" s="264"/>
    </row>
    <row r="5010" spans="5:7">
      <c r="E5010" s="264"/>
      <c r="G5010" s="264"/>
    </row>
    <row r="5011" spans="5:7">
      <c r="E5011" s="264"/>
      <c r="G5011" s="264"/>
    </row>
    <row r="5012" spans="5:7">
      <c r="E5012" s="264"/>
      <c r="G5012" s="264"/>
    </row>
    <row r="5013" spans="5:7">
      <c r="E5013" s="264"/>
      <c r="G5013" s="264"/>
    </row>
    <row r="5014" spans="5:7">
      <c r="E5014" s="264"/>
      <c r="G5014" s="264"/>
    </row>
    <row r="5015" spans="5:7">
      <c r="E5015" s="264"/>
      <c r="G5015" s="264"/>
    </row>
    <row r="5016" spans="5:7">
      <c r="E5016" s="264"/>
      <c r="G5016" s="264"/>
    </row>
    <row r="5017" spans="5:7">
      <c r="E5017" s="264"/>
      <c r="G5017" s="264"/>
    </row>
    <row r="5018" spans="5:7">
      <c r="E5018" s="264"/>
      <c r="G5018" s="264"/>
    </row>
    <row r="5019" spans="5:7">
      <c r="E5019" s="264"/>
      <c r="G5019" s="264"/>
    </row>
    <row r="5020" spans="5:7">
      <c r="E5020" s="264"/>
      <c r="G5020" s="264"/>
    </row>
    <row r="5021" spans="5:7">
      <c r="E5021" s="264"/>
      <c r="G5021" s="264"/>
    </row>
    <row r="5022" spans="5:7">
      <c r="E5022" s="264"/>
      <c r="G5022" s="264"/>
    </row>
    <row r="5023" spans="5:7">
      <c r="E5023" s="264"/>
      <c r="G5023" s="264"/>
    </row>
    <row r="5024" spans="5:7">
      <c r="E5024" s="264"/>
      <c r="G5024" s="264"/>
    </row>
    <row r="5025" spans="5:7">
      <c r="E5025" s="264"/>
      <c r="G5025" s="264"/>
    </row>
    <row r="5026" spans="5:7">
      <c r="E5026" s="264"/>
      <c r="G5026" s="264"/>
    </row>
    <row r="5027" spans="5:7">
      <c r="E5027" s="264"/>
      <c r="G5027" s="264"/>
    </row>
    <row r="5028" spans="5:7">
      <c r="E5028" s="264"/>
      <c r="G5028" s="264"/>
    </row>
    <row r="5029" spans="5:7">
      <c r="E5029" s="264"/>
      <c r="G5029" s="264"/>
    </row>
    <row r="5030" spans="5:7">
      <c r="E5030" s="264"/>
      <c r="G5030" s="264"/>
    </row>
    <row r="5031" spans="5:7">
      <c r="E5031" s="264"/>
      <c r="G5031" s="264"/>
    </row>
    <row r="5032" spans="5:7">
      <c r="E5032" s="264"/>
      <c r="G5032" s="264"/>
    </row>
    <row r="5033" spans="5:7">
      <c r="E5033" s="264"/>
      <c r="G5033" s="264"/>
    </row>
    <row r="5034" spans="5:7">
      <c r="E5034" s="264"/>
      <c r="G5034" s="264"/>
    </row>
    <row r="5035" spans="5:7">
      <c r="E5035" s="264"/>
      <c r="G5035" s="264"/>
    </row>
    <row r="5036" spans="5:7">
      <c r="E5036" s="264"/>
      <c r="G5036" s="264"/>
    </row>
    <row r="5037" spans="5:7">
      <c r="E5037" s="264"/>
      <c r="G5037" s="264"/>
    </row>
    <row r="5038" spans="5:7">
      <c r="E5038" s="264"/>
      <c r="G5038" s="264"/>
    </row>
    <row r="5039" spans="5:7">
      <c r="E5039" s="264"/>
      <c r="G5039" s="264"/>
    </row>
    <row r="5040" spans="5:7">
      <c r="E5040" s="264"/>
      <c r="G5040" s="264"/>
    </row>
    <row r="5041" spans="5:7">
      <c r="E5041" s="264"/>
      <c r="G5041" s="264"/>
    </row>
    <row r="5042" spans="5:7">
      <c r="E5042" s="264"/>
      <c r="G5042" s="264"/>
    </row>
    <row r="5043" spans="5:7">
      <c r="E5043" s="264"/>
      <c r="G5043" s="264"/>
    </row>
    <row r="5044" spans="5:7">
      <c r="E5044" s="264"/>
      <c r="G5044" s="264"/>
    </row>
    <row r="5045" spans="5:7">
      <c r="E5045" s="264"/>
      <c r="G5045" s="264"/>
    </row>
    <row r="5046" spans="5:7">
      <c r="E5046" s="264"/>
      <c r="G5046" s="264"/>
    </row>
    <row r="5047" spans="5:7">
      <c r="E5047" s="264"/>
      <c r="G5047" s="264"/>
    </row>
    <row r="5048" spans="5:7">
      <c r="E5048" s="264"/>
      <c r="G5048" s="264"/>
    </row>
    <row r="5049" spans="5:7">
      <c r="E5049" s="264"/>
      <c r="G5049" s="264"/>
    </row>
    <row r="5050" spans="5:7">
      <c r="E5050" s="264"/>
      <c r="G5050" s="264"/>
    </row>
    <row r="5051" spans="5:7">
      <c r="E5051" s="264"/>
      <c r="G5051" s="264"/>
    </row>
    <row r="5052" spans="5:7">
      <c r="E5052" s="264"/>
      <c r="G5052" s="264"/>
    </row>
    <row r="5053" spans="5:7">
      <c r="E5053" s="264"/>
      <c r="G5053" s="264"/>
    </row>
    <row r="5054" spans="5:7">
      <c r="E5054" s="264"/>
      <c r="G5054" s="264"/>
    </row>
    <row r="5055" spans="5:7">
      <c r="E5055" s="264"/>
      <c r="G5055" s="264"/>
    </row>
    <row r="5056" spans="5:7">
      <c r="E5056" s="264"/>
      <c r="G5056" s="264"/>
    </row>
    <row r="5057" spans="5:7">
      <c r="E5057" s="264"/>
      <c r="G5057" s="264"/>
    </row>
    <row r="5058" spans="5:7">
      <c r="E5058" s="264"/>
      <c r="G5058" s="264"/>
    </row>
    <row r="5059" spans="5:7">
      <c r="E5059" s="264"/>
      <c r="G5059" s="264"/>
    </row>
    <row r="5060" spans="5:7">
      <c r="E5060" s="264"/>
      <c r="G5060" s="264"/>
    </row>
    <row r="5061" spans="5:7">
      <c r="E5061" s="264"/>
      <c r="G5061" s="264"/>
    </row>
    <row r="5062" spans="5:7">
      <c r="E5062" s="264"/>
      <c r="G5062" s="264"/>
    </row>
    <row r="5063" spans="5:7">
      <c r="E5063" s="264"/>
      <c r="G5063" s="264"/>
    </row>
    <row r="5064" spans="5:7">
      <c r="E5064" s="264"/>
      <c r="G5064" s="264"/>
    </row>
    <row r="5065" spans="5:7">
      <c r="E5065" s="264"/>
      <c r="G5065" s="264"/>
    </row>
    <row r="5066" spans="5:7">
      <c r="E5066" s="264"/>
      <c r="G5066" s="264"/>
    </row>
    <row r="5067" spans="5:7">
      <c r="E5067" s="264"/>
      <c r="G5067" s="264"/>
    </row>
    <row r="5068" spans="5:7">
      <c r="E5068" s="264"/>
      <c r="G5068" s="264"/>
    </row>
    <row r="5069" spans="5:7">
      <c r="E5069" s="264"/>
      <c r="G5069" s="264"/>
    </row>
    <row r="5070" spans="5:7">
      <c r="E5070" s="264"/>
      <c r="G5070" s="264"/>
    </row>
    <row r="5071" spans="5:7">
      <c r="E5071" s="264"/>
      <c r="G5071" s="264"/>
    </row>
    <row r="5072" spans="5:7">
      <c r="E5072" s="264"/>
      <c r="G5072" s="264"/>
    </row>
    <row r="5073" spans="5:7">
      <c r="E5073" s="264"/>
      <c r="G5073" s="264"/>
    </row>
    <row r="5074" spans="5:7">
      <c r="E5074" s="264"/>
      <c r="G5074" s="264"/>
    </row>
    <row r="5075" spans="5:7">
      <c r="E5075" s="264"/>
      <c r="G5075" s="264"/>
    </row>
    <row r="5076" spans="5:7">
      <c r="E5076" s="264"/>
      <c r="G5076" s="264"/>
    </row>
    <row r="5077" spans="5:7">
      <c r="E5077" s="264"/>
      <c r="G5077" s="264"/>
    </row>
    <row r="5078" spans="5:7">
      <c r="E5078" s="264"/>
      <c r="G5078" s="264"/>
    </row>
    <row r="5079" spans="5:7">
      <c r="E5079" s="264"/>
      <c r="G5079" s="264"/>
    </row>
    <row r="5080" spans="5:7">
      <c r="E5080" s="264"/>
      <c r="G5080" s="264"/>
    </row>
    <row r="5081" spans="5:7">
      <c r="E5081" s="264"/>
      <c r="G5081" s="264"/>
    </row>
    <row r="5082" spans="5:7">
      <c r="E5082" s="264"/>
      <c r="G5082" s="264"/>
    </row>
    <row r="5083" spans="5:7">
      <c r="E5083" s="264"/>
      <c r="G5083" s="264"/>
    </row>
    <row r="5084" spans="5:7">
      <c r="E5084" s="264"/>
      <c r="G5084" s="264"/>
    </row>
    <row r="5085" spans="5:7">
      <c r="E5085" s="264"/>
      <c r="G5085" s="264"/>
    </row>
    <row r="5086" spans="5:7">
      <c r="E5086" s="264"/>
      <c r="G5086" s="264"/>
    </row>
    <row r="5087" spans="5:7">
      <c r="E5087" s="264"/>
      <c r="G5087" s="264"/>
    </row>
    <row r="5088" spans="5:7">
      <c r="E5088" s="264"/>
      <c r="G5088" s="264"/>
    </row>
    <row r="5089" spans="5:7">
      <c r="E5089" s="264"/>
      <c r="G5089" s="264"/>
    </row>
    <row r="5090" spans="5:7">
      <c r="E5090" s="264"/>
      <c r="G5090" s="264"/>
    </row>
    <row r="5091" spans="5:7">
      <c r="E5091" s="264"/>
      <c r="G5091" s="264"/>
    </row>
    <row r="5092" spans="5:7">
      <c r="E5092" s="264"/>
      <c r="G5092" s="264"/>
    </row>
    <row r="5093" spans="5:7">
      <c r="E5093" s="264"/>
      <c r="G5093" s="264"/>
    </row>
    <row r="5094" spans="5:7">
      <c r="E5094" s="264"/>
      <c r="G5094" s="264"/>
    </row>
    <row r="5095" spans="5:7">
      <c r="E5095" s="264"/>
      <c r="G5095" s="264"/>
    </row>
    <row r="5096" spans="5:7">
      <c r="E5096" s="264"/>
      <c r="G5096" s="264"/>
    </row>
    <row r="5097" spans="5:7">
      <c r="E5097" s="264"/>
      <c r="G5097" s="264"/>
    </row>
    <row r="5098" spans="5:7">
      <c r="E5098" s="264"/>
      <c r="G5098" s="264"/>
    </row>
    <row r="5099" spans="5:7">
      <c r="E5099" s="264"/>
      <c r="G5099" s="264"/>
    </row>
    <row r="5100" spans="5:7">
      <c r="E5100" s="264"/>
      <c r="G5100" s="264"/>
    </row>
    <row r="5101" spans="5:7">
      <c r="E5101" s="264"/>
      <c r="G5101" s="264"/>
    </row>
    <row r="5102" spans="5:7">
      <c r="E5102" s="264"/>
      <c r="G5102" s="264"/>
    </row>
    <row r="5103" spans="5:7">
      <c r="E5103" s="264"/>
      <c r="G5103" s="264"/>
    </row>
    <row r="5104" spans="5:7">
      <c r="E5104" s="264"/>
      <c r="G5104" s="264"/>
    </row>
    <row r="5105" spans="5:7">
      <c r="E5105" s="264"/>
      <c r="G5105" s="264"/>
    </row>
    <row r="5106" spans="5:7">
      <c r="E5106" s="264"/>
      <c r="G5106" s="264"/>
    </row>
    <row r="5107" spans="5:7">
      <c r="E5107" s="264"/>
      <c r="G5107" s="264"/>
    </row>
    <row r="5108" spans="5:7">
      <c r="E5108" s="264"/>
      <c r="G5108" s="264"/>
    </row>
    <row r="5109" spans="5:7">
      <c r="E5109" s="264"/>
      <c r="G5109" s="264"/>
    </row>
    <row r="5110" spans="5:7">
      <c r="E5110" s="264"/>
      <c r="G5110" s="264"/>
    </row>
    <row r="5111" spans="5:7">
      <c r="E5111" s="264"/>
      <c r="G5111" s="264"/>
    </row>
    <row r="5112" spans="5:7">
      <c r="E5112" s="264"/>
      <c r="G5112" s="264"/>
    </row>
    <row r="5113" spans="5:7">
      <c r="E5113" s="264"/>
      <c r="G5113" s="264"/>
    </row>
    <row r="5114" spans="5:7">
      <c r="E5114" s="264"/>
      <c r="G5114" s="264"/>
    </row>
    <row r="5115" spans="5:7">
      <c r="E5115" s="264"/>
      <c r="G5115" s="264"/>
    </row>
    <row r="5116" spans="5:7">
      <c r="E5116" s="264"/>
      <c r="G5116" s="264"/>
    </row>
    <row r="5117" spans="5:7">
      <c r="E5117" s="264"/>
      <c r="G5117" s="264"/>
    </row>
    <row r="5118" spans="5:7">
      <c r="E5118" s="264"/>
      <c r="G5118" s="264"/>
    </row>
    <row r="5119" spans="5:7">
      <c r="E5119" s="264"/>
      <c r="G5119" s="264"/>
    </row>
    <row r="5120" spans="5:7">
      <c r="E5120" s="264"/>
      <c r="G5120" s="264"/>
    </row>
    <row r="5121" spans="5:7">
      <c r="E5121" s="264"/>
      <c r="G5121" s="264"/>
    </row>
    <row r="5122" spans="5:7">
      <c r="E5122" s="264"/>
      <c r="G5122" s="264"/>
    </row>
    <row r="5123" spans="5:7">
      <c r="E5123" s="264"/>
      <c r="G5123" s="264"/>
    </row>
    <row r="5124" spans="5:7">
      <c r="E5124" s="264"/>
      <c r="G5124" s="264"/>
    </row>
    <row r="5125" spans="5:7">
      <c r="E5125" s="264"/>
      <c r="G5125" s="264"/>
    </row>
    <row r="5126" spans="5:7">
      <c r="E5126" s="264"/>
      <c r="G5126" s="264"/>
    </row>
    <row r="5127" spans="5:7">
      <c r="E5127" s="264"/>
      <c r="G5127" s="264"/>
    </row>
    <row r="5128" spans="5:7">
      <c r="E5128" s="264"/>
      <c r="G5128" s="264"/>
    </row>
    <row r="5129" spans="5:7">
      <c r="E5129" s="264"/>
      <c r="G5129" s="264"/>
    </row>
    <row r="5130" spans="5:7">
      <c r="E5130" s="264"/>
      <c r="G5130" s="264"/>
    </row>
    <row r="5131" spans="5:7">
      <c r="E5131" s="264"/>
      <c r="G5131" s="264"/>
    </row>
    <row r="5132" spans="5:7">
      <c r="E5132" s="264"/>
      <c r="G5132" s="264"/>
    </row>
    <row r="5133" spans="5:7">
      <c r="E5133" s="264"/>
      <c r="G5133" s="264"/>
    </row>
    <row r="5134" spans="5:7">
      <c r="E5134" s="264"/>
      <c r="G5134" s="264"/>
    </row>
    <row r="5135" spans="5:7">
      <c r="E5135" s="264"/>
      <c r="G5135" s="264"/>
    </row>
    <row r="5136" spans="5:7">
      <c r="E5136" s="264"/>
      <c r="G5136" s="264"/>
    </row>
    <row r="5137" spans="5:7">
      <c r="E5137" s="264"/>
      <c r="G5137" s="264"/>
    </row>
    <row r="5138" spans="5:7">
      <c r="E5138" s="264"/>
      <c r="G5138" s="264"/>
    </row>
    <row r="5139" spans="5:7">
      <c r="E5139" s="264"/>
      <c r="G5139" s="264"/>
    </row>
    <row r="5140" spans="5:7">
      <c r="E5140" s="264"/>
      <c r="G5140" s="264"/>
    </row>
    <row r="5141" spans="5:7">
      <c r="E5141" s="264"/>
      <c r="G5141" s="264"/>
    </row>
    <row r="5142" spans="5:7">
      <c r="E5142" s="264"/>
      <c r="G5142" s="264"/>
    </row>
    <row r="5143" spans="5:7">
      <c r="E5143" s="264"/>
      <c r="G5143" s="264"/>
    </row>
    <row r="5144" spans="5:7">
      <c r="E5144" s="264"/>
      <c r="G5144" s="264"/>
    </row>
    <row r="5145" spans="5:7">
      <c r="E5145" s="264"/>
      <c r="G5145" s="264"/>
    </row>
    <row r="5146" spans="5:7">
      <c r="E5146" s="264"/>
      <c r="G5146" s="264"/>
    </row>
    <row r="5147" spans="5:7">
      <c r="E5147" s="264"/>
      <c r="G5147" s="264"/>
    </row>
    <row r="5148" spans="5:7">
      <c r="E5148" s="264"/>
      <c r="G5148" s="264"/>
    </row>
    <row r="5149" spans="5:7">
      <c r="E5149" s="264"/>
      <c r="G5149" s="264"/>
    </row>
    <row r="5150" spans="5:7">
      <c r="E5150" s="264"/>
      <c r="G5150" s="264"/>
    </row>
    <row r="5151" spans="5:7">
      <c r="E5151" s="264"/>
      <c r="G5151" s="264"/>
    </row>
    <row r="5152" spans="5:7">
      <c r="E5152" s="264"/>
      <c r="G5152" s="264"/>
    </row>
    <row r="5153" spans="5:7">
      <c r="E5153" s="264"/>
      <c r="G5153" s="264"/>
    </row>
    <row r="5154" spans="5:7">
      <c r="E5154" s="264"/>
      <c r="G5154" s="264"/>
    </row>
    <row r="5155" spans="5:7">
      <c r="E5155" s="264"/>
      <c r="G5155" s="264"/>
    </row>
    <row r="5156" spans="5:7">
      <c r="E5156" s="264"/>
      <c r="G5156" s="264"/>
    </row>
    <row r="5157" spans="5:7">
      <c r="E5157" s="264"/>
      <c r="G5157" s="264"/>
    </row>
    <row r="5158" spans="5:7">
      <c r="E5158" s="264"/>
      <c r="G5158" s="264"/>
    </row>
    <row r="5159" spans="5:7">
      <c r="E5159" s="264"/>
      <c r="G5159" s="264"/>
    </row>
    <row r="5160" spans="5:7">
      <c r="E5160" s="264"/>
      <c r="G5160" s="264"/>
    </row>
    <row r="5161" spans="5:7">
      <c r="E5161" s="264"/>
      <c r="G5161" s="264"/>
    </row>
    <row r="5162" spans="5:7">
      <c r="E5162" s="264"/>
      <c r="G5162" s="264"/>
    </row>
    <row r="5163" spans="5:7">
      <c r="E5163" s="264"/>
      <c r="G5163" s="264"/>
    </row>
    <row r="5164" spans="5:7">
      <c r="E5164" s="264"/>
      <c r="G5164" s="264"/>
    </row>
    <row r="5165" spans="5:7">
      <c r="E5165" s="264"/>
      <c r="G5165" s="264"/>
    </row>
    <row r="5166" spans="5:7">
      <c r="E5166" s="264"/>
      <c r="G5166" s="264"/>
    </row>
    <row r="5167" spans="5:7">
      <c r="E5167" s="264"/>
      <c r="G5167" s="264"/>
    </row>
    <row r="5168" spans="5:7">
      <c r="E5168" s="264"/>
      <c r="G5168" s="264"/>
    </row>
    <row r="5169" spans="5:7">
      <c r="E5169" s="264"/>
      <c r="G5169" s="264"/>
    </row>
    <row r="5170" spans="5:7">
      <c r="E5170" s="264"/>
      <c r="G5170" s="264"/>
    </row>
    <row r="5171" spans="5:7">
      <c r="E5171" s="264"/>
      <c r="G5171" s="264"/>
    </row>
    <row r="5172" spans="5:7">
      <c r="E5172" s="264"/>
      <c r="G5172" s="264"/>
    </row>
    <row r="5173" spans="5:7">
      <c r="E5173" s="264"/>
      <c r="G5173" s="264"/>
    </row>
    <row r="5174" spans="5:7">
      <c r="E5174" s="264"/>
      <c r="G5174" s="264"/>
    </row>
    <row r="5175" spans="5:7">
      <c r="E5175" s="264"/>
      <c r="G5175" s="264"/>
    </row>
    <row r="5176" spans="5:7">
      <c r="E5176" s="264"/>
      <c r="G5176" s="264"/>
    </row>
    <row r="5177" spans="5:7">
      <c r="E5177" s="264"/>
      <c r="G5177" s="264"/>
    </row>
    <row r="5178" spans="5:7">
      <c r="E5178" s="264"/>
      <c r="G5178" s="264"/>
    </row>
    <row r="5179" spans="5:7">
      <c r="E5179" s="264"/>
      <c r="G5179" s="264"/>
    </row>
    <row r="5180" spans="5:7">
      <c r="E5180" s="264"/>
      <c r="G5180" s="264"/>
    </row>
    <row r="5181" spans="5:7">
      <c r="E5181" s="264"/>
      <c r="G5181" s="264"/>
    </row>
    <row r="5182" spans="5:7">
      <c r="E5182" s="264"/>
      <c r="G5182" s="264"/>
    </row>
    <row r="5183" spans="5:7">
      <c r="E5183" s="264"/>
      <c r="G5183" s="264"/>
    </row>
    <row r="5184" spans="5:7">
      <c r="E5184" s="264"/>
      <c r="G5184" s="264"/>
    </row>
    <row r="5185" spans="5:7">
      <c r="E5185" s="264"/>
      <c r="G5185" s="264"/>
    </row>
    <row r="5186" spans="5:7">
      <c r="E5186" s="264"/>
      <c r="G5186" s="264"/>
    </row>
    <row r="5187" spans="5:7">
      <c r="E5187" s="264"/>
      <c r="G5187" s="264"/>
    </row>
    <row r="5188" spans="5:7">
      <c r="E5188" s="264"/>
      <c r="G5188" s="264"/>
    </row>
    <row r="5189" spans="5:7">
      <c r="E5189" s="264"/>
      <c r="G5189" s="264"/>
    </row>
    <row r="5190" spans="5:7">
      <c r="E5190" s="264"/>
      <c r="G5190" s="264"/>
    </row>
    <row r="5191" spans="5:7">
      <c r="E5191" s="264"/>
      <c r="G5191" s="264"/>
    </row>
    <row r="5192" spans="5:7">
      <c r="E5192" s="264"/>
      <c r="G5192" s="264"/>
    </row>
    <row r="5193" spans="5:7">
      <c r="E5193" s="264"/>
      <c r="G5193" s="264"/>
    </row>
    <row r="5194" spans="5:7">
      <c r="E5194" s="264"/>
      <c r="G5194" s="264"/>
    </row>
    <row r="5195" spans="5:7">
      <c r="E5195" s="264"/>
      <c r="G5195" s="264"/>
    </row>
    <row r="5196" spans="5:7">
      <c r="E5196" s="264"/>
      <c r="G5196" s="264"/>
    </row>
    <row r="5197" spans="5:7">
      <c r="E5197" s="264"/>
      <c r="G5197" s="264"/>
    </row>
    <row r="5198" spans="5:7">
      <c r="E5198" s="264"/>
      <c r="G5198" s="264"/>
    </row>
    <row r="5199" spans="5:7">
      <c r="E5199" s="264"/>
      <c r="G5199" s="264"/>
    </row>
    <row r="5200" spans="5:7">
      <c r="E5200" s="264"/>
      <c r="G5200" s="264"/>
    </row>
    <row r="5201" spans="5:7">
      <c r="E5201" s="264"/>
      <c r="G5201" s="264"/>
    </row>
    <row r="5202" spans="5:7">
      <c r="E5202" s="264"/>
      <c r="G5202" s="264"/>
    </row>
    <row r="5203" spans="5:7">
      <c r="E5203" s="264"/>
      <c r="G5203" s="264"/>
    </row>
    <row r="5204" spans="5:7">
      <c r="E5204" s="264"/>
      <c r="G5204" s="264"/>
    </row>
    <row r="5205" spans="5:7">
      <c r="E5205" s="264"/>
      <c r="G5205" s="264"/>
    </row>
    <row r="5206" spans="5:7">
      <c r="E5206" s="264"/>
      <c r="G5206" s="264"/>
    </row>
    <row r="5207" spans="5:7">
      <c r="E5207" s="264"/>
      <c r="G5207" s="264"/>
    </row>
    <row r="5208" spans="5:7">
      <c r="E5208" s="264"/>
      <c r="G5208" s="264"/>
    </row>
    <row r="5209" spans="5:7">
      <c r="E5209" s="264"/>
      <c r="G5209" s="264"/>
    </row>
    <row r="5210" spans="5:7">
      <c r="E5210" s="264"/>
      <c r="G5210" s="264"/>
    </row>
    <row r="5211" spans="5:7">
      <c r="E5211" s="264"/>
      <c r="G5211" s="264"/>
    </row>
    <row r="5212" spans="5:7">
      <c r="E5212" s="264"/>
      <c r="G5212" s="264"/>
    </row>
    <row r="5213" spans="5:7">
      <c r="E5213" s="264"/>
      <c r="G5213" s="264"/>
    </row>
    <row r="5214" spans="5:7">
      <c r="E5214" s="264"/>
      <c r="G5214" s="264"/>
    </row>
    <row r="5215" spans="5:7">
      <c r="E5215" s="264"/>
      <c r="G5215" s="264"/>
    </row>
    <row r="5216" spans="5:7">
      <c r="E5216" s="264"/>
      <c r="G5216" s="264"/>
    </row>
    <row r="5217" spans="5:7">
      <c r="E5217" s="264"/>
      <c r="G5217" s="264"/>
    </row>
    <row r="5218" spans="5:7">
      <c r="E5218" s="264"/>
      <c r="G5218" s="264"/>
    </row>
    <row r="5219" spans="5:7">
      <c r="E5219" s="264"/>
      <c r="G5219" s="264"/>
    </row>
    <row r="5220" spans="5:7">
      <c r="E5220" s="264"/>
      <c r="G5220" s="264"/>
    </row>
    <row r="5221" spans="5:7">
      <c r="E5221" s="264"/>
      <c r="G5221" s="264"/>
    </row>
    <row r="5222" spans="5:7">
      <c r="E5222" s="264"/>
      <c r="G5222" s="264"/>
    </row>
    <row r="5223" spans="5:7">
      <c r="E5223" s="264"/>
      <c r="G5223" s="264"/>
    </row>
    <row r="5224" spans="5:7">
      <c r="E5224" s="264"/>
      <c r="G5224" s="264"/>
    </row>
    <row r="5225" spans="5:7">
      <c r="E5225" s="264"/>
      <c r="G5225" s="264"/>
    </row>
    <row r="5226" spans="5:7">
      <c r="E5226" s="264"/>
      <c r="G5226" s="264"/>
    </row>
    <row r="5227" spans="5:7">
      <c r="E5227" s="264"/>
      <c r="G5227" s="264"/>
    </row>
    <row r="5228" spans="5:7">
      <c r="E5228" s="264"/>
      <c r="G5228" s="264"/>
    </row>
    <row r="5229" spans="5:7">
      <c r="E5229" s="264"/>
      <c r="G5229" s="264"/>
    </row>
    <row r="5230" spans="5:7">
      <c r="E5230" s="264"/>
      <c r="G5230" s="264"/>
    </row>
    <row r="5231" spans="5:7">
      <c r="E5231" s="264"/>
      <c r="G5231" s="264"/>
    </row>
    <row r="5232" spans="5:7">
      <c r="E5232" s="264"/>
      <c r="G5232" s="264"/>
    </row>
    <row r="5233" spans="5:7">
      <c r="E5233" s="264"/>
      <c r="G5233" s="264"/>
    </row>
    <row r="5234" spans="5:7">
      <c r="E5234" s="264"/>
      <c r="G5234" s="264"/>
    </row>
    <row r="5235" spans="5:7">
      <c r="E5235" s="264"/>
      <c r="G5235" s="264"/>
    </row>
    <row r="5236" spans="5:7">
      <c r="E5236" s="264"/>
      <c r="G5236" s="264"/>
    </row>
    <row r="5237" spans="5:7">
      <c r="E5237" s="264"/>
      <c r="G5237" s="264"/>
    </row>
    <row r="5238" spans="5:7">
      <c r="E5238" s="264"/>
      <c r="G5238" s="264"/>
    </row>
    <row r="5239" spans="5:7">
      <c r="E5239" s="264"/>
      <c r="G5239" s="264"/>
    </row>
    <row r="5240" spans="5:7">
      <c r="E5240" s="264"/>
      <c r="G5240" s="264"/>
    </row>
    <row r="5241" spans="5:7">
      <c r="E5241" s="264"/>
      <c r="G5241" s="264"/>
    </row>
    <row r="5242" spans="5:7">
      <c r="E5242" s="264"/>
      <c r="G5242" s="264"/>
    </row>
    <row r="5243" spans="5:7">
      <c r="E5243" s="264"/>
      <c r="G5243" s="264"/>
    </row>
    <row r="5244" spans="5:7">
      <c r="E5244" s="264"/>
      <c r="G5244" s="264"/>
    </row>
    <row r="5245" spans="5:7">
      <c r="E5245" s="264"/>
      <c r="G5245" s="264"/>
    </row>
    <row r="5246" spans="5:7">
      <c r="E5246" s="264"/>
      <c r="G5246" s="264"/>
    </row>
    <row r="5247" spans="5:7">
      <c r="E5247" s="264"/>
      <c r="G5247" s="264"/>
    </row>
    <row r="5248" spans="5:7">
      <c r="E5248" s="264"/>
      <c r="G5248" s="264"/>
    </row>
    <row r="5249" spans="5:7">
      <c r="E5249" s="264"/>
      <c r="G5249" s="264"/>
    </row>
    <row r="5250" spans="5:7">
      <c r="E5250" s="264"/>
      <c r="G5250" s="264"/>
    </row>
    <row r="5251" spans="5:7">
      <c r="E5251" s="264"/>
      <c r="G5251" s="264"/>
    </row>
    <row r="5252" spans="5:7">
      <c r="E5252" s="264"/>
      <c r="G5252" s="264"/>
    </row>
    <row r="5253" spans="5:7">
      <c r="E5253" s="264"/>
      <c r="G5253" s="264"/>
    </row>
    <row r="5254" spans="5:7">
      <c r="E5254" s="264"/>
      <c r="G5254" s="264"/>
    </row>
    <row r="5255" spans="5:7">
      <c r="E5255" s="264"/>
      <c r="G5255" s="264"/>
    </row>
    <row r="5256" spans="5:7">
      <c r="E5256" s="264"/>
      <c r="G5256" s="264"/>
    </row>
    <row r="5257" spans="5:7">
      <c r="E5257" s="264"/>
      <c r="G5257" s="264"/>
    </row>
    <row r="5258" spans="5:7">
      <c r="E5258" s="264"/>
      <c r="G5258" s="264"/>
    </row>
    <row r="5259" spans="5:7">
      <c r="E5259" s="264"/>
      <c r="G5259" s="264"/>
    </row>
    <row r="5260" spans="5:7">
      <c r="E5260" s="264"/>
      <c r="G5260" s="264"/>
    </row>
    <row r="5261" spans="5:7">
      <c r="E5261" s="264"/>
      <c r="G5261" s="264"/>
    </row>
    <row r="5262" spans="5:7">
      <c r="E5262" s="264"/>
      <c r="G5262" s="264"/>
    </row>
    <row r="5263" spans="5:7">
      <c r="E5263" s="264"/>
      <c r="G5263" s="264"/>
    </row>
    <row r="5264" spans="5:7">
      <c r="E5264" s="264"/>
      <c r="G5264" s="264"/>
    </row>
    <row r="5265" spans="5:7">
      <c r="E5265" s="264"/>
      <c r="G5265" s="264"/>
    </row>
    <row r="5266" spans="5:7">
      <c r="E5266" s="264"/>
      <c r="G5266" s="264"/>
    </row>
    <row r="5267" spans="5:7">
      <c r="E5267" s="264"/>
      <c r="G5267" s="264"/>
    </row>
    <row r="5268" spans="5:7">
      <c r="E5268" s="264"/>
      <c r="G5268" s="264"/>
    </row>
    <row r="5269" spans="5:7">
      <c r="E5269" s="264"/>
      <c r="G5269" s="264"/>
    </row>
    <row r="5270" spans="5:7">
      <c r="E5270" s="264"/>
      <c r="G5270" s="264"/>
    </row>
    <row r="5271" spans="5:7">
      <c r="E5271" s="264"/>
      <c r="G5271" s="264"/>
    </row>
    <row r="5272" spans="5:7">
      <c r="E5272" s="264"/>
      <c r="G5272" s="264"/>
    </row>
    <row r="5273" spans="5:7">
      <c r="E5273" s="264"/>
      <c r="G5273" s="264"/>
    </row>
    <row r="5274" spans="5:7">
      <c r="E5274" s="264"/>
      <c r="G5274" s="264"/>
    </row>
    <row r="5275" spans="5:7">
      <c r="E5275" s="264"/>
      <c r="G5275" s="264"/>
    </row>
    <row r="5276" spans="5:7">
      <c r="E5276" s="264"/>
      <c r="G5276" s="264"/>
    </row>
    <row r="5277" spans="5:7">
      <c r="E5277" s="264"/>
      <c r="G5277" s="264"/>
    </row>
    <row r="5278" spans="5:7">
      <c r="E5278" s="264"/>
      <c r="G5278" s="264"/>
    </row>
    <row r="5279" spans="5:7">
      <c r="E5279" s="264"/>
      <c r="G5279" s="264"/>
    </row>
    <row r="5280" spans="5:7">
      <c r="E5280" s="264"/>
      <c r="G5280" s="264"/>
    </row>
    <row r="5281" spans="5:7">
      <c r="E5281" s="264"/>
      <c r="G5281" s="264"/>
    </row>
    <row r="5282" spans="5:7">
      <c r="E5282" s="264"/>
      <c r="G5282" s="264"/>
    </row>
    <row r="5283" spans="5:7">
      <c r="E5283" s="264"/>
      <c r="G5283" s="264"/>
    </row>
    <row r="5284" spans="5:7">
      <c r="E5284" s="264"/>
      <c r="G5284" s="264"/>
    </row>
    <row r="5285" spans="5:7">
      <c r="E5285" s="264"/>
      <c r="G5285" s="264"/>
    </row>
    <row r="5286" spans="5:7">
      <c r="E5286" s="264"/>
      <c r="G5286" s="264"/>
    </row>
    <row r="5287" spans="5:7">
      <c r="E5287" s="264"/>
      <c r="G5287" s="264"/>
    </row>
    <row r="5288" spans="5:7">
      <c r="E5288" s="264"/>
      <c r="G5288" s="264"/>
    </row>
    <row r="5289" spans="5:7">
      <c r="E5289" s="264"/>
      <c r="G5289" s="264"/>
    </row>
    <row r="5290" spans="5:7">
      <c r="E5290" s="264"/>
      <c r="G5290" s="264"/>
    </row>
    <row r="5291" spans="5:7">
      <c r="E5291" s="264"/>
      <c r="G5291" s="264"/>
    </row>
    <row r="5292" spans="5:7">
      <c r="E5292" s="264"/>
      <c r="G5292" s="264"/>
    </row>
    <row r="5293" spans="5:7">
      <c r="E5293" s="264"/>
      <c r="G5293" s="264"/>
    </row>
    <row r="5294" spans="5:7">
      <c r="E5294" s="264"/>
      <c r="G5294" s="264"/>
    </row>
    <row r="5295" spans="5:7">
      <c r="E5295" s="264"/>
      <c r="G5295" s="264"/>
    </row>
    <row r="5296" spans="5:7">
      <c r="E5296" s="264"/>
      <c r="G5296" s="264"/>
    </row>
    <row r="5297" spans="5:7">
      <c r="E5297" s="264"/>
      <c r="G5297" s="264"/>
    </row>
    <row r="5298" spans="5:7">
      <c r="E5298" s="264"/>
      <c r="G5298" s="264"/>
    </row>
    <row r="5299" spans="5:7">
      <c r="E5299" s="264"/>
      <c r="G5299" s="264"/>
    </row>
    <row r="5300" spans="5:7">
      <c r="E5300" s="264"/>
      <c r="G5300" s="264"/>
    </row>
    <row r="5301" spans="5:7">
      <c r="E5301" s="264"/>
      <c r="G5301" s="264"/>
    </row>
    <row r="5302" spans="5:7">
      <c r="E5302" s="264"/>
      <c r="G5302" s="264"/>
    </row>
    <row r="5303" spans="5:7">
      <c r="E5303" s="264"/>
      <c r="G5303" s="264"/>
    </row>
    <row r="5304" spans="5:7">
      <c r="E5304" s="264"/>
      <c r="G5304" s="264"/>
    </row>
    <row r="5305" spans="5:7">
      <c r="E5305" s="264"/>
      <c r="G5305" s="264"/>
    </row>
    <row r="5306" spans="5:7">
      <c r="E5306" s="264"/>
      <c r="G5306" s="264"/>
    </row>
    <row r="5307" spans="5:7">
      <c r="E5307" s="264"/>
      <c r="G5307" s="264"/>
    </row>
    <row r="5308" spans="5:7">
      <c r="E5308" s="264"/>
      <c r="G5308" s="264"/>
    </row>
    <row r="5309" spans="5:7">
      <c r="E5309" s="264"/>
      <c r="G5309" s="264"/>
    </row>
    <row r="5310" spans="5:7">
      <c r="E5310" s="264"/>
      <c r="G5310" s="264"/>
    </row>
    <row r="5311" spans="5:7">
      <c r="E5311" s="264"/>
      <c r="G5311" s="264"/>
    </row>
    <row r="5312" spans="5:7">
      <c r="E5312" s="264"/>
      <c r="G5312" s="264"/>
    </row>
    <row r="5313" spans="5:7">
      <c r="E5313" s="264"/>
      <c r="G5313" s="264"/>
    </row>
    <row r="5314" spans="5:7">
      <c r="E5314" s="264"/>
      <c r="G5314" s="264"/>
    </row>
    <row r="5315" spans="5:7">
      <c r="E5315" s="264"/>
      <c r="G5315" s="264"/>
    </row>
    <row r="5316" spans="5:7">
      <c r="E5316" s="264"/>
      <c r="G5316" s="264"/>
    </row>
    <row r="5317" spans="5:7">
      <c r="E5317" s="264"/>
      <c r="G5317" s="264"/>
    </row>
    <row r="5318" spans="5:7">
      <c r="E5318" s="264"/>
      <c r="G5318" s="264"/>
    </row>
    <row r="5319" spans="5:7">
      <c r="E5319" s="264"/>
      <c r="G5319" s="264"/>
    </row>
    <row r="5320" spans="5:7">
      <c r="E5320" s="264"/>
      <c r="G5320" s="264"/>
    </row>
    <row r="5321" spans="5:7">
      <c r="E5321" s="264"/>
      <c r="G5321" s="264"/>
    </row>
    <row r="5322" spans="5:7">
      <c r="E5322" s="264"/>
      <c r="G5322" s="264"/>
    </row>
    <row r="5323" spans="5:7">
      <c r="E5323" s="264"/>
      <c r="G5323" s="264"/>
    </row>
    <row r="5324" spans="5:7">
      <c r="E5324" s="264"/>
      <c r="G5324" s="264"/>
    </row>
    <row r="5325" spans="5:7">
      <c r="E5325" s="264"/>
      <c r="G5325" s="264"/>
    </row>
    <row r="5326" spans="5:7">
      <c r="E5326" s="264"/>
      <c r="G5326" s="264"/>
    </row>
    <row r="5327" spans="5:7">
      <c r="E5327" s="264"/>
      <c r="G5327" s="264"/>
    </row>
    <row r="5328" spans="5:7">
      <c r="E5328" s="264"/>
      <c r="G5328" s="264"/>
    </row>
    <row r="5329" spans="5:7">
      <c r="E5329" s="264"/>
      <c r="G5329" s="264"/>
    </row>
    <row r="5330" spans="5:7">
      <c r="E5330" s="264"/>
      <c r="G5330" s="264"/>
    </row>
    <row r="5331" spans="5:7">
      <c r="E5331" s="264"/>
      <c r="G5331" s="264"/>
    </row>
    <row r="5332" spans="5:7">
      <c r="E5332" s="264"/>
      <c r="G5332" s="264"/>
    </row>
    <row r="5333" spans="5:7">
      <c r="E5333" s="264"/>
      <c r="G5333" s="264"/>
    </row>
    <row r="5334" spans="5:7">
      <c r="E5334" s="264"/>
      <c r="G5334" s="264"/>
    </row>
    <row r="5335" spans="5:7">
      <c r="E5335" s="264"/>
      <c r="G5335" s="264"/>
    </row>
    <row r="5336" spans="5:7">
      <c r="E5336" s="264"/>
      <c r="G5336" s="264"/>
    </row>
    <row r="5337" spans="5:7">
      <c r="E5337" s="264"/>
      <c r="G5337" s="264"/>
    </row>
    <row r="5338" spans="5:7">
      <c r="E5338" s="264"/>
      <c r="G5338" s="264"/>
    </row>
    <row r="5339" spans="5:7">
      <c r="E5339" s="264"/>
      <c r="G5339" s="264"/>
    </row>
    <row r="5340" spans="5:7">
      <c r="E5340" s="264"/>
      <c r="G5340" s="264"/>
    </row>
    <row r="5341" spans="5:7">
      <c r="E5341" s="264"/>
      <c r="G5341" s="264"/>
    </row>
    <row r="5342" spans="5:7">
      <c r="E5342" s="264"/>
      <c r="G5342" s="264"/>
    </row>
    <row r="5343" spans="5:7">
      <c r="E5343" s="264"/>
      <c r="G5343" s="264"/>
    </row>
    <row r="5344" spans="5:7">
      <c r="E5344" s="264"/>
      <c r="G5344" s="264"/>
    </row>
    <row r="5345" spans="5:7">
      <c r="E5345" s="264"/>
      <c r="G5345" s="264"/>
    </row>
    <row r="5346" spans="5:7">
      <c r="E5346" s="264"/>
      <c r="G5346" s="264"/>
    </row>
    <row r="5347" spans="5:7">
      <c r="E5347" s="264"/>
      <c r="G5347" s="264"/>
    </row>
    <row r="5348" spans="5:7">
      <c r="E5348" s="264"/>
      <c r="G5348" s="264"/>
    </row>
    <row r="5349" spans="5:7">
      <c r="E5349" s="264"/>
      <c r="G5349" s="264"/>
    </row>
    <row r="5350" spans="5:7">
      <c r="E5350" s="264"/>
      <c r="G5350" s="264"/>
    </row>
    <row r="5351" spans="5:7">
      <c r="E5351" s="264"/>
      <c r="G5351" s="264"/>
    </row>
    <row r="5352" spans="5:7">
      <c r="E5352" s="264"/>
      <c r="G5352" s="264"/>
    </row>
    <row r="5353" spans="5:7">
      <c r="E5353" s="264"/>
      <c r="G5353" s="264"/>
    </row>
    <row r="5354" spans="5:7">
      <c r="E5354" s="264"/>
      <c r="G5354" s="264"/>
    </row>
    <row r="5355" spans="5:7">
      <c r="E5355" s="264"/>
      <c r="G5355" s="264"/>
    </row>
    <row r="5356" spans="5:7">
      <c r="E5356" s="264"/>
      <c r="G5356" s="264"/>
    </row>
    <row r="5357" spans="5:7">
      <c r="E5357" s="264"/>
      <c r="G5357" s="264"/>
    </row>
    <row r="5358" spans="5:7">
      <c r="E5358" s="264"/>
      <c r="G5358" s="264"/>
    </row>
    <row r="5359" spans="5:7">
      <c r="E5359" s="264"/>
      <c r="G5359" s="264"/>
    </row>
    <row r="5360" spans="5:7">
      <c r="E5360" s="264"/>
      <c r="G5360" s="264"/>
    </row>
    <row r="5361" spans="5:7">
      <c r="E5361" s="264"/>
      <c r="G5361" s="264"/>
    </row>
    <row r="5362" spans="5:7">
      <c r="E5362" s="264"/>
      <c r="G5362" s="264"/>
    </row>
    <row r="5363" spans="5:7">
      <c r="E5363" s="264"/>
      <c r="G5363" s="264"/>
    </row>
    <row r="5364" spans="5:7">
      <c r="E5364" s="264"/>
      <c r="G5364" s="264"/>
    </row>
    <row r="5365" spans="5:7">
      <c r="E5365" s="264"/>
      <c r="G5365" s="264"/>
    </row>
    <row r="5366" spans="5:7">
      <c r="E5366" s="264"/>
      <c r="G5366" s="264"/>
    </row>
    <row r="5367" spans="5:7">
      <c r="E5367" s="264"/>
      <c r="G5367" s="264"/>
    </row>
    <row r="5368" spans="5:7">
      <c r="E5368" s="264"/>
      <c r="G5368" s="264"/>
    </row>
    <row r="5369" spans="5:7">
      <c r="E5369" s="264"/>
      <c r="G5369" s="264"/>
    </row>
    <row r="5370" spans="5:7">
      <c r="E5370" s="264"/>
      <c r="G5370" s="264"/>
    </row>
    <row r="5371" spans="5:7">
      <c r="E5371" s="264"/>
      <c r="G5371" s="264"/>
    </row>
    <row r="5372" spans="5:7">
      <c r="E5372" s="264"/>
      <c r="G5372" s="264"/>
    </row>
    <row r="5373" spans="5:7">
      <c r="E5373" s="264"/>
      <c r="G5373" s="264"/>
    </row>
    <row r="5374" spans="5:7">
      <c r="E5374" s="264"/>
      <c r="G5374" s="264"/>
    </row>
    <row r="5375" spans="5:7">
      <c r="E5375" s="264"/>
      <c r="G5375" s="264"/>
    </row>
    <row r="5376" spans="5:7">
      <c r="E5376" s="264"/>
      <c r="G5376" s="264"/>
    </row>
    <row r="5377" spans="5:7">
      <c r="E5377" s="264"/>
      <c r="G5377" s="264"/>
    </row>
    <row r="5378" spans="5:7">
      <c r="E5378" s="264"/>
      <c r="G5378" s="264"/>
    </row>
    <row r="5379" spans="5:7">
      <c r="E5379" s="264"/>
      <c r="G5379" s="264"/>
    </row>
    <row r="5380" spans="5:7">
      <c r="E5380" s="264"/>
      <c r="G5380" s="264"/>
    </row>
    <row r="5381" spans="5:7">
      <c r="E5381" s="264"/>
      <c r="G5381" s="264"/>
    </row>
    <row r="5382" spans="5:7">
      <c r="E5382" s="264"/>
      <c r="G5382" s="264"/>
    </row>
    <row r="5383" spans="5:7">
      <c r="E5383" s="264"/>
      <c r="G5383" s="264"/>
    </row>
    <row r="5384" spans="5:7">
      <c r="E5384" s="264"/>
      <c r="G5384" s="264"/>
    </row>
    <row r="5385" spans="5:7">
      <c r="E5385" s="264"/>
      <c r="G5385" s="264"/>
    </row>
    <row r="5386" spans="5:7">
      <c r="E5386" s="264"/>
      <c r="G5386" s="264"/>
    </row>
    <row r="5387" spans="5:7">
      <c r="E5387" s="264"/>
      <c r="G5387" s="264"/>
    </row>
    <row r="5388" spans="5:7">
      <c r="E5388" s="264"/>
      <c r="G5388" s="264"/>
    </row>
    <row r="5389" spans="5:7">
      <c r="E5389" s="264"/>
      <c r="G5389" s="264"/>
    </row>
    <row r="5390" spans="5:7">
      <c r="E5390" s="264"/>
      <c r="G5390" s="264"/>
    </row>
    <row r="5391" spans="5:7">
      <c r="E5391" s="264"/>
      <c r="G5391" s="264"/>
    </row>
    <row r="5392" spans="5:7">
      <c r="E5392" s="264"/>
      <c r="G5392" s="264"/>
    </row>
    <row r="5393" spans="5:7">
      <c r="E5393" s="264"/>
      <c r="G5393" s="264"/>
    </row>
    <row r="5394" spans="5:7">
      <c r="E5394" s="264"/>
      <c r="G5394" s="264"/>
    </row>
    <row r="5395" spans="5:7">
      <c r="E5395" s="264"/>
      <c r="G5395" s="264"/>
    </row>
    <row r="5396" spans="5:7">
      <c r="E5396" s="264"/>
      <c r="G5396" s="264"/>
    </row>
    <row r="5397" spans="5:7">
      <c r="E5397" s="264"/>
      <c r="G5397" s="264"/>
    </row>
    <row r="5398" spans="5:7">
      <c r="E5398" s="264"/>
      <c r="G5398" s="264"/>
    </row>
    <row r="5399" spans="5:7">
      <c r="E5399" s="264"/>
      <c r="G5399" s="264"/>
    </row>
    <row r="5400" spans="5:7">
      <c r="E5400" s="264"/>
      <c r="G5400" s="264"/>
    </row>
    <row r="5401" spans="5:7">
      <c r="E5401" s="264"/>
      <c r="G5401" s="264"/>
    </row>
    <row r="5402" spans="5:7">
      <c r="E5402" s="264"/>
      <c r="G5402" s="264"/>
    </row>
    <row r="5403" spans="5:7">
      <c r="E5403" s="264"/>
      <c r="G5403" s="264"/>
    </row>
    <row r="5404" spans="5:7">
      <c r="E5404" s="264"/>
      <c r="G5404" s="264"/>
    </row>
    <row r="5405" spans="5:7">
      <c r="E5405" s="264"/>
      <c r="G5405" s="264"/>
    </row>
    <row r="5406" spans="5:7">
      <c r="E5406" s="264"/>
      <c r="G5406" s="264"/>
    </row>
    <row r="5407" spans="5:7">
      <c r="E5407" s="264"/>
      <c r="G5407" s="264"/>
    </row>
    <row r="5408" spans="5:7">
      <c r="E5408" s="264"/>
      <c r="G5408" s="264"/>
    </row>
    <row r="5409" spans="5:7">
      <c r="E5409" s="264"/>
      <c r="G5409" s="264"/>
    </row>
    <row r="5410" spans="5:7">
      <c r="E5410" s="264"/>
      <c r="G5410" s="264"/>
    </row>
    <row r="5411" spans="5:7">
      <c r="E5411" s="264"/>
      <c r="G5411" s="264"/>
    </row>
    <row r="5412" spans="5:7">
      <c r="E5412" s="264"/>
      <c r="G5412" s="264"/>
    </row>
    <row r="5413" spans="5:7">
      <c r="E5413" s="264"/>
      <c r="G5413" s="264"/>
    </row>
    <row r="5414" spans="5:7">
      <c r="E5414" s="264"/>
      <c r="G5414" s="264"/>
    </row>
    <row r="5415" spans="5:7">
      <c r="E5415" s="264"/>
      <c r="G5415" s="264"/>
    </row>
    <row r="5416" spans="5:7">
      <c r="E5416" s="264"/>
      <c r="G5416" s="264"/>
    </row>
    <row r="5417" spans="5:7">
      <c r="E5417" s="264"/>
      <c r="G5417" s="264"/>
    </row>
    <row r="5418" spans="5:7">
      <c r="E5418" s="264"/>
      <c r="G5418" s="264"/>
    </row>
    <row r="5419" spans="5:7">
      <c r="E5419" s="264"/>
      <c r="G5419" s="264"/>
    </row>
    <row r="5420" spans="5:7">
      <c r="E5420" s="264"/>
      <c r="G5420" s="264"/>
    </row>
    <row r="5421" spans="5:7">
      <c r="E5421" s="264"/>
      <c r="G5421" s="264"/>
    </row>
    <row r="5422" spans="5:7">
      <c r="E5422" s="264"/>
      <c r="G5422" s="264"/>
    </row>
    <row r="5423" spans="5:7">
      <c r="E5423" s="264"/>
      <c r="G5423" s="264"/>
    </row>
    <row r="5424" spans="5:7">
      <c r="E5424" s="264"/>
      <c r="G5424" s="264"/>
    </row>
    <row r="5425" spans="5:7">
      <c r="E5425" s="264"/>
      <c r="G5425" s="264"/>
    </row>
    <row r="5426" spans="5:7">
      <c r="E5426" s="264"/>
      <c r="G5426" s="264"/>
    </row>
    <row r="5427" spans="5:7">
      <c r="E5427" s="264"/>
      <c r="G5427" s="264"/>
    </row>
    <row r="5428" spans="5:7">
      <c r="E5428" s="264"/>
      <c r="G5428" s="264"/>
    </row>
    <row r="5429" spans="5:7">
      <c r="E5429" s="264"/>
      <c r="G5429" s="264"/>
    </row>
    <row r="5430" spans="5:7">
      <c r="E5430" s="264"/>
      <c r="G5430" s="264"/>
    </row>
    <row r="5431" spans="5:7">
      <c r="E5431" s="264"/>
      <c r="G5431" s="264"/>
    </row>
    <row r="5432" spans="5:7">
      <c r="E5432" s="264"/>
      <c r="G5432" s="264"/>
    </row>
    <row r="5433" spans="5:7">
      <c r="E5433" s="264"/>
      <c r="G5433" s="264"/>
    </row>
    <row r="5434" spans="5:7">
      <c r="E5434" s="264"/>
      <c r="G5434" s="264"/>
    </row>
    <row r="5435" spans="5:7">
      <c r="E5435" s="264"/>
      <c r="G5435" s="264"/>
    </row>
    <row r="5436" spans="5:7">
      <c r="E5436" s="264"/>
      <c r="G5436" s="264"/>
    </row>
    <row r="5437" spans="5:7">
      <c r="E5437" s="264"/>
      <c r="G5437" s="264"/>
    </row>
    <row r="5438" spans="5:7">
      <c r="E5438" s="264"/>
      <c r="G5438" s="264"/>
    </row>
    <row r="5439" spans="5:7">
      <c r="E5439" s="264"/>
      <c r="G5439" s="264"/>
    </row>
    <row r="5440" spans="5:7">
      <c r="E5440" s="264"/>
      <c r="G5440" s="264"/>
    </row>
    <row r="5441" spans="5:7">
      <c r="E5441" s="264"/>
      <c r="G5441" s="264"/>
    </row>
    <row r="5442" spans="5:7">
      <c r="E5442" s="264"/>
      <c r="G5442" s="264"/>
    </row>
    <row r="5443" spans="5:7">
      <c r="E5443" s="264"/>
      <c r="G5443" s="264"/>
    </row>
    <row r="5444" spans="5:7">
      <c r="E5444" s="264"/>
      <c r="G5444" s="264"/>
    </row>
    <row r="5445" spans="5:7">
      <c r="E5445" s="264"/>
      <c r="G5445" s="264"/>
    </row>
    <row r="5446" spans="5:7">
      <c r="E5446" s="264"/>
      <c r="G5446" s="264"/>
    </row>
    <row r="5447" spans="5:7">
      <c r="E5447" s="264"/>
      <c r="G5447" s="264"/>
    </row>
    <row r="5448" spans="5:7">
      <c r="E5448" s="264"/>
      <c r="G5448" s="264"/>
    </row>
    <row r="5449" spans="5:7">
      <c r="E5449" s="264"/>
      <c r="G5449" s="264"/>
    </row>
    <row r="5450" spans="5:7">
      <c r="E5450" s="264"/>
      <c r="G5450" s="264"/>
    </row>
    <row r="5451" spans="5:7">
      <c r="E5451" s="264"/>
      <c r="G5451" s="264"/>
    </row>
    <row r="5452" spans="5:7">
      <c r="E5452" s="264"/>
      <c r="G5452" s="264"/>
    </row>
    <row r="5453" spans="5:7">
      <c r="E5453" s="264"/>
      <c r="G5453" s="264"/>
    </row>
    <row r="5454" spans="5:7">
      <c r="E5454" s="264"/>
      <c r="G5454" s="264"/>
    </row>
    <row r="5455" spans="5:7">
      <c r="E5455" s="264"/>
      <c r="G5455" s="264"/>
    </row>
    <row r="5456" spans="5:7">
      <c r="E5456" s="264"/>
      <c r="G5456" s="264"/>
    </row>
    <row r="5457" spans="5:7">
      <c r="E5457" s="264"/>
      <c r="G5457" s="264"/>
    </row>
    <row r="5458" spans="5:7">
      <c r="E5458" s="264"/>
      <c r="G5458" s="264"/>
    </row>
    <row r="5459" spans="5:7">
      <c r="E5459" s="264"/>
      <c r="G5459" s="264"/>
    </row>
    <row r="5460" spans="5:7">
      <c r="E5460" s="264"/>
      <c r="G5460" s="264"/>
    </row>
    <row r="5461" spans="5:7">
      <c r="E5461" s="264"/>
      <c r="G5461" s="264"/>
    </row>
    <row r="5462" spans="5:7">
      <c r="E5462" s="264"/>
      <c r="G5462" s="264"/>
    </row>
    <row r="5463" spans="5:7">
      <c r="E5463" s="264"/>
      <c r="G5463" s="264"/>
    </row>
    <row r="5464" spans="5:7">
      <c r="E5464" s="264"/>
      <c r="G5464" s="264"/>
    </row>
    <row r="5465" spans="5:7">
      <c r="E5465" s="264"/>
      <c r="G5465" s="264"/>
    </row>
    <row r="5466" spans="5:7">
      <c r="E5466" s="264"/>
      <c r="G5466" s="264"/>
    </row>
    <row r="5467" spans="5:7">
      <c r="E5467" s="264"/>
      <c r="G5467" s="264"/>
    </row>
    <row r="5468" spans="5:7">
      <c r="E5468" s="264"/>
      <c r="G5468" s="264"/>
    </row>
    <row r="5469" spans="5:7">
      <c r="E5469" s="264"/>
      <c r="G5469" s="264"/>
    </row>
    <row r="5470" spans="5:7">
      <c r="E5470" s="264"/>
      <c r="G5470" s="264"/>
    </row>
    <row r="5471" spans="5:7">
      <c r="E5471" s="264"/>
      <c r="G5471" s="264"/>
    </row>
    <row r="5472" spans="5:7">
      <c r="E5472" s="264"/>
      <c r="G5472" s="264"/>
    </row>
    <row r="5473" spans="5:7">
      <c r="E5473" s="264"/>
      <c r="G5473" s="264"/>
    </row>
    <row r="5474" spans="5:7">
      <c r="E5474" s="264"/>
      <c r="G5474" s="264"/>
    </row>
    <row r="5475" spans="5:7">
      <c r="E5475" s="264"/>
      <c r="G5475" s="264"/>
    </row>
    <row r="5476" spans="5:7">
      <c r="E5476" s="264"/>
      <c r="G5476" s="264"/>
    </row>
    <row r="5477" spans="5:7">
      <c r="E5477" s="264"/>
      <c r="G5477" s="264"/>
    </row>
    <row r="5478" spans="5:7">
      <c r="E5478" s="264"/>
      <c r="G5478" s="264"/>
    </row>
    <row r="5479" spans="5:7">
      <c r="E5479" s="264"/>
      <c r="G5479" s="264"/>
    </row>
    <row r="5480" spans="5:7">
      <c r="E5480" s="264"/>
      <c r="G5480" s="264"/>
    </row>
    <row r="5481" spans="5:7">
      <c r="E5481" s="264"/>
      <c r="G5481" s="264"/>
    </row>
    <row r="5482" spans="5:7">
      <c r="E5482" s="264"/>
      <c r="G5482" s="264"/>
    </row>
    <row r="5483" spans="5:7">
      <c r="E5483" s="264"/>
      <c r="G5483" s="264"/>
    </row>
    <row r="5484" spans="5:7">
      <c r="E5484" s="264"/>
      <c r="G5484" s="264"/>
    </row>
    <row r="5485" spans="5:7">
      <c r="E5485" s="264"/>
      <c r="G5485" s="264"/>
    </row>
    <row r="5486" spans="5:7">
      <c r="E5486" s="264"/>
      <c r="G5486" s="264"/>
    </row>
    <row r="5487" spans="5:7">
      <c r="E5487" s="264"/>
      <c r="G5487" s="264"/>
    </row>
    <row r="5488" spans="5:7">
      <c r="E5488" s="264"/>
      <c r="G5488" s="264"/>
    </row>
    <row r="5489" spans="5:7">
      <c r="E5489" s="264"/>
      <c r="G5489" s="264"/>
    </row>
    <row r="5490" spans="5:7">
      <c r="E5490" s="264"/>
      <c r="G5490" s="264"/>
    </row>
    <row r="5491" spans="5:7">
      <c r="E5491" s="264"/>
      <c r="G5491" s="264"/>
    </row>
    <row r="5492" spans="5:7">
      <c r="E5492" s="264"/>
      <c r="G5492" s="264"/>
    </row>
    <row r="5493" spans="5:7">
      <c r="E5493" s="264"/>
      <c r="G5493" s="264"/>
    </row>
    <row r="5494" spans="5:7">
      <c r="E5494" s="264"/>
      <c r="G5494" s="264"/>
    </row>
    <row r="5495" spans="5:7">
      <c r="E5495" s="264"/>
      <c r="G5495" s="264"/>
    </row>
    <row r="5496" spans="5:7">
      <c r="E5496" s="264"/>
      <c r="G5496" s="264"/>
    </row>
    <row r="5497" spans="5:7">
      <c r="E5497" s="264"/>
      <c r="G5497" s="264"/>
    </row>
    <row r="5498" spans="5:7">
      <c r="E5498" s="264"/>
      <c r="G5498" s="264"/>
    </row>
    <row r="5499" spans="5:7">
      <c r="E5499" s="264"/>
      <c r="G5499" s="264"/>
    </row>
    <row r="5500" spans="5:7">
      <c r="E5500" s="264"/>
      <c r="G5500" s="264"/>
    </row>
    <row r="5501" spans="5:7">
      <c r="E5501" s="264"/>
      <c r="G5501" s="264"/>
    </row>
    <row r="5502" spans="5:7">
      <c r="E5502" s="264"/>
      <c r="G5502" s="264"/>
    </row>
    <row r="5503" spans="5:7">
      <c r="E5503" s="264"/>
      <c r="G5503" s="264"/>
    </row>
    <row r="5504" spans="5:7">
      <c r="E5504" s="264"/>
      <c r="G5504" s="264"/>
    </row>
    <row r="5505" spans="5:7">
      <c r="E5505" s="264"/>
      <c r="G5505" s="264"/>
    </row>
    <row r="5506" spans="5:7">
      <c r="E5506" s="264"/>
      <c r="G5506" s="264"/>
    </row>
    <row r="5507" spans="5:7">
      <c r="E5507" s="264"/>
      <c r="G5507" s="264"/>
    </row>
    <row r="5508" spans="5:7">
      <c r="E5508" s="264"/>
      <c r="G5508" s="264"/>
    </row>
    <row r="5509" spans="5:7">
      <c r="E5509" s="264"/>
      <c r="G5509" s="264"/>
    </row>
    <row r="5510" spans="5:7">
      <c r="E5510" s="264"/>
      <c r="G5510" s="264"/>
    </row>
    <row r="5511" spans="5:7">
      <c r="E5511" s="264"/>
      <c r="G5511" s="264"/>
    </row>
    <row r="5512" spans="5:7">
      <c r="E5512" s="264"/>
      <c r="G5512" s="264"/>
    </row>
    <row r="5513" spans="5:7">
      <c r="E5513" s="264"/>
      <c r="G5513" s="264"/>
    </row>
    <row r="5514" spans="5:7">
      <c r="E5514" s="264"/>
      <c r="G5514" s="264"/>
    </row>
    <row r="5515" spans="5:7">
      <c r="E5515" s="264"/>
      <c r="G5515" s="264"/>
    </row>
    <row r="5516" spans="5:7">
      <c r="E5516" s="264"/>
      <c r="G5516" s="264"/>
    </row>
    <row r="5517" spans="5:7">
      <c r="E5517" s="264"/>
      <c r="G5517" s="264"/>
    </row>
    <row r="5518" spans="5:7">
      <c r="E5518" s="264"/>
      <c r="G5518" s="264"/>
    </row>
    <row r="5519" spans="5:7">
      <c r="E5519" s="264"/>
      <c r="G5519" s="264"/>
    </row>
    <row r="5520" spans="5:7">
      <c r="E5520" s="264"/>
      <c r="G5520" s="264"/>
    </row>
    <row r="5521" spans="5:7">
      <c r="E5521" s="264"/>
      <c r="G5521" s="264"/>
    </row>
    <row r="5522" spans="5:7">
      <c r="E5522" s="264"/>
      <c r="G5522" s="264"/>
    </row>
    <row r="5523" spans="5:7">
      <c r="E5523" s="264"/>
      <c r="G5523" s="264"/>
    </row>
    <row r="5524" spans="5:7">
      <c r="E5524" s="264"/>
      <c r="G5524" s="264"/>
    </row>
    <row r="5525" spans="5:7">
      <c r="E5525" s="264"/>
      <c r="G5525" s="264"/>
    </row>
    <row r="5526" spans="5:7">
      <c r="E5526" s="264"/>
      <c r="G5526" s="264"/>
    </row>
    <row r="5527" spans="5:7">
      <c r="E5527" s="264"/>
      <c r="G5527" s="264"/>
    </row>
    <row r="5528" spans="5:7">
      <c r="E5528" s="264"/>
      <c r="G5528" s="264"/>
    </row>
    <row r="5529" spans="5:7">
      <c r="E5529" s="264"/>
      <c r="G5529" s="264"/>
    </row>
    <row r="5530" spans="5:7">
      <c r="E5530" s="264"/>
      <c r="G5530" s="264"/>
    </row>
    <row r="5531" spans="5:7">
      <c r="E5531" s="264"/>
      <c r="G5531" s="264"/>
    </row>
    <row r="5532" spans="5:7">
      <c r="E5532" s="264"/>
      <c r="G5532" s="264"/>
    </row>
    <row r="5533" spans="5:7">
      <c r="E5533" s="264"/>
      <c r="G5533" s="264"/>
    </row>
    <row r="5534" spans="5:7">
      <c r="E5534" s="264"/>
      <c r="G5534" s="264"/>
    </row>
    <row r="5535" spans="5:7">
      <c r="E5535" s="264"/>
      <c r="G5535" s="264"/>
    </row>
    <row r="5536" spans="5:7">
      <c r="E5536" s="264"/>
      <c r="G5536" s="264"/>
    </row>
    <row r="5537" spans="5:7">
      <c r="E5537" s="264"/>
      <c r="G5537" s="264"/>
    </row>
    <row r="5538" spans="5:7">
      <c r="E5538" s="264"/>
      <c r="G5538" s="264"/>
    </row>
    <row r="5539" spans="5:7">
      <c r="E5539" s="264"/>
      <c r="G5539" s="264"/>
    </row>
    <row r="5540" spans="5:7">
      <c r="E5540" s="264"/>
      <c r="G5540" s="264"/>
    </row>
    <row r="5541" spans="5:7">
      <c r="E5541" s="264"/>
      <c r="G5541" s="264"/>
    </row>
    <row r="5542" spans="5:7">
      <c r="E5542" s="264"/>
      <c r="G5542" s="264"/>
    </row>
    <row r="5543" spans="5:7">
      <c r="E5543" s="264"/>
      <c r="G5543" s="264"/>
    </row>
    <row r="5544" spans="5:7">
      <c r="E5544" s="264"/>
      <c r="G5544" s="264"/>
    </row>
    <row r="5545" spans="5:7">
      <c r="E5545" s="264"/>
      <c r="G5545" s="264"/>
    </row>
    <row r="5546" spans="5:7">
      <c r="E5546" s="264"/>
      <c r="G5546" s="264"/>
    </row>
    <row r="5547" spans="5:7">
      <c r="E5547" s="264"/>
      <c r="G5547" s="264"/>
    </row>
    <row r="5548" spans="5:7">
      <c r="E5548" s="264"/>
      <c r="G5548" s="264"/>
    </row>
    <row r="5549" spans="5:7">
      <c r="E5549" s="264"/>
      <c r="G5549" s="264"/>
    </row>
    <row r="5550" spans="5:7">
      <c r="E5550" s="264"/>
      <c r="G5550" s="264"/>
    </row>
    <row r="5551" spans="5:7">
      <c r="E5551" s="264"/>
      <c r="G5551" s="264"/>
    </row>
    <row r="5552" spans="5:7">
      <c r="E5552" s="264"/>
      <c r="G5552" s="264"/>
    </row>
    <row r="5553" spans="5:7">
      <c r="E5553" s="264"/>
      <c r="G5553" s="264"/>
    </row>
    <row r="5554" spans="5:7">
      <c r="E5554" s="264"/>
      <c r="G5554" s="264"/>
    </row>
    <row r="5555" spans="5:7">
      <c r="E5555" s="264"/>
      <c r="G5555" s="264"/>
    </row>
    <row r="5556" spans="5:7">
      <c r="E5556" s="264"/>
      <c r="G5556" s="264"/>
    </row>
    <row r="5557" spans="5:7">
      <c r="E5557" s="264"/>
      <c r="G5557" s="264"/>
    </row>
    <row r="5558" spans="5:7">
      <c r="E5558" s="264"/>
      <c r="G5558" s="264"/>
    </row>
    <row r="5559" spans="5:7">
      <c r="E5559" s="264"/>
      <c r="G5559" s="264"/>
    </row>
    <row r="5560" spans="5:7">
      <c r="E5560" s="264"/>
      <c r="G5560" s="264"/>
    </row>
    <row r="5561" spans="5:7">
      <c r="E5561" s="264"/>
      <c r="G5561" s="264"/>
    </row>
    <row r="5562" spans="5:7">
      <c r="E5562" s="264"/>
      <c r="G5562" s="264"/>
    </row>
    <row r="5563" spans="5:7">
      <c r="E5563" s="264"/>
      <c r="G5563" s="264"/>
    </row>
    <row r="5564" spans="5:7">
      <c r="E5564" s="264"/>
      <c r="G5564" s="264"/>
    </row>
    <row r="5565" spans="5:7">
      <c r="E5565" s="264"/>
      <c r="G5565" s="264"/>
    </row>
    <row r="5566" spans="5:7">
      <c r="E5566" s="264"/>
      <c r="G5566" s="264"/>
    </row>
    <row r="5567" spans="5:7">
      <c r="E5567" s="264"/>
      <c r="G5567" s="264"/>
    </row>
    <row r="5568" spans="5:7">
      <c r="E5568" s="264"/>
      <c r="G5568" s="264"/>
    </row>
    <row r="5569" spans="5:7">
      <c r="E5569" s="264"/>
      <c r="G5569" s="264"/>
    </row>
    <row r="5570" spans="5:7">
      <c r="E5570" s="264"/>
      <c r="G5570" s="264"/>
    </row>
    <row r="5571" spans="5:7">
      <c r="E5571" s="264"/>
      <c r="G5571" s="264"/>
    </row>
    <row r="5572" spans="5:7">
      <c r="E5572" s="264"/>
      <c r="G5572" s="264"/>
    </row>
    <row r="5573" spans="5:7">
      <c r="E5573" s="264"/>
      <c r="G5573" s="264"/>
    </row>
    <row r="5574" spans="5:7">
      <c r="E5574" s="264"/>
      <c r="G5574" s="264"/>
    </row>
    <row r="5575" spans="5:7">
      <c r="E5575" s="264"/>
      <c r="G5575" s="264"/>
    </row>
    <row r="5576" spans="5:7">
      <c r="E5576" s="264"/>
      <c r="G5576" s="264"/>
    </row>
    <row r="5577" spans="5:7">
      <c r="E5577" s="264"/>
      <c r="G5577" s="264"/>
    </row>
    <row r="5578" spans="5:7">
      <c r="E5578" s="264"/>
      <c r="G5578" s="264"/>
    </row>
    <row r="5579" spans="5:7">
      <c r="E5579" s="264"/>
      <c r="G5579" s="264"/>
    </row>
    <row r="5580" spans="5:7">
      <c r="E5580" s="264"/>
      <c r="G5580" s="264"/>
    </row>
    <row r="5581" spans="5:7">
      <c r="E5581" s="264"/>
      <c r="G5581" s="264"/>
    </row>
    <row r="5582" spans="5:7">
      <c r="E5582" s="264"/>
      <c r="G5582" s="264"/>
    </row>
    <row r="5583" spans="5:7">
      <c r="E5583" s="264"/>
      <c r="G5583" s="264"/>
    </row>
    <row r="5584" spans="5:7">
      <c r="E5584" s="264"/>
      <c r="G5584" s="264"/>
    </row>
    <row r="5585" spans="5:7">
      <c r="E5585" s="264"/>
      <c r="G5585" s="264"/>
    </row>
    <row r="5586" spans="5:7">
      <c r="E5586" s="264"/>
      <c r="G5586" s="264"/>
    </row>
    <row r="5587" spans="5:7">
      <c r="E5587" s="264"/>
      <c r="G5587" s="264"/>
    </row>
    <row r="5588" spans="5:7">
      <c r="E5588" s="264"/>
      <c r="G5588" s="264"/>
    </row>
    <row r="5589" spans="5:7">
      <c r="E5589" s="264"/>
      <c r="G5589" s="264"/>
    </row>
    <row r="5590" spans="5:7">
      <c r="E5590" s="264"/>
      <c r="G5590" s="264"/>
    </row>
    <row r="5591" spans="5:7">
      <c r="E5591" s="264"/>
      <c r="G5591" s="264"/>
    </row>
    <row r="5592" spans="5:7">
      <c r="E5592" s="264"/>
      <c r="G5592" s="264"/>
    </row>
    <row r="5593" spans="5:7">
      <c r="E5593" s="264"/>
      <c r="G5593" s="264"/>
    </row>
    <row r="5594" spans="5:7">
      <c r="E5594" s="264"/>
      <c r="G5594" s="264"/>
    </row>
    <row r="5595" spans="5:7">
      <c r="E5595" s="264"/>
      <c r="G5595" s="264"/>
    </row>
    <row r="5596" spans="5:7">
      <c r="E5596" s="264"/>
      <c r="G5596" s="264"/>
    </row>
    <row r="5597" spans="5:7">
      <c r="E5597" s="264"/>
      <c r="G5597" s="264"/>
    </row>
    <row r="5598" spans="5:7">
      <c r="E5598" s="264"/>
      <c r="G5598" s="264"/>
    </row>
    <row r="5599" spans="5:7">
      <c r="E5599" s="264"/>
      <c r="G5599" s="264"/>
    </row>
    <row r="5600" spans="5:7">
      <c r="E5600" s="264"/>
      <c r="G5600" s="264"/>
    </row>
    <row r="5601" spans="5:7">
      <c r="E5601" s="264"/>
      <c r="G5601" s="264"/>
    </row>
    <row r="5602" spans="5:7">
      <c r="E5602" s="264"/>
      <c r="G5602" s="264"/>
    </row>
    <row r="5603" spans="5:7">
      <c r="E5603" s="264"/>
      <c r="G5603" s="264"/>
    </row>
    <row r="5604" spans="5:7">
      <c r="E5604" s="264"/>
      <c r="G5604" s="264"/>
    </row>
    <row r="5605" spans="5:7">
      <c r="E5605" s="264"/>
      <c r="G5605" s="264"/>
    </row>
    <row r="5606" spans="5:7">
      <c r="E5606" s="264"/>
      <c r="G5606" s="264"/>
    </row>
    <row r="5607" spans="5:7">
      <c r="E5607" s="264"/>
      <c r="G5607" s="264"/>
    </row>
    <row r="5608" spans="5:7">
      <c r="E5608" s="264"/>
      <c r="G5608" s="264"/>
    </row>
    <row r="5609" spans="5:7">
      <c r="E5609" s="264"/>
      <c r="G5609" s="264"/>
    </row>
    <row r="5610" spans="5:7">
      <c r="E5610" s="264"/>
      <c r="G5610" s="264"/>
    </row>
    <row r="5611" spans="5:7">
      <c r="E5611" s="264"/>
      <c r="G5611" s="264"/>
    </row>
    <row r="5612" spans="5:7">
      <c r="E5612" s="264"/>
      <c r="G5612" s="264"/>
    </row>
    <row r="5613" spans="5:7">
      <c r="E5613" s="264"/>
      <c r="G5613" s="264"/>
    </row>
    <row r="5614" spans="5:7">
      <c r="E5614" s="264"/>
      <c r="G5614" s="264"/>
    </row>
    <row r="5615" spans="5:7">
      <c r="E5615" s="264"/>
      <c r="G5615" s="264"/>
    </row>
    <row r="5616" spans="5:7">
      <c r="E5616" s="264"/>
      <c r="G5616" s="264"/>
    </row>
    <row r="5617" spans="5:7">
      <c r="E5617" s="264"/>
      <c r="G5617" s="264"/>
    </row>
    <row r="5618" spans="5:7">
      <c r="E5618" s="264"/>
      <c r="G5618" s="264"/>
    </row>
    <row r="5619" spans="5:7">
      <c r="E5619" s="264"/>
      <c r="G5619" s="264"/>
    </row>
    <row r="5620" spans="5:7">
      <c r="E5620" s="264"/>
      <c r="G5620" s="264"/>
    </row>
    <row r="5621" spans="5:7">
      <c r="E5621" s="264"/>
      <c r="G5621" s="264"/>
    </row>
    <row r="5622" spans="5:7">
      <c r="E5622" s="264"/>
      <c r="G5622" s="264"/>
    </row>
    <row r="5623" spans="5:7">
      <c r="E5623" s="264"/>
      <c r="G5623" s="264"/>
    </row>
    <row r="5624" spans="5:7">
      <c r="E5624" s="264"/>
      <c r="G5624" s="264"/>
    </row>
    <row r="5625" spans="5:7">
      <c r="E5625" s="264"/>
      <c r="G5625" s="264"/>
    </row>
    <row r="5626" spans="5:7">
      <c r="E5626" s="264"/>
      <c r="G5626" s="264"/>
    </row>
    <row r="5627" spans="5:7">
      <c r="E5627" s="264"/>
      <c r="G5627" s="264"/>
    </row>
    <row r="5628" spans="5:7">
      <c r="E5628" s="264"/>
      <c r="G5628" s="264"/>
    </row>
    <row r="5629" spans="5:7">
      <c r="E5629" s="264"/>
      <c r="G5629" s="264"/>
    </row>
    <row r="5630" spans="5:7">
      <c r="E5630" s="264"/>
      <c r="G5630" s="264"/>
    </row>
    <row r="5631" spans="5:7">
      <c r="E5631" s="264"/>
      <c r="G5631" s="264"/>
    </row>
    <row r="5632" spans="5:7">
      <c r="E5632" s="264"/>
      <c r="G5632" s="264"/>
    </row>
    <row r="5633" spans="5:7">
      <c r="E5633" s="264"/>
      <c r="G5633" s="264"/>
    </row>
    <row r="5634" spans="5:7">
      <c r="E5634" s="264"/>
      <c r="G5634" s="264"/>
    </row>
    <row r="5635" spans="5:7">
      <c r="E5635" s="264"/>
      <c r="G5635" s="264"/>
    </row>
    <row r="5636" spans="5:7">
      <c r="E5636" s="264"/>
      <c r="G5636" s="264"/>
    </row>
    <row r="5637" spans="5:7">
      <c r="E5637" s="264"/>
      <c r="G5637" s="264"/>
    </row>
    <row r="5638" spans="5:7">
      <c r="E5638" s="264"/>
      <c r="G5638" s="264"/>
    </row>
    <row r="5639" spans="5:7">
      <c r="E5639" s="264"/>
      <c r="G5639" s="264"/>
    </row>
    <row r="5640" spans="5:7">
      <c r="E5640" s="264"/>
      <c r="G5640" s="264"/>
    </row>
    <row r="5641" spans="5:7">
      <c r="E5641" s="264"/>
      <c r="G5641" s="264"/>
    </row>
    <row r="5642" spans="5:7">
      <c r="E5642" s="264"/>
      <c r="G5642" s="264"/>
    </row>
    <row r="5643" spans="5:7">
      <c r="E5643" s="264"/>
      <c r="G5643" s="264"/>
    </row>
    <row r="5644" spans="5:7">
      <c r="E5644" s="264"/>
      <c r="G5644" s="264"/>
    </row>
    <row r="5645" spans="5:7">
      <c r="E5645" s="264"/>
      <c r="G5645" s="264"/>
    </row>
    <row r="5646" spans="5:7">
      <c r="E5646" s="264"/>
      <c r="G5646" s="264"/>
    </row>
    <row r="5647" spans="5:7">
      <c r="E5647" s="264"/>
      <c r="G5647" s="264"/>
    </row>
    <row r="5648" spans="5:7">
      <c r="E5648" s="264"/>
      <c r="G5648" s="264"/>
    </row>
    <row r="5649" spans="5:7">
      <c r="E5649" s="264"/>
      <c r="G5649" s="264"/>
    </row>
    <row r="5650" spans="5:7">
      <c r="E5650" s="264"/>
      <c r="G5650" s="264"/>
    </row>
    <row r="5651" spans="5:7">
      <c r="E5651" s="264"/>
      <c r="G5651" s="264"/>
    </row>
    <row r="5652" spans="5:7">
      <c r="E5652" s="264"/>
      <c r="G5652" s="264"/>
    </row>
    <row r="5653" spans="5:7">
      <c r="E5653" s="264"/>
      <c r="G5653" s="264"/>
    </row>
    <row r="5654" spans="5:7">
      <c r="E5654" s="264"/>
      <c r="G5654" s="264"/>
    </row>
    <row r="5655" spans="5:7">
      <c r="E5655" s="264"/>
      <c r="G5655" s="264"/>
    </row>
    <row r="5656" spans="5:7">
      <c r="E5656" s="264"/>
      <c r="G5656" s="264"/>
    </row>
    <row r="5657" spans="5:7">
      <c r="E5657" s="264"/>
      <c r="G5657" s="264"/>
    </row>
    <row r="5658" spans="5:7">
      <c r="E5658" s="264"/>
      <c r="G5658" s="264"/>
    </row>
    <row r="5659" spans="5:7">
      <c r="E5659" s="264"/>
      <c r="G5659" s="264"/>
    </row>
    <row r="5660" spans="5:7">
      <c r="E5660" s="264"/>
      <c r="G5660" s="264"/>
    </row>
    <row r="5661" spans="5:7">
      <c r="E5661" s="264"/>
      <c r="G5661" s="264"/>
    </row>
    <row r="5662" spans="5:7">
      <c r="E5662" s="264"/>
      <c r="G5662" s="264"/>
    </row>
    <row r="5663" spans="5:7">
      <c r="E5663" s="264"/>
      <c r="G5663" s="264"/>
    </row>
    <row r="5664" spans="5:7">
      <c r="E5664" s="264"/>
      <c r="G5664" s="264"/>
    </row>
    <row r="5665" spans="5:7">
      <c r="E5665" s="264"/>
      <c r="G5665" s="264"/>
    </row>
    <row r="5666" spans="5:7">
      <c r="E5666" s="264"/>
      <c r="G5666" s="264"/>
    </row>
    <row r="5667" spans="5:7">
      <c r="E5667" s="264"/>
      <c r="G5667" s="264"/>
    </row>
    <row r="5668" spans="5:7">
      <c r="E5668" s="264"/>
      <c r="G5668" s="264"/>
    </row>
    <row r="5669" spans="5:7">
      <c r="E5669" s="264"/>
      <c r="G5669" s="264"/>
    </row>
    <row r="5670" spans="5:7">
      <c r="E5670" s="264"/>
      <c r="G5670" s="264"/>
    </row>
    <row r="5671" spans="5:7">
      <c r="E5671" s="264"/>
      <c r="G5671" s="264"/>
    </row>
    <row r="5672" spans="5:7">
      <c r="E5672" s="264"/>
      <c r="G5672" s="264"/>
    </row>
    <row r="5673" spans="5:7">
      <c r="E5673" s="264"/>
      <c r="G5673" s="264"/>
    </row>
    <row r="5674" spans="5:7">
      <c r="E5674" s="264"/>
      <c r="G5674" s="264"/>
    </row>
    <row r="5675" spans="5:7">
      <c r="E5675" s="264"/>
      <c r="G5675" s="264"/>
    </row>
    <row r="5676" spans="5:7">
      <c r="E5676" s="264"/>
      <c r="G5676" s="264"/>
    </row>
    <row r="5677" spans="5:7">
      <c r="E5677" s="264"/>
      <c r="G5677" s="264"/>
    </row>
    <row r="5678" spans="5:7">
      <c r="E5678" s="264"/>
      <c r="G5678" s="264"/>
    </row>
    <row r="5679" spans="5:7">
      <c r="E5679" s="264"/>
      <c r="G5679" s="264"/>
    </row>
    <row r="5680" spans="5:7">
      <c r="E5680" s="264"/>
      <c r="G5680" s="264"/>
    </row>
    <row r="5681" spans="5:7">
      <c r="E5681" s="264"/>
      <c r="G5681" s="264"/>
    </row>
    <row r="5682" spans="5:7">
      <c r="E5682" s="264"/>
      <c r="G5682" s="264"/>
    </row>
    <row r="5683" spans="5:7">
      <c r="E5683" s="264"/>
      <c r="G5683" s="264"/>
    </row>
    <row r="5684" spans="5:7">
      <c r="E5684" s="264"/>
      <c r="G5684" s="264"/>
    </row>
    <row r="5685" spans="5:7">
      <c r="E5685" s="264"/>
      <c r="G5685" s="264"/>
    </row>
    <row r="5686" spans="5:7">
      <c r="E5686" s="264"/>
      <c r="G5686" s="264"/>
    </row>
    <row r="5687" spans="5:7">
      <c r="E5687" s="264"/>
      <c r="G5687" s="264"/>
    </row>
    <row r="5688" spans="5:7">
      <c r="E5688" s="264"/>
      <c r="G5688" s="264"/>
    </row>
    <row r="5689" spans="5:7">
      <c r="E5689" s="264"/>
      <c r="G5689" s="264"/>
    </row>
    <row r="5690" spans="5:7">
      <c r="E5690" s="264"/>
      <c r="G5690" s="264"/>
    </row>
    <row r="5691" spans="5:7">
      <c r="E5691" s="264"/>
      <c r="G5691" s="264"/>
    </row>
    <row r="5692" spans="5:7">
      <c r="E5692" s="264"/>
      <c r="G5692" s="264"/>
    </row>
    <row r="5693" spans="5:7">
      <c r="E5693" s="264"/>
      <c r="G5693" s="264"/>
    </row>
    <row r="5694" spans="5:7">
      <c r="E5694" s="264"/>
      <c r="G5694" s="264"/>
    </row>
    <row r="5695" spans="5:7">
      <c r="E5695" s="264"/>
      <c r="G5695" s="264"/>
    </row>
    <row r="5696" spans="5:7">
      <c r="E5696" s="264"/>
      <c r="G5696" s="264"/>
    </row>
    <row r="5697" spans="5:7">
      <c r="E5697" s="264"/>
      <c r="G5697" s="264"/>
    </row>
    <row r="5698" spans="5:7">
      <c r="E5698" s="264"/>
      <c r="G5698" s="264"/>
    </row>
    <row r="5699" spans="5:7">
      <c r="E5699" s="264"/>
      <c r="G5699" s="264"/>
    </row>
    <row r="5700" spans="5:7">
      <c r="E5700" s="264"/>
      <c r="G5700" s="264"/>
    </row>
    <row r="5701" spans="5:7">
      <c r="E5701" s="264"/>
      <c r="G5701" s="264"/>
    </row>
    <row r="5702" spans="5:7">
      <c r="E5702" s="264"/>
      <c r="G5702" s="264"/>
    </row>
    <row r="5703" spans="5:7">
      <c r="E5703" s="264"/>
      <c r="G5703" s="264"/>
    </row>
    <row r="5704" spans="5:7">
      <c r="E5704" s="264"/>
      <c r="G5704" s="264"/>
    </row>
    <row r="5705" spans="5:7">
      <c r="E5705" s="264"/>
      <c r="G5705" s="264"/>
    </row>
    <row r="5706" spans="5:7">
      <c r="E5706" s="264"/>
      <c r="G5706" s="264"/>
    </row>
    <row r="5707" spans="5:7">
      <c r="E5707" s="264"/>
      <c r="G5707" s="264"/>
    </row>
    <row r="5708" spans="5:7">
      <c r="E5708" s="264"/>
      <c r="G5708" s="264"/>
    </row>
    <row r="5709" spans="5:7">
      <c r="E5709" s="264"/>
      <c r="G5709" s="264"/>
    </row>
    <row r="5710" spans="5:7">
      <c r="E5710" s="264"/>
      <c r="G5710" s="264"/>
    </row>
    <row r="5711" spans="5:7">
      <c r="E5711" s="264"/>
      <c r="G5711" s="264"/>
    </row>
    <row r="5712" spans="5:7">
      <c r="E5712" s="264"/>
      <c r="G5712" s="264"/>
    </row>
    <row r="5713" spans="5:7">
      <c r="E5713" s="264"/>
      <c r="G5713" s="264"/>
    </row>
    <row r="5714" spans="5:7">
      <c r="E5714" s="264"/>
      <c r="G5714" s="264"/>
    </row>
    <row r="5715" spans="5:7">
      <c r="E5715" s="264"/>
      <c r="G5715" s="264"/>
    </row>
    <row r="5716" spans="5:7">
      <c r="E5716" s="264"/>
      <c r="G5716" s="264"/>
    </row>
    <row r="5717" spans="5:7">
      <c r="E5717" s="264"/>
      <c r="G5717" s="264"/>
    </row>
    <row r="5718" spans="5:7">
      <c r="E5718" s="264"/>
      <c r="G5718" s="264"/>
    </row>
    <row r="5719" spans="5:7">
      <c r="E5719" s="264"/>
      <c r="G5719" s="264"/>
    </row>
    <row r="5720" spans="5:7">
      <c r="E5720" s="264"/>
      <c r="G5720" s="264"/>
    </row>
    <row r="5721" spans="5:7">
      <c r="E5721" s="264"/>
      <c r="G5721" s="264"/>
    </row>
    <row r="5722" spans="5:7">
      <c r="E5722" s="264"/>
      <c r="G5722" s="264"/>
    </row>
    <row r="5723" spans="5:7">
      <c r="E5723" s="264"/>
      <c r="G5723" s="264"/>
    </row>
    <row r="5724" spans="5:7">
      <c r="E5724" s="264"/>
      <c r="G5724" s="264"/>
    </row>
    <row r="5725" spans="5:7">
      <c r="E5725" s="264"/>
      <c r="G5725" s="264"/>
    </row>
    <row r="5726" spans="5:7">
      <c r="E5726" s="264"/>
      <c r="G5726" s="264"/>
    </row>
    <row r="5727" spans="5:7">
      <c r="E5727" s="264"/>
      <c r="G5727" s="264"/>
    </row>
    <row r="5728" spans="5:7">
      <c r="E5728" s="264"/>
      <c r="G5728" s="264"/>
    </row>
    <row r="5729" spans="5:7">
      <c r="E5729" s="264"/>
      <c r="G5729" s="264"/>
    </row>
    <row r="5730" spans="5:7">
      <c r="E5730" s="264"/>
      <c r="G5730" s="264"/>
    </row>
    <row r="5731" spans="5:7">
      <c r="E5731" s="264"/>
      <c r="G5731" s="264"/>
    </row>
    <row r="5732" spans="5:7">
      <c r="E5732" s="264"/>
      <c r="G5732" s="264"/>
    </row>
    <row r="5733" spans="5:7">
      <c r="E5733" s="264"/>
      <c r="G5733" s="264"/>
    </row>
    <row r="5734" spans="5:7">
      <c r="E5734" s="264"/>
      <c r="G5734" s="264"/>
    </row>
    <row r="5735" spans="5:7">
      <c r="E5735" s="264"/>
      <c r="G5735" s="264"/>
    </row>
    <row r="5736" spans="5:7">
      <c r="E5736" s="264"/>
      <c r="G5736" s="264"/>
    </row>
    <row r="5737" spans="5:7">
      <c r="E5737" s="264"/>
      <c r="G5737" s="264"/>
    </row>
    <row r="5738" spans="5:7">
      <c r="E5738" s="264"/>
      <c r="G5738" s="264"/>
    </row>
    <row r="5739" spans="5:7">
      <c r="E5739" s="264"/>
      <c r="G5739" s="264"/>
    </row>
    <row r="5740" spans="5:7">
      <c r="E5740" s="264"/>
      <c r="G5740" s="264"/>
    </row>
    <row r="5741" spans="5:7">
      <c r="E5741" s="264"/>
      <c r="G5741" s="264"/>
    </row>
    <row r="5742" spans="5:7">
      <c r="E5742" s="264"/>
      <c r="G5742" s="264"/>
    </row>
    <row r="5743" spans="5:7">
      <c r="E5743" s="264"/>
      <c r="G5743" s="264"/>
    </row>
    <row r="5744" spans="5:7">
      <c r="E5744" s="264"/>
      <c r="G5744" s="264"/>
    </row>
    <row r="5745" spans="5:7">
      <c r="E5745" s="264"/>
      <c r="G5745" s="264"/>
    </row>
    <row r="5746" spans="5:7">
      <c r="E5746" s="264"/>
      <c r="G5746" s="264"/>
    </row>
    <row r="5747" spans="5:7">
      <c r="E5747" s="264"/>
      <c r="G5747" s="264"/>
    </row>
    <row r="5748" spans="5:7">
      <c r="E5748" s="264"/>
      <c r="G5748" s="264"/>
    </row>
    <row r="5749" spans="5:7">
      <c r="E5749" s="264"/>
      <c r="G5749" s="264"/>
    </row>
    <row r="5750" spans="5:7">
      <c r="E5750" s="264"/>
      <c r="G5750" s="264"/>
    </row>
    <row r="5751" spans="5:7">
      <c r="E5751" s="264"/>
      <c r="G5751" s="264"/>
    </row>
    <row r="5752" spans="5:7">
      <c r="E5752" s="264"/>
      <c r="G5752" s="264"/>
    </row>
    <row r="5753" spans="5:7">
      <c r="E5753" s="264"/>
      <c r="G5753" s="264"/>
    </row>
    <row r="5754" spans="5:7">
      <c r="E5754" s="264"/>
      <c r="G5754" s="264"/>
    </row>
    <row r="5755" spans="5:7">
      <c r="E5755" s="264"/>
      <c r="G5755" s="264"/>
    </row>
    <row r="5756" spans="5:7">
      <c r="E5756" s="264"/>
      <c r="G5756" s="264"/>
    </row>
    <row r="5757" spans="5:7">
      <c r="E5757" s="264"/>
      <c r="G5757" s="264"/>
    </row>
    <row r="5758" spans="5:7">
      <c r="E5758" s="264"/>
      <c r="G5758" s="264"/>
    </row>
    <row r="5759" spans="5:7">
      <c r="E5759" s="264"/>
      <c r="G5759" s="264"/>
    </row>
    <row r="5760" spans="5:7">
      <c r="E5760" s="264"/>
      <c r="G5760" s="264"/>
    </row>
    <row r="5761" spans="5:7">
      <c r="E5761" s="264"/>
      <c r="G5761" s="264"/>
    </row>
    <row r="5762" spans="5:7">
      <c r="E5762" s="264"/>
      <c r="G5762" s="264"/>
    </row>
    <row r="5763" spans="5:7">
      <c r="E5763" s="264"/>
      <c r="G5763" s="264"/>
    </row>
    <row r="5764" spans="5:7">
      <c r="E5764" s="264"/>
      <c r="G5764" s="264"/>
    </row>
    <row r="5765" spans="5:7">
      <c r="E5765" s="264"/>
      <c r="G5765" s="264"/>
    </row>
    <row r="5766" spans="5:7">
      <c r="E5766" s="264"/>
      <c r="G5766" s="264"/>
    </row>
    <row r="5767" spans="5:7">
      <c r="E5767" s="264"/>
      <c r="G5767" s="264"/>
    </row>
    <row r="5768" spans="5:7">
      <c r="E5768" s="264"/>
      <c r="G5768" s="264"/>
    </row>
    <row r="5769" spans="5:7">
      <c r="E5769" s="264"/>
      <c r="G5769" s="264"/>
    </row>
    <row r="5770" spans="5:7">
      <c r="E5770" s="264"/>
      <c r="G5770" s="264"/>
    </row>
    <row r="5771" spans="5:7">
      <c r="E5771" s="264"/>
      <c r="G5771" s="264"/>
    </row>
    <row r="5772" spans="5:7">
      <c r="E5772" s="264"/>
      <c r="G5772" s="264"/>
    </row>
    <row r="5773" spans="5:7">
      <c r="E5773" s="264"/>
      <c r="G5773" s="264"/>
    </row>
    <row r="5774" spans="5:7">
      <c r="E5774" s="264"/>
      <c r="G5774" s="264"/>
    </row>
    <row r="5775" spans="5:7">
      <c r="E5775" s="264"/>
      <c r="G5775" s="264"/>
    </row>
    <row r="5776" spans="5:7">
      <c r="E5776" s="264"/>
      <c r="G5776" s="264"/>
    </row>
    <row r="5777" spans="5:7">
      <c r="E5777" s="264"/>
      <c r="G5777" s="264"/>
    </row>
    <row r="5778" spans="5:7">
      <c r="E5778" s="264"/>
      <c r="G5778" s="264"/>
    </row>
    <row r="5779" spans="5:7">
      <c r="E5779" s="264"/>
      <c r="G5779" s="264"/>
    </row>
    <row r="5780" spans="5:7">
      <c r="E5780" s="264"/>
      <c r="G5780" s="264"/>
    </row>
    <row r="5781" spans="5:7">
      <c r="E5781" s="264"/>
      <c r="G5781" s="264"/>
    </row>
    <row r="5782" spans="5:7">
      <c r="E5782" s="264"/>
      <c r="G5782" s="264"/>
    </row>
    <row r="5783" spans="5:7">
      <c r="E5783" s="264"/>
      <c r="G5783" s="264"/>
    </row>
    <row r="5784" spans="5:7">
      <c r="E5784" s="264"/>
      <c r="G5784" s="264"/>
    </row>
    <row r="5785" spans="5:7">
      <c r="E5785" s="264"/>
      <c r="G5785" s="264"/>
    </row>
    <row r="5786" spans="5:7">
      <c r="E5786" s="264"/>
      <c r="G5786" s="264"/>
    </row>
    <row r="5787" spans="5:7">
      <c r="E5787" s="264"/>
      <c r="G5787" s="264"/>
    </row>
    <row r="5788" spans="5:7">
      <c r="E5788" s="264"/>
      <c r="G5788" s="264"/>
    </row>
    <row r="5789" spans="5:7">
      <c r="E5789" s="264"/>
      <c r="G5789" s="264"/>
    </row>
    <row r="5790" spans="5:7">
      <c r="E5790" s="264"/>
      <c r="G5790" s="264"/>
    </row>
    <row r="5791" spans="5:7">
      <c r="E5791" s="264"/>
      <c r="G5791" s="264"/>
    </row>
    <row r="5792" spans="5:7">
      <c r="E5792" s="264"/>
      <c r="G5792" s="264"/>
    </row>
    <row r="5793" spans="5:7">
      <c r="E5793" s="264"/>
      <c r="G5793" s="264"/>
    </row>
    <row r="5794" spans="5:7">
      <c r="E5794" s="264"/>
      <c r="G5794" s="264"/>
    </row>
    <row r="5795" spans="5:7">
      <c r="E5795" s="264"/>
      <c r="G5795" s="264"/>
    </row>
    <row r="5796" spans="5:7">
      <c r="E5796" s="264"/>
      <c r="G5796" s="264"/>
    </row>
    <row r="5797" spans="5:7">
      <c r="E5797" s="264"/>
      <c r="G5797" s="264"/>
    </row>
    <row r="5798" spans="5:7">
      <c r="E5798" s="264"/>
      <c r="G5798" s="264"/>
    </row>
    <row r="5799" spans="5:7">
      <c r="E5799" s="264"/>
      <c r="G5799" s="264"/>
    </row>
    <row r="5800" spans="5:7">
      <c r="E5800" s="264"/>
      <c r="G5800" s="264"/>
    </row>
    <row r="5801" spans="5:7">
      <c r="E5801" s="264"/>
      <c r="G5801" s="264"/>
    </row>
    <row r="5802" spans="5:7">
      <c r="E5802" s="264"/>
      <c r="G5802" s="264"/>
    </row>
    <row r="5803" spans="5:7">
      <c r="E5803" s="264"/>
      <c r="G5803" s="264"/>
    </row>
    <row r="5804" spans="5:7">
      <c r="E5804" s="264"/>
      <c r="G5804" s="264"/>
    </row>
    <row r="5805" spans="5:7">
      <c r="E5805" s="264"/>
      <c r="G5805" s="264"/>
    </row>
    <row r="5806" spans="5:7">
      <c r="E5806" s="264"/>
      <c r="G5806" s="264"/>
    </row>
    <row r="5807" spans="5:7">
      <c r="E5807" s="264"/>
      <c r="G5807" s="264"/>
    </row>
    <row r="5808" spans="5:7">
      <c r="E5808" s="264"/>
      <c r="G5808" s="264"/>
    </row>
    <row r="5809" spans="5:7">
      <c r="E5809" s="264"/>
      <c r="G5809" s="264"/>
    </row>
    <row r="5810" spans="5:7">
      <c r="E5810" s="264"/>
      <c r="G5810" s="264"/>
    </row>
    <row r="5811" spans="5:7">
      <c r="E5811" s="264"/>
      <c r="G5811" s="264"/>
    </row>
    <row r="5812" spans="5:7">
      <c r="E5812" s="264"/>
      <c r="G5812" s="264"/>
    </row>
    <row r="5813" spans="5:7">
      <c r="E5813" s="264"/>
      <c r="G5813" s="264"/>
    </row>
    <row r="5814" spans="5:7">
      <c r="E5814" s="264"/>
      <c r="G5814" s="264"/>
    </row>
    <row r="5815" spans="5:7">
      <c r="E5815" s="264"/>
      <c r="G5815" s="264"/>
    </row>
    <row r="5816" spans="5:7">
      <c r="E5816" s="264"/>
      <c r="G5816" s="264"/>
    </row>
    <row r="5817" spans="5:7">
      <c r="E5817" s="264"/>
      <c r="G5817" s="264"/>
    </row>
    <row r="5818" spans="5:7">
      <c r="E5818" s="264"/>
      <c r="G5818" s="264"/>
    </row>
    <row r="5819" spans="5:7">
      <c r="E5819" s="264"/>
      <c r="G5819" s="264"/>
    </row>
    <row r="5820" spans="5:7">
      <c r="E5820" s="264"/>
      <c r="G5820" s="264"/>
    </row>
    <row r="5821" spans="5:7">
      <c r="E5821" s="264"/>
      <c r="G5821" s="264"/>
    </row>
    <row r="5822" spans="5:7">
      <c r="E5822" s="264"/>
      <c r="G5822" s="264"/>
    </row>
    <row r="5823" spans="5:7">
      <c r="E5823" s="264"/>
      <c r="G5823" s="264"/>
    </row>
    <row r="5824" spans="5:7">
      <c r="E5824" s="264"/>
      <c r="G5824" s="264"/>
    </row>
    <row r="5825" spans="5:7">
      <c r="E5825" s="264"/>
      <c r="G5825" s="264"/>
    </row>
    <row r="5826" spans="5:7">
      <c r="E5826" s="264"/>
      <c r="G5826" s="264"/>
    </row>
    <row r="5827" spans="5:7">
      <c r="E5827" s="264"/>
      <c r="G5827" s="264"/>
    </row>
    <row r="5828" spans="5:7">
      <c r="E5828" s="264"/>
      <c r="G5828" s="264"/>
    </row>
    <row r="5829" spans="5:7">
      <c r="E5829" s="264"/>
      <c r="G5829" s="264"/>
    </row>
    <row r="5830" spans="5:7">
      <c r="E5830" s="264"/>
      <c r="G5830" s="264"/>
    </row>
    <row r="5831" spans="5:7">
      <c r="E5831" s="264"/>
      <c r="G5831" s="264"/>
    </row>
    <row r="5832" spans="5:7">
      <c r="E5832" s="264"/>
      <c r="G5832" s="264"/>
    </row>
    <row r="5833" spans="5:7">
      <c r="E5833" s="264"/>
      <c r="G5833" s="264"/>
    </row>
    <row r="5834" spans="5:7">
      <c r="E5834" s="264"/>
      <c r="G5834" s="264"/>
    </row>
    <row r="5835" spans="5:7">
      <c r="E5835" s="264"/>
      <c r="G5835" s="264"/>
    </row>
    <row r="5836" spans="5:7">
      <c r="E5836" s="264"/>
      <c r="G5836" s="264"/>
    </row>
    <row r="5837" spans="5:7">
      <c r="E5837" s="264"/>
      <c r="G5837" s="264"/>
    </row>
    <row r="5838" spans="5:7">
      <c r="E5838" s="264"/>
      <c r="G5838" s="264"/>
    </row>
    <row r="5839" spans="5:7">
      <c r="E5839" s="264"/>
      <c r="G5839" s="264"/>
    </row>
    <row r="5840" spans="5:7">
      <c r="E5840" s="264"/>
      <c r="G5840" s="264"/>
    </row>
    <row r="5841" spans="5:7">
      <c r="E5841" s="264"/>
      <c r="G5841" s="264"/>
    </row>
    <row r="5842" spans="5:7">
      <c r="E5842" s="264"/>
      <c r="G5842" s="264"/>
    </row>
    <row r="5843" spans="5:7">
      <c r="E5843" s="264"/>
      <c r="G5843" s="264"/>
    </row>
    <row r="5844" spans="5:7">
      <c r="E5844" s="264"/>
      <c r="G5844" s="264"/>
    </row>
    <row r="5845" spans="5:7">
      <c r="E5845" s="264"/>
      <c r="G5845" s="264"/>
    </row>
    <row r="5846" spans="5:7">
      <c r="E5846" s="264"/>
      <c r="G5846" s="264"/>
    </row>
    <row r="5847" spans="5:7">
      <c r="E5847" s="264"/>
      <c r="G5847" s="264"/>
    </row>
    <row r="5848" spans="5:7">
      <c r="E5848" s="264"/>
      <c r="G5848" s="264"/>
    </row>
    <row r="5849" spans="5:7">
      <c r="E5849" s="264"/>
      <c r="G5849" s="264"/>
    </row>
    <row r="5850" spans="5:7">
      <c r="E5850" s="264"/>
      <c r="G5850" s="264"/>
    </row>
    <row r="5851" spans="5:7">
      <c r="E5851" s="264"/>
      <c r="G5851" s="264"/>
    </row>
    <row r="5852" spans="5:7">
      <c r="E5852" s="264"/>
      <c r="G5852" s="264"/>
    </row>
    <row r="5853" spans="5:7">
      <c r="E5853" s="264"/>
      <c r="G5853" s="264"/>
    </row>
    <row r="5854" spans="5:7">
      <c r="E5854" s="264"/>
      <c r="G5854" s="264"/>
    </row>
    <row r="5855" spans="5:7">
      <c r="E5855" s="264"/>
      <c r="G5855" s="264"/>
    </row>
    <row r="5856" spans="5:7">
      <c r="E5856" s="264"/>
      <c r="G5856" s="264"/>
    </row>
    <row r="5857" spans="5:7">
      <c r="E5857" s="264"/>
      <c r="G5857" s="264"/>
    </row>
    <row r="5858" spans="5:7">
      <c r="E5858" s="264"/>
      <c r="G5858" s="264"/>
    </row>
    <row r="5859" spans="5:7">
      <c r="E5859" s="264"/>
      <c r="G5859" s="264"/>
    </row>
    <row r="5860" spans="5:7">
      <c r="E5860" s="264"/>
      <c r="G5860" s="264"/>
    </row>
    <row r="5861" spans="5:7">
      <c r="E5861" s="264"/>
      <c r="G5861" s="264"/>
    </row>
    <row r="5862" spans="5:7">
      <c r="E5862" s="264"/>
      <c r="G5862" s="264"/>
    </row>
    <row r="5863" spans="5:7">
      <c r="E5863" s="264"/>
      <c r="G5863" s="264"/>
    </row>
    <row r="5864" spans="5:7">
      <c r="E5864" s="264"/>
      <c r="G5864" s="264"/>
    </row>
    <row r="5865" spans="5:7">
      <c r="E5865" s="264"/>
      <c r="G5865" s="264"/>
    </row>
    <row r="5866" spans="5:7">
      <c r="E5866" s="264"/>
      <c r="G5866" s="264"/>
    </row>
    <row r="5867" spans="5:7">
      <c r="E5867" s="264"/>
      <c r="G5867" s="264"/>
    </row>
    <row r="5868" spans="5:7">
      <c r="E5868" s="264"/>
      <c r="G5868" s="264"/>
    </row>
    <row r="5869" spans="5:7">
      <c r="E5869" s="264"/>
      <c r="G5869" s="264"/>
    </row>
    <row r="5870" spans="5:7">
      <c r="E5870" s="264"/>
      <c r="G5870" s="264"/>
    </row>
    <row r="5871" spans="5:7">
      <c r="E5871" s="264"/>
      <c r="G5871" s="264"/>
    </row>
    <row r="5872" spans="5:7">
      <c r="E5872" s="264"/>
      <c r="G5872" s="264"/>
    </row>
    <row r="5873" spans="5:7">
      <c r="E5873" s="264"/>
      <c r="G5873" s="264"/>
    </row>
    <row r="5874" spans="5:7">
      <c r="E5874" s="264"/>
      <c r="G5874" s="264"/>
    </row>
    <row r="5875" spans="5:7">
      <c r="E5875" s="264"/>
      <c r="G5875" s="264"/>
    </row>
    <row r="5876" spans="5:7">
      <c r="E5876" s="264"/>
      <c r="G5876" s="264"/>
    </row>
    <row r="5877" spans="5:7">
      <c r="E5877" s="264"/>
      <c r="G5877" s="264"/>
    </row>
    <row r="5878" spans="5:7">
      <c r="E5878" s="264"/>
      <c r="G5878" s="264"/>
    </row>
    <row r="5879" spans="5:7">
      <c r="E5879" s="264"/>
      <c r="G5879" s="264"/>
    </row>
    <row r="5880" spans="5:7">
      <c r="E5880" s="264"/>
      <c r="G5880" s="264"/>
    </row>
    <row r="5881" spans="5:7">
      <c r="E5881" s="264"/>
      <c r="G5881" s="264"/>
    </row>
    <row r="5882" spans="5:7">
      <c r="E5882" s="264"/>
      <c r="G5882" s="264"/>
    </row>
    <row r="5883" spans="5:7">
      <c r="E5883" s="264"/>
      <c r="G5883" s="264"/>
    </row>
    <row r="5884" spans="5:7">
      <c r="E5884" s="264"/>
      <c r="G5884" s="264"/>
    </row>
    <row r="5885" spans="5:7">
      <c r="E5885" s="264"/>
      <c r="G5885" s="264"/>
    </row>
    <row r="5886" spans="5:7">
      <c r="E5886" s="264"/>
      <c r="G5886" s="264"/>
    </row>
    <row r="5887" spans="5:7">
      <c r="E5887" s="264"/>
      <c r="G5887" s="264"/>
    </row>
    <row r="5888" spans="5:7">
      <c r="E5888" s="264"/>
      <c r="G5888" s="264"/>
    </row>
    <row r="5889" spans="5:7">
      <c r="E5889" s="264"/>
      <c r="G5889" s="264"/>
    </row>
    <row r="5890" spans="5:7">
      <c r="E5890" s="264"/>
      <c r="G5890" s="264"/>
    </row>
    <row r="5891" spans="5:7">
      <c r="E5891" s="264"/>
      <c r="G5891" s="264"/>
    </row>
    <row r="5892" spans="5:7">
      <c r="E5892" s="264"/>
      <c r="G5892" s="264"/>
    </row>
    <row r="5893" spans="5:7">
      <c r="E5893" s="264"/>
      <c r="G5893" s="264"/>
    </row>
    <row r="5894" spans="5:7">
      <c r="E5894" s="264"/>
      <c r="G5894" s="264"/>
    </row>
    <row r="5895" spans="5:7">
      <c r="E5895" s="264"/>
      <c r="G5895" s="264"/>
    </row>
    <row r="5896" spans="5:7">
      <c r="E5896" s="264"/>
      <c r="G5896" s="264"/>
    </row>
    <row r="5897" spans="5:7">
      <c r="E5897" s="264"/>
      <c r="G5897" s="264"/>
    </row>
    <row r="5898" spans="5:7">
      <c r="E5898" s="264"/>
      <c r="G5898" s="264"/>
    </row>
    <row r="5899" spans="5:7">
      <c r="E5899" s="264"/>
      <c r="G5899" s="264"/>
    </row>
    <row r="5900" spans="5:7">
      <c r="E5900" s="264"/>
      <c r="G5900" s="264"/>
    </row>
    <row r="5901" spans="5:7">
      <c r="E5901" s="264"/>
      <c r="G5901" s="264"/>
    </row>
    <row r="5902" spans="5:7">
      <c r="E5902" s="264"/>
      <c r="G5902" s="264"/>
    </row>
    <row r="5903" spans="5:7">
      <c r="E5903" s="264"/>
      <c r="G5903" s="264"/>
    </row>
    <row r="5904" spans="5:7">
      <c r="E5904" s="264"/>
      <c r="G5904" s="264"/>
    </row>
    <row r="5905" spans="5:7">
      <c r="E5905" s="264"/>
      <c r="G5905" s="264"/>
    </row>
    <row r="5906" spans="5:7">
      <c r="E5906" s="264"/>
      <c r="G5906" s="264"/>
    </row>
    <row r="5907" spans="5:7">
      <c r="E5907" s="264"/>
      <c r="G5907" s="264"/>
    </row>
    <row r="5908" spans="5:7">
      <c r="E5908" s="264"/>
      <c r="G5908" s="264"/>
    </row>
    <row r="5909" spans="5:7">
      <c r="E5909" s="264"/>
      <c r="G5909" s="264"/>
    </row>
    <row r="5910" spans="5:7">
      <c r="E5910" s="264"/>
      <c r="G5910" s="264"/>
    </row>
    <row r="5911" spans="5:7">
      <c r="E5911" s="264"/>
      <c r="G5911" s="264"/>
    </row>
    <row r="5912" spans="5:7">
      <c r="E5912" s="264"/>
      <c r="G5912" s="264"/>
    </row>
    <row r="5913" spans="5:7">
      <c r="E5913" s="264"/>
      <c r="G5913" s="264"/>
    </row>
    <row r="5914" spans="5:7">
      <c r="E5914" s="264"/>
      <c r="G5914" s="264"/>
    </row>
    <row r="5915" spans="5:7">
      <c r="E5915" s="264"/>
      <c r="G5915" s="264"/>
    </row>
    <row r="5916" spans="5:7">
      <c r="E5916" s="264"/>
      <c r="G5916" s="264"/>
    </row>
    <row r="5917" spans="5:7">
      <c r="E5917" s="264"/>
      <c r="G5917" s="264"/>
    </row>
    <row r="5918" spans="5:7">
      <c r="E5918" s="264"/>
      <c r="G5918" s="264"/>
    </row>
    <row r="5919" spans="5:7">
      <c r="E5919" s="264"/>
      <c r="G5919" s="264"/>
    </row>
    <row r="5920" spans="5:7">
      <c r="E5920" s="264"/>
      <c r="G5920" s="264"/>
    </row>
    <row r="5921" spans="5:7">
      <c r="E5921" s="264"/>
      <c r="G5921" s="264"/>
    </row>
    <row r="5922" spans="5:7">
      <c r="E5922" s="264"/>
      <c r="G5922" s="264"/>
    </row>
    <row r="5923" spans="5:7">
      <c r="E5923" s="264"/>
      <c r="G5923" s="264"/>
    </row>
    <row r="5924" spans="5:7">
      <c r="E5924" s="264"/>
      <c r="G5924" s="264"/>
    </row>
    <row r="5925" spans="5:7">
      <c r="E5925" s="264"/>
      <c r="G5925" s="264"/>
    </row>
    <row r="5926" spans="5:7">
      <c r="E5926" s="264"/>
      <c r="G5926" s="264"/>
    </row>
    <row r="5927" spans="5:7">
      <c r="E5927" s="264"/>
      <c r="G5927" s="264"/>
    </row>
    <row r="5928" spans="5:7">
      <c r="E5928" s="264"/>
      <c r="G5928" s="264"/>
    </row>
    <row r="5929" spans="5:7">
      <c r="E5929" s="264"/>
      <c r="G5929" s="264"/>
    </row>
    <row r="5930" spans="5:7">
      <c r="E5930" s="264"/>
      <c r="G5930" s="264"/>
    </row>
    <row r="5931" spans="5:7">
      <c r="E5931" s="264"/>
      <c r="G5931" s="264"/>
    </row>
    <row r="5932" spans="5:7">
      <c r="E5932" s="264"/>
      <c r="G5932" s="264"/>
    </row>
    <row r="5933" spans="5:7">
      <c r="E5933" s="264"/>
      <c r="G5933" s="264"/>
    </row>
    <row r="5934" spans="5:7">
      <c r="E5934" s="264"/>
      <c r="G5934" s="264"/>
    </row>
    <row r="5935" spans="5:7">
      <c r="E5935" s="264"/>
      <c r="G5935" s="264"/>
    </row>
    <row r="5936" spans="5:7">
      <c r="E5936" s="264"/>
      <c r="G5936" s="264"/>
    </row>
    <row r="5937" spans="5:7">
      <c r="E5937" s="264"/>
      <c r="G5937" s="264"/>
    </row>
    <row r="5938" spans="5:7">
      <c r="E5938" s="264"/>
      <c r="G5938" s="264"/>
    </row>
    <row r="5939" spans="5:7">
      <c r="E5939" s="264"/>
      <c r="G5939" s="264"/>
    </row>
    <row r="5940" spans="5:7">
      <c r="E5940" s="264"/>
      <c r="G5940" s="264"/>
    </row>
    <row r="5941" spans="5:7">
      <c r="E5941" s="264"/>
      <c r="G5941" s="264"/>
    </row>
    <row r="5942" spans="5:7">
      <c r="E5942" s="264"/>
      <c r="G5942" s="264"/>
    </row>
    <row r="5943" spans="5:7">
      <c r="E5943" s="264"/>
      <c r="G5943" s="264"/>
    </row>
    <row r="5944" spans="5:7">
      <c r="E5944" s="264"/>
      <c r="G5944" s="264"/>
    </row>
    <row r="5945" spans="5:7">
      <c r="E5945" s="264"/>
      <c r="G5945" s="264"/>
    </row>
    <row r="5946" spans="5:7">
      <c r="E5946" s="264"/>
      <c r="G5946" s="264"/>
    </row>
    <row r="5947" spans="5:7">
      <c r="E5947" s="264"/>
      <c r="G5947" s="264"/>
    </row>
    <row r="5948" spans="5:7">
      <c r="E5948" s="264"/>
      <c r="G5948" s="264"/>
    </row>
    <row r="5949" spans="5:7">
      <c r="E5949" s="264"/>
      <c r="G5949" s="264"/>
    </row>
    <row r="5950" spans="5:7">
      <c r="E5950" s="264"/>
      <c r="G5950" s="264"/>
    </row>
    <row r="5951" spans="5:7">
      <c r="E5951" s="264"/>
      <c r="G5951" s="264"/>
    </row>
    <row r="5952" spans="5:7">
      <c r="E5952" s="264"/>
      <c r="G5952" s="264"/>
    </row>
    <row r="5953" spans="5:7">
      <c r="E5953" s="264"/>
      <c r="G5953" s="264"/>
    </row>
    <row r="5954" spans="5:7">
      <c r="E5954" s="264"/>
      <c r="G5954" s="264"/>
    </row>
    <row r="5955" spans="5:7">
      <c r="E5955" s="264"/>
      <c r="G5955" s="264"/>
    </row>
    <row r="5956" spans="5:7">
      <c r="E5956" s="264"/>
      <c r="G5956" s="264"/>
    </row>
    <row r="5957" spans="5:7">
      <c r="E5957" s="264"/>
      <c r="G5957" s="264"/>
    </row>
    <row r="5958" spans="5:7">
      <c r="E5958" s="264"/>
      <c r="G5958" s="264"/>
    </row>
    <row r="5959" spans="5:7">
      <c r="E5959" s="264"/>
      <c r="G5959" s="264"/>
    </row>
    <row r="5960" spans="5:7">
      <c r="E5960" s="264"/>
      <c r="G5960" s="264"/>
    </row>
    <row r="5961" spans="5:7">
      <c r="E5961" s="264"/>
      <c r="G5961" s="264"/>
    </row>
    <row r="5962" spans="5:7">
      <c r="E5962" s="264"/>
      <c r="G5962" s="264"/>
    </row>
    <row r="5963" spans="5:7">
      <c r="E5963" s="264"/>
      <c r="G5963" s="264"/>
    </row>
    <row r="5964" spans="5:7">
      <c r="E5964" s="264"/>
      <c r="G5964" s="264"/>
    </row>
    <row r="5965" spans="5:7">
      <c r="E5965" s="264"/>
      <c r="G5965" s="264"/>
    </row>
    <row r="5966" spans="5:7">
      <c r="E5966" s="264"/>
      <c r="G5966" s="264"/>
    </row>
    <row r="5967" spans="5:7">
      <c r="E5967" s="264"/>
      <c r="G5967" s="264"/>
    </row>
    <row r="5968" spans="5:7">
      <c r="E5968" s="264"/>
      <c r="G5968" s="264"/>
    </row>
    <row r="5969" spans="5:7">
      <c r="E5969" s="264"/>
      <c r="G5969" s="264"/>
    </row>
    <row r="5970" spans="5:7">
      <c r="E5970" s="264"/>
      <c r="G5970" s="264"/>
    </row>
    <row r="5971" spans="5:7">
      <c r="E5971" s="264"/>
      <c r="G5971" s="264"/>
    </row>
    <row r="5972" spans="5:7">
      <c r="E5972" s="264"/>
      <c r="G5972" s="264"/>
    </row>
    <row r="5973" spans="5:7">
      <c r="E5973" s="264"/>
      <c r="G5973" s="264"/>
    </row>
    <row r="5974" spans="5:7">
      <c r="E5974" s="264"/>
      <c r="G5974" s="264"/>
    </row>
    <row r="5975" spans="5:7">
      <c r="E5975" s="264"/>
      <c r="G5975" s="264"/>
    </row>
    <row r="5976" spans="5:7">
      <c r="E5976" s="264"/>
      <c r="G5976" s="264"/>
    </row>
    <row r="5977" spans="5:7">
      <c r="E5977" s="264"/>
      <c r="G5977" s="264"/>
    </row>
    <row r="5978" spans="5:7">
      <c r="E5978" s="264"/>
      <c r="G5978" s="264"/>
    </row>
    <row r="5979" spans="5:7">
      <c r="E5979" s="264"/>
      <c r="G5979" s="264"/>
    </row>
    <row r="5980" spans="5:7">
      <c r="E5980" s="264"/>
      <c r="G5980" s="264"/>
    </row>
    <row r="5981" spans="5:7">
      <c r="E5981" s="264"/>
      <c r="G5981" s="264"/>
    </row>
    <row r="5982" spans="5:7">
      <c r="E5982" s="264"/>
      <c r="G5982" s="264"/>
    </row>
    <row r="5983" spans="5:7">
      <c r="E5983" s="264"/>
      <c r="G5983" s="264"/>
    </row>
    <row r="5984" spans="5:7">
      <c r="E5984" s="264"/>
      <c r="G5984" s="264"/>
    </row>
    <row r="5985" spans="5:7">
      <c r="E5985" s="264"/>
      <c r="G5985" s="264"/>
    </row>
    <row r="5986" spans="5:7">
      <c r="E5986" s="264"/>
      <c r="G5986" s="264"/>
    </row>
    <row r="5987" spans="5:7">
      <c r="E5987" s="264"/>
      <c r="G5987" s="264"/>
    </row>
    <row r="5988" spans="5:7">
      <c r="E5988" s="264"/>
      <c r="G5988" s="264"/>
    </row>
    <row r="5989" spans="5:7">
      <c r="E5989" s="264"/>
      <c r="G5989" s="264"/>
    </row>
    <row r="5990" spans="5:7">
      <c r="E5990" s="264"/>
      <c r="G5990" s="264"/>
    </row>
    <row r="5991" spans="5:7">
      <c r="E5991" s="264"/>
      <c r="G5991" s="264"/>
    </row>
    <row r="5992" spans="5:7">
      <c r="E5992" s="264"/>
      <c r="G5992" s="264"/>
    </row>
    <row r="5993" spans="5:7">
      <c r="E5993" s="264"/>
      <c r="G5993" s="264"/>
    </row>
    <row r="5994" spans="5:7">
      <c r="E5994" s="264"/>
      <c r="G5994" s="264"/>
    </row>
    <row r="5995" spans="5:7">
      <c r="E5995" s="264"/>
      <c r="G5995" s="264"/>
    </row>
    <row r="5996" spans="5:7">
      <c r="E5996" s="264"/>
      <c r="G5996" s="264"/>
    </row>
    <row r="5997" spans="5:7">
      <c r="E5997" s="264"/>
      <c r="G5997" s="264"/>
    </row>
    <row r="5998" spans="5:7">
      <c r="E5998" s="264"/>
      <c r="G5998" s="264"/>
    </row>
    <row r="5999" spans="5:7">
      <c r="E5999" s="264"/>
      <c r="G5999" s="264"/>
    </row>
    <row r="6000" spans="5:7">
      <c r="E6000" s="264"/>
      <c r="G6000" s="264"/>
    </row>
    <row r="6001" spans="5:7">
      <c r="E6001" s="264"/>
      <c r="G6001" s="264"/>
    </row>
    <row r="6002" spans="5:7">
      <c r="E6002" s="264"/>
      <c r="G6002" s="264"/>
    </row>
    <row r="6003" spans="5:7">
      <c r="E6003" s="264"/>
      <c r="G6003" s="264"/>
    </row>
    <row r="6004" spans="5:7">
      <c r="E6004" s="264"/>
      <c r="G6004" s="264"/>
    </row>
    <row r="6005" spans="5:7">
      <c r="E6005" s="264"/>
      <c r="G6005" s="264"/>
    </row>
    <row r="6006" spans="5:7">
      <c r="E6006" s="264"/>
      <c r="G6006" s="264"/>
    </row>
    <row r="6007" spans="5:7">
      <c r="E6007" s="264"/>
      <c r="G6007" s="264"/>
    </row>
    <row r="6008" spans="5:7">
      <c r="E6008" s="264"/>
      <c r="G6008" s="264"/>
    </row>
    <row r="6009" spans="5:7">
      <c r="E6009" s="264"/>
      <c r="G6009" s="264"/>
    </row>
    <row r="6010" spans="5:7">
      <c r="E6010" s="264"/>
      <c r="G6010" s="264"/>
    </row>
    <row r="6011" spans="5:7">
      <c r="E6011" s="264"/>
      <c r="G6011" s="264"/>
    </row>
    <row r="6012" spans="5:7">
      <c r="E6012" s="264"/>
      <c r="G6012" s="264"/>
    </row>
    <row r="6013" spans="5:7">
      <c r="E6013" s="264"/>
      <c r="G6013" s="264"/>
    </row>
    <row r="6014" spans="5:7">
      <c r="E6014" s="264"/>
      <c r="G6014" s="264"/>
    </row>
    <row r="6015" spans="5:7">
      <c r="E6015" s="264"/>
      <c r="G6015" s="264"/>
    </row>
    <row r="6016" spans="5:7">
      <c r="E6016" s="264"/>
      <c r="G6016" s="264"/>
    </row>
    <row r="6017" spans="5:7">
      <c r="E6017" s="264"/>
      <c r="G6017" s="264"/>
    </row>
    <row r="6018" spans="5:7">
      <c r="E6018" s="264"/>
      <c r="G6018" s="264"/>
    </row>
    <row r="6019" spans="5:7">
      <c r="E6019" s="264"/>
      <c r="G6019" s="264"/>
    </row>
    <row r="6020" spans="5:7">
      <c r="E6020" s="264"/>
      <c r="G6020" s="264"/>
    </row>
    <row r="6021" spans="5:7">
      <c r="E6021" s="264"/>
      <c r="G6021" s="264"/>
    </row>
    <row r="6022" spans="5:7">
      <c r="E6022" s="264"/>
      <c r="G6022" s="264"/>
    </row>
    <row r="6023" spans="5:7">
      <c r="E6023" s="264"/>
      <c r="G6023" s="264"/>
    </row>
    <row r="6024" spans="5:7">
      <c r="E6024" s="264"/>
      <c r="G6024" s="264"/>
    </row>
    <row r="6025" spans="5:7">
      <c r="E6025" s="264"/>
      <c r="G6025" s="264"/>
    </row>
    <row r="6026" spans="5:7">
      <c r="E6026" s="264"/>
      <c r="G6026" s="264"/>
    </row>
    <row r="6027" spans="5:7">
      <c r="E6027" s="264"/>
      <c r="G6027" s="264"/>
    </row>
    <row r="6028" spans="5:7">
      <c r="E6028" s="264"/>
      <c r="G6028" s="264"/>
    </row>
    <row r="6029" spans="5:7">
      <c r="E6029" s="264"/>
      <c r="G6029" s="264"/>
    </row>
    <row r="6030" spans="5:7">
      <c r="E6030" s="264"/>
      <c r="G6030" s="264"/>
    </row>
    <row r="6031" spans="5:7">
      <c r="E6031" s="264"/>
      <c r="G6031" s="264"/>
    </row>
    <row r="6032" spans="5:7">
      <c r="E6032" s="264"/>
      <c r="G6032" s="264"/>
    </row>
    <row r="6033" spans="5:7">
      <c r="E6033" s="264"/>
      <c r="G6033" s="264"/>
    </row>
    <row r="6034" spans="5:7">
      <c r="E6034" s="264"/>
      <c r="G6034" s="264"/>
    </row>
    <row r="6035" spans="5:7">
      <c r="E6035" s="264"/>
      <c r="G6035" s="264"/>
    </row>
    <row r="6036" spans="5:7">
      <c r="E6036" s="264"/>
      <c r="G6036" s="264"/>
    </row>
    <row r="6037" spans="5:7">
      <c r="E6037" s="264"/>
      <c r="G6037" s="264"/>
    </row>
    <row r="6038" spans="5:7">
      <c r="E6038" s="264"/>
      <c r="G6038" s="264"/>
    </row>
    <row r="6039" spans="5:7">
      <c r="E6039" s="264"/>
      <c r="G6039" s="264"/>
    </row>
    <row r="6040" spans="5:7">
      <c r="E6040" s="264"/>
      <c r="G6040" s="264"/>
    </row>
    <row r="6041" spans="5:7">
      <c r="E6041" s="264"/>
      <c r="G6041" s="264"/>
    </row>
    <row r="6042" spans="5:7">
      <c r="E6042" s="264"/>
      <c r="G6042" s="264"/>
    </row>
    <row r="6043" spans="5:7">
      <c r="E6043" s="264"/>
      <c r="G6043" s="264"/>
    </row>
    <row r="6044" spans="5:7">
      <c r="E6044" s="264"/>
      <c r="G6044" s="264"/>
    </row>
    <row r="6045" spans="5:7">
      <c r="E6045" s="264"/>
      <c r="G6045" s="264"/>
    </row>
    <row r="6046" spans="5:7">
      <c r="E6046" s="264"/>
      <c r="G6046" s="264"/>
    </row>
    <row r="6047" spans="5:7">
      <c r="E6047" s="264"/>
      <c r="G6047" s="264"/>
    </row>
    <row r="6048" spans="5:7">
      <c r="E6048" s="264"/>
      <c r="G6048" s="264"/>
    </row>
    <row r="6049" spans="5:7">
      <c r="E6049" s="264"/>
      <c r="G6049" s="264"/>
    </row>
    <row r="6050" spans="5:7">
      <c r="E6050" s="264"/>
      <c r="G6050" s="264"/>
    </row>
    <row r="6051" spans="5:7">
      <c r="E6051" s="264"/>
      <c r="G6051" s="264"/>
    </row>
    <row r="6052" spans="5:7">
      <c r="E6052" s="264"/>
      <c r="G6052" s="264"/>
    </row>
    <row r="6053" spans="5:7">
      <c r="E6053" s="264"/>
      <c r="G6053" s="264"/>
    </row>
    <row r="6054" spans="5:7">
      <c r="E6054" s="264"/>
      <c r="G6054" s="264"/>
    </row>
    <row r="6055" spans="5:7">
      <c r="E6055" s="264"/>
      <c r="G6055" s="264"/>
    </row>
    <row r="6056" spans="5:7">
      <c r="E6056" s="264"/>
      <c r="G6056" s="264"/>
    </row>
    <row r="6057" spans="5:7">
      <c r="E6057" s="264"/>
      <c r="G6057" s="264"/>
    </row>
    <row r="6058" spans="5:7">
      <c r="E6058" s="264"/>
      <c r="G6058" s="264"/>
    </row>
    <row r="6059" spans="5:7">
      <c r="E6059" s="264"/>
      <c r="G6059" s="264"/>
    </row>
    <row r="6060" spans="5:7">
      <c r="E6060" s="264"/>
      <c r="G6060" s="264"/>
    </row>
    <row r="6061" spans="5:7">
      <c r="E6061" s="264"/>
      <c r="G6061" s="264"/>
    </row>
    <row r="6062" spans="5:7">
      <c r="E6062" s="264"/>
      <c r="G6062" s="264"/>
    </row>
    <row r="6063" spans="5:7">
      <c r="E6063" s="264"/>
      <c r="G6063" s="264"/>
    </row>
    <row r="6064" spans="5:7">
      <c r="E6064" s="264"/>
      <c r="G6064" s="264"/>
    </row>
    <row r="6065" spans="5:7">
      <c r="E6065" s="264"/>
      <c r="G6065" s="264"/>
    </row>
    <row r="6066" spans="5:7">
      <c r="E6066" s="264"/>
      <c r="G6066" s="264"/>
    </row>
    <row r="6067" spans="5:7">
      <c r="E6067" s="264"/>
      <c r="G6067" s="264"/>
    </row>
    <row r="6068" spans="5:7">
      <c r="E6068" s="264"/>
      <c r="G6068" s="264"/>
    </row>
    <row r="6069" spans="5:7">
      <c r="E6069" s="264"/>
      <c r="G6069" s="264"/>
    </row>
    <row r="6070" spans="5:7">
      <c r="E6070" s="264"/>
      <c r="G6070" s="264"/>
    </row>
    <row r="6071" spans="5:7">
      <c r="E6071" s="264"/>
      <c r="G6071" s="264"/>
    </row>
    <row r="6072" spans="5:7">
      <c r="E6072" s="264"/>
      <c r="G6072" s="264"/>
    </row>
    <row r="6073" spans="5:7">
      <c r="E6073" s="264"/>
      <c r="G6073" s="264"/>
    </row>
    <row r="6074" spans="5:7">
      <c r="E6074" s="264"/>
      <c r="G6074" s="264"/>
    </row>
    <row r="6075" spans="5:7">
      <c r="E6075" s="264"/>
      <c r="G6075" s="264"/>
    </row>
    <row r="6076" spans="5:7">
      <c r="E6076" s="264"/>
      <c r="G6076" s="264"/>
    </row>
    <row r="6077" spans="5:7">
      <c r="E6077" s="264"/>
      <c r="G6077" s="264"/>
    </row>
    <row r="6078" spans="5:7">
      <c r="E6078" s="264"/>
      <c r="G6078" s="264"/>
    </row>
    <row r="6079" spans="5:7">
      <c r="E6079" s="264"/>
      <c r="G6079" s="264"/>
    </row>
    <row r="6080" spans="5:7">
      <c r="E6080" s="264"/>
      <c r="G6080" s="264"/>
    </row>
    <row r="6081" spans="5:7">
      <c r="E6081" s="264"/>
      <c r="G6081" s="264"/>
    </row>
    <row r="6082" spans="5:7">
      <c r="E6082" s="264"/>
      <c r="G6082" s="264"/>
    </row>
    <row r="6083" spans="5:7">
      <c r="E6083" s="264"/>
      <c r="G6083" s="264"/>
    </row>
    <row r="6084" spans="5:7">
      <c r="E6084" s="264"/>
      <c r="G6084" s="264"/>
    </row>
    <row r="6085" spans="5:7">
      <c r="E6085" s="264"/>
      <c r="G6085" s="264"/>
    </row>
    <row r="6086" spans="5:7">
      <c r="E6086" s="264"/>
      <c r="G6086" s="264"/>
    </row>
    <row r="6087" spans="5:7">
      <c r="E6087" s="264"/>
      <c r="G6087" s="264"/>
    </row>
    <row r="6088" spans="5:7">
      <c r="E6088" s="264"/>
      <c r="G6088" s="264"/>
    </row>
    <row r="6089" spans="5:7">
      <c r="E6089" s="264"/>
      <c r="G6089" s="264"/>
    </row>
    <row r="6090" spans="5:7">
      <c r="E6090" s="264"/>
      <c r="G6090" s="264"/>
    </row>
    <row r="6091" spans="5:7">
      <c r="E6091" s="264"/>
      <c r="G6091" s="264"/>
    </row>
    <row r="6092" spans="5:7">
      <c r="E6092" s="264"/>
      <c r="G6092" s="264"/>
    </row>
    <row r="6093" spans="5:7">
      <c r="E6093" s="264"/>
      <c r="G6093" s="264"/>
    </row>
    <row r="6094" spans="5:7">
      <c r="E6094" s="264"/>
      <c r="G6094" s="264"/>
    </row>
    <row r="6095" spans="5:7">
      <c r="E6095" s="264"/>
      <c r="G6095" s="264"/>
    </row>
    <row r="6096" spans="5:7">
      <c r="E6096" s="264"/>
      <c r="G6096" s="264"/>
    </row>
    <row r="6097" spans="5:7">
      <c r="E6097" s="264"/>
      <c r="G6097" s="264"/>
    </row>
    <row r="6098" spans="5:7">
      <c r="E6098" s="264"/>
      <c r="G6098" s="264"/>
    </row>
    <row r="6099" spans="5:7">
      <c r="E6099" s="264"/>
      <c r="G6099" s="264"/>
    </row>
    <row r="6100" spans="5:7">
      <c r="E6100" s="264"/>
      <c r="G6100" s="264"/>
    </row>
    <row r="6101" spans="5:7">
      <c r="E6101" s="264"/>
      <c r="G6101" s="264"/>
    </row>
    <row r="6102" spans="5:7">
      <c r="E6102" s="264"/>
      <c r="G6102" s="264"/>
    </row>
    <row r="6103" spans="5:7">
      <c r="E6103" s="264"/>
      <c r="G6103" s="264"/>
    </row>
    <row r="6104" spans="5:7">
      <c r="E6104" s="264"/>
      <c r="G6104" s="264"/>
    </row>
    <row r="6105" spans="5:7">
      <c r="E6105" s="264"/>
      <c r="G6105" s="264"/>
    </row>
    <row r="6106" spans="5:7">
      <c r="E6106" s="264"/>
      <c r="G6106" s="264"/>
    </row>
    <row r="6107" spans="5:7">
      <c r="E6107" s="264"/>
      <c r="G6107" s="264"/>
    </row>
    <row r="6108" spans="5:7">
      <c r="E6108" s="264"/>
      <c r="G6108" s="264"/>
    </row>
    <row r="6109" spans="5:7">
      <c r="E6109" s="264"/>
      <c r="G6109" s="264"/>
    </row>
    <row r="6110" spans="5:7">
      <c r="E6110" s="264"/>
      <c r="G6110" s="264"/>
    </row>
    <row r="6111" spans="5:7">
      <c r="E6111" s="264"/>
      <c r="G6111" s="264"/>
    </row>
    <row r="6112" spans="5:7">
      <c r="E6112" s="264"/>
      <c r="G6112" s="264"/>
    </row>
    <row r="6113" spans="5:7">
      <c r="E6113" s="264"/>
      <c r="G6113" s="264"/>
    </row>
    <row r="6114" spans="5:7">
      <c r="E6114" s="264"/>
      <c r="G6114" s="264"/>
    </row>
    <row r="6115" spans="5:7">
      <c r="E6115" s="264"/>
      <c r="G6115" s="264"/>
    </row>
    <row r="6116" spans="5:7">
      <c r="E6116" s="264"/>
      <c r="G6116" s="264"/>
    </row>
    <row r="6117" spans="5:7">
      <c r="E6117" s="264"/>
      <c r="G6117" s="264"/>
    </row>
    <row r="6118" spans="5:7">
      <c r="E6118" s="264"/>
      <c r="G6118" s="264"/>
    </row>
    <row r="6119" spans="5:7">
      <c r="E6119" s="264"/>
      <c r="G6119" s="264"/>
    </row>
    <row r="6120" spans="5:7">
      <c r="E6120" s="264"/>
      <c r="G6120" s="264"/>
    </row>
    <row r="6121" spans="5:7">
      <c r="E6121" s="264"/>
      <c r="G6121" s="264"/>
    </row>
    <row r="6122" spans="5:7">
      <c r="E6122" s="264"/>
      <c r="G6122" s="264"/>
    </row>
    <row r="6123" spans="5:7">
      <c r="E6123" s="264"/>
      <c r="G6123" s="264"/>
    </row>
    <row r="6124" spans="5:7">
      <c r="E6124" s="264"/>
      <c r="G6124" s="264"/>
    </row>
    <row r="6125" spans="5:7">
      <c r="E6125" s="264"/>
      <c r="G6125" s="264"/>
    </row>
    <row r="6126" spans="5:7">
      <c r="E6126" s="264"/>
      <c r="G6126" s="264"/>
    </row>
    <row r="6127" spans="5:7">
      <c r="E6127" s="264"/>
      <c r="G6127" s="264"/>
    </row>
    <row r="6128" spans="5:7">
      <c r="E6128" s="264"/>
      <c r="G6128" s="264"/>
    </row>
    <row r="6129" spans="5:7">
      <c r="E6129" s="264"/>
      <c r="G6129" s="264"/>
    </row>
    <row r="6130" spans="5:7">
      <c r="E6130" s="264"/>
      <c r="G6130" s="264"/>
    </row>
    <row r="6131" spans="5:7">
      <c r="E6131" s="264"/>
      <c r="G6131" s="264"/>
    </row>
    <row r="6132" spans="5:7">
      <c r="E6132" s="264"/>
      <c r="G6132" s="264"/>
    </row>
    <row r="6133" spans="5:7">
      <c r="E6133" s="264"/>
      <c r="G6133" s="264"/>
    </row>
    <row r="6134" spans="5:7">
      <c r="E6134" s="264"/>
      <c r="G6134" s="264"/>
    </row>
    <row r="6135" spans="5:7">
      <c r="E6135" s="264"/>
      <c r="G6135" s="264"/>
    </row>
    <row r="6136" spans="5:7">
      <c r="E6136" s="264"/>
      <c r="G6136" s="264"/>
    </row>
    <row r="6137" spans="5:7">
      <c r="E6137" s="264"/>
      <c r="G6137" s="264"/>
    </row>
    <row r="6138" spans="5:7">
      <c r="E6138" s="264"/>
      <c r="G6138" s="264"/>
    </row>
    <row r="6139" spans="5:7">
      <c r="E6139" s="264"/>
      <c r="G6139" s="264"/>
    </row>
    <row r="6140" spans="5:7">
      <c r="E6140" s="264"/>
      <c r="G6140" s="264"/>
    </row>
    <row r="6141" spans="5:7">
      <c r="E6141" s="264"/>
      <c r="G6141" s="264"/>
    </row>
    <row r="6142" spans="5:7">
      <c r="E6142" s="264"/>
      <c r="G6142" s="264"/>
    </row>
    <row r="6143" spans="5:7">
      <c r="E6143" s="264"/>
      <c r="G6143" s="264"/>
    </row>
    <row r="6144" spans="5:7">
      <c r="E6144" s="264"/>
      <c r="G6144" s="264"/>
    </row>
    <row r="6145" spans="5:7">
      <c r="E6145" s="264"/>
      <c r="G6145" s="264"/>
    </row>
    <row r="6146" spans="5:7">
      <c r="E6146" s="264"/>
      <c r="G6146" s="264"/>
    </row>
    <row r="6147" spans="5:7">
      <c r="E6147" s="264"/>
      <c r="G6147" s="264"/>
    </row>
    <row r="6148" spans="5:7">
      <c r="E6148" s="264"/>
      <c r="G6148" s="264"/>
    </row>
    <row r="6149" spans="5:7">
      <c r="E6149" s="264"/>
      <c r="G6149" s="264"/>
    </row>
    <row r="6150" spans="5:7">
      <c r="E6150" s="264"/>
      <c r="G6150" s="264"/>
    </row>
    <row r="6151" spans="5:7">
      <c r="E6151" s="264"/>
      <c r="G6151" s="264"/>
    </row>
    <row r="6152" spans="5:7">
      <c r="E6152" s="264"/>
      <c r="G6152" s="264"/>
    </row>
    <row r="6153" spans="5:7">
      <c r="E6153" s="264"/>
      <c r="G6153" s="264"/>
    </row>
    <row r="6154" spans="5:7">
      <c r="E6154" s="264"/>
      <c r="G6154" s="264"/>
    </row>
    <row r="6155" spans="5:7">
      <c r="E6155" s="264"/>
      <c r="G6155" s="264"/>
    </row>
    <row r="6156" spans="5:7">
      <c r="E6156" s="264"/>
      <c r="G6156" s="264"/>
    </row>
    <row r="6157" spans="5:7">
      <c r="E6157" s="264"/>
      <c r="G6157" s="264"/>
    </row>
    <row r="6158" spans="5:7">
      <c r="E6158" s="264"/>
      <c r="G6158" s="264"/>
    </row>
    <row r="6159" spans="5:7">
      <c r="E6159" s="264"/>
      <c r="G6159" s="264"/>
    </row>
    <row r="6160" spans="5:7">
      <c r="E6160" s="264"/>
      <c r="G6160" s="264"/>
    </row>
    <row r="6161" spans="5:7">
      <c r="E6161" s="264"/>
      <c r="G6161" s="264"/>
    </row>
    <row r="6162" spans="5:7">
      <c r="E6162" s="264"/>
      <c r="G6162" s="264"/>
    </row>
    <row r="6163" spans="5:7">
      <c r="E6163" s="264"/>
      <c r="G6163" s="264"/>
    </row>
    <row r="6164" spans="5:7">
      <c r="E6164" s="264"/>
      <c r="G6164" s="264"/>
    </row>
    <row r="6165" spans="5:7">
      <c r="E6165" s="264"/>
      <c r="G6165" s="264"/>
    </row>
    <row r="6166" spans="5:7">
      <c r="E6166" s="264"/>
      <c r="G6166" s="264"/>
    </row>
    <row r="6167" spans="5:7">
      <c r="E6167" s="264"/>
      <c r="G6167" s="264"/>
    </row>
    <row r="6168" spans="5:7">
      <c r="E6168" s="264"/>
      <c r="G6168" s="264"/>
    </row>
    <row r="6169" spans="5:7">
      <c r="E6169" s="264"/>
      <c r="G6169" s="264"/>
    </row>
    <row r="6170" spans="5:7">
      <c r="E6170" s="264"/>
      <c r="G6170" s="264"/>
    </row>
    <row r="6171" spans="5:7">
      <c r="E6171" s="264"/>
      <c r="G6171" s="264"/>
    </row>
    <row r="6172" spans="5:7">
      <c r="E6172" s="264"/>
      <c r="G6172" s="264"/>
    </row>
    <row r="6173" spans="5:7">
      <c r="E6173" s="264"/>
      <c r="G6173" s="264"/>
    </row>
    <row r="6174" spans="5:7">
      <c r="E6174" s="264"/>
      <c r="G6174" s="264"/>
    </row>
    <row r="6175" spans="5:7">
      <c r="E6175" s="264"/>
      <c r="G6175" s="264"/>
    </row>
    <row r="6176" spans="5:7">
      <c r="E6176" s="264"/>
      <c r="G6176" s="264"/>
    </row>
    <row r="6177" spans="5:7">
      <c r="E6177" s="264"/>
      <c r="G6177" s="264"/>
    </row>
    <row r="6178" spans="5:7">
      <c r="E6178" s="264"/>
      <c r="G6178" s="264"/>
    </row>
    <row r="6179" spans="5:7">
      <c r="E6179" s="264"/>
      <c r="G6179" s="264"/>
    </row>
    <row r="6180" spans="5:7">
      <c r="E6180" s="264"/>
      <c r="G6180" s="264"/>
    </row>
    <row r="6181" spans="5:7">
      <c r="E6181" s="264"/>
      <c r="G6181" s="264"/>
    </row>
    <row r="6182" spans="5:7">
      <c r="E6182" s="264"/>
      <c r="G6182" s="264"/>
    </row>
    <row r="6183" spans="5:7">
      <c r="E6183" s="264"/>
      <c r="G6183" s="264"/>
    </row>
    <row r="6184" spans="5:7">
      <c r="E6184" s="264"/>
      <c r="G6184" s="264"/>
    </row>
    <row r="6185" spans="5:7">
      <c r="E6185" s="264"/>
      <c r="G6185" s="264"/>
    </row>
    <row r="6186" spans="5:7">
      <c r="E6186" s="264"/>
      <c r="G6186" s="264"/>
    </row>
    <row r="6187" spans="5:7">
      <c r="E6187" s="264"/>
      <c r="G6187" s="264"/>
    </row>
    <row r="6188" spans="5:7">
      <c r="E6188" s="264"/>
      <c r="G6188" s="264"/>
    </row>
    <row r="6189" spans="5:7">
      <c r="E6189" s="264"/>
      <c r="G6189" s="264"/>
    </row>
    <row r="6190" spans="5:7">
      <c r="E6190" s="264"/>
      <c r="G6190" s="264"/>
    </row>
    <row r="6191" spans="5:7">
      <c r="E6191" s="264"/>
      <c r="G6191" s="264"/>
    </row>
    <row r="6192" spans="5:7">
      <c r="E6192" s="264"/>
      <c r="G6192" s="264"/>
    </row>
    <row r="6193" spans="5:7">
      <c r="E6193" s="264"/>
      <c r="G6193" s="264"/>
    </row>
    <row r="6194" spans="5:7">
      <c r="E6194" s="264"/>
      <c r="G6194" s="264"/>
    </row>
    <row r="6195" spans="5:7">
      <c r="E6195" s="264"/>
      <c r="G6195" s="264"/>
    </row>
    <row r="6196" spans="5:7">
      <c r="E6196" s="264"/>
      <c r="G6196" s="264"/>
    </row>
    <row r="6197" spans="5:7">
      <c r="E6197" s="264"/>
      <c r="G6197" s="264"/>
    </row>
    <row r="6198" spans="5:7">
      <c r="E6198" s="264"/>
      <c r="G6198" s="264"/>
    </row>
    <row r="6199" spans="5:7">
      <c r="E6199" s="264"/>
      <c r="G6199" s="264"/>
    </row>
    <row r="6200" spans="5:7">
      <c r="E6200" s="264"/>
      <c r="G6200" s="264"/>
    </row>
    <row r="6201" spans="5:7">
      <c r="E6201" s="264"/>
      <c r="G6201" s="264"/>
    </row>
    <row r="6202" spans="5:7">
      <c r="E6202" s="264"/>
      <c r="G6202" s="264"/>
    </row>
    <row r="6203" spans="5:7">
      <c r="E6203" s="264"/>
      <c r="G6203" s="264"/>
    </row>
    <row r="6204" spans="5:7">
      <c r="E6204" s="264"/>
      <c r="G6204" s="264"/>
    </row>
    <row r="6205" spans="5:7">
      <c r="E6205" s="264"/>
      <c r="G6205" s="264"/>
    </row>
    <row r="6206" spans="5:7">
      <c r="E6206" s="264"/>
      <c r="G6206" s="264"/>
    </row>
    <row r="6207" spans="5:7">
      <c r="E6207" s="264"/>
      <c r="G6207" s="264"/>
    </row>
    <row r="6208" spans="5:7">
      <c r="E6208" s="264"/>
      <c r="G6208" s="264"/>
    </row>
    <row r="6209" spans="5:7">
      <c r="E6209" s="264"/>
      <c r="G6209" s="264"/>
    </row>
    <row r="6210" spans="5:7">
      <c r="E6210" s="264"/>
      <c r="G6210" s="264"/>
    </row>
    <row r="6211" spans="5:7">
      <c r="E6211" s="264"/>
      <c r="G6211" s="264"/>
    </row>
    <row r="6212" spans="5:7">
      <c r="E6212" s="264"/>
      <c r="G6212" s="264"/>
    </row>
    <row r="6213" spans="5:7">
      <c r="E6213" s="264"/>
      <c r="G6213" s="264"/>
    </row>
    <row r="6214" spans="5:7">
      <c r="E6214" s="264"/>
      <c r="G6214" s="264"/>
    </row>
    <row r="6215" spans="5:7">
      <c r="E6215" s="264"/>
      <c r="G6215" s="264"/>
    </row>
    <row r="6216" spans="5:7">
      <c r="E6216" s="264"/>
      <c r="G6216" s="264"/>
    </row>
    <row r="6217" spans="5:7">
      <c r="E6217" s="264"/>
      <c r="G6217" s="264"/>
    </row>
    <row r="6218" spans="5:7">
      <c r="E6218" s="264"/>
      <c r="G6218" s="264"/>
    </row>
    <row r="6219" spans="5:7">
      <c r="E6219" s="264"/>
      <c r="G6219" s="264"/>
    </row>
    <row r="6220" spans="5:7">
      <c r="E6220" s="264"/>
      <c r="G6220" s="264"/>
    </row>
    <row r="6221" spans="5:7">
      <c r="E6221" s="264"/>
      <c r="G6221" s="264"/>
    </row>
    <row r="6222" spans="5:7">
      <c r="E6222" s="264"/>
      <c r="G6222" s="264"/>
    </row>
    <row r="6223" spans="5:7">
      <c r="E6223" s="264"/>
      <c r="G6223" s="264"/>
    </row>
    <row r="6224" spans="5:7">
      <c r="E6224" s="264"/>
      <c r="G6224" s="264"/>
    </row>
    <row r="6225" spans="5:7">
      <c r="E6225" s="264"/>
      <c r="G6225" s="264"/>
    </row>
    <row r="6226" spans="5:7">
      <c r="E6226" s="264"/>
      <c r="G6226" s="264"/>
    </row>
    <row r="6227" spans="5:7">
      <c r="E6227" s="264"/>
      <c r="G6227" s="264"/>
    </row>
    <row r="6228" spans="5:7">
      <c r="E6228" s="264"/>
      <c r="G6228" s="264"/>
    </row>
    <row r="6229" spans="5:7">
      <c r="E6229" s="264"/>
      <c r="G6229" s="264"/>
    </row>
    <row r="6230" spans="5:7">
      <c r="E6230" s="264"/>
      <c r="G6230" s="264"/>
    </row>
    <row r="6231" spans="5:7">
      <c r="E6231" s="264"/>
      <c r="G6231" s="264"/>
    </row>
    <row r="6232" spans="5:7">
      <c r="E6232" s="264"/>
      <c r="G6232" s="264"/>
    </row>
    <row r="6233" spans="5:7">
      <c r="E6233" s="264"/>
      <c r="G6233" s="264"/>
    </row>
    <row r="6234" spans="5:7">
      <c r="E6234" s="264"/>
      <c r="G6234" s="264"/>
    </row>
    <row r="6235" spans="5:7">
      <c r="E6235" s="264"/>
      <c r="G6235" s="264"/>
    </row>
    <row r="6236" spans="5:7">
      <c r="E6236" s="264"/>
      <c r="G6236" s="264"/>
    </row>
    <row r="6237" spans="5:7">
      <c r="E6237" s="264"/>
      <c r="G6237" s="264"/>
    </row>
    <row r="6238" spans="5:7">
      <c r="E6238" s="264"/>
      <c r="G6238" s="264"/>
    </row>
    <row r="6239" spans="5:7">
      <c r="E6239" s="264"/>
      <c r="G6239" s="264"/>
    </row>
    <row r="6240" spans="5:7">
      <c r="E6240" s="264"/>
      <c r="G6240" s="264"/>
    </row>
    <row r="6241" spans="5:7">
      <c r="E6241" s="264"/>
      <c r="G6241" s="264"/>
    </row>
    <row r="6242" spans="5:7">
      <c r="E6242" s="264"/>
      <c r="G6242" s="264"/>
    </row>
    <row r="6243" spans="5:7">
      <c r="E6243" s="264"/>
      <c r="G6243" s="264"/>
    </row>
    <row r="6244" spans="5:7">
      <c r="E6244" s="264"/>
      <c r="G6244" s="264"/>
    </row>
    <row r="6245" spans="5:7">
      <c r="E6245" s="264"/>
      <c r="G6245" s="264"/>
    </row>
    <row r="6246" spans="5:7">
      <c r="E6246" s="264"/>
      <c r="G6246" s="264"/>
    </row>
    <row r="6247" spans="5:7">
      <c r="E6247" s="264"/>
      <c r="G6247" s="264"/>
    </row>
    <row r="6248" spans="5:7">
      <c r="E6248" s="264"/>
      <c r="G6248" s="264"/>
    </row>
    <row r="6249" spans="5:7">
      <c r="E6249" s="264"/>
      <c r="G6249" s="264"/>
    </row>
    <row r="6250" spans="5:7">
      <c r="E6250" s="264"/>
      <c r="G6250" s="264"/>
    </row>
    <row r="6251" spans="5:7">
      <c r="E6251" s="264"/>
      <c r="G6251" s="264"/>
    </row>
    <row r="6252" spans="5:7">
      <c r="E6252" s="264"/>
      <c r="G6252" s="264"/>
    </row>
    <row r="6253" spans="5:7">
      <c r="E6253" s="264"/>
      <c r="G6253" s="264"/>
    </row>
    <row r="6254" spans="5:7">
      <c r="E6254" s="264"/>
      <c r="G6254" s="264"/>
    </row>
    <row r="6255" spans="5:7">
      <c r="E6255" s="264"/>
      <c r="G6255" s="264"/>
    </row>
    <row r="6256" spans="5:7">
      <c r="E6256" s="264"/>
      <c r="G6256" s="264"/>
    </row>
    <row r="6257" spans="5:7">
      <c r="E6257" s="264"/>
      <c r="G6257" s="264"/>
    </row>
    <row r="6258" spans="5:7">
      <c r="E6258" s="264"/>
      <c r="G6258" s="264"/>
    </row>
    <row r="6259" spans="5:7">
      <c r="E6259" s="264"/>
      <c r="G6259" s="264"/>
    </row>
    <row r="6260" spans="5:7">
      <c r="E6260" s="264"/>
      <c r="G6260" s="264"/>
    </row>
    <row r="6261" spans="5:7">
      <c r="E6261" s="264"/>
      <c r="G6261" s="264"/>
    </row>
    <row r="6262" spans="5:7">
      <c r="E6262" s="264"/>
      <c r="G6262" s="264"/>
    </row>
    <row r="6263" spans="5:7">
      <c r="E6263" s="264"/>
      <c r="G6263" s="264"/>
    </row>
    <row r="6264" spans="5:7">
      <c r="E6264" s="264"/>
      <c r="G6264" s="264"/>
    </row>
    <row r="6265" spans="5:7">
      <c r="E6265" s="264"/>
      <c r="G6265" s="264"/>
    </row>
    <row r="6266" spans="5:7">
      <c r="E6266" s="264"/>
      <c r="G6266" s="264"/>
    </row>
    <row r="6267" spans="5:7">
      <c r="E6267" s="264"/>
      <c r="G6267" s="264"/>
    </row>
    <row r="6268" spans="5:7">
      <c r="E6268" s="264"/>
      <c r="G6268" s="264"/>
    </row>
    <row r="6269" spans="5:7">
      <c r="E6269" s="264"/>
      <c r="G6269" s="264"/>
    </row>
    <row r="6270" spans="5:7">
      <c r="E6270" s="264"/>
      <c r="G6270" s="264"/>
    </row>
    <row r="6271" spans="5:7">
      <c r="E6271" s="264"/>
      <c r="G6271" s="264"/>
    </row>
    <row r="6272" spans="5:7">
      <c r="E6272" s="264"/>
      <c r="G6272" s="264"/>
    </row>
    <row r="6273" spans="5:7">
      <c r="E6273" s="264"/>
      <c r="G6273" s="264"/>
    </row>
    <row r="6274" spans="5:7">
      <c r="E6274" s="264"/>
      <c r="G6274" s="264"/>
    </row>
    <row r="6275" spans="5:7">
      <c r="E6275" s="264"/>
      <c r="G6275" s="264"/>
    </row>
    <row r="6276" spans="5:7">
      <c r="E6276" s="264"/>
      <c r="G6276" s="264"/>
    </row>
    <row r="6277" spans="5:7">
      <c r="E6277" s="264"/>
      <c r="G6277" s="264"/>
    </row>
    <row r="6278" spans="5:7">
      <c r="E6278" s="264"/>
      <c r="G6278" s="264"/>
    </row>
    <row r="6279" spans="5:7">
      <c r="E6279" s="264"/>
      <c r="G6279" s="264"/>
    </row>
    <row r="6280" spans="5:7">
      <c r="E6280" s="264"/>
      <c r="G6280" s="264"/>
    </row>
    <row r="6281" spans="5:7">
      <c r="E6281" s="264"/>
      <c r="G6281" s="264"/>
    </row>
    <row r="6282" spans="5:7">
      <c r="E6282" s="264"/>
      <c r="G6282" s="264"/>
    </row>
    <row r="6283" spans="5:7">
      <c r="E6283" s="264"/>
      <c r="G6283" s="264"/>
    </row>
    <row r="6284" spans="5:7">
      <c r="E6284" s="264"/>
      <c r="G6284" s="264"/>
    </row>
    <row r="6285" spans="5:7">
      <c r="E6285" s="264"/>
      <c r="G6285" s="264"/>
    </row>
    <row r="6286" spans="5:7">
      <c r="E6286" s="264"/>
      <c r="G6286" s="264"/>
    </row>
    <row r="6287" spans="5:7">
      <c r="E6287" s="264"/>
      <c r="G6287" s="264"/>
    </row>
    <row r="6288" spans="5:7">
      <c r="E6288" s="264"/>
      <c r="G6288" s="264"/>
    </row>
    <row r="6289" spans="5:7">
      <c r="E6289" s="264"/>
      <c r="G6289" s="264"/>
    </row>
    <row r="6290" spans="5:7">
      <c r="E6290" s="264"/>
      <c r="G6290" s="264"/>
    </row>
    <row r="6291" spans="5:7">
      <c r="E6291" s="264"/>
      <c r="G6291" s="264"/>
    </row>
    <row r="6292" spans="5:7">
      <c r="E6292" s="264"/>
      <c r="G6292" s="264"/>
    </row>
    <row r="6293" spans="5:7">
      <c r="E6293" s="264"/>
      <c r="G6293" s="264"/>
    </row>
    <row r="6294" spans="5:7">
      <c r="E6294" s="264"/>
      <c r="G6294" s="264"/>
    </row>
    <row r="6295" spans="5:7">
      <c r="E6295" s="264"/>
      <c r="G6295" s="264"/>
    </row>
    <row r="6296" spans="5:7">
      <c r="E6296" s="264"/>
      <c r="G6296" s="264"/>
    </row>
    <row r="6297" spans="5:7">
      <c r="E6297" s="264"/>
      <c r="G6297" s="264"/>
    </row>
    <row r="6298" spans="5:7">
      <c r="E6298" s="264"/>
      <c r="G6298" s="264"/>
    </row>
    <row r="6299" spans="5:7">
      <c r="E6299" s="264"/>
      <c r="G6299" s="264"/>
    </row>
    <row r="6300" spans="5:7">
      <c r="E6300" s="264"/>
      <c r="G6300" s="264"/>
    </row>
    <row r="6301" spans="5:7">
      <c r="E6301" s="264"/>
      <c r="G6301" s="264"/>
    </row>
    <row r="6302" spans="5:7">
      <c r="E6302" s="264"/>
      <c r="G6302" s="264"/>
    </row>
    <row r="6303" spans="5:7">
      <c r="E6303" s="264"/>
      <c r="G6303" s="264"/>
    </row>
    <row r="6304" spans="5:7">
      <c r="E6304" s="264"/>
      <c r="G6304" s="264"/>
    </row>
    <row r="6305" spans="5:7">
      <c r="E6305" s="264"/>
      <c r="G6305" s="264"/>
    </row>
    <row r="6306" spans="5:7">
      <c r="E6306" s="264"/>
      <c r="G6306" s="264"/>
    </row>
    <row r="6307" spans="5:7">
      <c r="E6307" s="264"/>
      <c r="G6307" s="264"/>
    </row>
    <row r="6308" spans="5:7">
      <c r="E6308" s="264"/>
      <c r="G6308" s="264"/>
    </row>
    <row r="6309" spans="5:7">
      <c r="E6309" s="264"/>
      <c r="G6309" s="264"/>
    </row>
    <row r="6310" spans="5:7">
      <c r="E6310" s="264"/>
      <c r="G6310" s="264"/>
    </row>
    <row r="6311" spans="5:7">
      <c r="E6311" s="264"/>
      <c r="G6311" s="264"/>
    </row>
    <row r="6312" spans="5:7">
      <c r="E6312" s="264"/>
      <c r="G6312" s="264"/>
    </row>
    <row r="6313" spans="5:7">
      <c r="E6313" s="264"/>
      <c r="G6313" s="264"/>
    </row>
    <row r="6314" spans="5:7">
      <c r="E6314" s="264"/>
      <c r="G6314" s="264"/>
    </row>
    <row r="6315" spans="5:7">
      <c r="E6315" s="264"/>
      <c r="G6315" s="264"/>
    </row>
    <row r="6316" spans="5:7">
      <c r="E6316" s="264"/>
      <c r="G6316" s="264"/>
    </row>
    <row r="6317" spans="5:7">
      <c r="E6317" s="264"/>
      <c r="G6317" s="264"/>
    </row>
    <row r="6318" spans="5:7">
      <c r="E6318" s="264"/>
      <c r="G6318" s="264"/>
    </row>
    <row r="6319" spans="5:7">
      <c r="E6319" s="264"/>
      <c r="G6319" s="264"/>
    </row>
    <row r="6320" spans="5:7">
      <c r="E6320" s="264"/>
      <c r="G6320" s="264"/>
    </row>
    <row r="6321" spans="5:7">
      <c r="E6321" s="264"/>
      <c r="G6321" s="264"/>
    </row>
    <row r="6322" spans="5:7">
      <c r="E6322" s="264"/>
      <c r="G6322" s="264"/>
    </row>
    <row r="6323" spans="5:7">
      <c r="E6323" s="264"/>
      <c r="G6323" s="264"/>
    </row>
    <row r="6324" spans="5:7">
      <c r="E6324" s="264"/>
      <c r="G6324" s="264"/>
    </row>
    <row r="6325" spans="5:7">
      <c r="E6325" s="264"/>
      <c r="G6325" s="264"/>
    </row>
    <row r="6326" spans="5:7">
      <c r="E6326" s="264"/>
      <c r="G6326" s="264"/>
    </row>
    <row r="6327" spans="5:7">
      <c r="E6327" s="264"/>
      <c r="G6327" s="264"/>
    </row>
    <row r="6328" spans="5:7">
      <c r="E6328" s="264"/>
      <c r="G6328" s="264"/>
    </row>
    <row r="6329" spans="5:7">
      <c r="E6329" s="264"/>
      <c r="G6329" s="264"/>
    </row>
    <row r="6330" spans="5:7">
      <c r="E6330" s="264"/>
      <c r="G6330" s="264"/>
    </row>
    <row r="6331" spans="5:7">
      <c r="E6331" s="264"/>
      <c r="G6331" s="264"/>
    </row>
    <row r="6332" spans="5:7">
      <c r="E6332" s="264"/>
      <c r="G6332" s="264"/>
    </row>
    <row r="6333" spans="5:7">
      <c r="E6333" s="264"/>
      <c r="G6333" s="264"/>
    </row>
    <row r="6334" spans="5:7">
      <c r="E6334" s="264"/>
      <c r="G6334" s="264"/>
    </row>
    <row r="6335" spans="5:7">
      <c r="E6335" s="264"/>
      <c r="G6335" s="264"/>
    </row>
    <row r="6336" spans="5:7">
      <c r="E6336" s="264"/>
      <c r="G6336" s="264"/>
    </row>
    <row r="6337" spans="5:7">
      <c r="E6337" s="264"/>
      <c r="G6337" s="264"/>
    </row>
    <row r="6338" spans="5:7">
      <c r="E6338" s="264"/>
      <c r="G6338" s="264"/>
    </row>
    <row r="6339" spans="5:7">
      <c r="E6339" s="264"/>
      <c r="G6339" s="264"/>
    </row>
    <row r="6340" spans="5:7">
      <c r="E6340" s="264"/>
      <c r="G6340" s="264"/>
    </row>
    <row r="6341" spans="5:7">
      <c r="E6341" s="264"/>
      <c r="G6341" s="264"/>
    </row>
    <row r="6342" spans="5:7">
      <c r="E6342" s="264"/>
      <c r="G6342" s="264"/>
    </row>
    <row r="6343" spans="5:7">
      <c r="E6343" s="264"/>
      <c r="G6343" s="264"/>
    </row>
    <row r="6344" spans="5:7">
      <c r="E6344" s="264"/>
      <c r="G6344" s="264"/>
    </row>
    <row r="6345" spans="5:7">
      <c r="E6345" s="264"/>
      <c r="G6345" s="264"/>
    </row>
    <row r="6346" spans="5:7">
      <c r="E6346" s="264"/>
      <c r="G6346" s="264"/>
    </row>
    <row r="6347" spans="5:7">
      <c r="E6347" s="264"/>
      <c r="G6347" s="264"/>
    </row>
    <row r="6348" spans="5:7">
      <c r="E6348" s="264"/>
      <c r="G6348" s="264"/>
    </row>
    <row r="6349" spans="5:7">
      <c r="E6349" s="264"/>
      <c r="G6349" s="264"/>
    </row>
    <row r="6350" spans="5:7">
      <c r="E6350" s="264"/>
      <c r="G6350" s="264"/>
    </row>
    <row r="6351" spans="5:7">
      <c r="E6351" s="264"/>
      <c r="G6351" s="264"/>
    </row>
    <row r="6352" spans="5:7">
      <c r="E6352" s="264"/>
      <c r="G6352" s="264"/>
    </row>
    <row r="6353" spans="5:7">
      <c r="E6353" s="264"/>
      <c r="G6353" s="264"/>
    </row>
    <row r="6354" spans="5:7">
      <c r="E6354" s="264"/>
      <c r="G6354" s="264"/>
    </row>
    <row r="6355" spans="5:7">
      <c r="E6355" s="264"/>
      <c r="G6355" s="264"/>
    </row>
    <row r="6356" spans="5:7">
      <c r="E6356" s="264"/>
      <c r="G6356" s="264"/>
    </row>
    <row r="6357" spans="5:7">
      <c r="E6357" s="264"/>
      <c r="G6357" s="264"/>
    </row>
    <row r="6358" spans="5:7">
      <c r="E6358" s="264"/>
      <c r="G6358" s="264"/>
    </row>
    <row r="6359" spans="5:7">
      <c r="E6359" s="264"/>
      <c r="G6359" s="264"/>
    </row>
    <row r="6360" spans="5:7">
      <c r="E6360" s="264"/>
      <c r="G6360" s="264"/>
    </row>
    <row r="6361" spans="5:7">
      <c r="E6361" s="264"/>
      <c r="G6361" s="264"/>
    </row>
    <row r="6362" spans="5:7">
      <c r="E6362" s="264"/>
      <c r="G6362" s="264"/>
    </row>
    <row r="6363" spans="5:7">
      <c r="E6363" s="264"/>
      <c r="G6363" s="264"/>
    </row>
    <row r="6364" spans="5:7">
      <c r="E6364" s="264"/>
      <c r="G6364" s="264"/>
    </row>
    <row r="6365" spans="5:7">
      <c r="E6365" s="264"/>
      <c r="G6365" s="264"/>
    </row>
    <row r="6366" spans="5:7">
      <c r="E6366" s="264"/>
      <c r="G6366" s="264"/>
    </row>
    <row r="6367" spans="5:7">
      <c r="E6367" s="264"/>
      <c r="G6367" s="264"/>
    </row>
    <row r="6368" spans="5:7">
      <c r="E6368" s="264"/>
      <c r="G6368" s="264"/>
    </row>
    <row r="6369" spans="5:7">
      <c r="E6369" s="264"/>
      <c r="G6369" s="264"/>
    </row>
    <row r="6370" spans="5:7">
      <c r="E6370" s="264"/>
      <c r="G6370" s="264"/>
    </row>
    <row r="6371" spans="5:7">
      <c r="E6371" s="264"/>
      <c r="G6371" s="264"/>
    </row>
    <row r="6372" spans="5:7">
      <c r="E6372" s="264"/>
      <c r="G6372" s="264"/>
    </row>
    <row r="6373" spans="5:7">
      <c r="E6373" s="264"/>
      <c r="G6373" s="264"/>
    </row>
    <row r="6374" spans="5:7">
      <c r="E6374" s="264"/>
      <c r="G6374" s="264"/>
    </row>
    <row r="6375" spans="5:7">
      <c r="E6375" s="264"/>
      <c r="G6375" s="264"/>
    </row>
    <row r="6376" spans="5:7">
      <c r="E6376" s="264"/>
      <c r="G6376" s="264"/>
    </row>
    <row r="6377" spans="5:7">
      <c r="E6377" s="264"/>
      <c r="G6377" s="264"/>
    </row>
    <row r="6378" spans="5:7">
      <c r="E6378" s="264"/>
      <c r="G6378" s="264"/>
    </row>
    <row r="6379" spans="5:7">
      <c r="E6379" s="264"/>
      <c r="G6379" s="264"/>
    </row>
    <row r="6380" spans="5:7">
      <c r="E6380" s="264"/>
      <c r="G6380" s="264"/>
    </row>
    <row r="6381" spans="5:7">
      <c r="E6381" s="264"/>
      <c r="G6381" s="264"/>
    </row>
    <row r="6382" spans="5:7">
      <c r="E6382" s="264"/>
      <c r="G6382" s="264"/>
    </row>
    <row r="6383" spans="5:7">
      <c r="E6383" s="264"/>
      <c r="G6383" s="264"/>
    </row>
    <row r="6384" spans="5:7">
      <c r="E6384" s="264"/>
      <c r="G6384" s="264"/>
    </row>
    <row r="6385" spans="5:7">
      <c r="E6385" s="264"/>
      <c r="G6385" s="264"/>
    </row>
    <row r="6386" spans="5:7">
      <c r="E6386" s="264"/>
      <c r="G6386" s="264"/>
    </row>
    <row r="6387" spans="5:7">
      <c r="E6387" s="264"/>
      <c r="G6387" s="264"/>
    </row>
    <row r="6388" spans="5:7">
      <c r="E6388" s="264"/>
      <c r="G6388" s="264"/>
    </row>
    <row r="6389" spans="5:7">
      <c r="E6389" s="264"/>
      <c r="G6389" s="264"/>
    </row>
    <row r="6390" spans="5:7">
      <c r="E6390" s="264"/>
      <c r="G6390" s="264"/>
    </row>
    <row r="6391" spans="5:7">
      <c r="E6391" s="264"/>
      <c r="G6391" s="264"/>
    </row>
    <row r="6392" spans="5:7">
      <c r="E6392" s="264"/>
      <c r="G6392" s="264"/>
    </row>
    <row r="6393" spans="5:7">
      <c r="E6393" s="264"/>
      <c r="G6393" s="264"/>
    </row>
    <row r="6394" spans="5:7">
      <c r="E6394" s="264"/>
      <c r="G6394" s="264"/>
    </row>
    <row r="6395" spans="5:7">
      <c r="E6395" s="264"/>
      <c r="G6395" s="264"/>
    </row>
    <row r="6396" spans="5:7">
      <c r="E6396" s="264"/>
      <c r="G6396" s="264"/>
    </row>
    <row r="6397" spans="5:7">
      <c r="E6397" s="264"/>
      <c r="G6397" s="264"/>
    </row>
    <row r="6398" spans="5:7">
      <c r="E6398" s="264"/>
      <c r="G6398" s="264"/>
    </row>
    <row r="6399" spans="5:7">
      <c r="E6399" s="264"/>
      <c r="G6399" s="264"/>
    </row>
    <row r="6400" spans="5:7">
      <c r="E6400" s="264"/>
      <c r="G6400" s="264"/>
    </row>
    <row r="6401" spans="5:7">
      <c r="E6401" s="264"/>
      <c r="G6401" s="264"/>
    </row>
    <row r="6402" spans="5:7">
      <c r="E6402" s="264"/>
      <c r="G6402" s="264"/>
    </row>
    <row r="6403" spans="5:7">
      <c r="E6403" s="264"/>
      <c r="G6403" s="264"/>
    </row>
    <row r="6404" spans="5:7">
      <c r="E6404" s="264"/>
      <c r="G6404" s="264"/>
    </row>
    <row r="6405" spans="5:7">
      <c r="E6405" s="264"/>
      <c r="G6405" s="264"/>
    </row>
    <row r="6406" spans="5:7">
      <c r="E6406" s="264"/>
      <c r="G6406" s="264"/>
    </row>
    <row r="6407" spans="5:7">
      <c r="E6407" s="264"/>
      <c r="G6407" s="264"/>
    </row>
    <row r="6408" spans="5:7">
      <c r="E6408" s="264"/>
      <c r="G6408" s="264"/>
    </row>
    <row r="6409" spans="5:7">
      <c r="E6409" s="264"/>
      <c r="G6409" s="264"/>
    </row>
    <row r="6410" spans="5:7">
      <c r="E6410" s="264"/>
      <c r="G6410" s="264"/>
    </row>
    <row r="6411" spans="5:7">
      <c r="E6411" s="264"/>
      <c r="G6411" s="264"/>
    </row>
    <row r="6412" spans="5:7">
      <c r="E6412" s="264"/>
      <c r="G6412" s="264"/>
    </row>
    <row r="6413" spans="5:7">
      <c r="E6413" s="264"/>
      <c r="G6413" s="264"/>
    </row>
    <row r="6414" spans="5:7">
      <c r="E6414" s="264"/>
      <c r="G6414" s="264"/>
    </row>
  </sheetData>
  <phoneticPr fontId="0" type="noConversion"/>
  <pageMargins left="0.75" right="0.75" top="0.75" bottom="0.75" header="0.25" footer="0.5"/>
  <pageSetup scale="64" fitToHeight="0" orientation="portrait" r:id="rId1"/>
  <headerFooter alignWithMargins="0">
    <oddHeader>&amp;LRRCA
Compact Accounting&amp;C&amp;A&amp;RPage &amp;P of &amp;N</oddHeader>
  </headerFooter>
  <rowBreaks count="3" manualBreakCount="3">
    <brk id="61" max="11" man="1"/>
    <brk id="147" max="11" man="1"/>
    <brk id="213" max="1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F74"/>
  <sheetViews>
    <sheetView workbookViewId="0">
      <pane ySplit="1" topLeftCell="A3" activePane="bottomLeft" state="frozen"/>
      <selection pane="bottomLeft" activeCell="B1" sqref="B1:F1"/>
    </sheetView>
  </sheetViews>
  <sheetFormatPr defaultRowHeight="12.75"/>
  <cols>
    <col min="1" max="1" width="69.28515625" customWidth="1"/>
  </cols>
  <sheetData>
    <row r="1" spans="1:6" ht="15.75">
      <c r="A1" s="37" t="s">
        <v>206</v>
      </c>
      <c r="B1" s="194">
        <f>INPUT!C1</f>
        <v>2017</v>
      </c>
      <c r="C1" s="194">
        <f>INPUT!D1</f>
        <v>2018</v>
      </c>
      <c r="D1" s="194">
        <f>INPUT!E1</f>
        <v>2019</v>
      </c>
      <c r="E1" s="194">
        <f>INPUT!F1</f>
        <v>2020</v>
      </c>
      <c r="F1" s="194">
        <f>INPUT!G1</f>
        <v>2021</v>
      </c>
    </row>
    <row r="2" spans="1:6">
      <c r="A2" t="s">
        <v>66</v>
      </c>
      <c r="E2" s="312"/>
      <c r="F2" s="312"/>
    </row>
    <row r="3" spans="1:6" ht="15.75">
      <c r="A3" s="9" t="s">
        <v>157</v>
      </c>
      <c r="E3" s="312"/>
      <c r="F3" s="312"/>
    </row>
    <row r="4" spans="1:6">
      <c r="A4" s="7" t="s">
        <v>158</v>
      </c>
      <c r="E4" s="312"/>
      <c r="F4" s="312"/>
    </row>
    <row r="5" spans="1:6">
      <c r="A5" s="31" t="str">
        <f>+INPUT!B53</f>
        <v>Imported Water Nebraska</v>
      </c>
      <c r="B5" s="145">
        <f>+INPUT!C53</f>
        <v>0</v>
      </c>
      <c r="C5" s="145">
        <f>+INPUT!D53</f>
        <v>0</v>
      </c>
      <c r="D5" s="145">
        <f>+INPUT!E53</f>
        <v>0</v>
      </c>
      <c r="E5" s="145">
        <f>+INPUT!F53</f>
        <v>0</v>
      </c>
      <c r="F5" s="145">
        <f>+INPUT!G53</f>
        <v>0</v>
      </c>
    </row>
    <row r="6" spans="1:6">
      <c r="A6" s="31" t="str">
        <f>+INPUT!B22</f>
        <v>GW CBCU Colorado</v>
      </c>
      <c r="B6" s="145">
        <f>+INPUT!C22</f>
        <v>0</v>
      </c>
      <c r="C6" s="145">
        <f>+INPUT!D22</f>
        <v>0</v>
      </c>
      <c r="D6" s="145">
        <f>+INPUT!E22</f>
        <v>0</v>
      </c>
      <c r="E6" s="145">
        <f>+INPUT!F22</f>
        <v>0</v>
      </c>
      <c r="F6" s="145">
        <f>+INPUT!G22</f>
        <v>0</v>
      </c>
    </row>
    <row r="7" spans="1:6">
      <c r="A7" s="31" t="str">
        <f>+INPUT!B23</f>
        <v>GW CBCU Kansas</v>
      </c>
      <c r="B7" s="145">
        <f>+INPUT!C23</f>
        <v>0</v>
      </c>
      <c r="C7" s="145">
        <f>+INPUT!D23</f>
        <v>0</v>
      </c>
      <c r="D7" s="145">
        <f>+INPUT!E23</f>
        <v>0</v>
      </c>
      <c r="E7" s="145">
        <f>+INPUT!F23</f>
        <v>0</v>
      </c>
      <c r="F7" s="145">
        <f>+INPUT!G23</f>
        <v>0</v>
      </c>
    </row>
    <row r="8" spans="1:6" ht="12" customHeight="1">
      <c r="A8" s="31" t="str">
        <f>+INPUT!B24</f>
        <v>GW CBCU Nebraska</v>
      </c>
      <c r="B8" s="145">
        <f>+INPUT!C24</f>
        <v>891</v>
      </c>
      <c r="C8" s="145">
        <f>+INPUT!D24</f>
        <v>867</v>
      </c>
      <c r="D8" s="145">
        <f>+INPUT!E24</f>
        <v>826</v>
      </c>
      <c r="E8" s="145">
        <f>+INPUT!F24</f>
        <v>811</v>
      </c>
      <c r="F8" s="145">
        <f>+INPUT!G24</f>
        <v>828</v>
      </c>
    </row>
    <row r="9" spans="1:6">
      <c r="A9" s="2" t="s">
        <v>66</v>
      </c>
      <c r="B9" s="120"/>
      <c r="C9" s="120"/>
      <c r="D9" s="120"/>
      <c r="E9" s="120"/>
      <c r="F9" s="120"/>
    </row>
    <row r="10" spans="1:6">
      <c r="A10" s="4" t="s">
        <v>192</v>
      </c>
      <c r="B10" s="120"/>
      <c r="C10" s="120"/>
      <c r="D10" s="120"/>
      <c r="E10" s="120"/>
      <c r="F10" s="120"/>
    </row>
    <row r="11" spans="1:6">
      <c r="A11" s="35" t="str">
        <f>+INPUT!B244</f>
        <v>Meeker-Driftwood Canal % Return Flow</v>
      </c>
      <c r="B11" s="111">
        <f>+INPUT!C244</f>
        <v>0.66432806134675293</v>
      </c>
      <c r="C11" s="111">
        <f>+INPUT!D244</f>
        <v>0.65655292060160897</v>
      </c>
      <c r="D11" s="111">
        <f>+INPUT!E244</f>
        <v>0.66992628127277143</v>
      </c>
      <c r="E11" s="111">
        <f>+INPUT!F244</f>
        <v>0.61602526033611704</v>
      </c>
      <c r="F11" s="111">
        <f>+INPUT!G244</f>
        <v>0.5985318966441513</v>
      </c>
    </row>
    <row r="12" spans="1:6">
      <c r="A12" s="2" t="s">
        <v>66</v>
      </c>
      <c r="B12" s="120"/>
      <c r="C12" s="120"/>
      <c r="D12" s="120"/>
      <c r="E12" s="120"/>
      <c r="F12" s="120"/>
    </row>
    <row r="13" spans="1:6">
      <c r="A13" s="4" t="s">
        <v>160</v>
      </c>
      <c r="B13" s="120"/>
      <c r="C13" s="120"/>
      <c r="D13" s="120"/>
      <c r="E13" s="120"/>
      <c r="F13" s="120"/>
    </row>
    <row r="14" spans="1:6">
      <c r="A14" s="31" t="str">
        <f>+INPUT!B190</f>
        <v>Driftwood Creek Near McCook</v>
      </c>
      <c r="B14" s="145">
        <f>+INPUT!C190</f>
        <v>2392</v>
      </c>
      <c r="C14" s="145">
        <f>+INPUT!D190</f>
        <v>3911</v>
      </c>
      <c r="D14" s="145">
        <f>+INPUT!E190</f>
        <v>3284</v>
      </c>
      <c r="E14" s="145">
        <f>+INPUT!F190</f>
        <v>2492</v>
      </c>
      <c r="F14" s="145">
        <f>+INPUT!G190</f>
        <v>1999</v>
      </c>
    </row>
    <row r="15" spans="1:6">
      <c r="A15" s="31" t="str">
        <f>+INPUT!B96</f>
        <v>SW Diversions - Irrigation - Non-Federal Canals- Kansas</v>
      </c>
      <c r="B15" s="145">
        <f>+INPUT!C96</f>
        <v>0</v>
      </c>
      <c r="C15" s="145">
        <f>+INPUT!D96</f>
        <v>0</v>
      </c>
      <c r="D15" s="145">
        <f>+INPUT!E96</f>
        <v>0</v>
      </c>
      <c r="E15" s="145">
        <f>+INPUT!F96</f>
        <v>0</v>
      </c>
      <c r="F15" s="145">
        <f>+INPUT!G96</f>
        <v>0</v>
      </c>
    </row>
    <row r="16" spans="1:6">
      <c r="A16" s="31" t="str">
        <f>+INPUT!B97</f>
        <v>SW Diversions - Irrigation - Small Pumps - Kansas</v>
      </c>
      <c r="B16" s="145">
        <f>+INPUT!C97</f>
        <v>0</v>
      </c>
      <c r="C16" s="145">
        <f>+INPUT!D97</f>
        <v>0</v>
      </c>
      <c r="D16" s="145">
        <f>+INPUT!E97</f>
        <v>0</v>
      </c>
      <c r="E16" s="145">
        <f>+INPUT!F97</f>
        <v>0</v>
      </c>
      <c r="F16" s="145">
        <f>+INPUT!G97</f>
        <v>0</v>
      </c>
    </row>
    <row r="17" spans="1:6">
      <c r="A17" s="31" t="str">
        <f>+INPUT!B98</f>
        <v>SW Diversions - M&amp;I - Kansas</v>
      </c>
      <c r="B17" s="145">
        <f>+INPUT!C98</f>
        <v>0</v>
      </c>
      <c r="C17" s="145">
        <f>+INPUT!D98</f>
        <v>0</v>
      </c>
      <c r="D17" s="145">
        <f>+INPUT!E98</f>
        <v>0</v>
      </c>
      <c r="E17" s="145">
        <f>+INPUT!F98</f>
        <v>0</v>
      </c>
      <c r="F17" s="145">
        <f>+INPUT!G98</f>
        <v>0</v>
      </c>
    </row>
    <row r="18" spans="1:6">
      <c r="A18" s="31" t="str">
        <f>+INPUT!B243</f>
        <v>Meeker-Driftwood Canal Diversions</v>
      </c>
      <c r="B18" s="145">
        <f>+INPUT!C243</f>
        <v>16692</v>
      </c>
      <c r="C18" s="145">
        <f>+INPUT!D243</f>
        <v>14295</v>
      </c>
      <c r="D18" s="145">
        <f>+INPUT!E243</f>
        <v>16468</v>
      </c>
      <c r="E18" s="145">
        <f>+INPUT!F243</f>
        <v>19398</v>
      </c>
      <c r="F18" s="145">
        <f>+INPUT!G243</f>
        <v>18654</v>
      </c>
    </row>
    <row r="19" spans="1:6">
      <c r="A19" s="50" t="str">
        <f>+INPUT!B99</f>
        <v>SW Diversions - Irrigation - Non-Federal Canals - Nebraska</v>
      </c>
      <c r="B19" s="151">
        <f>+INPUT!C99</f>
        <v>0</v>
      </c>
      <c r="C19" s="151">
        <f>+INPUT!D99</f>
        <v>0</v>
      </c>
      <c r="D19" s="151">
        <f>+INPUT!E99</f>
        <v>0</v>
      </c>
      <c r="E19" s="151">
        <f>+INPUT!F99</f>
        <v>0</v>
      </c>
      <c r="F19" s="151">
        <f>+INPUT!G99</f>
        <v>0</v>
      </c>
    </row>
    <row r="20" spans="1:6">
      <c r="A20" s="50" t="str">
        <f>+INPUT!B100</f>
        <v>SW Diversions - Irrigation - Small Pumps - Nebraska</v>
      </c>
      <c r="B20" s="151">
        <f>+INPUT!C100</f>
        <v>0</v>
      </c>
      <c r="C20" s="151">
        <f>+INPUT!D100</f>
        <v>0</v>
      </c>
      <c r="D20" s="151">
        <f>+INPUT!E100</f>
        <v>0</v>
      </c>
      <c r="E20" s="151">
        <f>+INPUT!F100</f>
        <v>0</v>
      </c>
      <c r="F20" s="151">
        <f>+INPUT!G100</f>
        <v>0</v>
      </c>
    </row>
    <row r="21" spans="1:6">
      <c r="A21" s="50" t="str">
        <f>+INPUT!B101</f>
        <v>SW Diversions - M&amp;I - Nebraska</v>
      </c>
      <c r="B21" s="151">
        <f>+INPUT!C101</f>
        <v>0</v>
      </c>
      <c r="C21" s="151">
        <f>+INPUT!D101</f>
        <v>0</v>
      </c>
      <c r="D21" s="151">
        <f>+INPUT!E101</f>
        <v>0</v>
      </c>
      <c r="E21" s="151">
        <f>+INPUT!F101</f>
        <v>0</v>
      </c>
      <c r="F21" s="151">
        <f>+INPUT!G101</f>
        <v>0</v>
      </c>
    </row>
    <row r="22" spans="1:6">
      <c r="A22" s="50" t="str">
        <f>+INPUT!B165</f>
        <v>Non-Federal Reservoir Evaporation - Kansas</v>
      </c>
      <c r="B22" s="151">
        <f>+INPUT!C165</f>
        <v>9</v>
      </c>
      <c r="C22" s="151">
        <f>+INPUT!D165</f>
        <v>8.367945328124998</v>
      </c>
      <c r="D22" s="151">
        <f>+INPUT!E165</f>
        <v>11</v>
      </c>
      <c r="E22" s="151">
        <f>+INPUT!F165</f>
        <v>16.63</v>
      </c>
      <c r="F22" s="151">
        <f>+INPUT!G165</f>
        <v>15.89</v>
      </c>
    </row>
    <row r="23" spans="1:6">
      <c r="A23" s="50" t="str">
        <f>+INPUT!B166</f>
        <v>Non-Federal Reservoir Evaporation - Nebraska</v>
      </c>
      <c r="B23" s="151">
        <f>+INPUT!C166</f>
        <v>0</v>
      </c>
      <c r="C23" s="151">
        <f>+INPUT!D166</f>
        <v>0</v>
      </c>
      <c r="D23" s="151">
        <f>+INPUT!E166</f>
        <v>0</v>
      </c>
      <c r="E23" s="151">
        <f>+INPUT!F166</f>
        <v>0</v>
      </c>
      <c r="F23" s="151">
        <f>+INPUT!G166</f>
        <v>0</v>
      </c>
    </row>
    <row r="24" spans="1:6">
      <c r="A24" s="137" t="str">
        <f>+FLOOD!A63</f>
        <v>Driftwood Flood Flow</v>
      </c>
      <c r="B24" s="151">
        <f>+FLOOD!B63</f>
        <v>0</v>
      </c>
      <c r="C24" s="151">
        <f>+FLOOD!C63</f>
        <v>0</v>
      </c>
      <c r="D24" s="151">
        <f>+FLOOD!D63</f>
        <v>0</v>
      </c>
      <c r="E24" s="151">
        <f>+FLOOD!E63</f>
        <v>0</v>
      </c>
      <c r="F24" s="151">
        <f>+FLOOD!F63</f>
        <v>0</v>
      </c>
    </row>
    <row r="25" spans="1:6">
      <c r="A25" s="61" t="s">
        <v>66</v>
      </c>
      <c r="B25" s="151"/>
      <c r="C25" s="151"/>
      <c r="D25" s="151"/>
      <c r="E25" s="151"/>
      <c r="F25" s="151"/>
    </row>
    <row r="26" spans="1:6" ht="15.75">
      <c r="A26" s="9" t="s">
        <v>241</v>
      </c>
      <c r="B26" s="151"/>
      <c r="C26" s="151"/>
      <c r="D26" s="151"/>
      <c r="E26" s="151"/>
      <c r="F26" s="151"/>
    </row>
    <row r="27" spans="1:6">
      <c r="A27" s="7" t="s">
        <v>0</v>
      </c>
      <c r="B27" s="151"/>
      <c r="C27" s="151"/>
      <c r="D27" s="151"/>
      <c r="E27" s="151"/>
      <c r="F27" s="151"/>
    </row>
    <row r="28" spans="1:6">
      <c r="A28" s="13" t="str">
        <f>'NORTH FORK'!A28</f>
        <v>GW CBCU</v>
      </c>
      <c r="B28" s="151">
        <f>+B6</f>
        <v>0</v>
      </c>
      <c r="C28" s="151">
        <f>+C6</f>
        <v>0</v>
      </c>
      <c r="D28" s="151">
        <f>+D6</f>
        <v>0</v>
      </c>
      <c r="E28" s="151">
        <f>+E6</f>
        <v>0</v>
      </c>
      <c r="F28" s="151">
        <f>+F6</f>
        <v>0</v>
      </c>
    </row>
    <row r="29" spans="1:6">
      <c r="A29" s="13" t="str">
        <f>'NORTH FORK'!A29</f>
        <v>Total CBCU</v>
      </c>
      <c r="B29" s="151">
        <f>(ROUND(SUM(B28:B28),-1))</f>
        <v>0</v>
      </c>
      <c r="C29" s="151">
        <f>(ROUND(SUM(C28:C28),-1))</f>
        <v>0</v>
      </c>
      <c r="D29" s="151">
        <f>(ROUND(SUM(D28:D28),-1))</f>
        <v>0</v>
      </c>
      <c r="E29" s="151">
        <f>(ROUND(SUM(E28:E28),-1))</f>
        <v>0</v>
      </c>
      <c r="F29" s="151">
        <f>(ROUND(SUM(F28:F28),-1))</f>
        <v>0</v>
      </c>
    </row>
    <row r="30" spans="1:6">
      <c r="A30" s="13" t="s">
        <v>66</v>
      </c>
      <c r="B30" s="151"/>
      <c r="C30" s="151"/>
      <c r="D30" s="151"/>
      <c r="E30" s="151"/>
      <c r="F30" s="151"/>
    </row>
    <row r="31" spans="1:6">
      <c r="A31" s="7" t="s">
        <v>161</v>
      </c>
      <c r="B31" s="151"/>
      <c r="C31" s="151"/>
      <c r="D31" s="151"/>
      <c r="E31" s="151"/>
      <c r="F31" s="151"/>
    </row>
    <row r="32" spans="1:6">
      <c r="A32" s="13" t="str">
        <f>'NORTH FORK'!A23</f>
        <v>SW CBCU - Irrigation - Non Federal Canals</v>
      </c>
      <c r="B32" s="151">
        <f>+B15*CanalCUPercent1</f>
        <v>0</v>
      </c>
      <c r="C32" s="151">
        <f>+C15*CanalCUPercent2</f>
        <v>0</v>
      </c>
      <c r="D32" s="151">
        <f>+D15*CanalCUPercent3</f>
        <v>0</v>
      </c>
      <c r="E32" s="151">
        <f>+E15*CanalCUPercent4</f>
        <v>0</v>
      </c>
      <c r="F32" s="151">
        <f>+F15*CanalCUPercent5</f>
        <v>0</v>
      </c>
    </row>
    <row r="33" spans="1:6">
      <c r="A33" s="13" t="str">
        <f>'NORTH FORK'!A24</f>
        <v>SW CBCU - Irrigation - Small Pumps</v>
      </c>
      <c r="B33" s="151">
        <f>+B16*PumperCUPercent1</f>
        <v>0</v>
      </c>
      <c r="C33" s="151">
        <f>+C16*PumperCUPercent2</f>
        <v>0</v>
      </c>
      <c r="D33" s="151">
        <f>+D16*PumperCUPercent3</f>
        <v>0</v>
      </c>
      <c r="E33" s="151">
        <f>+E16*PumperCUPercent4</f>
        <v>0</v>
      </c>
      <c r="F33" s="151">
        <f>+F16*PumperCUPercent5</f>
        <v>0</v>
      </c>
    </row>
    <row r="34" spans="1:6">
      <c r="A34" s="13" t="str">
        <f>'NORTH FORK'!A25</f>
        <v>SW CBCU - M&amp;I</v>
      </c>
      <c r="B34" s="151">
        <f>+B17*MI_CUPercent1</f>
        <v>0</v>
      </c>
      <c r="C34" s="151">
        <f>+C17*MI_CUPercent2</f>
        <v>0</v>
      </c>
      <c r="D34" s="151">
        <f>+D17*MI_CUPercent3</f>
        <v>0</v>
      </c>
      <c r="E34" s="151">
        <f>+E17*MI_CUPercent4</f>
        <v>0</v>
      </c>
      <c r="F34" s="151">
        <f>+F17*MI_CUPercent5</f>
        <v>0</v>
      </c>
    </row>
    <row r="35" spans="1:6">
      <c r="A35" s="45" t="str">
        <f>'NORTH FORK'!A26</f>
        <v>Non-Federal Reservoir Evaporation</v>
      </c>
      <c r="B35" s="151">
        <f>B22</f>
        <v>9</v>
      </c>
      <c r="C35" s="151">
        <f>C22</f>
        <v>8.367945328124998</v>
      </c>
      <c r="D35" s="151">
        <f>D22</f>
        <v>11</v>
      </c>
      <c r="E35" s="151">
        <f>E22</f>
        <v>16.63</v>
      </c>
      <c r="F35" s="151">
        <f>F22</f>
        <v>15.89</v>
      </c>
    </row>
    <row r="36" spans="1:6">
      <c r="A36" s="13" t="str">
        <f>'NORTH FORK'!A27</f>
        <v>SW CBCU</v>
      </c>
      <c r="B36" s="151">
        <f>B32+B33+B34+B35</f>
        <v>9</v>
      </c>
      <c r="C36" s="151">
        <f>C32+C33+C34+C35</f>
        <v>8.367945328124998</v>
      </c>
      <c r="D36" s="151">
        <f>D32+D33+D34+D35</f>
        <v>11</v>
      </c>
      <c r="E36" s="151">
        <f>E32+E33+E34+E35</f>
        <v>16.63</v>
      </c>
      <c r="F36" s="151">
        <f>F32+F33+F34+F35</f>
        <v>15.89</v>
      </c>
    </row>
    <row r="37" spans="1:6">
      <c r="A37" s="13" t="str">
        <f>'NORTH FORK'!A28</f>
        <v>GW CBCU</v>
      </c>
      <c r="B37" s="151">
        <f>+B7</f>
        <v>0</v>
      </c>
      <c r="C37" s="151">
        <f>+C7</f>
        <v>0</v>
      </c>
      <c r="D37" s="151">
        <f>+D7</f>
        <v>0</v>
      </c>
      <c r="E37" s="151">
        <f>+E7</f>
        <v>0</v>
      </c>
      <c r="F37" s="151">
        <f>+F7</f>
        <v>0</v>
      </c>
    </row>
    <row r="38" spans="1:6">
      <c r="A38" s="13" t="str">
        <f>'NORTH FORK'!A29</f>
        <v>Total CBCU</v>
      </c>
      <c r="B38" s="151">
        <f>(ROUND(SUM(B36:B37),-1))</f>
        <v>10</v>
      </c>
      <c r="C38" s="151">
        <f>(ROUND(SUM(C36:C37),-1))</f>
        <v>10</v>
      </c>
      <c r="D38" s="151">
        <f>(ROUND(SUM(D36:D37),-1))</f>
        <v>10</v>
      </c>
      <c r="E38" s="151">
        <f>(ROUND(SUM(E36:E37),-1))</f>
        <v>20</v>
      </c>
      <c r="F38" s="151">
        <f>(ROUND(SUM(F36:F37),-1))</f>
        <v>20</v>
      </c>
    </row>
    <row r="39" spans="1:6">
      <c r="A39" s="13" t="s">
        <v>66</v>
      </c>
      <c r="B39" s="151"/>
      <c r="C39" s="151"/>
      <c r="D39" s="151"/>
      <c r="E39" s="151"/>
      <c r="F39" s="151"/>
    </row>
    <row r="40" spans="1:6">
      <c r="A40" s="7" t="s">
        <v>1</v>
      </c>
      <c r="B40" s="151"/>
      <c r="C40" s="151"/>
      <c r="D40" s="151"/>
      <c r="E40" s="151"/>
      <c r="F40" s="151"/>
    </row>
    <row r="41" spans="1:6">
      <c r="A41" s="11" t="str">
        <f>'NORTH FORK'!A23</f>
        <v>SW CBCU - Irrigation - Non Federal Canals</v>
      </c>
      <c r="B41" s="151">
        <f>B19*CanalCUPercent1</f>
        <v>0</v>
      </c>
      <c r="C41" s="151">
        <f>C19*CanalCUPercent2</f>
        <v>0</v>
      </c>
      <c r="D41" s="151">
        <f>D19*CanalCUPercent3</f>
        <v>0</v>
      </c>
      <c r="E41" s="151">
        <f>E19*CanalCUPercent4</f>
        <v>0</v>
      </c>
      <c r="F41" s="151">
        <f>F19*CanalCUPercent5</f>
        <v>0</v>
      </c>
    </row>
    <row r="42" spans="1:6">
      <c r="A42" s="11" t="str">
        <f>'NORTH FORK'!A24</f>
        <v>SW CBCU - Irrigation - Small Pumps</v>
      </c>
      <c r="B42" s="151">
        <f>B20*PumperCUPercent1</f>
        <v>0</v>
      </c>
      <c r="C42" s="151">
        <f>C20*PumperCUPercent2</f>
        <v>0</v>
      </c>
      <c r="D42" s="151">
        <f>D20*PumperCUPercent3</f>
        <v>0</v>
      </c>
      <c r="E42" s="151">
        <f>E20*PumperCUPercent4</f>
        <v>0</v>
      </c>
      <c r="F42" s="151">
        <f>F20*PumperCUPercent5</f>
        <v>0</v>
      </c>
    </row>
    <row r="43" spans="1:6">
      <c r="A43" s="11" t="str">
        <f>'NORTH FORK'!A25</f>
        <v>SW CBCU - M&amp;I</v>
      </c>
      <c r="B43" s="151">
        <f>B21*MI_CUPercent1</f>
        <v>0</v>
      </c>
      <c r="C43" s="151">
        <f>C21*MI_CUPercent2</f>
        <v>0</v>
      </c>
      <c r="D43" s="151">
        <f>D21*MI_CUPercent3</f>
        <v>0</v>
      </c>
      <c r="E43" s="151">
        <f>E21*MI_CUPercent4</f>
        <v>0</v>
      </c>
      <c r="F43" s="151">
        <f>F21*MI_CUPercent5</f>
        <v>0</v>
      </c>
    </row>
    <row r="44" spans="1:6">
      <c r="A44" s="13" t="str">
        <f>'NORTH FORK'!A26</f>
        <v>Non-Federal Reservoir Evaporation</v>
      </c>
      <c r="B44" s="151">
        <f>B23</f>
        <v>0</v>
      </c>
      <c r="C44" s="151">
        <f>C23</f>
        <v>0</v>
      </c>
      <c r="D44" s="151">
        <f>D23</f>
        <v>0</v>
      </c>
      <c r="E44" s="151">
        <f>E23</f>
        <v>0</v>
      </c>
      <c r="F44" s="151">
        <f>F23</f>
        <v>0</v>
      </c>
    </row>
    <row r="45" spans="1:6">
      <c r="A45" s="13" t="str">
        <f>'NORTH FORK'!A27</f>
        <v>SW CBCU</v>
      </c>
      <c r="B45" s="151">
        <f>B41+B42+B43+B44</f>
        <v>0</v>
      </c>
      <c r="C45" s="151">
        <f>C41+C42+C43+C44</f>
        <v>0</v>
      </c>
      <c r="D45" s="151">
        <f>D41+D42+D43+D44</f>
        <v>0</v>
      </c>
      <c r="E45" s="151">
        <f>E41+E42+E43+E44</f>
        <v>0</v>
      </c>
      <c r="F45" s="151">
        <f>F41+F42+F43+F44</f>
        <v>0</v>
      </c>
    </row>
    <row r="46" spans="1:6">
      <c r="A46" s="13" t="str">
        <f>'NORTH FORK'!A28</f>
        <v>GW CBCU</v>
      </c>
      <c r="B46" s="151">
        <f>+B8</f>
        <v>891</v>
      </c>
      <c r="C46" s="151">
        <f>+C8</f>
        <v>867</v>
      </c>
      <c r="D46" s="151">
        <f>+D8</f>
        <v>826</v>
      </c>
      <c r="E46" s="151">
        <f>+E8</f>
        <v>811</v>
      </c>
      <c r="F46" s="151">
        <f>+F8</f>
        <v>828</v>
      </c>
    </row>
    <row r="47" spans="1:6">
      <c r="A47" s="13" t="str">
        <f>'NORTH FORK'!A29</f>
        <v>Total CBCU</v>
      </c>
      <c r="B47" s="151">
        <f>(ROUND(SUM(B45:B46),-1))</f>
        <v>890</v>
      </c>
      <c r="C47" s="151">
        <f>(ROUND(SUM(C45:C46),-1))</f>
        <v>870</v>
      </c>
      <c r="D47" s="151">
        <f>(ROUND(SUM(D45:D46),-1))</f>
        <v>830</v>
      </c>
      <c r="E47" s="151">
        <f>(ROUND(SUM(E45:E46),-1))</f>
        <v>810</v>
      </c>
      <c r="F47" s="151">
        <f>(ROUND(SUM(F45:F46),-1))</f>
        <v>830</v>
      </c>
    </row>
    <row r="48" spans="1:6">
      <c r="A48" s="45" t="s">
        <v>66</v>
      </c>
      <c r="B48" s="151"/>
      <c r="C48" s="151"/>
      <c r="D48" s="151"/>
      <c r="E48" s="151"/>
      <c r="F48" s="151"/>
    </row>
    <row r="49" spans="1:6">
      <c r="A49" s="4" t="s">
        <v>162</v>
      </c>
      <c r="B49" s="151"/>
      <c r="C49" s="151"/>
      <c r="D49" s="151"/>
      <c r="E49" s="151"/>
      <c r="F49" s="151"/>
    </row>
    <row r="50" spans="1:6">
      <c r="A50" s="45" t="str">
        <f>'NORTH FORK'!A42</f>
        <v>Total SW CBCU</v>
      </c>
      <c r="B50" s="151">
        <f>+B36+B45</f>
        <v>9</v>
      </c>
      <c r="C50" s="151">
        <f>+C36+C45</f>
        <v>8.367945328124998</v>
      </c>
      <c r="D50" s="151">
        <f>+D36+D45</f>
        <v>11</v>
      </c>
      <c r="E50" s="151">
        <f>+E36+E45</f>
        <v>16.63</v>
      </c>
      <c r="F50" s="151">
        <f>+F36+F45</f>
        <v>15.89</v>
      </c>
    </row>
    <row r="51" spans="1:6">
      <c r="A51" s="45" t="str">
        <f>'NORTH FORK'!A43</f>
        <v>Total GW CBCU</v>
      </c>
      <c r="B51" s="151">
        <f>+B28+B37+B46</f>
        <v>891</v>
      </c>
      <c r="C51" s="151">
        <f>+C28+C37+C46</f>
        <v>867</v>
      </c>
      <c r="D51" s="151">
        <f>+D28+D37+D46</f>
        <v>826</v>
      </c>
      <c r="E51" s="151">
        <f>+E28+E37+E46</f>
        <v>811</v>
      </c>
      <c r="F51" s="151">
        <f>+F28+F37+F46</f>
        <v>828</v>
      </c>
    </row>
    <row r="52" spans="1:6">
      <c r="A52" s="45" t="str">
        <f>'NORTH FORK'!A44</f>
        <v>Total Basin CBCU</v>
      </c>
      <c r="B52" s="151">
        <f>(ROUND(SUM(B50:B51),-1))</f>
        <v>900</v>
      </c>
      <c r="C52" s="151">
        <f>(ROUND(SUM(C50:C51),-1))</f>
        <v>880</v>
      </c>
      <c r="D52" s="151">
        <f>(ROUND(SUM(D50:D51),-1))</f>
        <v>840</v>
      </c>
      <c r="E52" s="151">
        <f>(ROUND(SUM(E50:E51),-1))</f>
        <v>830</v>
      </c>
      <c r="F52" s="151">
        <f>(ROUND(SUM(F50:F51),-1))</f>
        <v>840</v>
      </c>
    </row>
    <row r="53" spans="1:6">
      <c r="A53" s="45" t="s">
        <v>66</v>
      </c>
      <c r="B53" s="151"/>
      <c r="C53" s="151"/>
      <c r="D53" s="151"/>
      <c r="E53" s="151"/>
      <c r="F53" s="151"/>
    </row>
    <row r="54" spans="1:6" ht="15.75">
      <c r="A54" s="10" t="s">
        <v>10</v>
      </c>
      <c r="B54" s="151"/>
      <c r="C54" s="151"/>
      <c r="D54" s="151"/>
      <c r="E54" s="151"/>
      <c r="F54" s="151"/>
    </row>
    <row r="55" spans="1:6">
      <c r="A55" s="42" t="str">
        <f t="shared" ref="A55:F55" si="0">A14</f>
        <v>Driftwood Creek Near McCook</v>
      </c>
      <c r="B55" s="151">
        <f t="shared" si="0"/>
        <v>2392</v>
      </c>
      <c r="C55" s="151">
        <f t="shared" si="0"/>
        <v>3911</v>
      </c>
      <c r="D55" s="151">
        <f t="shared" si="0"/>
        <v>3284</v>
      </c>
      <c r="E55" s="151">
        <f t="shared" si="0"/>
        <v>2492</v>
      </c>
      <c r="F55" s="151">
        <f t="shared" si="0"/>
        <v>1999</v>
      </c>
    </row>
    <row r="56" spans="1:6">
      <c r="A56" s="13" t="s">
        <v>207</v>
      </c>
      <c r="B56" s="151">
        <f>0.24*B18*B11</f>
        <v>2661.3513600000001</v>
      </c>
      <c r="C56" s="151">
        <f>0.24*C18*C11</f>
        <v>2252.5017599999996</v>
      </c>
      <c r="D56" s="151">
        <f>0.24*D18*D11</f>
        <v>2647.7630399999998</v>
      </c>
      <c r="E56" s="151">
        <f>0.24*E18*E11</f>
        <v>2867.9179199999994</v>
      </c>
      <c r="F56" s="151">
        <f>0.24*F18*F11</f>
        <v>2679.6033599999996</v>
      </c>
    </row>
    <row r="57" spans="1:6">
      <c r="A57" s="13" t="str">
        <f>'NORTH FORK'!A49</f>
        <v>Colorado CBCU</v>
      </c>
      <c r="B57" s="151">
        <f>+B29</f>
        <v>0</v>
      </c>
      <c r="C57" s="151">
        <f>+C29</f>
        <v>0</v>
      </c>
      <c r="D57" s="151">
        <f>+D29</f>
        <v>0</v>
      </c>
      <c r="E57" s="151">
        <f>+E29</f>
        <v>0</v>
      </c>
      <c r="F57" s="151">
        <f>+F29</f>
        <v>0</v>
      </c>
    </row>
    <row r="58" spans="1:6">
      <c r="A58" s="13" t="str">
        <f>'NORTH FORK'!A50</f>
        <v>Kansas CBCU</v>
      </c>
      <c r="B58" s="151">
        <f>+B38</f>
        <v>10</v>
      </c>
      <c r="C58" s="151">
        <f>+C38</f>
        <v>10</v>
      </c>
      <c r="D58" s="151">
        <f>+D38</f>
        <v>10</v>
      </c>
      <c r="E58" s="151">
        <f>+E38</f>
        <v>20</v>
      </c>
      <c r="F58" s="151">
        <f>+F38</f>
        <v>20</v>
      </c>
    </row>
    <row r="59" spans="1:6">
      <c r="A59" s="13" t="str">
        <f>'NORTH FORK'!A51</f>
        <v>Nebraska CBCU</v>
      </c>
      <c r="B59" s="151">
        <f>+B47</f>
        <v>890</v>
      </c>
      <c r="C59" s="151">
        <f>+C47</f>
        <v>870</v>
      </c>
      <c r="D59" s="151">
        <f>+D47</f>
        <v>830</v>
      </c>
      <c r="E59" s="151">
        <f>+E47</f>
        <v>810</v>
      </c>
      <c r="F59" s="151">
        <f>+F47</f>
        <v>830</v>
      </c>
    </row>
    <row r="60" spans="1:6">
      <c r="A60" s="13" t="str">
        <f>'NORTH FORK'!A52</f>
        <v>Imported Water</v>
      </c>
      <c r="B60" s="151">
        <f>+B5</f>
        <v>0</v>
      </c>
      <c r="C60" s="151">
        <f>+C5</f>
        <v>0</v>
      </c>
      <c r="D60" s="151">
        <f>+D5</f>
        <v>0</v>
      </c>
      <c r="E60" s="151">
        <f>+E5</f>
        <v>0</v>
      </c>
      <c r="F60" s="151">
        <f>+F5</f>
        <v>0</v>
      </c>
    </row>
    <row r="61" spans="1:6">
      <c r="A61" s="13" t="str">
        <f>'NORTH FORK'!A54</f>
        <v>Virgin Water Supply</v>
      </c>
      <c r="B61" s="151">
        <f>ROUND(SUM(B55,B57:B59)-B60-B56,-1)</f>
        <v>630</v>
      </c>
      <c r="C61" s="151">
        <f>ROUND(SUM(C55,C57:C59)-C60-C56,-1)</f>
        <v>2540</v>
      </c>
      <c r="D61" s="151">
        <f>ROUND(SUM(D55,D57:D59)-D60-D56,-1)</f>
        <v>1480</v>
      </c>
      <c r="E61" s="151">
        <f>ROUND(SUM(E55,E57:E59)-E60-E56,-1)</f>
        <v>450</v>
      </c>
      <c r="F61" s="151">
        <f>ROUND(SUM(F55,F57:F59)-F60-F56,-1)</f>
        <v>170</v>
      </c>
    </row>
    <row r="62" spans="1:6">
      <c r="A62" s="13" t="str">
        <f>'NORTH FORK'!A55</f>
        <v>Adjustment For Flood Flows</v>
      </c>
      <c r="B62" s="151">
        <f>B24</f>
        <v>0</v>
      </c>
      <c r="C62" s="151">
        <f>C24</f>
        <v>0</v>
      </c>
      <c r="D62" s="151">
        <f>D24</f>
        <v>0</v>
      </c>
      <c r="E62" s="151">
        <f>E24</f>
        <v>0</v>
      </c>
      <c r="F62" s="151">
        <f>F24</f>
        <v>0</v>
      </c>
    </row>
    <row r="63" spans="1:6">
      <c r="A63" s="13" t="str">
        <f>'NORTH FORK'!A56</f>
        <v>Computed Water Supply</v>
      </c>
      <c r="B63" s="151">
        <f>ROUND(+B61-B62,-1)</f>
        <v>630</v>
      </c>
      <c r="C63" s="151">
        <f>ROUND(+C61-C62,-1)</f>
        <v>2540</v>
      </c>
      <c r="D63" s="151">
        <f>ROUND(+D61-D62,-1)</f>
        <v>1480</v>
      </c>
      <c r="E63" s="151">
        <f>ROUND(+E61-E62,-1)</f>
        <v>450</v>
      </c>
      <c r="F63" s="151">
        <f>ROUND(+F61-F62,-1)</f>
        <v>170</v>
      </c>
    </row>
    <row r="64" spans="1:6">
      <c r="A64" s="45" t="s">
        <v>66</v>
      </c>
      <c r="B64" s="151"/>
      <c r="C64" s="151"/>
      <c r="D64" s="151"/>
      <c r="E64" s="151"/>
      <c r="F64" s="151"/>
    </row>
    <row r="65" spans="1:6" ht="15.75">
      <c r="A65" s="10" t="s">
        <v>12</v>
      </c>
      <c r="B65" s="121"/>
      <c r="C65" s="121"/>
      <c r="D65" s="121"/>
      <c r="E65" s="121"/>
      <c r="F65" s="121"/>
    </row>
    <row r="66" spans="1:6">
      <c r="A66" s="13" t="str">
        <f>'NORTH FORK'!A59</f>
        <v>Colorado Percent Of Allocation</v>
      </c>
      <c r="B66" s="122">
        <f>'T2'!$D9</f>
        <v>0</v>
      </c>
      <c r="C66" s="122">
        <f>'T2'!$D9</f>
        <v>0</v>
      </c>
      <c r="D66" s="122">
        <f>'T2'!$D9</f>
        <v>0</v>
      </c>
      <c r="E66" s="122">
        <f>'T2'!$D9</f>
        <v>0</v>
      </c>
      <c r="F66" s="122">
        <f>'T2'!$D9</f>
        <v>0</v>
      </c>
    </row>
    <row r="67" spans="1:6">
      <c r="A67" s="2" t="str">
        <f>'NORTH FORK'!A60</f>
        <v>Colorado Allocation</v>
      </c>
      <c r="B67" s="145">
        <f>ROUND(+B63*B66,-1)</f>
        <v>0</v>
      </c>
      <c r="C67" s="145">
        <f>ROUND(+C63*C66,-1)</f>
        <v>0</v>
      </c>
      <c r="D67" s="145">
        <f>ROUND(+D63*D66,-1)</f>
        <v>0</v>
      </c>
      <c r="E67" s="145">
        <f>ROUND(+E63*E66,-1)</f>
        <v>0</v>
      </c>
      <c r="F67" s="145">
        <f>ROUND(+F63*F66,-1)</f>
        <v>0</v>
      </c>
    </row>
    <row r="68" spans="1:6">
      <c r="A68" s="2" t="str">
        <f>'NORTH FORK'!A61</f>
        <v>Kansas Percent Of Allocation</v>
      </c>
      <c r="B68" s="117">
        <f>'T2'!$F9</f>
        <v>6.9000000000000006E-2</v>
      </c>
      <c r="C68" s="117">
        <f>'T2'!$F9</f>
        <v>6.9000000000000006E-2</v>
      </c>
      <c r="D68" s="117">
        <f>'T2'!$F9</f>
        <v>6.9000000000000006E-2</v>
      </c>
      <c r="E68" s="117">
        <f>'T2'!$F9</f>
        <v>6.9000000000000006E-2</v>
      </c>
      <c r="F68" s="117">
        <f>'T2'!$F9</f>
        <v>6.9000000000000006E-2</v>
      </c>
    </row>
    <row r="69" spans="1:6">
      <c r="A69" s="2" t="str">
        <f>'NORTH FORK'!A62</f>
        <v>Kansas Allocation</v>
      </c>
      <c r="B69" s="145">
        <f>ROUND(B63*B68,-1)</f>
        <v>40</v>
      </c>
      <c r="C69" s="145">
        <f>ROUND(C63*C68,-1)</f>
        <v>180</v>
      </c>
      <c r="D69" s="145">
        <f>ROUND(D63*D68,-1)</f>
        <v>100</v>
      </c>
      <c r="E69" s="145">
        <f>ROUND(E63*E68,-1)</f>
        <v>30</v>
      </c>
      <c r="F69" s="145">
        <f>ROUND(F63*F68,-1)</f>
        <v>10</v>
      </c>
    </row>
    <row r="70" spans="1:6">
      <c r="A70" s="2" t="str">
        <f>'NORTH FORK'!A63</f>
        <v>Nebraska Percent Of Allocation</v>
      </c>
      <c r="B70" s="117">
        <f>'T2'!$H9</f>
        <v>0.16400000000000001</v>
      </c>
      <c r="C70" s="117">
        <f>'T2'!$H9</f>
        <v>0.16400000000000001</v>
      </c>
      <c r="D70" s="117">
        <f>'T2'!$H9</f>
        <v>0.16400000000000001</v>
      </c>
      <c r="E70" s="117">
        <f>'T2'!$H9</f>
        <v>0.16400000000000001</v>
      </c>
      <c r="F70" s="117">
        <f>'T2'!$H9</f>
        <v>0.16400000000000001</v>
      </c>
    </row>
    <row r="71" spans="1:6">
      <c r="A71" s="2" t="str">
        <f>'NORTH FORK'!A64</f>
        <v>Nebraska Allocation</v>
      </c>
      <c r="B71" s="145">
        <f>ROUND(B63*B70,-1)</f>
        <v>100</v>
      </c>
      <c r="C71" s="145">
        <f>ROUND(C63*C70,-1)</f>
        <v>420</v>
      </c>
      <c r="D71" s="145">
        <f>ROUND(D63*D70,-1)</f>
        <v>240</v>
      </c>
      <c r="E71" s="145">
        <f>ROUND(E63*E70,-1)</f>
        <v>70</v>
      </c>
      <c r="F71" s="145">
        <f>ROUND(F63*F70,-1)</f>
        <v>30</v>
      </c>
    </row>
    <row r="72" spans="1:6">
      <c r="A72" s="2" t="str">
        <f>'NORTH FORK'!A65</f>
        <v>Total Basin Allocation</v>
      </c>
      <c r="B72" s="145">
        <f>+B67+B69+B71</f>
        <v>140</v>
      </c>
      <c r="C72" s="145">
        <f>+C67+C69+C71</f>
        <v>600</v>
      </c>
      <c r="D72" s="145">
        <f>+D67+D69+D71</f>
        <v>340</v>
      </c>
      <c r="E72" s="145">
        <f>+E67+E69+E71</f>
        <v>100</v>
      </c>
      <c r="F72" s="145">
        <f>+F67+F69+F71</f>
        <v>40</v>
      </c>
    </row>
    <row r="73" spans="1:6">
      <c r="A73" s="2" t="str">
        <f>'NORTH FORK'!A66</f>
        <v>Percent Of Supply Not Allocated</v>
      </c>
      <c r="B73" s="117">
        <f>'T2'!$J9</f>
        <v>0.76700000000000002</v>
      </c>
      <c r="C73" s="117">
        <f>'T2'!$J9</f>
        <v>0.76700000000000002</v>
      </c>
      <c r="D73" s="117">
        <f>'T2'!$J9</f>
        <v>0.76700000000000002</v>
      </c>
      <c r="E73" s="117">
        <f>'T2'!$J9</f>
        <v>0.76700000000000002</v>
      </c>
      <c r="F73" s="117">
        <f>'T2'!$J9</f>
        <v>0.76700000000000002</v>
      </c>
    </row>
    <row r="74" spans="1:6">
      <c r="A74" s="2" t="str">
        <f>'NORTH FORK'!A67</f>
        <v>Quantity Of Unallocated Supply</v>
      </c>
      <c r="B74" s="145">
        <f>+B63-B67-B69-B71</f>
        <v>490</v>
      </c>
      <c r="C74" s="145">
        <f>+C63-C67-C69-C71</f>
        <v>1940</v>
      </c>
      <c r="D74" s="145">
        <f>+D63-D67-D69-D71</f>
        <v>1140</v>
      </c>
      <c r="E74" s="145">
        <f>+E63-E67-E69-E71</f>
        <v>350</v>
      </c>
      <c r="F74" s="145">
        <f>+F63-F67-F69-F71</f>
        <v>130</v>
      </c>
    </row>
  </sheetData>
  <phoneticPr fontId="0" type="noConversion"/>
  <printOptions headings="1"/>
  <pageMargins left="0.75" right="0.75" top="0.75" bottom="0.5" header="0.25" footer="0.5"/>
  <pageSetup paperSize="3" fitToHeight="2" orientation="portrait" r:id="rId1"/>
  <headerFooter alignWithMargins="0">
    <oddHeader>&amp;LRRCA
Compact Accounting&amp;C&amp;A SUB-BASIN&amp;RPage &amp;P of &amp;N</oddHeader>
  </headerFooter>
  <rowBreaks count="1" manualBreakCount="1">
    <brk id="48" max="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F72"/>
  <sheetViews>
    <sheetView workbookViewId="0">
      <pane ySplit="1" topLeftCell="A2" activePane="bottomLeft" state="frozen"/>
      <selection pane="bottomLeft" activeCell="E17" sqref="E17"/>
    </sheetView>
  </sheetViews>
  <sheetFormatPr defaultRowHeight="12.75"/>
  <cols>
    <col min="1" max="1" width="69.5703125" customWidth="1"/>
  </cols>
  <sheetData>
    <row r="1" spans="1:6" ht="15.75">
      <c r="A1" s="37" t="s">
        <v>205</v>
      </c>
      <c r="B1" s="194">
        <f>INPUT!C1</f>
        <v>2017</v>
      </c>
      <c r="C1" s="194">
        <f>INPUT!D1</f>
        <v>2018</v>
      </c>
      <c r="D1" s="194">
        <f>INPUT!E1</f>
        <v>2019</v>
      </c>
      <c r="E1" s="194">
        <f>INPUT!F1</f>
        <v>2020</v>
      </c>
      <c r="F1" s="194">
        <f>INPUT!G1</f>
        <v>2021</v>
      </c>
    </row>
    <row r="2" spans="1:6">
      <c r="A2" t="s">
        <v>66</v>
      </c>
      <c r="E2" s="312"/>
      <c r="F2" s="312"/>
    </row>
    <row r="3" spans="1:6" ht="15.75">
      <c r="A3" s="9" t="s">
        <v>157</v>
      </c>
      <c r="E3" s="312"/>
      <c r="F3" s="312"/>
    </row>
    <row r="4" spans="1:6">
      <c r="A4" s="7" t="s">
        <v>158</v>
      </c>
      <c r="E4" s="312"/>
      <c r="F4" s="312"/>
    </row>
    <row r="5" spans="1:6">
      <c r="A5" s="31" t="str">
        <f>+INPUT!B54</f>
        <v>Imported Water Nebraska</v>
      </c>
      <c r="B5" s="145">
        <f>+INPUT!C54</f>
        <v>37</v>
      </c>
      <c r="C5" s="145">
        <f>+INPUT!D54</f>
        <v>65</v>
      </c>
      <c r="D5" s="145">
        <f>+INPUT!E54</f>
        <v>65</v>
      </c>
      <c r="E5" s="145">
        <f>+INPUT!F54</f>
        <v>49</v>
      </c>
      <c r="F5" s="145">
        <f>+INPUT!G54</f>
        <v>49</v>
      </c>
    </row>
    <row r="6" spans="1:6">
      <c r="A6" s="31" t="str">
        <f>+INPUT!B25</f>
        <v>GW CBCU Colorado</v>
      </c>
      <c r="B6" s="145">
        <f>+INPUT!C25</f>
        <v>0</v>
      </c>
      <c r="C6" s="145">
        <f>+INPUT!D25</f>
        <v>0</v>
      </c>
      <c r="D6" s="145">
        <f>+INPUT!E25</f>
        <v>0</v>
      </c>
      <c r="E6" s="145">
        <f>+INPUT!F25</f>
        <v>0</v>
      </c>
      <c r="F6" s="145">
        <f>+INPUT!G25</f>
        <v>0</v>
      </c>
    </row>
    <row r="7" spans="1:6">
      <c r="A7" s="31" t="str">
        <f>+INPUT!B26</f>
        <v>GW CBCU Kansas</v>
      </c>
      <c r="B7" s="145">
        <f>+INPUT!C26</f>
        <v>0</v>
      </c>
      <c r="C7" s="145">
        <f>+INPUT!D26</f>
        <v>0</v>
      </c>
      <c r="D7" s="145">
        <f>+INPUT!E26</f>
        <v>0</v>
      </c>
      <c r="E7" s="145">
        <f>+INPUT!F26</f>
        <v>0</v>
      </c>
      <c r="F7" s="145">
        <f>+INPUT!G26</f>
        <v>0</v>
      </c>
    </row>
    <row r="8" spans="1:6" ht="12" customHeight="1">
      <c r="A8" s="31" t="str">
        <f>+INPUT!B27</f>
        <v>GW CBCU Nebraska</v>
      </c>
      <c r="B8" s="145">
        <f>+INPUT!C27</f>
        <v>8247</v>
      </c>
      <c r="C8" s="145">
        <f>+INPUT!D27</f>
        <v>9645</v>
      </c>
      <c r="D8" s="145">
        <f>+INPUT!E27</f>
        <v>10339</v>
      </c>
      <c r="E8" s="145">
        <f>+INPUT!F27</f>
        <v>8756</v>
      </c>
      <c r="F8" s="145">
        <f>+INPUT!G27</f>
        <v>8862</v>
      </c>
    </row>
    <row r="9" spans="1:6" ht="12" customHeight="1">
      <c r="A9" s="8" t="s">
        <v>66</v>
      </c>
      <c r="B9" s="120"/>
      <c r="C9" s="120"/>
      <c r="D9" s="120"/>
      <c r="E9" s="120"/>
      <c r="F9" s="120"/>
    </row>
    <row r="10" spans="1:6">
      <c r="A10" s="4" t="s">
        <v>192</v>
      </c>
      <c r="B10" s="120"/>
      <c r="C10" s="120"/>
      <c r="D10" s="120"/>
      <c r="E10" s="120"/>
      <c r="F10" s="120"/>
    </row>
    <row r="11" spans="1:6">
      <c r="A11" s="35" t="str">
        <f>+INPUT!B246</f>
        <v>Red Willow Canal % Return Flow</v>
      </c>
      <c r="B11" s="111">
        <f>+INPUT!C246</f>
        <v>1</v>
      </c>
      <c r="C11" s="111">
        <f>+INPUT!D246</f>
        <v>1</v>
      </c>
      <c r="D11" s="111">
        <f>+INPUT!E246</f>
        <v>0.71196881496881492</v>
      </c>
      <c r="E11" s="111">
        <f>+INPUT!F246</f>
        <v>0.66370417145044003</v>
      </c>
      <c r="F11" s="111">
        <f>+INPUT!G246</f>
        <v>0.631425305173416</v>
      </c>
    </row>
    <row r="12" spans="1:6">
      <c r="A12" s="2" t="s">
        <v>66</v>
      </c>
      <c r="B12" s="120"/>
      <c r="C12" s="120"/>
      <c r="D12" s="120"/>
      <c r="E12" s="120"/>
      <c r="F12" s="120"/>
    </row>
    <row r="13" spans="1:6">
      <c r="A13" s="4" t="s">
        <v>160</v>
      </c>
      <c r="B13" s="120"/>
      <c r="C13" s="120"/>
      <c r="D13" s="120"/>
      <c r="E13" s="120"/>
      <c r="F13" s="120"/>
    </row>
    <row r="14" spans="1:6">
      <c r="A14" s="31" t="str">
        <f>+INPUT!B191</f>
        <v>Red Willow Creek Near Red Willow</v>
      </c>
      <c r="B14" s="145">
        <f>+INPUT!C191</f>
        <v>4346</v>
      </c>
      <c r="C14" s="145">
        <f>+INPUT!D191</f>
        <v>3932</v>
      </c>
      <c r="D14" s="145">
        <f>+INPUT!E191</f>
        <v>3457</v>
      </c>
      <c r="E14" s="145">
        <f>+INPUT!F191</f>
        <v>4284</v>
      </c>
      <c r="F14" s="145">
        <f>+INPUT!G191</f>
        <v>4012</v>
      </c>
    </row>
    <row r="15" spans="1:6">
      <c r="A15" s="31" t="str">
        <f>+INPUT!B219</f>
        <v>Hugh Butler Lake Evaporation</v>
      </c>
      <c r="B15" s="145">
        <f>+INPUT!C219</f>
        <v>2068</v>
      </c>
      <c r="C15" s="145">
        <f>+INPUT!D219</f>
        <v>1395</v>
      </c>
      <c r="D15" s="145">
        <f>+INPUT!E219</f>
        <v>950</v>
      </c>
      <c r="E15" s="145">
        <f>+INPUT!F219</f>
        <v>3032</v>
      </c>
      <c r="F15" s="145">
        <f>+INPUT!G219</f>
        <v>2608</v>
      </c>
    </row>
    <row r="16" spans="1:6">
      <c r="A16" s="31" t="str">
        <f>+INPUT!B220</f>
        <v>Hugh Butler Lake Change In Storage</v>
      </c>
      <c r="B16" s="145">
        <f>+INPUT!C220</f>
        <v>957</v>
      </c>
      <c r="C16" s="145">
        <f>+INPUT!D220</f>
        <v>3993</v>
      </c>
      <c r="D16" s="145">
        <f>+INPUT!E220</f>
        <v>3001</v>
      </c>
      <c r="E16" s="145">
        <f>+INPUT!F220</f>
        <v>-4190</v>
      </c>
      <c r="F16" s="145">
        <f>+INPUT!G220</f>
        <v>-2618</v>
      </c>
    </row>
    <row r="17" spans="1:6">
      <c r="A17" s="31" t="str">
        <f>+INPUT!B245</f>
        <v>Red Willow Canal Diversions</v>
      </c>
      <c r="B17" s="145">
        <f>+INPUT!C245</f>
        <v>0</v>
      </c>
      <c r="C17" s="145">
        <f>+INPUT!D245</f>
        <v>0</v>
      </c>
      <c r="D17" s="145">
        <f>+INPUT!E245</f>
        <v>5772</v>
      </c>
      <c r="E17" s="145">
        <f>+INPUT!F245</f>
        <v>5226</v>
      </c>
      <c r="F17" s="145">
        <f>+INPUT!G245</f>
        <v>5161</v>
      </c>
    </row>
    <row r="18" spans="1:6">
      <c r="A18" s="50" t="str">
        <f>+INPUT!B102</f>
        <v>SW Diversions - Irrigation - Non-Federal Canals - Nebraska</v>
      </c>
      <c r="B18" s="151">
        <f>+INPUT!C102</f>
        <v>0</v>
      </c>
      <c r="C18" s="151">
        <f>+INPUT!D102</f>
        <v>0</v>
      </c>
      <c r="D18" s="151">
        <f>+INPUT!E102</f>
        <v>0</v>
      </c>
      <c r="E18" s="151">
        <f>+INPUT!F102</f>
        <v>0</v>
      </c>
      <c r="F18" s="151">
        <f>+INPUT!G102</f>
        <v>0</v>
      </c>
    </row>
    <row r="19" spans="1:6">
      <c r="A19" s="50" t="str">
        <f>+INPUT!B103</f>
        <v>SW Diversions - Irrigation - Small Pumps - Nebraska</v>
      </c>
      <c r="B19" s="151">
        <f>+INPUT!C103</f>
        <v>49.134500000000003</v>
      </c>
      <c r="C19" s="151">
        <f>+INPUT!D103</f>
        <v>6.4930608391520881</v>
      </c>
      <c r="D19" s="151">
        <f>+INPUT!E103</f>
        <v>1</v>
      </c>
      <c r="E19" s="151">
        <f>+INPUT!F103</f>
        <v>0.23323547519556848</v>
      </c>
      <c r="F19" s="151">
        <f>+INPUT!G103</f>
        <v>79</v>
      </c>
    </row>
    <row r="20" spans="1:6">
      <c r="A20" s="50" t="str">
        <f>+INPUT!B104</f>
        <v>SW Diversions - M&amp;I - Nebraska</v>
      </c>
      <c r="B20" s="151">
        <f>+INPUT!C104</f>
        <v>0</v>
      </c>
      <c r="C20" s="151">
        <f>+INPUT!D104</f>
        <v>0</v>
      </c>
      <c r="D20" s="151">
        <f>+INPUT!E104</f>
        <v>0</v>
      </c>
      <c r="E20" s="151">
        <f>+INPUT!F104</f>
        <v>0</v>
      </c>
      <c r="F20" s="151">
        <f>+INPUT!G104</f>
        <v>0</v>
      </c>
    </row>
    <row r="21" spans="1:6">
      <c r="A21" s="50" t="str">
        <f>+INPUT!B167</f>
        <v>Non-Federal Reservoir Evaporation - Nebraska</v>
      </c>
      <c r="B21" s="151">
        <f>+INPUT!C167</f>
        <v>214.68115</v>
      </c>
      <c r="C21" s="151">
        <f>+INPUT!D167</f>
        <v>137.306343749999</v>
      </c>
      <c r="D21" s="151">
        <f>+INPUT!E167</f>
        <v>88</v>
      </c>
      <c r="E21" s="151">
        <f>+INPUT!F167</f>
        <v>257.81296874999992</v>
      </c>
      <c r="F21" s="151">
        <f>+INPUT!G167</f>
        <v>222</v>
      </c>
    </row>
    <row r="22" spans="1:6">
      <c r="A22" s="137" t="str">
        <f>+FLOOD!A64</f>
        <v>Red Willow Flood Flow</v>
      </c>
      <c r="B22" s="151">
        <f>+FLOOD!B64</f>
        <v>0</v>
      </c>
      <c r="C22" s="151">
        <f>+FLOOD!C64</f>
        <v>0</v>
      </c>
      <c r="D22" s="151">
        <f>+FLOOD!D64</f>
        <v>0</v>
      </c>
      <c r="E22" s="151">
        <f>+FLOOD!E64</f>
        <v>0</v>
      </c>
      <c r="F22" s="151">
        <f>+FLOOD!F64</f>
        <v>0</v>
      </c>
    </row>
    <row r="23" spans="1:6">
      <c r="A23" s="61" t="s">
        <v>66</v>
      </c>
      <c r="B23" s="151"/>
      <c r="C23" s="151"/>
      <c r="D23" s="151"/>
      <c r="E23" s="151"/>
      <c r="F23" s="151"/>
    </row>
    <row r="24" spans="1:6" ht="15.75">
      <c r="A24" s="9" t="s">
        <v>241</v>
      </c>
      <c r="B24" s="151"/>
      <c r="C24" s="151"/>
      <c r="D24" s="151"/>
      <c r="E24" s="151"/>
      <c r="F24" s="151"/>
    </row>
    <row r="25" spans="1:6">
      <c r="A25" s="7" t="s">
        <v>0</v>
      </c>
      <c r="B25" s="151"/>
      <c r="C25" s="151"/>
      <c r="D25" s="151"/>
      <c r="E25" s="151"/>
      <c r="F25" s="151"/>
    </row>
    <row r="26" spans="1:6">
      <c r="A26" s="13" t="str">
        <f>'NORTH FORK'!A28</f>
        <v>GW CBCU</v>
      </c>
      <c r="B26" s="151">
        <f>+B6</f>
        <v>0</v>
      </c>
      <c r="C26" s="151">
        <f>+C6</f>
        <v>0</v>
      </c>
      <c r="D26" s="151">
        <f>+D6</f>
        <v>0</v>
      </c>
      <c r="E26" s="151">
        <f>+E6</f>
        <v>0</v>
      </c>
      <c r="F26" s="151">
        <f>+F6</f>
        <v>0</v>
      </c>
    </row>
    <row r="27" spans="1:6">
      <c r="A27" s="13" t="str">
        <f>'NORTH FORK'!A29</f>
        <v>Total CBCU</v>
      </c>
      <c r="B27" s="151">
        <f>(ROUND(SUM(B26:B26),-1))</f>
        <v>0</v>
      </c>
      <c r="C27" s="151">
        <f>(ROUND(SUM(C26:C26),-1))</f>
        <v>0</v>
      </c>
      <c r="D27" s="151">
        <f>(ROUND(SUM(D26:D26),-1))</f>
        <v>0</v>
      </c>
      <c r="E27" s="151">
        <f>(ROUND(SUM(E26:E26),-1))</f>
        <v>0</v>
      </c>
      <c r="F27" s="151">
        <f>(ROUND(SUM(F26:F26),-1))</f>
        <v>0</v>
      </c>
    </row>
    <row r="28" spans="1:6">
      <c r="A28" s="13" t="s">
        <v>66</v>
      </c>
      <c r="B28" s="151"/>
      <c r="C28" s="151"/>
      <c r="D28" s="151"/>
      <c r="E28" s="151"/>
      <c r="F28" s="151"/>
    </row>
    <row r="29" spans="1:6">
      <c r="A29" s="7" t="s">
        <v>161</v>
      </c>
      <c r="B29" s="151"/>
      <c r="C29" s="151"/>
      <c r="D29" s="151"/>
      <c r="E29" s="151"/>
      <c r="F29" s="151"/>
    </row>
    <row r="30" spans="1:6">
      <c r="A30" s="13" t="str">
        <f>'NORTH FORK'!A32</f>
        <v>GW CBCU</v>
      </c>
      <c r="B30" s="151">
        <f>+B7</f>
        <v>0</v>
      </c>
      <c r="C30" s="151">
        <f>+C7</f>
        <v>0</v>
      </c>
      <c r="D30" s="151">
        <f>+D7</f>
        <v>0</v>
      </c>
      <c r="E30" s="151">
        <f>+E7</f>
        <v>0</v>
      </c>
      <c r="F30" s="151">
        <f>+F7</f>
        <v>0</v>
      </c>
    </row>
    <row r="31" spans="1:6">
      <c r="A31" s="13" t="str">
        <f>'NORTH FORK'!A33</f>
        <v>Total CBCU</v>
      </c>
      <c r="B31" s="151">
        <f>(ROUND(SUM(B30:B30),-1))</f>
        <v>0</v>
      </c>
      <c r="C31" s="151">
        <f>(ROUND(SUM(C30:C30),-1))</f>
        <v>0</v>
      </c>
      <c r="D31" s="151">
        <f>(ROUND(SUM(D30:D30),-1))</f>
        <v>0</v>
      </c>
      <c r="E31" s="151">
        <f>(ROUND(SUM(E30:E30),-1))</f>
        <v>0</v>
      </c>
      <c r="F31" s="151">
        <f>(ROUND(SUM(F30:F30),-1))</f>
        <v>0</v>
      </c>
    </row>
    <row r="32" spans="1:6">
      <c r="A32" s="13" t="s">
        <v>66</v>
      </c>
      <c r="B32" s="151"/>
      <c r="C32" s="151"/>
      <c r="D32" s="151"/>
      <c r="E32" s="151"/>
      <c r="F32" s="151"/>
    </row>
    <row r="33" spans="1:6">
      <c r="A33" s="7" t="s">
        <v>1</v>
      </c>
      <c r="B33" s="151"/>
      <c r="C33" s="151"/>
      <c r="D33" s="151"/>
      <c r="E33" s="151"/>
      <c r="F33" s="151"/>
    </row>
    <row r="34" spans="1:6">
      <c r="A34" s="13" t="str">
        <f>((LEFT(A17,16)&amp;" "&amp;"CBCU (10%)"))</f>
        <v>Red Willow Canal CBCU (10%)</v>
      </c>
      <c r="B34" s="151">
        <f>+(B17*(1-B11))*0.1</f>
        <v>0</v>
      </c>
      <c r="C34" s="151">
        <f>+(C17*(1-C11))*0.1</f>
        <v>0</v>
      </c>
      <c r="D34" s="151">
        <f>+(D17*(1-D11))*0.1</f>
        <v>166.25160000000005</v>
      </c>
      <c r="E34" s="151">
        <f>+(E17*(1-E11))*0.1</f>
        <v>175.74820000000005</v>
      </c>
      <c r="F34" s="151">
        <f>+(F17*(1-F11))*0.1</f>
        <v>190.22140000000002</v>
      </c>
    </row>
    <row r="35" spans="1:6">
      <c r="A35" s="13" t="str">
        <f>'NORTH FORK'!A23</f>
        <v>SW CBCU - Irrigation - Non Federal Canals</v>
      </c>
      <c r="B35" s="151">
        <f>B18*CanalCUPercent1</f>
        <v>0</v>
      </c>
      <c r="C35" s="151">
        <f>C18*CanalCUPercent2</f>
        <v>0</v>
      </c>
      <c r="D35" s="151">
        <f>D18*CanalCUPercent3</f>
        <v>0</v>
      </c>
      <c r="E35" s="151">
        <f>E18*CanalCUPercent4</f>
        <v>0</v>
      </c>
      <c r="F35" s="151">
        <f>F18*CanalCUPercent5</f>
        <v>0</v>
      </c>
    </row>
    <row r="36" spans="1:6">
      <c r="A36" s="13" t="str">
        <f>'NORTH FORK'!A24</f>
        <v>SW CBCU - Irrigation - Small Pumps</v>
      </c>
      <c r="B36" s="151">
        <f>B19*PumperCUPercent1</f>
        <v>36.850875000000002</v>
      </c>
      <c r="C36" s="151">
        <f>C19*PumperCUPercent2</f>
        <v>4.8697956293640665</v>
      </c>
      <c r="D36" s="151">
        <f>D19*PumperCUPercent3</f>
        <v>0.75</v>
      </c>
      <c r="E36" s="151">
        <f>E19*PumperCUPercent4</f>
        <v>0.17492660639667634</v>
      </c>
      <c r="F36" s="151">
        <f>F19*PumperCUPercent5</f>
        <v>59.25</v>
      </c>
    </row>
    <row r="37" spans="1:6">
      <c r="A37" s="13" t="str">
        <f>'NORTH FORK'!A25</f>
        <v>SW CBCU - M&amp;I</v>
      </c>
      <c r="B37" s="151">
        <f>B20*MI_CUPercent1</f>
        <v>0</v>
      </c>
      <c r="C37" s="151">
        <f>C20*MI_CUPercent2</f>
        <v>0</v>
      </c>
      <c r="D37" s="151">
        <f>D20*MI_CUPercent3</f>
        <v>0</v>
      </c>
      <c r="E37" s="151">
        <f>E20*MI_CUPercent4</f>
        <v>0</v>
      </c>
      <c r="F37" s="151">
        <f>F20*MI_CUPercent5</f>
        <v>0</v>
      </c>
    </row>
    <row r="38" spans="1:6">
      <c r="A38" s="13" t="str">
        <f>(LEFT(A15,28))&amp;" "&amp;"(10%)"</f>
        <v>Hugh Butler Lake Evaporation (10%)</v>
      </c>
      <c r="B38" s="151">
        <f>+B15*0.1</f>
        <v>206.8</v>
      </c>
      <c r="C38" s="151">
        <f>+C15*0.1</f>
        <v>139.5</v>
      </c>
      <c r="D38" s="151">
        <f>+D15*0.1</f>
        <v>95</v>
      </c>
      <c r="E38" s="151">
        <f>+E15*0.1</f>
        <v>303.2</v>
      </c>
      <c r="F38" s="151">
        <f>+F15*0.1</f>
        <v>260.8</v>
      </c>
    </row>
    <row r="39" spans="1:6">
      <c r="A39" s="45" t="str">
        <f>'NORTH FORK'!A26</f>
        <v>Non-Federal Reservoir Evaporation</v>
      </c>
      <c r="B39" s="151">
        <f>B21</f>
        <v>214.68115</v>
      </c>
      <c r="C39" s="151">
        <f>C21</f>
        <v>137.306343749999</v>
      </c>
      <c r="D39" s="151">
        <f>D21</f>
        <v>88</v>
      </c>
      <c r="E39" s="151">
        <f>E21</f>
        <v>257.81296874999992</v>
      </c>
      <c r="F39" s="151">
        <f>F21</f>
        <v>222</v>
      </c>
    </row>
    <row r="40" spans="1:6">
      <c r="A40" s="13" t="str">
        <f>'NORTH FORK'!A27</f>
        <v>SW CBCU</v>
      </c>
      <c r="B40" s="151">
        <f>B34+B35+B36+B37+B38+B39</f>
        <v>458.33202500000004</v>
      </c>
      <c r="C40" s="151">
        <f>C34+C35+C36+C37+C38+C39</f>
        <v>281.67613937936306</v>
      </c>
      <c r="D40" s="151">
        <f>D34+D35+D36+D37+D38+D39</f>
        <v>350.00160000000005</v>
      </c>
      <c r="E40" s="151">
        <f>E34+E35+E36+E37+E38+E39</f>
        <v>736.93609535639666</v>
      </c>
      <c r="F40" s="151">
        <f>F34+F35+F36+F37+F38+F39</f>
        <v>732.27140000000009</v>
      </c>
    </row>
    <row r="41" spans="1:6">
      <c r="A41" s="13" t="str">
        <f>'NORTH FORK'!A28</f>
        <v>GW CBCU</v>
      </c>
      <c r="B41" s="151">
        <f>+B8</f>
        <v>8247</v>
      </c>
      <c r="C41" s="151">
        <f>+C8</f>
        <v>9645</v>
      </c>
      <c r="D41" s="151">
        <f>+D8</f>
        <v>10339</v>
      </c>
      <c r="E41" s="151">
        <f>+E8</f>
        <v>8756</v>
      </c>
      <c r="F41" s="151">
        <f>+F8</f>
        <v>8862</v>
      </c>
    </row>
    <row r="42" spans="1:6">
      <c r="A42" s="13" t="str">
        <f>'NORTH FORK'!A29</f>
        <v>Total CBCU</v>
      </c>
      <c r="B42" s="151">
        <f>(ROUND(SUM(B40:B41),-1))</f>
        <v>8710</v>
      </c>
      <c r="C42" s="151">
        <f>(ROUND(SUM(C40:C41),-1))</f>
        <v>9930</v>
      </c>
      <c r="D42" s="151">
        <f>(ROUND(SUM(D40:D41),-1))</f>
        <v>10690</v>
      </c>
      <c r="E42" s="151">
        <f>(ROUND(SUM(E40:E41),-1))</f>
        <v>9490</v>
      </c>
      <c r="F42" s="151">
        <f>(ROUND(SUM(F40:F41),-1))</f>
        <v>9590</v>
      </c>
    </row>
    <row r="43" spans="1:6">
      <c r="A43" s="45" t="s">
        <v>66</v>
      </c>
      <c r="B43" s="151"/>
      <c r="C43" s="151"/>
      <c r="D43" s="151"/>
      <c r="E43" s="151"/>
      <c r="F43" s="151"/>
    </row>
    <row r="44" spans="1:6">
      <c r="A44" s="4" t="s">
        <v>162</v>
      </c>
      <c r="B44" s="151"/>
      <c r="C44" s="151"/>
      <c r="D44" s="151"/>
      <c r="E44" s="151"/>
      <c r="F44" s="151"/>
    </row>
    <row r="45" spans="1:6">
      <c r="A45" s="45" t="str">
        <f>'NORTH FORK'!A42</f>
        <v>Total SW CBCU</v>
      </c>
      <c r="B45" s="151">
        <f>+B40</f>
        <v>458.33202500000004</v>
      </c>
      <c r="C45" s="151">
        <f>+C40</f>
        <v>281.67613937936306</v>
      </c>
      <c r="D45" s="151">
        <f>+D40</f>
        <v>350.00160000000005</v>
      </c>
      <c r="E45" s="151">
        <f>+E40</f>
        <v>736.93609535639666</v>
      </c>
      <c r="F45" s="151">
        <f>+F40</f>
        <v>732.27140000000009</v>
      </c>
    </row>
    <row r="46" spans="1:6">
      <c r="A46" s="45" t="str">
        <f>'NORTH FORK'!A43</f>
        <v>Total GW CBCU</v>
      </c>
      <c r="B46" s="151">
        <f>+B26+B30+B41</f>
        <v>8247</v>
      </c>
      <c r="C46" s="151">
        <f>+C26+C30+C41</f>
        <v>9645</v>
      </c>
      <c r="D46" s="151">
        <f>+D26+D30+D41</f>
        <v>10339</v>
      </c>
      <c r="E46" s="151">
        <f>+E26+E30+E41</f>
        <v>8756</v>
      </c>
      <c r="F46" s="151">
        <f>+F26+F30+F41</f>
        <v>8862</v>
      </c>
    </row>
    <row r="47" spans="1:6">
      <c r="A47" s="45" t="str">
        <f>'NORTH FORK'!A44</f>
        <v>Total Basin CBCU</v>
      </c>
      <c r="B47" s="151">
        <f>(ROUND(SUM(B45:B46),-1))</f>
        <v>8710</v>
      </c>
      <c r="C47" s="151">
        <f>(ROUND(SUM(C45:C46),-1))</f>
        <v>9930</v>
      </c>
      <c r="D47" s="151">
        <f>(ROUND(SUM(D45:D46),-1))</f>
        <v>10690</v>
      </c>
      <c r="E47" s="151">
        <f>(ROUND(SUM(E45:E46),-1))</f>
        <v>9490</v>
      </c>
      <c r="F47" s="151">
        <f>(ROUND(SUM(F45:F46),-1))</f>
        <v>9590</v>
      </c>
    </row>
    <row r="48" spans="1:6">
      <c r="A48" s="45" t="s">
        <v>66</v>
      </c>
      <c r="B48" s="151"/>
      <c r="C48" s="151"/>
      <c r="D48" s="151"/>
      <c r="E48" s="151"/>
      <c r="F48" s="151"/>
    </row>
    <row r="49" spans="1:6" ht="15.75">
      <c r="A49" s="10" t="s">
        <v>10</v>
      </c>
      <c r="B49" s="151"/>
      <c r="C49" s="151"/>
      <c r="D49" s="151"/>
      <c r="E49" s="151"/>
      <c r="F49" s="151"/>
    </row>
    <row r="50" spans="1:6">
      <c r="A50" s="42" t="str">
        <f t="shared" ref="A50:F50" si="0">A14</f>
        <v>Red Willow Creek Near Red Willow</v>
      </c>
      <c r="B50" s="151">
        <f t="shared" si="0"/>
        <v>4346</v>
      </c>
      <c r="C50" s="151">
        <f t="shared" si="0"/>
        <v>3932</v>
      </c>
      <c r="D50" s="151">
        <f t="shared" si="0"/>
        <v>3457</v>
      </c>
      <c r="E50" s="151">
        <f t="shared" si="0"/>
        <v>4284</v>
      </c>
      <c r="F50" s="151">
        <f t="shared" si="0"/>
        <v>4012</v>
      </c>
    </row>
    <row r="51" spans="1:6">
      <c r="A51" s="13" t="str">
        <f>(LEFT(A34,22))&amp;" "&amp;"(90%)"</f>
        <v>Red Willow Canal CBCU  (90%)</v>
      </c>
      <c r="B51" s="151">
        <f>0.9*(B17*(1-B11))</f>
        <v>0</v>
      </c>
      <c r="C51" s="151">
        <f>0.9*(C17*(1-C11))</f>
        <v>0</v>
      </c>
      <c r="D51" s="151">
        <f>0.9*(D17*(1-D11))</f>
        <v>1496.2644000000003</v>
      </c>
      <c r="E51" s="151">
        <f>0.9*(E17*(1-E11))</f>
        <v>1581.7338000000004</v>
      </c>
      <c r="F51" s="151">
        <f>0.9*(F17*(1-F11))</f>
        <v>1711.9926</v>
      </c>
    </row>
    <row r="52" spans="1:6">
      <c r="A52" s="13" t="str">
        <f>'NORTH FORK'!A49</f>
        <v>Colorado CBCU</v>
      </c>
      <c r="B52" s="151">
        <f>+B27</f>
        <v>0</v>
      </c>
      <c r="C52" s="151">
        <f>+C27</f>
        <v>0</v>
      </c>
      <c r="D52" s="151">
        <f>+D27</f>
        <v>0</v>
      </c>
      <c r="E52" s="151">
        <f>+E27</f>
        <v>0</v>
      </c>
      <c r="F52" s="151">
        <f>+F27</f>
        <v>0</v>
      </c>
    </row>
    <row r="53" spans="1:6">
      <c r="A53" s="13" t="str">
        <f>'NORTH FORK'!A50</f>
        <v>Kansas CBCU</v>
      </c>
      <c r="B53" s="151">
        <f>+B31</f>
        <v>0</v>
      </c>
      <c r="C53" s="151">
        <f>+C31</f>
        <v>0</v>
      </c>
      <c r="D53" s="151">
        <f>+D31</f>
        <v>0</v>
      </c>
      <c r="E53" s="151">
        <f>+E31</f>
        <v>0</v>
      </c>
      <c r="F53" s="151">
        <f>+F31</f>
        <v>0</v>
      </c>
    </row>
    <row r="54" spans="1:6">
      <c r="A54" s="13" t="str">
        <f>'NORTH FORK'!A51</f>
        <v>Nebraska CBCU</v>
      </c>
      <c r="B54" s="151">
        <f>+B42</f>
        <v>8710</v>
      </c>
      <c r="C54" s="151">
        <f>+C42</f>
        <v>9930</v>
      </c>
      <c r="D54" s="151">
        <f>+D42</f>
        <v>10690</v>
      </c>
      <c r="E54" s="151">
        <f>+E42</f>
        <v>9490</v>
      </c>
      <c r="F54" s="151">
        <f>+F42</f>
        <v>9590</v>
      </c>
    </row>
    <row r="55" spans="1:6">
      <c r="A55" s="13" t="str">
        <f>A16</f>
        <v>Hugh Butler Lake Change In Storage</v>
      </c>
      <c r="B55" s="151">
        <f>+B16</f>
        <v>957</v>
      </c>
      <c r="C55" s="151">
        <f>+C16</f>
        <v>3993</v>
      </c>
      <c r="D55" s="151">
        <f>+D16</f>
        <v>3001</v>
      </c>
      <c r="E55" s="151">
        <f>+E16</f>
        <v>-4190</v>
      </c>
      <c r="F55" s="151">
        <f>+F16</f>
        <v>-2618</v>
      </c>
    </row>
    <row r="56" spans="1:6">
      <c r="A56" s="13" t="str">
        <f>(LEFT(A15,28))&amp;" "&amp;"(90%)"</f>
        <v>Hugh Butler Lake Evaporation (90%)</v>
      </c>
      <c r="B56" s="151">
        <f>+B15*0.9</f>
        <v>1861.2</v>
      </c>
      <c r="C56" s="151">
        <f>+C15*0.9</f>
        <v>1255.5</v>
      </c>
      <c r="D56" s="151">
        <f>+D15*0.9</f>
        <v>855</v>
      </c>
      <c r="E56" s="151">
        <f>+E15*0.9</f>
        <v>2728.8</v>
      </c>
      <c r="F56" s="151">
        <f>+F15*0.9</f>
        <v>2347.2000000000003</v>
      </c>
    </row>
    <row r="57" spans="1:6">
      <c r="A57" s="13" t="s">
        <v>226</v>
      </c>
      <c r="B57" s="151">
        <f>0.9*(B17*B11)</f>
        <v>0</v>
      </c>
      <c r="C57" s="151">
        <f>0.9*(C17*C11)</f>
        <v>0</v>
      </c>
      <c r="D57" s="151">
        <f>0.9*(D17*D11)</f>
        <v>3698.5355999999997</v>
      </c>
      <c r="E57" s="151">
        <f>0.9*(E17*E11)</f>
        <v>3121.6661999999997</v>
      </c>
      <c r="F57" s="151">
        <f>0.9*(F17*F11)</f>
        <v>2932.9074000000001</v>
      </c>
    </row>
    <row r="58" spans="1:6">
      <c r="A58" s="13" t="str">
        <f>'NORTH FORK'!A52</f>
        <v>Imported Water</v>
      </c>
      <c r="B58" s="151">
        <f>+B5</f>
        <v>37</v>
      </c>
      <c r="C58" s="151">
        <f>+C5</f>
        <v>65</v>
      </c>
      <c r="D58" s="151">
        <f>+D5</f>
        <v>65</v>
      </c>
      <c r="E58" s="151">
        <f>+E5</f>
        <v>49</v>
      </c>
      <c r="F58" s="151">
        <f>+F5</f>
        <v>49</v>
      </c>
    </row>
    <row r="59" spans="1:6">
      <c r="A59" s="13" t="str">
        <f>'NORTH FORK'!A54</f>
        <v>Virgin Water Supply</v>
      </c>
      <c r="B59" s="151">
        <f>ROUND(B50+B52+B53+B54+B51+B56+B57+B55-B58,-1)</f>
        <v>15840</v>
      </c>
      <c r="C59" s="151">
        <f>ROUND(C50+C52+C53+C54+C51+C56+C57+C55-C58,-1)</f>
        <v>19050</v>
      </c>
      <c r="D59" s="151">
        <f>ROUND(D50+D52+D53+D54+D51+D56+D57+D55-D58,-1)</f>
        <v>23130</v>
      </c>
      <c r="E59" s="151">
        <f>ROUND(E50+E52+E53+E54+E51+E56+E57+E55-E58,-1)</f>
        <v>16970</v>
      </c>
      <c r="F59" s="151">
        <f>ROUND(F50+F52+F53+F54+F51+F56+F57+F55-F58,-1)</f>
        <v>17930</v>
      </c>
    </row>
    <row r="60" spans="1:6">
      <c r="A60" s="13" t="str">
        <f>'NORTH FORK'!A55</f>
        <v>Adjustment For Flood Flows</v>
      </c>
      <c r="B60" s="151">
        <f>B22</f>
        <v>0</v>
      </c>
      <c r="C60" s="151">
        <f>C22</f>
        <v>0</v>
      </c>
      <c r="D60" s="151">
        <f>D22</f>
        <v>0</v>
      </c>
      <c r="E60" s="151">
        <f>E22</f>
        <v>0</v>
      </c>
      <c r="F60" s="151">
        <f>F22</f>
        <v>0</v>
      </c>
    </row>
    <row r="61" spans="1:6">
      <c r="A61" s="13" t="str">
        <f>'NORTH FORK'!A56</f>
        <v>Computed Water Supply</v>
      </c>
      <c r="B61" s="151">
        <f>ROUND(+B59-B60-B55,-1)</f>
        <v>14880</v>
      </c>
      <c r="C61" s="151">
        <f>ROUND(+C59-C60-C55,-1)</f>
        <v>15060</v>
      </c>
      <c r="D61" s="151">
        <f>ROUND(+D59-D60-D55,-1)</f>
        <v>20130</v>
      </c>
      <c r="E61" s="151">
        <f>ROUND(+E59-E60-E55,-1)</f>
        <v>21160</v>
      </c>
      <c r="F61" s="151">
        <f>ROUND(+F59-F60-F55,-1)</f>
        <v>20550</v>
      </c>
    </row>
    <row r="62" spans="1:6">
      <c r="A62" s="45" t="s">
        <v>66</v>
      </c>
      <c r="B62" s="151"/>
      <c r="C62" s="151"/>
      <c r="D62" s="151"/>
      <c r="E62" s="151"/>
      <c r="F62" s="151"/>
    </row>
    <row r="63" spans="1:6" ht="15.75">
      <c r="A63" s="10" t="s">
        <v>12</v>
      </c>
      <c r="B63" s="121"/>
      <c r="C63" s="121"/>
      <c r="D63" s="121"/>
      <c r="E63" s="121"/>
      <c r="F63" s="121"/>
    </row>
    <row r="64" spans="1:6">
      <c r="A64" s="13" t="str">
        <f>'NORTH FORK'!A59</f>
        <v>Colorado Percent Of Allocation</v>
      </c>
      <c r="B64" s="122">
        <f>'T2'!$D10</f>
        <v>0</v>
      </c>
      <c r="C64" s="122">
        <f>'T2'!$D10</f>
        <v>0</v>
      </c>
      <c r="D64" s="122">
        <f>'T2'!$D10</f>
        <v>0</v>
      </c>
      <c r="E64" s="122">
        <f>'T2'!$D10</f>
        <v>0</v>
      </c>
      <c r="F64" s="122">
        <f>'T2'!$D10</f>
        <v>0</v>
      </c>
    </row>
    <row r="65" spans="1:6">
      <c r="A65" s="13" t="str">
        <f>'NORTH FORK'!A60</f>
        <v>Colorado Allocation</v>
      </c>
      <c r="B65" s="151">
        <f>ROUND(+B61*B64,-1)</f>
        <v>0</v>
      </c>
      <c r="C65" s="151">
        <f>ROUND(+C61*C64,-1)</f>
        <v>0</v>
      </c>
      <c r="D65" s="151">
        <f>ROUND(+D61*D64,-1)</f>
        <v>0</v>
      </c>
      <c r="E65" s="151">
        <f>ROUND(+E61*E64,-1)</f>
        <v>0</v>
      </c>
      <c r="F65" s="151">
        <f>ROUND(+F61*F64,-1)</f>
        <v>0</v>
      </c>
    </row>
    <row r="66" spans="1:6">
      <c r="A66" s="13" t="str">
        <f>'NORTH FORK'!A61</f>
        <v>Kansas Percent Of Allocation</v>
      </c>
      <c r="B66" s="122">
        <f>'T2'!$F10</f>
        <v>0</v>
      </c>
      <c r="C66" s="122">
        <f>'T2'!$F10</f>
        <v>0</v>
      </c>
      <c r="D66" s="122">
        <f>'T2'!$F10</f>
        <v>0</v>
      </c>
      <c r="E66" s="122">
        <f>'T2'!$F10</f>
        <v>0</v>
      </c>
      <c r="F66" s="122">
        <f>'T2'!$F10</f>
        <v>0</v>
      </c>
    </row>
    <row r="67" spans="1:6">
      <c r="A67" s="13" t="str">
        <f>'NORTH FORK'!A62</f>
        <v>Kansas Allocation</v>
      </c>
      <c r="B67" s="151">
        <f>ROUND(B61*B66,-1)</f>
        <v>0</v>
      </c>
      <c r="C67" s="151">
        <f>ROUND(C61*C66,-1)</f>
        <v>0</v>
      </c>
      <c r="D67" s="151">
        <f>ROUND(D61*D66,-1)</f>
        <v>0</v>
      </c>
      <c r="E67" s="151">
        <f>ROUND(E61*E66,-1)</f>
        <v>0</v>
      </c>
      <c r="F67" s="151">
        <f>ROUND(F61*F66,-1)</f>
        <v>0</v>
      </c>
    </row>
    <row r="68" spans="1:6">
      <c r="A68" s="13" t="str">
        <f>'NORTH FORK'!A63</f>
        <v>Nebraska Percent Of Allocation</v>
      </c>
      <c r="B68" s="122">
        <f>'T2'!$H10</f>
        <v>0.192</v>
      </c>
      <c r="C68" s="122">
        <f>'T2'!$H10</f>
        <v>0.192</v>
      </c>
      <c r="D68" s="122">
        <f>'T2'!$H10</f>
        <v>0.192</v>
      </c>
      <c r="E68" s="122">
        <f>'T2'!$H10</f>
        <v>0.192</v>
      </c>
      <c r="F68" s="122">
        <f>'T2'!$H10</f>
        <v>0.192</v>
      </c>
    </row>
    <row r="69" spans="1:6">
      <c r="A69" s="13" t="str">
        <f>'NORTH FORK'!A64</f>
        <v>Nebraska Allocation</v>
      </c>
      <c r="B69" s="151">
        <f>ROUND(B61*B68,-1)</f>
        <v>2860</v>
      </c>
      <c r="C69" s="151">
        <f>ROUND(C61*C68,-1)</f>
        <v>2890</v>
      </c>
      <c r="D69" s="151">
        <f>ROUND(D61*D68,-1)</f>
        <v>3860</v>
      </c>
      <c r="E69" s="151">
        <f>ROUND(E61*E68,-1)</f>
        <v>4060</v>
      </c>
      <c r="F69" s="151">
        <f>ROUND(F61*F68,-1)</f>
        <v>3950</v>
      </c>
    </row>
    <row r="70" spans="1:6">
      <c r="A70" s="2" t="str">
        <f>'NORTH FORK'!A65</f>
        <v>Total Basin Allocation</v>
      </c>
      <c r="B70" s="145">
        <f>+B65+B67+B69</f>
        <v>2860</v>
      </c>
      <c r="C70" s="145">
        <f>+C65+C67+C69</f>
        <v>2890</v>
      </c>
      <c r="D70" s="145">
        <f>+D65+D67+D69</f>
        <v>3860</v>
      </c>
      <c r="E70" s="145">
        <f>+E65+E67+E69</f>
        <v>4060</v>
      </c>
      <c r="F70" s="145">
        <f>+F65+F67+F69</f>
        <v>3950</v>
      </c>
    </row>
    <row r="71" spans="1:6">
      <c r="A71" s="2" t="str">
        <f>'NORTH FORK'!A66</f>
        <v>Percent Of Supply Not Allocated</v>
      </c>
      <c r="B71" s="117">
        <f>'T2'!$J10</f>
        <v>0.80800000000000005</v>
      </c>
      <c r="C71" s="117">
        <f>'T2'!$J10</f>
        <v>0.80800000000000005</v>
      </c>
      <c r="D71" s="117">
        <f>'T2'!$J10</f>
        <v>0.80800000000000005</v>
      </c>
      <c r="E71" s="117">
        <f>'T2'!$J10</f>
        <v>0.80800000000000005</v>
      </c>
      <c r="F71" s="117">
        <f>'T2'!$J10</f>
        <v>0.80800000000000005</v>
      </c>
    </row>
    <row r="72" spans="1:6">
      <c r="A72" s="2" t="str">
        <f>'NORTH FORK'!A67</f>
        <v>Quantity Of Unallocated Supply</v>
      </c>
      <c r="B72" s="145">
        <f>+B61-B65-B67-B69</f>
        <v>12020</v>
      </c>
      <c r="C72" s="145">
        <f>+C61-C65-C67-C69</f>
        <v>12170</v>
      </c>
      <c r="D72" s="145">
        <f>+D61-D65-D67-D69</f>
        <v>16270</v>
      </c>
      <c r="E72" s="145">
        <f>+E61-E65-E67-E69</f>
        <v>17100</v>
      </c>
      <c r="F72" s="145">
        <f>+F61-F65-F67-F69</f>
        <v>16600</v>
      </c>
    </row>
  </sheetData>
  <phoneticPr fontId="0" type="noConversion"/>
  <printOptions headings="1"/>
  <pageMargins left="0.75" right="0.75" top="0.75" bottom="0.5" header="0.25" footer="0.5"/>
  <pageSetup paperSize="3" fitToHeight="2" orientation="portrait" r:id="rId1"/>
  <headerFooter alignWithMargins="0">
    <oddHeader>&amp;LRRCA
Compact Accounting&amp;C&amp;A SUB-BASIN&amp;RPage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I79"/>
  <sheetViews>
    <sheetView zoomScale="80" zoomScaleNormal="80" workbookViewId="0">
      <pane ySplit="1" topLeftCell="A2" activePane="bottomLeft" state="frozen"/>
      <selection pane="bottomLeft" activeCell="B10" sqref="B10"/>
    </sheetView>
  </sheetViews>
  <sheetFormatPr defaultRowHeight="12.75"/>
  <cols>
    <col min="1" max="1" width="69.28515625" customWidth="1"/>
  </cols>
  <sheetData>
    <row r="1" spans="1:9" ht="15.75">
      <c r="A1" s="37" t="s">
        <v>204</v>
      </c>
      <c r="B1" s="194">
        <f>INPUT!C1</f>
        <v>2017</v>
      </c>
      <c r="C1" s="194">
        <f>INPUT!D1</f>
        <v>2018</v>
      </c>
      <c r="D1" s="194">
        <f>INPUT!E1</f>
        <v>2019</v>
      </c>
      <c r="E1" s="194">
        <f>INPUT!F1</f>
        <v>2020</v>
      </c>
      <c r="F1" s="194">
        <f>INPUT!G1</f>
        <v>2021</v>
      </c>
    </row>
    <row r="2" spans="1:9">
      <c r="A2" t="s">
        <v>66</v>
      </c>
      <c r="E2" s="312"/>
      <c r="F2" s="312"/>
    </row>
    <row r="3" spans="1:9" ht="15.75">
      <c r="A3" s="9" t="s">
        <v>157</v>
      </c>
      <c r="E3" s="312"/>
      <c r="F3" s="312"/>
    </row>
    <row r="4" spans="1:9">
      <c r="A4" s="7" t="s">
        <v>158</v>
      </c>
      <c r="E4" s="312"/>
      <c r="F4" s="312"/>
    </row>
    <row r="5" spans="1:9">
      <c r="A5" s="31" t="str">
        <f>+INPUT!B55</f>
        <v>Imported Water Nebraska</v>
      </c>
      <c r="B5" s="145">
        <f>+INPUT!C55</f>
        <v>10337</v>
      </c>
      <c r="C5" s="145">
        <f>+INPUT!D55</f>
        <v>11274</v>
      </c>
      <c r="D5" s="145">
        <f>+INPUT!E55</f>
        <v>11292</v>
      </c>
      <c r="E5" s="145">
        <f>+INPUT!F55</f>
        <v>10592</v>
      </c>
      <c r="F5" s="145">
        <f>+INPUT!G55</f>
        <v>10693</v>
      </c>
    </row>
    <row r="6" spans="1:9">
      <c r="A6" s="31" t="str">
        <f>+INPUT!B28</f>
        <v>GW CBCU Colorado</v>
      </c>
      <c r="B6" s="145">
        <f>+INPUT!C28</f>
        <v>0</v>
      </c>
      <c r="C6" s="145">
        <f>+INPUT!D28</f>
        <v>0</v>
      </c>
      <c r="D6" s="145">
        <f>+INPUT!E28</f>
        <v>0</v>
      </c>
      <c r="E6" s="145">
        <f>+INPUT!F28</f>
        <v>0</v>
      </c>
      <c r="F6" s="145">
        <f>+INPUT!G28</f>
        <v>0</v>
      </c>
    </row>
    <row r="7" spans="1:9">
      <c r="A7" s="31" t="str">
        <f>+INPUT!B29</f>
        <v>GW CBCU Kansas</v>
      </c>
      <c r="B7" s="145">
        <f>+INPUT!C29</f>
        <v>0</v>
      </c>
      <c r="C7" s="145">
        <f>+INPUT!D29</f>
        <v>0</v>
      </c>
      <c r="D7" s="145">
        <f>+INPUT!E29</f>
        <v>0</v>
      </c>
      <c r="E7" s="145">
        <f>+INPUT!F29</f>
        <v>0</v>
      </c>
      <c r="F7" s="145">
        <f>+INPUT!G29</f>
        <v>0</v>
      </c>
      <c r="I7" s="99"/>
    </row>
    <row r="8" spans="1:9" ht="12" customHeight="1">
      <c r="A8" s="31" t="str">
        <f>+INPUT!B30</f>
        <v>GW CBCU Nebraska</v>
      </c>
      <c r="B8" s="145">
        <f>+INPUT!C30</f>
        <v>20695</v>
      </c>
      <c r="C8" s="145">
        <f>+INPUT!D30</f>
        <v>21374</v>
      </c>
      <c r="D8" s="145">
        <f>+INPUT!E30</f>
        <v>21376</v>
      </c>
      <c r="E8" s="145">
        <f>+INPUT!F30</f>
        <v>19867</v>
      </c>
      <c r="F8" s="145">
        <f>+INPUT!G30</f>
        <v>20562</v>
      </c>
    </row>
    <row r="9" spans="1:9" ht="12" customHeight="1">
      <c r="A9" s="31" t="s">
        <v>564</v>
      </c>
      <c r="B9" s="145">
        <f>RWS_CWSA!AA16</f>
        <v>11106</v>
      </c>
      <c r="C9" s="145">
        <f>RWS_CWSA!AA17</f>
        <v>0</v>
      </c>
      <c r="D9" s="145">
        <f>RWS_CWSA!AA18</f>
        <v>0</v>
      </c>
      <c r="E9" s="145">
        <f>RWS_CWSA!AA19</f>
        <v>0</v>
      </c>
      <c r="F9" s="145">
        <f>RWS_CWSA!AA20</f>
        <v>0</v>
      </c>
    </row>
    <row r="10" spans="1:9">
      <c r="A10" s="4" t="s">
        <v>160</v>
      </c>
      <c r="B10" s="145"/>
      <c r="C10" s="145"/>
      <c r="D10" s="145"/>
      <c r="E10" s="145"/>
      <c r="F10" s="145"/>
    </row>
    <row r="11" spans="1:9">
      <c r="A11" s="31" t="str">
        <f>+INPUT!B192</f>
        <v>Medicine Creek Below Harry Strunk</v>
      </c>
      <c r="B11" s="145">
        <f>+INPUT!C192</f>
        <v>41207</v>
      </c>
      <c r="C11" s="145">
        <f>+INPUT!D192</f>
        <v>25135</v>
      </c>
      <c r="D11" s="145">
        <f>+INPUT!E192</f>
        <v>48769</v>
      </c>
      <c r="E11" s="145">
        <f>+INPUT!F192</f>
        <v>39930.267768594946</v>
      </c>
      <c r="F11" s="145">
        <f>+INPUT!G192</f>
        <v>22871</v>
      </c>
    </row>
    <row r="12" spans="1:9">
      <c r="A12" s="31" t="str">
        <f>+INPUT!B221</f>
        <v>Harry Strunk Lake Evaporation</v>
      </c>
      <c r="B12" s="145">
        <f>+INPUT!C221</f>
        <v>2513</v>
      </c>
      <c r="C12" s="145">
        <f>+INPUT!D221</f>
        <v>2357</v>
      </c>
      <c r="D12" s="145">
        <f>+INPUT!E221</f>
        <v>857</v>
      </c>
      <c r="E12" s="145">
        <f>+INPUT!F221</f>
        <v>2924</v>
      </c>
      <c r="F12" s="145">
        <f>+INPUT!G221</f>
        <v>2452</v>
      </c>
    </row>
    <row r="13" spans="1:9">
      <c r="A13" s="31" t="str">
        <f>+INPUT!B222</f>
        <v>Harry Strunk Lake Change In Storage</v>
      </c>
      <c r="B13" s="145">
        <f>+INPUT!C222</f>
        <v>-5538</v>
      </c>
      <c r="C13" s="145">
        <f>+INPUT!D222</f>
        <v>5139</v>
      </c>
      <c r="D13" s="145">
        <f>+INPUT!E222</f>
        <v>5232</v>
      </c>
      <c r="E13" s="145">
        <f>+INPUT!F222</f>
        <v>-9530</v>
      </c>
      <c r="F13" s="145">
        <f>+INPUT!G222</f>
        <v>2950</v>
      </c>
    </row>
    <row r="14" spans="1:9">
      <c r="A14" s="50" t="str">
        <f>+INPUT!B105</f>
        <v>SW Diversions - Irrigation - Non-Federal Canals - Nebraska - Above Gage</v>
      </c>
      <c r="B14" s="151">
        <f>+INPUT!C105</f>
        <v>0</v>
      </c>
      <c r="C14" s="151">
        <f>+INPUT!D105</f>
        <v>0</v>
      </c>
      <c r="D14" s="151">
        <f>+INPUT!E105</f>
        <v>0</v>
      </c>
      <c r="E14" s="151">
        <f>+INPUT!F105</f>
        <v>0</v>
      </c>
      <c r="F14" s="151">
        <f>+INPUT!G105</f>
        <v>0</v>
      </c>
    </row>
    <row r="15" spans="1:9">
      <c r="A15" s="50" t="str">
        <f>+INPUT!B106</f>
        <v>SW Diversions - Irrigation - Small Pumps - Nebraska - Above Gage</v>
      </c>
      <c r="B15" s="151">
        <f>+INPUT!C106</f>
        <v>57.977699999999999</v>
      </c>
      <c r="C15" s="151">
        <f>+INPUT!D106</f>
        <v>11.0602718126858</v>
      </c>
      <c r="D15" s="151">
        <f>+INPUT!E106</f>
        <v>0</v>
      </c>
      <c r="E15" s="151">
        <f>+INPUT!F106</f>
        <v>57.2629921773772</v>
      </c>
      <c r="F15" s="151">
        <f>+INPUT!G106</f>
        <v>62</v>
      </c>
    </row>
    <row r="16" spans="1:9">
      <c r="A16" s="50" t="str">
        <f>+INPUT!B107</f>
        <v>SW Diversions - M&amp;I - Nebraska - Above Gage</v>
      </c>
      <c r="B16" s="151">
        <f>+INPUT!C107</f>
        <v>0</v>
      </c>
      <c r="C16" s="151">
        <f>+INPUT!D107</f>
        <v>0</v>
      </c>
      <c r="D16" s="151">
        <f>+INPUT!E107</f>
        <v>0</v>
      </c>
      <c r="E16" s="151">
        <f>+INPUT!F107</f>
        <v>0</v>
      </c>
      <c r="F16" s="151">
        <f>+INPUT!G107</f>
        <v>0</v>
      </c>
    </row>
    <row r="17" spans="1:6">
      <c r="A17" s="50" t="str">
        <f>+INPUT!B108</f>
        <v>SW Diversions - Irrigation - Non-Federal Canals - Nebraska -Below Gage</v>
      </c>
      <c r="B17" s="151">
        <f>+INPUT!C108</f>
        <v>0</v>
      </c>
      <c r="C17" s="151">
        <f>+INPUT!D108</f>
        <v>0</v>
      </c>
      <c r="D17" s="151">
        <f>+INPUT!E108</f>
        <v>0</v>
      </c>
      <c r="E17" s="151">
        <f>+INPUT!F108</f>
        <v>0</v>
      </c>
      <c r="F17" s="151">
        <f>+INPUT!G108</f>
        <v>0</v>
      </c>
    </row>
    <row r="18" spans="1:6">
      <c r="A18" s="50" t="str">
        <f>+INPUT!B109</f>
        <v>SW Diversions - Irrigation - Small Pumps -Nebraska - Below Gage</v>
      </c>
      <c r="B18" s="151">
        <f>+INPUT!C109</f>
        <v>55.893999999999998</v>
      </c>
      <c r="C18" s="151">
        <f>+INPUT!D109</f>
        <v>11</v>
      </c>
      <c r="D18" s="151">
        <f>+INPUT!E109</f>
        <v>160</v>
      </c>
      <c r="E18" s="151">
        <f>+INPUT!F109</f>
        <v>228.99992447728903</v>
      </c>
      <c r="F18" s="151">
        <f>+INPUT!G109</f>
        <v>61</v>
      </c>
    </row>
    <row r="19" spans="1:6">
      <c r="A19" s="50" t="str">
        <f>+INPUT!B110</f>
        <v>SW Diversions - M&amp;I - Nebraska - Below Gage</v>
      </c>
      <c r="B19" s="151">
        <f>+INPUT!C110</f>
        <v>0</v>
      </c>
      <c r="C19" s="151">
        <f>+INPUT!D110</f>
        <v>0</v>
      </c>
      <c r="D19" s="151">
        <f>+INPUT!E110</f>
        <v>0</v>
      </c>
      <c r="E19" s="151">
        <f>+INPUT!F110</f>
        <v>0</v>
      </c>
      <c r="F19" s="151">
        <f>+INPUT!G110</f>
        <v>0</v>
      </c>
    </row>
    <row r="20" spans="1:6">
      <c r="A20" s="50" t="str">
        <f>+INPUT!B168</f>
        <v>Non-Federal Reservoir Evaporation - Nebraska - Above Gage</v>
      </c>
      <c r="B20" s="151">
        <f>+INPUT!C168</f>
        <v>257.95853749999998</v>
      </c>
      <c r="C20" s="151">
        <f>+INPUT!D168</f>
        <v>162.38474375000001</v>
      </c>
      <c r="D20" s="151">
        <f>+INPUT!E168</f>
        <v>93</v>
      </c>
      <c r="E20" s="151">
        <f>+INPUT!F168</f>
        <v>303.91091875000001</v>
      </c>
      <c r="F20" s="151">
        <f>+INPUT!G168</f>
        <v>251</v>
      </c>
    </row>
    <row r="21" spans="1:6">
      <c r="A21" s="50" t="str">
        <f>+INPUT!B169</f>
        <v>Non-Federal Reservoir Evaporation - Nebraska - Below Gage</v>
      </c>
      <c r="B21" s="151">
        <f>+INPUT!C169</f>
        <v>1.5657000000000001</v>
      </c>
      <c r="C21" s="151">
        <f>+INPUT!D169</f>
        <v>2.1309499999999901</v>
      </c>
      <c r="D21" s="151">
        <f>+INPUT!E169</f>
        <v>1</v>
      </c>
      <c r="E21" s="151">
        <f>+INPUT!F169</f>
        <v>3.4787499999999998</v>
      </c>
      <c r="F21" s="151">
        <f>+INPUT!G169</f>
        <v>3</v>
      </c>
    </row>
    <row r="22" spans="1:6">
      <c r="A22" s="137" t="str">
        <f>+FLOOD!A65</f>
        <v>Medicine Creek Flood Flow</v>
      </c>
      <c r="B22" s="151">
        <f>+FLOOD!B65</f>
        <v>0</v>
      </c>
      <c r="C22" s="151">
        <f>+FLOOD!C65</f>
        <v>0</v>
      </c>
      <c r="D22" s="151">
        <f>+FLOOD!D65</f>
        <v>0</v>
      </c>
      <c r="E22" s="151">
        <f>+FLOOD!E65</f>
        <v>0</v>
      </c>
      <c r="F22" s="151">
        <f>+FLOOD!F65</f>
        <v>0</v>
      </c>
    </row>
    <row r="23" spans="1:6">
      <c r="A23" s="61" t="s">
        <v>66</v>
      </c>
      <c r="B23" s="151"/>
      <c r="C23" s="151"/>
      <c r="D23" s="151"/>
      <c r="E23" s="151"/>
      <c r="F23" s="151"/>
    </row>
    <row r="24" spans="1:6" ht="15.75">
      <c r="A24" s="9" t="s">
        <v>241</v>
      </c>
      <c r="B24" s="151"/>
      <c r="C24" s="151"/>
      <c r="D24" s="151"/>
      <c r="E24" s="151"/>
      <c r="F24" s="151"/>
    </row>
    <row r="25" spans="1:6">
      <c r="A25" s="7" t="s">
        <v>0</v>
      </c>
      <c r="B25" s="151"/>
      <c r="C25" s="151"/>
      <c r="D25" s="151"/>
      <c r="E25" s="151"/>
      <c r="F25" s="151"/>
    </row>
    <row r="26" spans="1:6">
      <c r="A26" s="13" t="str">
        <f>'NORTH FORK'!A38</f>
        <v>GW CBCU</v>
      </c>
      <c r="B26" s="151">
        <f>+B6</f>
        <v>0</v>
      </c>
      <c r="C26" s="151">
        <f>+C6</f>
        <v>0</v>
      </c>
      <c r="D26" s="151">
        <f>+D6</f>
        <v>0</v>
      </c>
      <c r="E26" s="151">
        <f>+E6</f>
        <v>0</v>
      </c>
      <c r="F26" s="151">
        <f>+F6</f>
        <v>0</v>
      </c>
    </row>
    <row r="27" spans="1:6">
      <c r="A27" s="13" t="str">
        <f>'NORTH FORK'!A39</f>
        <v>Total CBCU</v>
      </c>
      <c r="B27" s="151">
        <f>(ROUND(SUM(B26:B26),-1))</f>
        <v>0</v>
      </c>
      <c r="C27" s="151">
        <f>(ROUND(SUM(C26:C26),-1))</f>
        <v>0</v>
      </c>
      <c r="D27" s="151">
        <f>(ROUND(SUM(D26:D26),-1))</f>
        <v>0</v>
      </c>
      <c r="E27" s="151">
        <f>(ROUND(SUM(E26:E26),-1))</f>
        <v>0</v>
      </c>
      <c r="F27" s="151">
        <f>(ROUND(SUM(F26:F26),-1))</f>
        <v>0</v>
      </c>
    </row>
    <row r="28" spans="1:6">
      <c r="A28" s="13" t="s">
        <v>66</v>
      </c>
      <c r="B28" s="151"/>
      <c r="C28" s="151"/>
      <c r="D28" s="151"/>
      <c r="E28" s="151"/>
      <c r="F28" s="151"/>
    </row>
    <row r="29" spans="1:6">
      <c r="A29" s="7" t="s">
        <v>161</v>
      </c>
      <c r="B29" s="151"/>
      <c r="C29" s="151"/>
      <c r="D29" s="151"/>
      <c r="E29" s="151"/>
      <c r="F29" s="151"/>
    </row>
    <row r="30" spans="1:6">
      <c r="A30" s="13" t="str">
        <f>'NORTH FORK'!A38</f>
        <v>GW CBCU</v>
      </c>
      <c r="B30" s="151">
        <f>+B7</f>
        <v>0</v>
      </c>
      <c r="C30" s="151">
        <f>+C7</f>
        <v>0</v>
      </c>
      <c r="D30" s="151">
        <f>+D7</f>
        <v>0</v>
      </c>
      <c r="E30" s="151">
        <f>+E7</f>
        <v>0</v>
      </c>
      <c r="F30" s="151">
        <f>+F7</f>
        <v>0</v>
      </c>
    </row>
    <row r="31" spans="1:6">
      <c r="A31" s="13" t="str">
        <f>'NORTH FORK'!A39</f>
        <v>Total CBCU</v>
      </c>
      <c r="B31" s="151">
        <f>(ROUND(SUM(B30:B30),-1))</f>
        <v>0</v>
      </c>
      <c r="C31" s="151">
        <f>(ROUND(SUM(C30:C30),-1))</f>
        <v>0</v>
      </c>
      <c r="D31" s="151">
        <f>(ROUND(SUM(D30:D30),-1))</f>
        <v>0</v>
      </c>
      <c r="E31" s="151">
        <f>(ROUND(SUM(E30:E30),-1))</f>
        <v>0</v>
      </c>
      <c r="F31" s="151">
        <f>(ROUND(SUM(F30:F30),-1))</f>
        <v>0</v>
      </c>
    </row>
    <row r="32" spans="1:6">
      <c r="A32" s="13" t="s">
        <v>66</v>
      </c>
      <c r="B32" s="151"/>
      <c r="C32" s="151"/>
      <c r="D32" s="151"/>
      <c r="E32" s="151"/>
      <c r="F32" s="151"/>
    </row>
    <row r="33" spans="1:6">
      <c r="A33" s="7" t="s">
        <v>1</v>
      </c>
      <c r="B33" s="151"/>
      <c r="C33" s="151"/>
      <c r="D33" s="151"/>
      <c r="E33" s="151"/>
      <c r="F33" s="151"/>
    </row>
    <row r="34" spans="1:6">
      <c r="A34" s="13" t="str">
        <f>'NORTH FORK'!A23</f>
        <v>SW CBCU - Irrigation - Non Federal Canals</v>
      </c>
      <c r="B34" s="151">
        <f>B14*CanalCUPercent1</f>
        <v>0</v>
      </c>
      <c r="C34" s="151">
        <f>C14*CanalCUPercent2</f>
        <v>0</v>
      </c>
      <c r="D34" s="151">
        <f>D14*CanalCUPercent3</f>
        <v>0</v>
      </c>
      <c r="E34" s="151">
        <f>E14*CanalCUPercent4</f>
        <v>0</v>
      </c>
      <c r="F34" s="151">
        <f>F14*CanalCUPercent5</f>
        <v>0</v>
      </c>
    </row>
    <row r="35" spans="1:6">
      <c r="A35" s="13" t="str">
        <f>'NORTH FORK'!A24</f>
        <v>SW CBCU - Irrigation - Small Pumps</v>
      </c>
      <c r="B35" s="151">
        <f>B15*PumperCUPercent1</f>
        <v>43.483274999999999</v>
      </c>
      <c r="C35" s="151">
        <f>C15*PumperCUPercent2</f>
        <v>8.2952038595143502</v>
      </c>
      <c r="D35" s="151">
        <f>D15*PumperCUPercent3</f>
        <v>0</v>
      </c>
      <c r="E35" s="151">
        <f>E15*PumperCUPercent4</f>
        <v>42.947244133032896</v>
      </c>
      <c r="F35" s="151">
        <f>F15*PumperCUPercent5</f>
        <v>46.5</v>
      </c>
    </row>
    <row r="36" spans="1:6">
      <c r="A36" s="13" t="str">
        <f>'NORTH FORK'!A25</f>
        <v>SW CBCU - M&amp;I</v>
      </c>
      <c r="B36" s="151">
        <f>B16*MI_CUPercent1</f>
        <v>0</v>
      </c>
      <c r="C36" s="151">
        <f>C16*MI_CUPercent2</f>
        <v>0</v>
      </c>
      <c r="D36" s="151">
        <f>D16*MI_CUPercent3</f>
        <v>0</v>
      </c>
      <c r="E36" s="151">
        <f>E16*MI_CUPercent4</f>
        <v>0</v>
      </c>
      <c r="F36" s="151">
        <f>F16*MI_CUPercent5</f>
        <v>0</v>
      </c>
    </row>
    <row r="37" spans="1:6">
      <c r="A37" s="13" t="str">
        <f>'NORTH FORK'!A23&amp;" "&amp;"-"&amp;" "&amp;"Below Gage"</f>
        <v>SW CBCU - Irrigation - Non Federal Canals - Below Gage</v>
      </c>
      <c r="B37" s="151">
        <f>+B17*CanalCUPercent1</f>
        <v>0</v>
      </c>
      <c r="C37" s="151">
        <f>+C17*CanalCUPercent2</f>
        <v>0</v>
      </c>
      <c r="D37" s="151">
        <f>+D17*CanalCUPercent3</f>
        <v>0</v>
      </c>
      <c r="E37" s="151">
        <f>+E17*CanalCUPercent4</f>
        <v>0</v>
      </c>
      <c r="F37" s="151">
        <f>+F17*CanalCUPercent5</f>
        <v>0</v>
      </c>
    </row>
    <row r="38" spans="1:6">
      <c r="A38" s="13" t="str">
        <f>'NORTH FORK'!A24&amp;" "&amp;"-"&amp;" "&amp;"Below Gage"</f>
        <v>SW CBCU - Irrigation - Small Pumps - Below Gage</v>
      </c>
      <c r="B38" s="151">
        <f>+B18*PumperCUPercent1</f>
        <v>41.920499999999997</v>
      </c>
      <c r="C38" s="151">
        <f>+C18*PumperCUPercent2</f>
        <v>8.25</v>
      </c>
      <c r="D38" s="151">
        <f>+D18*PumperCUPercent3</f>
        <v>120</v>
      </c>
      <c r="E38" s="151">
        <f>+E18*PumperCUPercent4</f>
        <v>171.74994335796677</v>
      </c>
      <c r="F38" s="151">
        <f>+F18*PumperCUPercent5</f>
        <v>45.75</v>
      </c>
    </row>
    <row r="39" spans="1:6">
      <c r="A39" s="13" t="str">
        <f>'NORTH FORK'!A25&amp;" "&amp;"-"&amp;" "&amp;"Below Gage"</f>
        <v>SW CBCU - M&amp;I - Below Gage</v>
      </c>
      <c r="B39" s="151">
        <f>+B19*MI_CUPercent1</f>
        <v>0</v>
      </c>
      <c r="C39" s="151">
        <f>+C19*MI_CUPercent2</f>
        <v>0</v>
      </c>
      <c r="D39" s="151">
        <f>+D19*MI_CUPercent3</f>
        <v>0</v>
      </c>
      <c r="E39" s="151">
        <f>+E19*MI_CUPercent4</f>
        <v>0</v>
      </c>
      <c r="F39" s="151">
        <f>+F19*MI_CUPercent5</f>
        <v>0</v>
      </c>
    </row>
    <row r="40" spans="1:6">
      <c r="A40" s="45" t="str">
        <f>'NORTH FORK'!A26</f>
        <v>Non-Federal Reservoir Evaporation</v>
      </c>
      <c r="B40" s="151">
        <f t="shared" ref="B40:D41" si="0">B20</f>
        <v>257.95853749999998</v>
      </c>
      <c r="C40" s="151">
        <f t="shared" si="0"/>
        <v>162.38474375000001</v>
      </c>
      <c r="D40" s="151">
        <f t="shared" si="0"/>
        <v>93</v>
      </c>
      <c r="E40" s="151">
        <f>E20</f>
        <v>303.91091875000001</v>
      </c>
      <c r="F40" s="151">
        <f>F20</f>
        <v>251</v>
      </c>
    </row>
    <row r="41" spans="1:6">
      <c r="A41" s="45" t="str">
        <f>'NORTH FORK'!A26&amp;" "&amp;"-"&amp;" "&amp;"Below gage"</f>
        <v>Non-Federal Reservoir Evaporation - Below gage</v>
      </c>
      <c r="B41" s="151">
        <f t="shared" si="0"/>
        <v>1.5657000000000001</v>
      </c>
      <c r="C41" s="151">
        <f t="shared" si="0"/>
        <v>2.1309499999999901</v>
      </c>
      <c r="D41" s="151">
        <f t="shared" si="0"/>
        <v>1</v>
      </c>
      <c r="E41" s="151">
        <f>E21</f>
        <v>3.4787499999999998</v>
      </c>
      <c r="F41" s="151">
        <f>F21</f>
        <v>3</v>
      </c>
    </row>
    <row r="42" spans="1:6">
      <c r="A42" s="13" t="str">
        <f>'NORTH FORK'!A27</f>
        <v>SW CBCU</v>
      </c>
      <c r="B42" s="151">
        <f>B34+B35+B36+B37+B38+B39+B40+B41</f>
        <v>344.92801249999997</v>
      </c>
      <c r="C42" s="151">
        <f>C34+C35+C36+C37+C38+C39+C40+C41</f>
        <v>181.06089760951434</v>
      </c>
      <c r="D42" s="151">
        <f>D34+D35+D36+D37+D38+D39+D40+D41</f>
        <v>214</v>
      </c>
      <c r="E42" s="151">
        <f>E34+E35+E36+E37+E38+E39+E40+E41</f>
        <v>522.08685624099962</v>
      </c>
      <c r="F42" s="151">
        <f>F34+F35+F36+F37+F38+F39+F40+F41</f>
        <v>346.25</v>
      </c>
    </row>
    <row r="43" spans="1:6">
      <c r="A43" s="13" t="str">
        <f>'NORTH FORK'!A28</f>
        <v>GW CBCU</v>
      </c>
      <c r="B43" s="151">
        <f>+B8</f>
        <v>20695</v>
      </c>
      <c r="C43" s="151">
        <f>+C8</f>
        <v>21374</v>
      </c>
      <c r="D43" s="151">
        <f>+D8</f>
        <v>21376</v>
      </c>
      <c r="E43" s="151">
        <f>+E8</f>
        <v>19867</v>
      </c>
      <c r="F43" s="151">
        <f>+F8</f>
        <v>20562</v>
      </c>
    </row>
    <row r="44" spans="1:6">
      <c r="A44" s="13" t="str">
        <f>'NORTH FORK'!A29</f>
        <v>Total CBCU</v>
      </c>
      <c r="B44" s="151">
        <f>(ROUND(SUM(B42:B43),-1))</f>
        <v>21040</v>
      </c>
      <c r="C44" s="151">
        <f>(ROUND(SUM(C42:C43),-1))</f>
        <v>21560</v>
      </c>
      <c r="D44" s="151">
        <f>(ROUND(SUM(D42:D43),-1))</f>
        <v>21590</v>
      </c>
      <c r="E44" s="151">
        <f>(ROUND(SUM(E42:E43),-1))</f>
        <v>20390</v>
      </c>
      <c r="F44" s="151">
        <f>(ROUND(SUM(F42:F43),-1))</f>
        <v>20910</v>
      </c>
    </row>
    <row r="45" spans="1:6">
      <c r="A45" s="13" t="s">
        <v>66</v>
      </c>
      <c r="B45" s="151"/>
      <c r="C45" s="151"/>
      <c r="D45" s="151"/>
      <c r="E45" s="151"/>
      <c r="F45" s="151"/>
    </row>
    <row r="46" spans="1:6">
      <c r="A46" s="4" t="s">
        <v>162</v>
      </c>
      <c r="B46" s="151"/>
      <c r="C46" s="151"/>
      <c r="D46" s="151"/>
      <c r="E46" s="151"/>
      <c r="F46" s="151"/>
    </row>
    <row r="47" spans="1:6">
      <c r="A47" s="45" t="str">
        <f>'NORTH FORK'!A42</f>
        <v>Total SW CBCU</v>
      </c>
      <c r="B47" s="151">
        <f>+B42</f>
        <v>344.92801249999997</v>
      </c>
      <c r="C47" s="151">
        <f>+C42</f>
        <v>181.06089760951434</v>
      </c>
      <c r="D47" s="151">
        <f>+D42</f>
        <v>214</v>
      </c>
      <c r="E47" s="151">
        <f>+E42</f>
        <v>522.08685624099962</v>
      </c>
      <c r="F47" s="151">
        <f>+F42</f>
        <v>346.25</v>
      </c>
    </row>
    <row r="48" spans="1:6">
      <c r="A48" s="45" t="str">
        <f>'NORTH FORK'!A43</f>
        <v>Total GW CBCU</v>
      </c>
      <c r="B48" s="151">
        <f>+B26+B30+B43</f>
        <v>20695</v>
      </c>
      <c r="C48" s="151">
        <f>+C26+C30+C43</f>
        <v>21374</v>
      </c>
      <c r="D48" s="151">
        <f>+D26+D30+D43</f>
        <v>21376</v>
      </c>
      <c r="E48" s="151">
        <f>+E26+E30+E43</f>
        <v>19867</v>
      </c>
      <c r="F48" s="151">
        <f>+F26+F30+F43</f>
        <v>20562</v>
      </c>
    </row>
    <row r="49" spans="1:6">
      <c r="A49" s="45" t="str">
        <f>'NORTH FORK'!A44</f>
        <v>Total Basin CBCU</v>
      </c>
      <c r="B49" s="151">
        <f>(ROUND(SUM(B47:B48),-1))</f>
        <v>21040</v>
      </c>
      <c r="C49" s="151">
        <f>(ROUND(SUM(C47:C48),-1))</f>
        <v>21560</v>
      </c>
      <c r="D49" s="151">
        <f>(ROUND(SUM(D47:D48),-1))</f>
        <v>21590</v>
      </c>
      <c r="E49" s="151">
        <f>(ROUND(SUM(E47:E48),-1))</f>
        <v>20390</v>
      </c>
      <c r="F49" s="151">
        <f>(ROUND(SUM(F47:F48),-1))</f>
        <v>20910</v>
      </c>
    </row>
    <row r="50" spans="1:6">
      <c r="A50" s="45" t="s">
        <v>66</v>
      </c>
      <c r="B50" s="151"/>
      <c r="C50" s="151"/>
      <c r="D50" s="151"/>
      <c r="E50" s="151"/>
      <c r="F50" s="151"/>
    </row>
    <row r="51" spans="1:6">
      <c r="A51" s="4" t="s">
        <v>328</v>
      </c>
      <c r="B51" s="151"/>
      <c r="C51" s="151"/>
      <c r="D51" s="151"/>
      <c r="E51" s="151"/>
      <c r="F51" s="151"/>
    </row>
    <row r="52" spans="1:6">
      <c r="A52" s="13" t="s">
        <v>227</v>
      </c>
      <c r="B52" s="151">
        <f>B37+B38+B39+B41</f>
        <v>43.486199999999997</v>
      </c>
      <c r="C52" s="151">
        <f>C37+C38+C39+C41</f>
        <v>10.38094999999999</v>
      </c>
      <c r="D52" s="151">
        <f>D37+D38+D39+D41</f>
        <v>121</v>
      </c>
      <c r="E52" s="151">
        <f>E37+E38+E39+E41</f>
        <v>175.22869335796676</v>
      </c>
      <c r="F52" s="151">
        <f>F37+F38+F39+F41</f>
        <v>48.75</v>
      </c>
    </row>
    <row r="53" spans="1:6">
      <c r="A53" s="13" t="s">
        <v>4</v>
      </c>
      <c r="B53" s="151">
        <f>B52</f>
        <v>43.486199999999997</v>
      </c>
      <c r="C53" s="151">
        <f>C52</f>
        <v>10.38094999999999</v>
      </c>
      <c r="D53" s="151">
        <f>D52</f>
        <v>121</v>
      </c>
      <c r="E53" s="151">
        <f>E52</f>
        <v>175.22869335796676</v>
      </c>
      <c r="F53" s="151">
        <f>F52</f>
        <v>48.75</v>
      </c>
    </row>
    <row r="54" spans="1:6">
      <c r="A54" s="13" t="s">
        <v>66</v>
      </c>
      <c r="B54" s="151"/>
      <c r="C54" s="151"/>
      <c r="D54" s="151"/>
      <c r="E54" s="151"/>
      <c r="F54" s="151"/>
    </row>
    <row r="55" spans="1:6" ht="15.75">
      <c r="A55" s="10" t="s">
        <v>10</v>
      </c>
      <c r="B55" s="151"/>
      <c r="C55" s="151"/>
      <c r="D55" s="151"/>
      <c r="E55" s="151"/>
      <c r="F55" s="151"/>
    </row>
    <row r="56" spans="1:6">
      <c r="A56" s="42" t="str">
        <f t="shared" ref="A56:F56" si="1">A11</f>
        <v>Medicine Creek Below Harry Strunk</v>
      </c>
      <c r="B56" s="151">
        <f t="shared" si="1"/>
        <v>41207</v>
      </c>
      <c r="C56" s="151">
        <f t="shared" si="1"/>
        <v>25135</v>
      </c>
      <c r="D56" s="151">
        <f t="shared" si="1"/>
        <v>48769</v>
      </c>
      <c r="E56" s="151">
        <f t="shared" si="1"/>
        <v>39930.267768594946</v>
      </c>
      <c r="F56" s="151">
        <f t="shared" si="1"/>
        <v>22871</v>
      </c>
    </row>
    <row r="57" spans="1:6">
      <c r="A57" s="13" t="str">
        <f>'NORTH FORK'!A49</f>
        <v>Colorado CBCU</v>
      </c>
      <c r="B57" s="151">
        <f>+B27</f>
        <v>0</v>
      </c>
      <c r="C57" s="151">
        <f>+C27</f>
        <v>0</v>
      </c>
      <c r="D57" s="151">
        <f>+D27</f>
        <v>0</v>
      </c>
      <c r="E57" s="151">
        <f>+E27</f>
        <v>0</v>
      </c>
      <c r="F57" s="151">
        <f>+F27</f>
        <v>0</v>
      </c>
    </row>
    <row r="58" spans="1:6">
      <c r="A58" s="13" t="str">
        <f>'NORTH FORK'!A50</f>
        <v>Kansas CBCU</v>
      </c>
      <c r="B58" s="151">
        <f>+B31</f>
        <v>0</v>
      </c>
      <c r="C58" s="151">
        <f>+C31</f>
        <v>0</v>
      </c>
      <c r="D58" s="151">
        <f>+D31</f>
        <v>0</v>
      </c>
      <c r="E58" s="151">
        <f>+E31</f>
        <v>0</v>
      </c>
      <c r="F58" s="151">
        <f>+F31</f>
        <v>0</v>
      </c>
    </row>
    <row r="59" spans="1:6">
      <c r="A59" s="13" t="str">
        <f>'NORTH FORK'!A51</f>
        <v>Nebraska CBCU</v>
      </c>
      <c r="B59" s="151">
        <f>B44</f>
        <v>21040</v>
      </c>
      <c r="C59" s="151">
        <f>C44</f>
        <v>21560</v>
      </c>
      <c r="D59" s="151">
        <f>D44</f>
        <v>21590</v>
      </c>
      <c r="E59" s="151">
        <f>E44</f>
        <v>20390</v>
      </c>
      <c r="F59" s="151">
        <f>F44</f>
        <v>20910</v>
      </c>
    </row>
    <row r="60" spans="1:6">
      <c r="A60" s="13" t="s">
        <v>227</v>
      </c>
      <c r="B60" s="151">
        <f>B53</f>
        <v>43.486199999999997</v>
      </c>
      <c r="C60" s="151">
        <f>C53</f>
        <v>10.38094999999999</v>
      </c>
      <c r="D60" s="151">
        <f>D53</f>
        <v>121</v>
      </c>
      <c r="E60" s="151">
        <f>E53</f>
        <v>175.22869335796676</v>
      </c>
      <c r="F60" s="151">
        <f>F53</f>
        <v>48.75</v>
      </c>
    </row>
    <row r="61" spans="1:6">
      <c r="A61" s="13" t="str">
        <f>A13</f>
        <v>Harry Strunk Lake Change In Storage</v>
      </c>
      <c r="B61" s="151">
        <f>+B13</f>
        <v>-5538</v>
      </c>
      <c r="C61" s="151">
        <f>+C13</f>
        <v>5139</v>
      </c>
      <c r="D61" s="151">
        <f>+D13</f>
        <v>5232</v>
      </c>
      <c r="E61" s="151">
        <f>+E13</f>
        <v>-9530</v>
      </c>
      <c r="F61" s="151">
        <f>+F13</f>
        <v>2950</v>
      </c>
    </row>
    <row r="62" spans="1:6">
      <c r="A62" s="13" t="str">
        <f>A12</f>
        <v>Harry Strunk Lake Evaporation</v>
      </c>
      <c r="B62" s="151">
        <f>+B12</f>
        <v>2513</v>
      </c>
      <c r="C62" s="151">
        <f>+C12</f>
        <v>2357</v>
      </c>
      <c r="D62" s="151">
        <f>+D12</f>
        <v>857</v>
      </c>
      <c r="E62" s="151">
        <f>+E12</f>
        <v>2924</v>
      </c>
      <c r="F62" s="151">
        <f>+F12</f>
        <v>2452</v>
      </c>
    </row>
    <row r="63" spans="1:6">
      <c r="A63" s="13" t="str">
        <f>'NORTH FORK'!A52</f>
        <v>Imported Water</v>
      </c>
      <c r="B63" s="151">
        <f>B5</f>
        <v>10337</v>
      </c>
      <c r="C63" s="151">
        <f>C5</f>
        <v>11274</v>
      </c>
      <c r="D63" s="151">
        <f>D5</f>
        <v>11292</v>
      </c>
      <c r="E63" s="151">
        <f>E5</f>
        <v>10592</v>
      </c>
      <c r="F63" s="151">
        <f>F5</f>
        <v>10693</v>
      </c>
    </row>
    <row r="64" spans="1:6">
      <c r="A64" s="277" t="s">
        <v>564</v>
      </c>
      <c r="B64" s="278">
        <f>B9</f>
        <v>11106</v>
      </c>
      <c r="C64" s="278">
        <f>C9</f>
        <v>0</v>
      </c>
      <c r="D64" s="278">
        <f>D9</f>
        <v>0</v>
      </c>
      <c r="E64" s="278">
        <f>E9</f>
        <v>0</v>
      </c>
      <c r="F64" s="278">
        <f>F9</f>
        <v>0</v>
      </c>
    </row>
    <row r="65" spans="1:6">
      <c r="A65" s="13" t="str">
        <f>'NORTH FORK'!A54</f>
        <v>Virgin Water Supply</v>
      </c>
      <c r="B65" s="278">
        <f>ROUND(B56+B57+B58+B59-B60+B61+B62-B63-B64,-1)</f>
        <v>37740</v>
      </c>
      <c r="C65" s="278">
        <f>ROUND(C56+C57+C58+C59-C60+C61+C62-C63-C64,-1)</f>
        <v>42910</v>
      </c>
      <c r="D65" s="278">
        <f>ROUND(D56+D57+D58+D59-D60+D61+D62-D63-D64,-1)</f>
        <v>65040</v>
      </c>
      <c r="E65" s="278">
        <f>ROUND(E56+E57+E58+E59-E60+E61+E62-E63-E64,-1)</f>
        <v>42950</v>
      </c>
      <c r="F65" s="278">
        <f>ROUND(F56+F57+F58+F59-F60+F61+F62-F63-F64,-1)</f>
        <v>38440</v>
      </c>
    </row>
    <row r="66" spans="1:6">
      <c r="A66" s="13" t="str">
        <f>'NORTH FORK'!A55</f>
        <v>Adjustment For Flood Flows</v>
      </c>
      <c r="B66" s="151">
        <f>B22</f>
        <v>0</v>
      </c>
      <c r="C66" s="151">
        <f>C22</f>
        <v>0</v>
      </c>
      <c r="D66" s="151">
        <f>D22</f>
        <v>0</v>
      </c>
      <c r="E66" s="151">
        <f>E22</f>
        <v>0</v>
      </c>
      <c r="F66" s="151">
        <f>F22</f>
        <v>0</v>
      </c>
    </row>
    <row r="67" spans="1:6">
      <c r="A67" s="13" t="str">
        <f>'NORTH FORK'!A56</f>
        <v>Computed Water Supply</v>
      </c>
      <c r="B67" s="151">
        <f>+ROUND(B65-B66-B61,-1)</f>
        <v>43280</v>
      </c>
      <c r="C67" s="151">
        <f>+ROUND(C65-C66-C61,-1)</f>
        <v>37770</v>
      </c>
      <c r="D67" s="151">
        <f>+ROUND(D65-D66-D61,-1)</f>
        <v>59810</v>
      </c>
      <c r="E67" s="151">
        <f>+ROUND(E65-E66-E61,-1)</f>
        <v>52480</v>
      </c>
      <c r="F67" s="151">
        <f>+ROUND(F65-F66-F61,-1)</f>
        <v>35490</v>
      </c>
    </row>
    <row r="68" spans="1:6">
      <c r="A68" s="45" t="s">
        <v>66</v>
      </c>
      <c r="B68" s="151"/>
      <c r="C68" s="151"/>
      <c r="D68" s="151"/>
      <c r="E68" s="151"/>
      <c r="F68" s="151"/>
    </row>
    <row r="69" spans="1:6" ht="15.75">
      <c r="A69" s="10" t="s">
        <v>12</v>
      </c>
      <c r="B69" s="121"/>
      <c r="C69" s="121"/>
      <c r="D69" s="121"/>
      <c r="E69" s="121"/>
      <c r="F69" s="121"/>
    </row>
    <row r="70" spans="1:6">
      <c r="A70" s="13" t="str">
        <f>'NORTH FORK'!A59</f>
        <v>Colorado Percent Of Allocation</v>
      </c>
      <c r="B70" s="122">
        <f>'T2'!$D11</f>
        <v>0</v>
      </c>
      <c r="C70" s="122">
        <f>'T2'!$D11</f>
        <v>0</v>
      </c>
      <c r="D70" s="122">
        <f>'T2'!$D11</f>
        <v>0</v>
      </c>
      <c r="E70" s="122">
        <f>'T2'!$D11</f>
        <v>0</v>
      </c>
      <c r="F70" s="122">
        <f>'T2'!$D11</f>
        <v>0</v>
      </c>
    </row>
    <row r="71" spans="1:6">
      <c r="A71" s="13" t="str">
        <f>'NORTH FORK'!A60</f>
        <v>Colorado Allocation</v>
      </c>
      <c r="B71" s="151">
        <f>ROUND(+B67*B70,-1)</f>
        <v>0</v>
      </c>
      <c r="C71" s="151">
        <f>ROUND(+C67*C70,-1)</f>
        <v>0</v>
      </c>
      <c r="D71" s="151">
        <f>ROUND(+D67*D70,-1)</f>
        <v>0</v>
      </c>
      <c r="E71" s="151">
        <f>ROUND(+E67*E70,-1)</f>
        <v>0</v>
      </c>
      <c r="F71" s="151">
        <f>ROUND(+F67*F70,-1)</f>
        <v>0</v>
      </c>
    </row>
    <row r="72" spans="1:6">
      <c r="A72" s="13" t="str">
        <f>'NORTH FORK'!A61</f>
        <v>Kansas Percent Of Allocation</v>
      </c>
      <c r="B72" s="122">
        <f>'T2'!$F11</f>
        <v>0</v>
      </c>
      <c r="C72" s="122">
        <f>'T2'!$F11</f>
        <v>0</v>
      </c>
      <c r="D72" s="122">
        <f>'T2'!$F11</f>
        <v>0</v>
      </c>
      <c r="E72" s="122">
        <f>'T2'!$F11</f>
        <v>0</v>
      </c>
      <c r="F72" s="122">
        <f>'T2'!$F11</f>
        <v>0</v>
      </c>
    </row>
    <row r="73" spans="1:6">
      <c r="A73" s="13" t="str">
        <f>'NORTH FORK'!A62</f>
        <v>Kansas Allocation</v>
      </c>
      <c r="B73" s="151">
        <f>ROUND(B67*B72,-1)</f>
        <v>0</v>
      </c>
      <c r="C73" s="151">
        <f>ROUND(C67*C72,-1)</f>
        <v>0</v>
      </c>
      <c r="D73" s="151">
        <f>ROUND(D67*D72,-1)</f>
        <v>0</v>
      </c>
      <c r="E73" s="151">
        <f>ROUND(E67*E72,-1)</f>
        <v>0</v>
      </c>
      <c r="F73" s="151">
        <f>ROUND(F67*F72,-1)</f>
        <v>0</v>
      </c>
    </row>
    <row r="74" spans="1:6">
      <c r="A74" s="13" t="str">
        <f>'NORTH FORK'!A63</f>
        <v>Nebraska Percent Of Allocation</v>
      </c>
      <c r="B74" s="122">
        <f>'T2'!$H11</f>
        <v>9.0999999999999998E-2</v>
      </c>
      <c r="C74" s="122">
        <f>'T2'!$H11</f>
        <v>9.0999999999999998E-2</v>
      </c>
      <c r="D74" s="122">
        <f>'T2'!$H11</f>
        <v>9.0999999999999998E-2</v>
      </c>
      <c r="E74" s="122">
        <f>'T2'!$H11</f>
        <v>9.0999999999999998E-2</v>
      </c>
      <c r="F74" s="122">
        <f>'T2'!$H11</f>
        <v>9.0999999999999998E-2</v>
      </c>
    </row>
    <row r="75" spans="1:6">
      <c r="A75" s="13" t="str">
        <f>'NORTH FORK'!A64</f>
        <v>Nebraska Allocation</v>
      </c>
      <c r="B75" s="151">
        <f>ROUND(B67*B74,-1)</f>
        <v>3940</v>
      </c>
      <c r="C75" s="151">
        <f>ROUND(C67*C74,-1)</f>
        <v>3440</v>
      </c>
      <c r="D75" s="151">
        <f>ROUND(D67*D74,-1)</f>
        <v>5440</v>
      </c>
      <c r="E75" s="151">
        <f>ROUND(E67*E74,-1)</f>
        <v>4780</v>
      </c>
      <c r="F75" s="151">
        <f>ROUND(F67*F74,-1)</f>
        <v>3230</v>
      </c>
    </row>
    <row r="76" spans="1:6">
      <c r="A76" s="13" t="str">
        <f>'NORTH FORK'!A65</f>
        <v>Total Basin Allocation</v>
      </c>
      <c r="B76" s="151">
        <f>+B71+B73+B75</f>
        <v>3940</v>
      </c>
      <c r="C76" s="151">
        <f>+C71+C73+C75</f>
        <v>3440</v>
      </c>
      <c r="D76" s="151">
        <f>+D71+D73+D75</f>
        <v>5440</v>
      </c>
      <c r="E76" s="151">
        <f>+E71+E73+E75</f>
        <v>4780</v>
      </c>
      <c r="F76" s="151">
        <f>+F71+F73+F75</f>
        <v>3230</v>
      </c>
    </row>
    <row r="77" spans="1:6">
      <c r="A77" s="13" t="str">
        <f>'NORTH FORK'!A66</f>
        <v>Percent Of Supply Not Allocated</v>
      </c>
      <c r="B77" s="122">
        <f>'T2'!$J11</f>
        <v>0.90900000000000003</v>
      </c>
      <c r="C77" s="122">
        <f>'T2'!$J11</f>
        <v>0.90900000000000003</v>
      </c>
      <c r="D77" s="122">
        <f>'T2'!$J11</f>
        <v>0.90900000000000003</v>
      </c>
      <c r="E77" s="122">
        <f>'T2'!$J11</f>
        <v>0.90900000000000003</v>
      </c>
      <c r="F77" s="122">
        <f>'T2'!$J11</f>
        <v>0.90900000000000003</v>
      </c>
    </row>
    <row r="78" spans="1:6">
      <c r="A78" s="2" t="str">
        <f>'NORTH FORK'!A67</f>
        <v>Quantity Of Unallocated Supply</v>
      </c>
      <c r="B78" s="145">
        <f>+B67-B71-B73-B75</f>
        <v>39340</v>
      </c>
      <c r="C78" s="145">
        <f>+C67-C71-C73-C75</f>
        <v>34330</v>
      </c>
      <c r="D78" s="145">
        <f>+D67-D71-D73-D75</f>
        <v>54370</v>
      </c>
      <c r="E78" s="145">
        <f>+E67-E71-E73-E75</f>
        <v>47700</v>
      </c>
      <c r="F78" s="145">
        <f>+F67-F71-F73-F75</f>
        <v>32260</v>
      </c>
    </row>
    <row r="79" spans="1:6">
      <c r="E79" s="312"/>
      <c r="F79" s="312"/>
    </row>
  </sheetData>
  <phoneticPr fontId="0" type="noConversion"/>
  <printOptions headings="1"/>
  <pageMargins left="0.75" right="0.75" top="0.75" bottom="0.5" header="0.25" footer="0.5"/>
  <pageSetup paperSize="3" fitToHeight="2" orientation="portrait" r:id="rId1"/>
  <headerFooter alignWithMargins="0">
    <oddHeader>&amp;LRRCA 
Compact Accounting&amp;C&amp;A SUB-BASIN&amp;RPage &amp;P of &amp;N</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G91"/>
  <sheetViews>
    <sheetView workbookViewId="0">
      <pane ySplit="1" topLeftCell="A20" activePane="bottomLeft" state="frozen"/>
      <selection pane="bottomLeft" activeCell="F59" sqref="F59"/>
    </sheetView>
  </sheetViews>
  <sheetFormatPr defaultRowHeight="12.75"/>
  <cols>
    <col min="1" max="1" width="69.42578125" customWidth="1"/>
    <col min="6" max="6" width="11.140625" bestFit="1" customWidth="1"/>
  </cols>
  <sheetData>
    <row r="1" spans="1:7" ht="15.75">
      <c r="A1" s="37" t="s">
        <v>203</v>
      </c>
      <c r="B1" s="194">
        <f>INPUT!C1</f>
        <v>2017</v>
      </c>
      <c r="C1" s="194">
        <f>INPUT!D1</f>
        <v>2018</v>
      </c>
      <c r="D1" s="194">
        <f>INPUT!E1</f>
        <v>2019</v>
      </c>
      <c r="E1" s="194">
        <f>INPUT!F1</f>
        <v>2020</v>
      </c>
      <c r="F1" s="194">
        <f>INPUT!G1</f>
        <v>2021</v>
      </c>
    </row>
    <row r="2" spans="1:7">
      <c r="A2" t="s">
        <v>66</v>
      </c>
      <c r="E2" s="312"/>
      <c r="F2" s="312"/>
    </row>
    <row r="3" spans="1:7" ht="15.75">
      <c r="A3" s="9" t="s">
        <v>157</v>
      </c>
      <c r="E3" s="312"/>
      <c r="F3" s="312"/>
    </row>
    <row r="4" spans="1:7">
      <c r="A4" s="7" t="s">
        <v>158</v>
      </c>
      <c r="E4" s="312"/>
      <c r="F4" s="312"/>
    </row>
    <row r="5" spans="1:7">
      <c r="A5" s="31" t="str">
        <f>+INPUT!B56</f>
        <v>Imported Water Nebraska</v>
      </c>
      <c r="B5" s="145">
        <f>+INPUT!C56</f>
        <v>0</v>
      </c>
      <c r="C5" s="145">
        <f>+INPUT!D56</f>
        <v>0</v>
      </c>
      <c r="D5" s="145">
        <f>+INPUT!E56</f>
        <v>0</v>
      </c>
      <c r="E5" s="145">
        <f>+INPUT!F56</f>
        <v>0</v>
      </c>
      <c r="F5" s="145">
        <f>+INPUT!G56</f>
        <v>0</v>
      </c>
      <c r="G5" s="102"/>
    </row>
    <row r="6" spans="1:7">
      <c r="A6" s="31" t="str">
        <f>+INPUT!B31</f>
        <v>GW CBCU Colorado</v>
      </c>
      <c r="B6" s="145">
        <f>+INPUT!C31</f>
        <v>0</v>
      </c>
      <c r="C6" s="145">
        <f>+INPUT!D31</f>
        <v>0</v>
      </c>
      <c r="D6" s="145">
        <f>+INPUT!E31</f>
        <v>0</v>
      </c>
      <c r="E6" s="145">
        <f>+INPUT!F31</f>
        <v>0</v>
      </c>
      <c r="F6" s="145">
        <f>+INPUT!G31</f>
        <v>0</v>
      </c>
      <c r="G6" s="102"/>
    </row>
    <row r="7" spans="1:7">
      <c r="A7" s="31" t="str">
        <f>+INPUT!B32</f>
        <v>GW CBCU Kansas</v>
      </c>
      <c r="B7" s="145">
        <f>+INPUT!C32</f>
        <v>6391</v>
      </c>
      <c r="C7" s="145">
        <f>+INPUT!D32</f>
        <v>6564</v>
      </c>
      <c r="D7" s="145">
        <f>+INPUT!E32</f>
        <v>6509</v>
      </c>
      <c r="E7" s="145">
        <f>+INPUT!F32</f>
        <v>6025</v>
      </c>
      <c r="F7" s="145">
        <f>+INPUT!G32</f>
        <v>5163</v>
      </c>
      <c r="G7" s="102"/>
    </row>
    <row r="8" spans="1:7" ht="12" customHeight="1">
      <c r="A8" s="31" t="str">
        <f>+INPUT!B33</f>
        <v>GW CBCU Nebraska</v>
      </c>
      <c r="B8" s="145">
        <f>+INPUT!C33</f>
        <v>4451</v>
      </c>
      <c r="C8" s="145">
        <f>+INPUT!D33</f>
        <v>4284</v>
      </c>
      <c r="D8" s="145">
        <f>+INPUT!E33</f>
        <v>4081</v>
      </c>
      <c r="E8" s="145">
        <f>+INPUT!F33</f>
        <v>3875</v>
      </c>
      <c r="F8" s="145">
        <f>+INPUT!G33</f>
        <v>3228</v>
      </c>
      <c r="G8" s="102"/>
    </row>
    <row r="9" spans="1:7">
      <c r="A9" s="2" t="s">
        <v>66</v>
      </c>
      <c r="B9" s="145"/>
      <c r="C9" s="145"/>
      <c r="D9" s="145"/>
      <c r="E9" s="145"/>
      <c r="F9" s="145"/>
      <c r="G9" s="102"/>
    </row>
    <row r="10" spans="1:7">
      <c r="A10" s="4" t="s">
        <v>160</v>
      </c>
      <c r="B10" s="145"/>
      <c r="C10" s="145"/>
      <c r="D10" s="145"/>
      <c r="E10" s="145"/>
      <c r="F10" s="145"/>
      <c r="G10" s="102"/>
    </row>
    <row r="11" spans="1:7">
      <c r="A11" s="31" t="str">
        <f>+INPUT!B193</f>
        <v>Beaver Creek Near Beaver City</v>
      </c>
      <c r="B11" s="145">
        <f>+INPUT!C193</f>
        <v>1082</v>
      </c>
      <c r="C11" s="145">
        <f>+INPUT!D193</f>
        <v>1023</v>
      </c>
      <c r="D11" s="145">
        <f>+INPUT!E193</f>
        <v>1632</v>
      </c>
      <c r="E11" s="145">
        <f>+INPUT!F193</f>
        <v>788</v>
      </c>
      <c r="F11" s="145">
        <f>+INPUT!G193</f>
        <v>796</v>
      </c>
      <c r="G11" s="102"/>
    </row>
    <row r="12" spans="1:7">
      <c r="A12" s="31" t="str">
        <f>+INPUT!B111</f>
        <v>SW Diversions - Irrigation -Non-Federal Canals- Colorado</v>
      </c>
      <c r="B12" s="145">
        <f>+INPUT!C111</f>
        <v>0</v>
      </c>
      <c r="C12" s="145">
        <f>+INPUT!D111</f>
        <v>0</v>
      </c>
      <c r="D12" s="145">
        <f>+INPUT!E111</f>
        <v>0</v>
      </c>
      <c r="E12" s="145">
        <f>+INPUT!F111</f>
        <v>0</v>
      </c>
      <c r="F12" s="145">
        <f>+INPUT!G111</f>
        <v>0</v>
      </c>
      <c r="G12" s="102"/>
    </row>
    <row r="13" spans="1:7">
      <c r="A13" s="50" t="str">
        <f>+INPUT!B112</f>
        <v>SW Diversions - Irrigation - Small Pumps - Colorado</v>
      </c>
      <c r="B13" s="151">
        <f>+INPUT!C112</f>
        <v>0</v>
      </c>
      <c r="C13" s="151">
        <f>+INPUT!D112</f>
        <v>0</v>
      </c>
      <c r="D13" s="151">
        <f>+INPUT!E112</f>
        <v>0</v>
      </c>
      <c r="E13" s="151">
        <f>+INPUT!F112</f>
        <v>0</v>
      </c>
      <c r="F13" s="151">
        <f>+INPUT!G112</f>
        <v>0</v>
      </c>
      <c r="G13" s="102"/>
    </row>
    <row r="14" spans="1:7">
      <c r="A14" s="50" t="str">
        <f>+INPUT!B113</f>
        <v>SW Diversions - M&amp;I - Colorado</v>
      </c>
      <c r="B14" s="151">
        <f>+INPUT!C113</f>
        <v>0</v>
      </c>
      <c r="C14" s="151">
        <f>+INPUT!D113</f>
        <v>0</v>
      </c>
      <c r="D14" s="151">
        <f>+INPUT!E113</f>
        <v>0</v>
      </c>
      <c r="E14" s="151">
        <f>+INPUT!F113</f>
        <v>0</v>
      </c>
      <c r="F14" s="151">
        <f>+INPUT!G113</f>
        <v>0</v>
      </c>
      <c r="G14" s="102"/>
    </row>
    <row r="15" spans="1:7">
      <c r="A15" s="50" t="str">
        <f>+INPUT!B114</f>
        <v>SW Diversions - Irrigation - Non-Federal Canals- Kansas</v>
      </c>
      <c r="B15" s="151">
        <f>+INPUT!C114</f>
        <v>0</v>
      </c>
      <c r="C15" s="151">
        <f>+INPUT!D114</f>
        <v>0</v>
      </c>
      <c r="D15" s="151">
        <f>+INPUT!E114</f>
        <v>0</v>
      </c>
      <c r="E15" s="151">
        <f>+INPUT!F114</f>
        <v>0</v>
      </c>
      <c r="F15" s="151">
        <f>+INPUT!G114</f>
        <v>0</v>
      </c>
      <c r="G15" s="102"/>
    </row>
    <row r="16" spans="1:7">
      <c r="A16" s="50" t="str">
        <f>+INPUT!B115</f>
        <v>SW Diversions - Irrigation - Small Pumps - Kansas</v>
      </c>
      <c r="B16" s="151">
        <f>+INPUT!C115</f>
        <v>11</v>
      </c>
      <c r="C16" s="151">
        <f>+INPUT!D115</f>
        <v>3</v>
      </c>
      <c r="D16" s="151">
        <f>+INPUT!E115</f>
        <v>2</v>
      </c>
      <c r="E16" s="151">
        <f>+INPUT!F115</f>
        <v>23.283000000000001</v>
      </c>
      <c r="F16" s="151">
        <f>+INPUT!G115</f>
        <v>14</v>
      </c>
      <c r="G16" s="102"/>
    </row>
    <row r="17" spans="1:7">
      <c r="A17" s="50" t="str">
        <f>+INPUT!B116</f>
        <v>SW Diversions - M&amp;I - Kansas</v>
      </c>
      <c r="B17" s="151">
        <f>+INPUT!C116</f>
        <v>0</v>
      </c>
      <c r="C17" s="151">
        <f>+INPUT!D116</f>
        <v>0</v>
      </c>
      <c r="D17" s="151">
        <f>+INPUT!E116</f>
        <v>0</v>
      </c>
      <c r="E17" s="151">
        <f>+INPUT!F116</f>
        <v>0</v>
      </c>
      <c r="F17" s="151">
        <f>+INPUT!G116</f>
        <v>0</v>
      </c>
      <c r="G17" s="102"/>
    </row>
    <row r="18" spans="1:7">
      <c r="A18" s="50" t="str">
        <f>+INPUT!B117</f>
        <v>SW Diversions - Irrigation - Non-Federal Canals - Nebraska - Above Gage</v>
      </c>
      <c r="B18" s="151">
        <f>+INPUT!C117</f>
        <v>0</v>
      </c>
      <c r="C18" s="151">
        <f>+INPUT!D117</f>
        <v>0</v>
      </c>
      <c r="D18" s="151">
        <f>+INPUT!E117</f>
        <v>0</v>
      </c>
      <c r="E18" s="151">
        <f>+INPUT!F117</f>
        <v>0</v>
      </c>
      <c r="F18" s="151">
        <f>+INPUT!G117</f>
        <v>0</v>
      </c>
      <c r="G18" s="102"/>
    </row>
    <row r="19" spans="1:7">
      <c r="A19" s="50" t="str">
        <f>+INPUT!B118</f>
        <v>SW Diversions - Irrigation - Small Pumps - Nebraska - Above Gage</v>
      </c>
      <c r="B19" s="151">
        <f>+INPUT!C118</f>
        <v>0</v>
      </c>
      <c r="C19" s="151">
        <f>+INPUT!D118</f>
        <v>0</v>
      </c>
      <c r="D19" s="151">
        <f>+INPUT!E118</f>
        <v>0</v>
      </c>
      <c r="E19" s="151">
        <f>+INPUT!F118</f>
        <v>0</v>
      </c>
      <c r="F19" s="151">
        <f>+INPUT!G118</f>
        <v>0</v>
      </c>
      <c r="G19" s="102"/>
    </row>
    <row r="20" spans="1:7">
      <c r="A20" s="50" t="str">
        <f>+INPUT!B119</f>
        <v>SW Diversions - M&amp;I - Nebraska - Above Gage</v>
      </c>
      <c r="B20" s="151">
        <f>+INPUT!C119</f>
        <v>0</v>
      </c>
      <c r="C20" s="151">
        <f>+INPUT!D119</f>
        <v>0</v>
      </c>
      <c r="D20" s="151">
        <f>+INPUT!E119</f>
        <v>0</v>
      </c>
      <c r="E20" s="151">
        <f>+INPUT!F119</f>
        <v>0</v>
      </c>
      <c r="F20" s="151">
        <f>+INPUT!G119</f>
        <v>0</v>
      </c>
      <c r="G20" s="102"/>
    </row>
    <row r="21" spans="1:7">
      <c r="A21" s="45" t="str">
        <f>INPUT!B120</f>
        <v>SW Diversions - Irrigation - Non-Federal Canals - Nebraska -Below Gage</v>
      </c>
      <c r="B21" s="151">
        <f>INPUT!C120</f>
        <v>0</v>
      </c>
      <c r="C21" s="151">
        <f>INPUT!D120</f>
        <v>0</v>
      </c>
      <c r="D21" s="151">
        <f>INPUT!E120</f>
        <v>0</v>
      </c>
      <c r="E21" s="151">
        <f>INPUT!F120</f>
        <v>0</v>
      </c>
      <c r="F21" s="151">
        <f>INPUT!G120</f>
        <v>0</v>
      </c>
      <c r="G21" s="102"/>
    </row>
    <row r="22" spans="1:7">
      <c r="A22" s="45" t="str">
        <f>INPUT!B121</f>
        <v>SW Diversions - Irrigation - Small Pumps -Nebraska - Below Gage</v>
      </c>
      <c r="B22" s="151">
        <f>INPUT!C121</f>
        <v>0</v>
      </c>
      <c r="C22" s="151">
        <f>INPUT!D121</f>
        <v>0</v>
      </c>
      <c r="D22" s="151">
        <f>INPUT!E121</f>
        <v>0</v>
      </c>
      <c r="E22" s="151">
        <f>INPUT!F121</f>
        <v>0</v>
      </c>
      <c r="F22" s="151">
        <f>INPUT!G121</f>
        <v>0</v>
      </c>
      <c r="G22" s="102"/>
    </row>
    <row r="23" spans="1:7">
      <c r="A23" s="45" t="str">
        <f>INPUT!B122</f>
        <v>SW Diversions - M&amp;I - Nebraska - Below Gage</v>
      </c>
      <c r="B23" s="151">
        <f>INPUT!C122</f>
        <v>0</v>
      </c>
      <c r="C23" s="151">
        <f>INPUT!D122</f>
        <v>0</v>
      </c>
      <c r="D23" s="151">
        <f>INPUT!E122</f>
        <v>0</v>
      </c>
      <c r="E23" s="151">
        <f>INPUT!F122</f>
        <v>0</v>
      </c>
      <c r="F23" s="151">
        <f>INPUT!G122</f>
        <v>0</v>
      </c>
      <c r="G23" s="102"/>
    </row>
    <row r="24" spans="1:7">
      <c r="A24" s="50" t="str">
        <f>+INPUT!B170</f>
        <v>Non-Federal Reservoir Evaporation - Colorado</v>
      </c>
      <c r="B24" s="151">
        <f>+INPUT!C170</f>
        <v>0</v>
      </c>
      <c r="C24" s="151">
        <f>+INPUT!D170</f>
        <v>0</v>
      </c>
      <c r="D24" s="151">
        <f>+INPUT!E170</f>
        <v>0</v>
      </c>
      <c r="E24" s="151">
        <f>+INPUT!F170</f>
        <v>0</v>
      </c>
      <c r="F24" s="151">
        <f>+INPUT!G170</f>
        <v>0</v>
      </c>
      <c r="G24" s="102"/>
    </row>
    <row r="25" spans="1:7">
      <c r="A25" s="50" t="str">
        <f>+INPUT!B171</f>
        <v>Non-Federal Reservoir Evaporation - Kansas</v>
      </c>
      <c r="B25" s="151">
        <f>+INPUT!C171</f>
        <v>213</v>
      </c>
      <c r="C25" s="151">
        <f>+INPUT!D171</f>
        <v>196.6141792039798</v>
      </c>
      <c r="D25" s="151">
        <f>+INPUT!E171</f>
        <v>252</v>
      </c>
      <c r="E25" s="151">
        <f>+INPUT!F171</f>
        <v>390.79</v>
      </c>
      <c r="F25" s="151">
        <f>+INPUT!G171</f>
        <v>373.29</v>
      </c>
      <c r="G25" s="102"/>
    </row>
    <row r="26" spans="1:7">
      <c r="A26" s="50" t="str">
        <f>+INPUT!B172</f>
        <v>Non-Federal Reservoir Evaporation - Nebraska - Above Gage</v>
      </c>
      <c r="B26" s="151">
        <f>+INPUT!C172</f>
        <v>84.291502500000007</v>
      </c>
      <c r="C26" s="151">
        <f>+INPUT!D172</f>
        <v>71.263358333333301</v>
      </c>
      <c r="D26" s="151">
        <f>+INPUT!E172</f>
        <v>70</v>
      </c>
      <c r="E26" s="151">
        <f>+INPUT!F172</f>
        <v>168.97670250000002</v>
      </c>
      <c r="F26" s="151">
        <f>+INPUT!G172</f>
        <v>126</v>
      </c>
      <c r="G26" s="102"/>
    </row>
    <row r="27" spans="1:7">
      <c r="A27" s="50" t="str">
        <f>+INPUT!B173</f>
        <v>Non-Federal Reservoir Evaporation - Nebraska - Below Gage</v>
      </c>
      <c r="B27" s="151">
        <f>+INPUT!C173</f>
        <v>0</v>
      </c>
      <c r="C27" s="151">
        <f>+INPUT!D173</f>
        <v>0</v>
      </c>
      <c r="D27" s="151">
        <f>+INPUT!E173</f>
        <v>0</v>
      </c>
      <c r="E27" s="151">
        <f>+INPUT!F173</f>
        <v>0</v>
      </c>
      <c r="F27" s="151">
        <f>+INPUT!G173</f>
        <v>0</v>
      </c>
      <c r="G27" s="102"/>
    </row>
    <row r="28" spans="1:7">
      <c r="A28" s="137" t="str">
        <f>+FLOOD!A66</f>
        <v>Beaver Flood Flow</v>
      </c>
      <c r="B28" s="151">
        <f>+FLOOD!B66</f>
        <v>0</v>
      </c>
      <c r="C28" s="151">
        <f>+FLOOD!C66</f>
        <v>0</v>
      </c>
      <c r="D28" s="151">
        <f>+FLOOD!D66</f>
        <v>0</v>
      </c>
      <c r="E28" s="151">
        <f>+FLOOD!E66</f>
        <v>0</v>
      </c>
      <c r="F28" s="151">
        <f>+FLOOD!F66</f>
        <v>0</v>
      </c>
      <c r="G28" s="102"/>
    </row>
    <row r="29" spans="1:7">
      <c r="A29" s="61" t="s">
        <v>66</v>
      </c>
      <c r="B29" s="151"/>
      <c r="C29" s="151"/>
      <c r="D29" s="151"/>
      <c r="E29" s="151"/>
      <c r="F29" s="151"/>
      <c r="G29" s="102"/>
    </row>
    <row r="30" spans="1:7" ht="15.75">
      <c r="A30" s="9" t="s">
        <v>241</v>
      </c>
      <c r="B30" s="151"/>
      <c r="C30" s="151"/>
      <c r="D30" s="151"/>
      <c r="E30" s="151"/>
      <c r="F30" s="151"/>
      <c r="G30" s="102"/>
    </row>
    <row r="31" spans="1:7">
      <c r="A31" s="7" t="s">
        <v>0</v>
      </c>
      <c r="B31" s="151"/>
      <c r="C31" s="151"/>
      <c r="D31" s="151"/>
      <c r="E31" s="151"/>
      <c r="F31" s="151"/>
      <c r="G31" s="102"/>
    </row>
    <row r="32" spans="1:7">
      <c r="A32" s="13" t="str">
        <f>'NORTH FORK'!A23</f>
        <v>SW CBCU - Irrigation - Non Federal Canals</v>
      </c>
      <c r="B32" s="151">
        <f>+B12*CanalCUPercent1</f>
        <v>0</v>
      </c>
      <c r="C32" s="151">
        <f>+C12*CanalCUPercent2</f>
        <v>0</v>
      </c>
      <c r="D32" s="151">
        <f>+D12*CanalCUPercent3</f>
        <v>0</v>
      </c>
      <c r="E32" s="151">
        <f>+E12*CanalCUPercent4</f>
        <v>0</v>
      </c>
      <c r="F32" s="151">
        <f>+F12*CanalCUPercent5</f>
        <v>0</v>
      </c>
      <c r="G32" s="102"/>
    </row>
    <row r="33" spans="1:7">
      <c r="A33" s="13" t="str">
        <f>'NORTH FORK'!A24</f>
        <v>SW CBCU - Irrigation - Small Pumps</v>
      </c>
      <c r="B33" s="151">
        <f>+B13*PumperCUPercent1</f>
        <v>0</v>
      </c>
      <c r="C33" s="151">
        <f>+C13*PumperCUPercent2</f>
        <v>0</v>
      </c>
      <c r="D33" s="151">
        <f>+D13*PumperCUPercent3</f>
        <v>0</v>
      </c>
      <c r="E33" s="151">
        <f>+E13*PumperCUPercent4</f>
        <v>0</v>
      </c>
      <c r="F33" s="151">
        <f>+F13*PumperCUPercent5</f>
        <v>0</v>
      </c>
      <c r="G33" s="102"/>
    </row>
    <row r="34" spans="1:7">
      <c r="A34" s="13" t="str">
        <f>'NORTH FORK'!A25</f>
        <v>SW CBCU - M&amp;I</v>
      </c>
      <c r="B34" s="151">
        <f>+B14*MI_CUPercent1</f>
        <v>0</v>
      </c>
      <c r="C34" s="151">
        <f>+C14*MI_CUPercent2</f>
        <v>0</v>
      </c>
      <c r="D34" s="151">
        <f>+D14*MI_CUPercent3</f>
        <v>0</v>
      </c>
      <c r="E34" s="151">
        <f>+E14*MI_CUPercent4</f>
        <v>0</v>
      </c>
      <c r="F34" s="151">
        <f>+F14*MI_CUPercent5</f>
        <v>0</v>
      </c>
      <c r="G34" s="102"/>
    </row>
    <row r="35" spans="1:7">
      <c r="A35" s="13" t="str">
        <f>'NORTH FORK'!A26</f>
        <v>Non-Federal Reservoir Evaporation</v>
      </c>
      <c r="B35" s="151">
        <f>+B24</f>
        <v>0</v>
      </c>
      <c r="C35" s="151">
        <f>+C24</f>
        <v>0</v>
      </c>
      <c r="D35" s="151">
        <f>+D24</f>
        <v>0</v>
      </c>
      <c r="E35" s="151">
        <f>+E24</f>
        <v>0</v>
      </c>
      <c r="F35" s="151">
        <f>+F24</f>
        <v>0</v>
      </c>
      <c r="G35" s="102"/>
    </row>
    <row r="36" spans="1:7">
      <c r="A36" s="13" t="str">
        <f>'NORTH FORK'!A27</f>
        <v>SW CBCU</v>
      </c>
      <c r="B36" s="151">
        <f>B32+B33+B34+B35</f>
        <v>0</v>
      </c>
      <c r="C36" s="151">
        <f>C32+C33+C34+C35</f>
        <v>0</v>
      </c>
      <c r="D36" s="151">
        <f>D32+D33+D34+D35</f>
        <v>0</v>
      </c>
      <c r="E36" s="151">
        <f>E32+E33+E34+E35</f>
        <v>0</v>
      </c>
      <c r="F36" s="151">
        <f>F32+F33+F34+F35</f>
        <v>0</v>
      </c>
      <c r="G36" s="102"/>
    </row>
    <row r="37" spans="1:7">
      <c r="A37" s="13" t="str">
        <f>'NORTH FORK'!A28</f>
        <v>GW CBCU</v>
      </c>
      <c r="B37" s="151">
        <f>+B6</f>
        <v>0</v>
      </c>
      <c r="C37" s="151">
        <f>+C6</f>
        <v>0</v>
      </c>
      <c r="D37" s="151">
        <f>+D6</f>
        <v>0</v>
      </c>
      <c r="E37" s="151">
        <f>+E6</f>
        <v>0</v>
      </c>
      <c r="F37" s="151">
        <f>+F6</f>
        <v>0</v>
      </c>
      <c r="G37" s="102"/>
    </row>
    <row r="38" spans="1:7">
      <c r="A38" s="13" t="str">
        <f>'NORTH FORK'!A29</f>
        <v>Total CBCU</v>
      </c>
      <c r="B38" s="151">
        <f>(ROUND(SUM(B36:B37),-1))</f>
        <v>0</v>
      </c>
      <c r="C38" s="151">
        <f>(ROUND(SUM(C36:C37),-1))</f>
        <v>0</v>
      </c>
      <c r="D38" s="151">
        <f>(ROUND(SUM(D36:D37),-1))</f>
        <v>0</v>
      </c>
      <c r="E38" s="151">
        <f>(ROUND(SUM(E36:E37),-1))</f>
        <v>0</v>
      </c>
      <c r="F38" s="151">
        <f>(ROUND(SUM(F36:F37),-1))</f>
        <v>0</v>
      </c>
      <c r="G38" s="102"/>
    </row>
    <row r="39" spans="1:7">
      <c r="A39" s="13" t="s">
        <v>66</v>
      </c>
      <c r="B39" s="151"/>
      <c r="C39" s="151"/>
      <c r="D39" s="151"/>
      <c r="E39" s="151"/>
      <c r="F39" s="151"/>
      <c r="G39" s="102"/>
    </row>
    <row r="40" spans="1:7">
      <c r="A40" s="7" t="s">
        <v>161</v>
      </c>
      <c r="B40" s="151"/>
      <c r="C40" s="151"/>
      <c r="D40" s="151"/>
      <c r="E40" s="151"/>
      <c r="F40" s="151"/>
      <c r="G40" s="102"/>
    </row>
    <row r="41" spans="1:7">
      <c r="A41" s="11" t="str">
        <f>'NORTH FORK'!A23</f>
        <v>SW CBCU - Irrigation - Non Federal Canals</v>
      </c>
      <c r="B41" s="151">
        <f>B15*CanalCUPercent1</f>
        <v>0</v>
      </c>
      <c r="C41" s="151">
        <f>C15*CanalCUPercent2</f>
        <v>0</v>
      </c>
      <c r="D41" s="151">
        <f>D15*CanalCUPercent3</f>
        <v>0</v>
      </c>
      <c r="E41" s="151">
        <f>E15*CanalCUPercent4</f>
        <v>0</v>
      </c>
      <c r="F41" s="151">
        <f>F15*CanalCUPercent5</f>
        <v>0</v>
      </c>
      <c r="G41" s="102"/>
    </row>
    <row r="42" spans="1:7">
      <c r="A42" s="11" t="str">
        <f>'NORTH FORK'!A24</f>
        <v>SW CBCU - Irrigation - Small Pumps</v>
      </c>
      <c r="B42" s="151">
        <f>+B16*PumperCUPercent1</f>
        <v>8.25</v>
      </c>
      <c r="C42" s="151">
        <f>+C16*PumperCUPercent2</f>
        <v>2.25</v>
      </c>
      <c r="D42" s="151">
        <f>+D16*PumperCUPercent3</f>
        <v>1.5</v>
      </c>
      <c r="E42" s="151">
        <f>+E16*PumperCUPercent4</f>
        <v>17.462250000000001</v>
      </c>
      <c r="F42" s="151">
        <f>+F16*PumperCUPercent5</f>
        <v>10.5</v>
      </c>
      <c r="G42" s="102"/>
    </row>
    <row r="43" spans="1:7">
      <c r="A43" s="11" t="str">
        <f>'NORTH FORK'!A25</f>
        <v>SW CBCU - M&amp;I</v>
      </c>
      <c r="B43" s="151">
        <f>+B17*MI_CUPercent1</f>
        <v>0</v>
      </c>
      <c r="C43" s="151">
        <f>+C17*MI_CUPercent2</f>
        <v>0</v>
      </c>
      <c r="D43" s="151">
        <f>+D17*MI_CUPercent3</f>
        <v>0</v>
      </c>
      <c r="E43" s="151">
        <f>+E17*MI_CUPercent4</f>
        <v>0</v>
      </c>
      <c r="F43" s="151">
        <f>+F17*MI_CUPercent5</f>
        <v>0</v>
      </c>
      <c r="G43" s="102"/>
    </row>
    <row r="44" spans="1:7">
      <c r="A44" s="13" t="str">
        <f>'NORTH FORK'!A26</f>
        <v>Non-Federal Reservoir Evaporation</v>
      </c>
      <c r="B44" s="151">
        <f>B25</f>
        <v>213</v>
      </c>
      <c r="C44" s="151">
        <f>C25</f>
        <v>196.6141792039798</v>
      </c>
      <c r="D44" s="151">
        <f>D25</f>
        <v>252</v>
      </c>
      <c r="E44" s="151">
        <f>E25</f>
        <v>390.79</v>
      </c>
      <c r="F44" s="151">
        <f>F25</f>
        <v>373.29</v>
      </c>
      <c r="G44" s="102"/>
    </row>
    <row r="45" spans="1:7">
      <c r="A45" s="13" t="str">
        <f>'NORTH FORK'!A27</f>
        <v>SW CBCU</v>
      </c>
      <c r="B45" s="151">
        <f>B41+B42+B43+B44</f>
        <v>221.25</v>
      </c>
      <c r="C45" s="151">
        <f>C41+C42+C43+C44</f>
        <v>198.8641792039798</v>
      </c>
      <c r="D45" s="151">
        <f>D41+D42+D43+D44</f>
        <v>253.5</v>
      </c>
      <c r="E45" s="151">
        <f>E41+E42+E43+E44</f>
        <v>408.25225</v>
      </c>
      <c r="F45" s="151">
        <f>F41+F42+F43+F44</f>
        <v>383.79</v>
      </c>
      <c r="G45" s="102"/>
    </row>
    <row r="46" spans="1:7">
      <c r="A46" s="13" t="str">
        <f>'NORTH FORK'!A28</f>
        <v>GW CBCU</v>
      </c>
      <c r="B46" s="151">
        <f>+B7</f>
        <v>6391</v>
      </c>
      <c r="C46" s="151">
        <f>+C7</f>
        <v>6564</v>
      </c>
      <c r="D46" s="151">
        <f>+D7</f>
        <v>6509</v>
      </c>
      <c r="E46" s="151">
        <f>+E7</f>
        <v>6025</v>
      </c>
      <c r="F46" s="151">
        <f>+F7</f>
        <v>5163</v>
      </c>
      <c r="G46" s="102"/>
    </row>
    <row r="47" spans="1:7">
      <c r="A47" s="13" t="str">
        <f>'NORTH FORK'!A29</f>
        <v>Total CBCU</v>
      </c>
      <c r="B47" s="151">
        <f>(ROUND(SUM(B45:B46),-1))</f>
        <v>6610</v>
      </c>
      <c r="C47" s="151">
        <f>(ROUND(SUM(C45:C46),-1))</f>
        <v>6760</v>
      </c>
      <c r="D47" s="151">
        <f>(ROUND(SUM(D45:D46),-1))</f>
        <v>6760</v>
      </c>
      <c r="E47" s="151">
        <f>(ROUND(SUM(E45:E46),-1))</f>
        <v>6430</v>
      </c>
      <c r="F47" s="151">
        <f>(ROUND(SUM(F45:F46),-1))</f>
        <v>5550</v>
      </c>
      <c r="G47" s="102"/>
    </row>
    <row r="48" spans="1:7">
      <c r="A48" s="13" t="s">
        <v>66</v>
      </c>
      <c r="B48" s="151"/>
      <c r="C48" s="151"/>
      <c r="D48" s="151"/>
      <c r="E48" s="151"/>
      <c r="F48" s="151"/>
      <c r="G48" s="102"/>
    </row>
    <row r="49" spans="1:7">
      <c r="A49" s="7" t="s">
        <v>1</v>
      </c>
      <c r="B49" s="151"/>
      <c r="C49" s="151"/>
      <c r="D49" s="151"/>
      <c r="E49" s="151"/>
      <c r="F49" s="151"/>
      <c r="G49" s="102"/>
    </row>
    <row r="50" spans="1:7">
      <c r="A50" s="13" t="str">
        <f>'NORTH FORK'!A23</f>
        <v>SW CBCU - Irrigation - Non Federal Canals</v>
      </c>
      <c r="B50" s="151">
        <f>B18*CanalCUPercent1</f>
        <v>0</v>
      </c>
      <c r="C50" s="151">
        <f>C18*CanalCUPercent2</f>
        <v>0</v>
      </c>
      <c r="D50" s="151">
        <f>D18*CanalCUPercent3</f>
        <v>0</v>
      </c>
      <c r="E50" s="151">
        <f>E18*CanalCUPercent4</f>
        <v>0</v>
      </c>
      <c r="F50" s="151">
        <f>F18*CanalCUPercent5</f>
        <v>0</v>
      </c>
      <c r="G50" s="102"/>
    </row>
    <row r="51" spans="1:7">
      <c r="A51" s="13" t="str">
        <f>'NORTH FORK'!A24</f>
        <v>SW CBCU - Irrigation - Small Pumps</v>
      </c>
      <c r="B51" s="151">
        <f>B19*PumperCUPercent1</f>
        <v>0</v>
      </c>
      <c r="C51" s="151">
        <f>C19*PumperCUPercent2</f>
        <v>0</v>
      </c>
      <c r="D51" s="151">
        <f>D19*PumperCUPercent3</f>
        <v>0</v>
      </c>
      <c r="E51" s="151">
        <f>E19*PumperCUPercent4</f>
        <v>0</v>
      </c>
      <c r="F51" s="151">
        <f>F19*PumperCUPercent5</f>
        <v>0</v>
      </c>
      <c r="G51" s="102"/>
    </row>
    <row r="52" spans="1:7">
      <c r="A52" s="13" t="str">
        <f>'NORTH FORK'!A25</f>
        <v>SW CBCU - M&amp;I</v>
      </c>
      <c r="B52" s="151">
        <f>B20*MI_CUPercent1</f>
        <v>0</v>
      </c>
      <c r="C52" s="151">
        <f>C20*MI_CUPercent2</f>
        <v>0</v>
      </c>
      <c r="D52" s="151">
        <f>D20*MI_CUPercent3</f>
        <v>0</v>
      </c>
      <c r="E52" s="151">
        <f>E20*MI_CUPercent4</f>
        <v>0</v>
      </c>
      <c r="F52" s="151">
        <f>F20*MI_CUPercent5</f>
        <v>0</v>
      </c>
      <c r="G52" s="102"/>
    </row>
    <row r="53" spans="1:7">
      <c r="A53" s="45" t="str">
        <f>'MEDICINE CREEK'!A37</f>
        <v>SW CBCU - Irrigation - Non Federal Canals - Below Gage</v>
      </c>
      <c r="B53" s="151">
        <f>B21*CanalCUPercent1</f>
        <v>0</v>
      </c>
      <c r="C53" s="151">
        <f>C21*CanalCUPercent2</f>
        <v>0</v>
      </c>
      <c r="D53" s="151">
        <f>D21*CanalCUPercent3</f>
        <v>0</v>
      </c>
      <c r="E53" s="151">
        <f>E21*CanalCUPercent4</f>
        <v>0</v>
      </c>
      <c r="F53" s="151">
        <f>F21*CanalCUPercent5</f>
        <v>0</v>
      </c>
      <c r="G53" s="102"/>
    </row>
    <row r="54" spans="1:7">
      <c r="A54" s="45" t="str">
        <f>'MEDICINE CREEK'!A38</f>
        <v>SW CBCU - Irrigation - Small Pumps - Below Gage</v>
      </c>
      <c r="B54" s="151">
        <f>B22*PumperCUPercent1</f>
        <v>0</v>
      </c>
      <c r="C54" s="151">
        <f>C22*PumperCUPercent2</f>
        <v>0</v>
      </c>
      <c r="D54" s="151">
        <f>D22*PumperCUPercent3</f>
        <v>0</v>
      </c>
      <c r="E54" s="151">
        <f>E22*PumperCUPercent4</f>
        <v>0</v>
      </c>
      <c r="F54" s="151">
        <f>F22*PumperCUPercent5</f>
        <v>0</v>
      </c>
      <c r="G54" s="102"/>
    </row>
    <row r="55" spans="1:7">
      <c r="A55" s="45" t="str">
        <f>'MEDICINE CREEK'!A39</f>
        <v>SW CBCU - M&amp;I - Below Gage</v>
      </c>
      <c r="B55" s="151">
        <f>B23*MI_CUPercent1</f>
        <v>0</v>
      </c>
      <c r="C55" s="151">
        <f>C23*MI_CUPercent2</f>
        <v>0</v>
      </c>
      <c r="D55" s="151">
        <f>D23*MI_CUPercent3</f>
        <v>0</v>
      </c>
      <c r="E55" s="151">
        <f>E23*MI_CUPercent4</f>
        <v>0</v>
      </c>
      <c r="F55" s="151">
        <f>F23*MI_CUPercent5</f>
        <v>0</v>
      </c>
      <c r="G55" s="102"/>
    </row>
    <row r="56" spans="1:7">
      <c r="A56" s="13" t="str">
        <f>'NORTH FORK'!A26</f>
        <v>Non-Federal Reservoir Evaporation</v>
      </c>
      <c r="B56" s="151">
        <f t="shared" ref="B56:D57" si="0">B26</f>
        <v>84.291502500000007</v>
      </c>
      <c r="C56" s="281">
        <f t="shared" si="0"/>
        <v>71.263358333333301</v>
      </c>
      <c r="D56" s="281">
        <f t="shared" si="0"/>
        <v>70</v>
      </c>
      <c r="E56" s="281">
        <f>E26</f>
        <v>168.97670250000002</v>
      </c>
      <c r="F56" s="281">
        <f>F26</f>
        <v>126</v>
      </c>
      <c r="G56" s="280"/>
    </row>
    <row r="57" spans="1:7">
      <c r="A57" s="13" t="str">
        <f>'MEDICINE CREEK'!A41</f>
        <v>Non-Federal Reservoir Evaporation - Below gage</v>
      </c>
      <c r="B57" s="151">
        <f t="shared" si="0"/>
        <v>0</v>
      </c>
      <c r="C57" s="281">
        <f t="shared" si="0"/>
        <v>0</v>
      </c>
      <c r="D57" s="281">
        <f t="shared" si="0"/>
        <v>0</v>
      </c>
      <c r="E57" s="281">
        <f>E27</f>
        <v>0</v>
      </c>
      <c r="F57" s="281">
        <f>F27</f>
        <v>0</v>
      </c>
      <c r="G57" s="280"/>
    </row>
    <row r="58" spans="1:7">
      <c r="A58" s="13" t="str">
        <f>'NORTH FORK'!A27</f>
        <v>SW CBCU</v>
      </c>
      <c r="B58" s="151">
        <f>B50+B51+B52+B53+B54+B55+B56+B57</f>
        <v>84.291502500000007</v>
      </c>
      <c r="C58" s="281">
        <f>C50+C51+C52+C53+C54+C55+C56+C57</f>
        <v>71.263358333333301</v>
      </c>
      <c r="D58" s="281">
        <f>D50+D51+D52+D53+D54+D55+D56+D57</f>
        <v>70</v>
      </c>
      <c r="E58" s="281">
        <f>E50+E51+E52+E53+E54+E55+E56+E57</f>
        <v>168.97670250000002</v>
      </c>
      <c r="F58" s="450">
        <f>F50+F51+F52+F53+F54+F55+F56+F57</f>
        <v>126</v>
      </c>
      <c r="G58" s="280"/>
    </row>
    <row r="59" spans="1:7">
      <c r="A59" s="13" t="str">
        <f>'NORTH FORK'!A28</f>
        <v>GW CBCU</v>
      </c>
      <c r="B59" s="151">
        <f>+B8</f>
        <v>4451</v>
      </c>
      <c r="C59" s="281">
        <f>+C8</f>
        <v>4284</v>
      </c>
      <c r="D59" s="281">
        <f>+D8</f>
        <v>4081</v>
      </c>
      <c r="E59" s="281">
        <f>+E8</f>
        <v>3875</v>
      </c>
      <c r="F59" s="281">
        <f>+F8</f>
        <v>3228</v>
      </c>
      <c r="G59" s="280"/>
    </row>
    <row r="60" spans="1:7">
      <c r="A60" s="13" t="str">
        <f>'NORTH FORK'!A29</f>
        <v>Total CBCU</v>
      </c>
      <c r="B60" s="151">
        <f>(ROUND(SUM(B58:B59),-1))</f>
        <v>4540</v>
      </c>
      <c r="C60" s="151">
        <f>(ROUND(SUM(C58:C59),-1))</f>
        <v>4360</v>
      </c>
      <c r="D60" s="151">
        <f>(ROUND(SUM(D58:D59),-1))</f>
        <v>4150</v>
      </c>
      <c r="E60" s="151">
        <f>(ROUND(SUM(E58:E59),-1))</f>
        <v>4040</v>
      </c>
      <c r="F60" s="151">
        <f>(ROUND(SUM(F58:F59),-1))</f>
        <v>3350</v>
      </c>
      <c r="G60" s="102"/>
    </row>
    <row r="61" spans="1:7">
      <c r="A61" s="45" t="s">
        <v>66</v>
      </c>
      <c r="B61" s="151"/>
      <c r="C61" s="151"/>
      <c r="D61" s="151"/>
      <c r="E61" s="151"/>
      <c r="F61" s="151"/>
      <c r="G61" s="102"/>
    </row>
    <row r="62" spans="1:7">
      <c r="A62" s="29" t="s">
        <v>328</v>
      </c>
      <c r="B62" s="151"/>
      <c r="C62" s="151"/>
      <c r="D62" s="151"/>
      <c r="E62" s="151"/>
      <c r="F62" s="151"/>
      <c r="G62" s="102"/>
    </row>
    <row r="63" spans="1:7">
      <c r="A63" s="13" t="s">
        <v>227</v>
      </c>
      <c r="B63" s="151">
        <f>SUM(B53:B55)+B57</f>
        <v>0</v>
      </c>
      <c r="C63" s="151">
        <f>SUM(C53:C55)+C57</f>
        <v>0</v>
      </c>
      <c r="D63" s="151">
        <f>SUM(D53:D55)+D57</f>
        <v>0</v>
      </c>
      <c r="E63" s="151">
        <f>SUM(E53:E55)+E57</f>
        <v>0</v>
      </c>
      <c r="F63" s="151">
        <f>SUM(F53:F55)+F57</f>
        <v>0</v>
      </c>
      <c r="G63" s="102"/>
    </row>
    <row r="64" spans="1:7">
      <c r="A64" s="45" t="s">
        <v>329</v>
      </c>
      <c r="B64" s="151">
        <f>B63</f>
        <v>0</v>
      </c>
      <c r="C64" s="151">
        <f>C63</f>
        <v>0</v>
      </c>
      <c r="D64" s="151">
        <f>D63</f>
        <v>0</v>
      </c>
      <c r="E64" s="151">
        <f>E63</f>
        <v>0</v>
      </c>
      <c r="F64" s="151">
        <f>F63</f>
        <v>0</v>
      </c>
      <c r="G64" s="102"/>
    </row>
    <row r="65" spans="1:7">
      <c r="A65" s="45"/>
      <c r="B65" s="151"/>
      <c r="C65" s="151"/>
      <c r="D65" s="151"/>
      <c r="E65" s="151"/>
      <c r="F65" s="151"/>
      <c r="G65" s="102"/>
    </row>
    <row r="66" spans="1:7">
      <c r="A66" s="4" t="s">
        <v>162</v>
      </c>
      <c r="B66" s="151"/>
      <c r="C66" s="151"/>
      <c r="D66" s="151"/>
      <c r="E66" s="151"/>
      <c r="F66" s="151"/>
      <c r="G66" s="102"/>
    </row>
    <row r="67" spans="1:7">
      <c r="A67" s="45" t="str">
        <f>'NORTH FORK'!A42</f>
        <v>Total SW CBCU</v>
      </c>
      <c r="B67" s="151">
        <f>+B45+B58+B36</f>
        <v>305.54150249999998</v>
      </c>
      <c r="C67" s="151">
        <f>+C45+C58+C36</f>
        <v>270.12753753731312</v>
      </c>
      <c r="D67" s="151">
        <f>+D45+D58+D36</f>
        <v>323.5</v>
      </c>
      <c r="E67" s="151">
        <f>+E45+E58+E36</f>
        <v>577.22895249999999</v>
      </c>
      <c r="F67" s="151">
        <f>+F45+F58+F36</f>
        <v>509.79</v>
      </c>
      <c r="G67" s="102"/>
    </row>
    <row r="68" spans="1:7">
      <c r="A68" s="45" t="str">
        <f>'NORTH FORK'!A43</f>
        <v>Total GW CBCU</v>
      </c>
      <c r="B68" s="151">
        <f>+B37+B46+B59</f>
        <v>10842</v>
      </c>
      <c r="C68" s="151">
        <f>+C37+C46+C59</f>
        <v>10848</v>
      </c>
      <c r="D68" s="151">
        <f>+D37+D46+D59</f>
        <v>10590</v>
      </c>
      <c r="E68" s="151">
        <f>+E37+E46+E59</f>
        <v>9900</v>
      </c>
      <c r="F68" s="151">
        <f>+F37+F46+F59</f>
        <v>8391</v>
      </c>
      <c r="G68" s="102"/>
    </row>
    <row r="69" spans="1:7">
      <c r="A69" s="45" t="str">
        <f>'NORTH FORK'!A44</f>
        <v>Total Basin CBCU</v>
      </c>
      <c r="B69" s="151">
        <f>(ROUND(SUM(B67:B68),-1))</f>
        <v>11150</v>
      </c>
      <c r="C69" s="151">
        <f>(ROUND(SUM(C67:C68),-1))</f>
        <v>11120</v>
      </c>
      <c r="D69" s="151">
        <f>(ROUND(SUM(D67:D68),-1))</f>
        <v>10910</v>
      </c>
      <c r="E69" s="151">
        <f>(ROUND(SUM(E67:E68),-1))</f>
        <v>10480</v>
      </c>
      <c r="F69" s="151">
        <f>(ROUND(SUM(F67:F68),-1))</f>
        <v>8900</v>
      </c>
      <c r="G69" s="102"/>
    </row>
    <row r="70" spans="1:7">
      <c r="A70" s="45" t="s">
        <v>66</v>
      </c>
      <c r="B70" s="151"/>
      <c r="C70" s="151"/>
      <c r="D70" s="151"/>
      <c r="E70" s="151"/>
      <c r="F70" s="151"/>
      <c r="G70" s="102"/>
    </row>
    <row r="71" spans="1:7" ht="15.75">
      <c r="A71" s="10" t="s">
        <v>10</v>
      </c>
      <c r="B71" s="151"/>
      <c r="C71" s="151"/>
      <c r="D71" s="151"/>
      <c r="E71" s="151"/>
      <c r="F71" s="151"/>
      <c r="G71" s="102"/>
    </row>
    <row r="72" spans="1:7">
      <c r="A72" s="42" t="str">
        <f t="shared" ref="A72:F72" si="1">A11</f>
        <v>Beaver Creek Near Beaver City</v>
      </c>
      <c r="B72" s="151">
        <f t="shared" si="1"/>
        <v>1082</v>
      </c>
      <c r="C72" s="151">
        <f t="shared" si="1"/>
        <v>1023</v>
      </c>
      <c r="D72" s="151">
        <f t="shared" si="1"/>
        <v>1632</v>
      </c>
      <c r="E72" s="151">
        <f t="shared" si="1"/>
        <v>788</v>
      </c>
      <c r="F72" s="151">
        <f t="shared" si="1"/>
        <v>796</v>
      </c>
      <c r="G72" s="102"/>
    </row>
    <row r="73" spans="1:7">
      <c r="A73" s="13" t="str">
        <f>'NORTH FORK'!A49</f>
        <v>Colorado CBCU</v>
      </c>
      <c r="B73" s="151">
        <f>+B38</f>
        <v>0</v>
      </c>
      <c r="C73" s="151">
        <f>+C38</f>
        <v>0</v>
      </c>
      <c r="D73" s="151">
        <f>+D38</f>
        <v>0</v>
      </c>
      <c r="E73" s="151">
        <f>+E38</f>
        <v>0</v>
      </c>
      <c r="F73" s="151">
        <f>+F38</f>
        <v>0</v>
      </c>
      <c r="G73" s="102"/>
    </row>
    <row r="74" spans="1:7">
      <c r="A74" s="13" t="str">
        <f>'NORTH FORK'!A50</f>
        <v>Kansas CBCU</v>
      </c>
      <c r="B74" s="151">
        <f>+B47</f>
        <v>6610</v>
      </c>
      <c r="C74" s="151">
        <f>+C47</f>
        <v>6760</v>
      </c>
      <c r="D74" s="151">
        <f>+D47</f>
        <v>6760</v>
      </c>
      <c r="E74" s="151">
        <f>+E47</f>
        <v>6430</v>
      </c>
      <c r="F74" s="151">
        <f>+F47</f>
        <v>5550</v>
      </c>
      <c r="G74" s="102"/>
    </row>
    <row r="75" spans="1:7">
      <c r="A75" s="13" t="str">
        <f>'NORTH FORK'!A51</f>
        <v>Nebraska CBCU</v>
      </c>
      <c r="B75" s="151">
        <f>+B60</f>
        <v>4540</v>
      </c>
      <c r="C75" s="151">
        <f>+C60</f>
        <v>4360</v>
      </c>
      <c r="D75" s="151">
        <f>+D60</f>
        <v>4150</v>
      </c>
      <c r="E75" s="151">
        <f>+E60</f>
        <v>4040</v>
      </c>
      <c r="F75" s="151">
        <f>+F60</f>
        <v>3350</v>
      </c>
      <c r="G75" s="102"/>
    </row>
    <row r="76" spans="1:7">
      <c r="A76" s="13" t="s">
        <v>227</v>
      </c>
      <c r="B76" s="151">
        <f>B63</f>
        <v>0</v>
      </c>
      <c r="C76" s="151">
        <f>C63</f>
        <v>0</v>
      </c>
      <c r="D76" s="151">
        <f>D63</f>
        <v>0</v>
      </c>
      <c r="E76" s="151">
        <f>E63</f>
        <v>0</v>
      </c>
      <c r="F76" s="151">
        <f>F63</f>
        <v>0</v>
      </c>
      <c r="G76" s="102"/>
    </row>
    <row r="77" spans="1:7">
      <c r="A77" s="13" t="str">
        <f>'NORTH FORK'!A52</f>
        <v>Imported Water</v>
      </c>
      <c r="B77" s="151">
        <f>B5</f>
        <v>0</v>
      </c>
      <c r="C77" s="151">
        <f>C5</f>
        <v>0</v>
      </c>
      <c r="D77" s="151">
        <f>D5</f>
        <v>0</v>
      </c>
      <c r="E77" s="151">
        <f>E5</f>
        <v>0</v>
      </c>
      <c r="F77" s="151">
        <f>F5</f>
        <v>0</v>
      </c>
      <c r="G77" s="102"/>
    </row>
    <row r="78" spans="1:7">
      <c r="A78" s="13" t="str">
        <f>'NORTH FORK'!A54</f>
        <v>Virgin Water Supply</v>
      </c>
      <c r="B78" s="151">
        <f>ROUND(SUM(B72:B75)-B77-B76,-1)</f>
        <v>12230</v>
      </c>
      <c r="C78" s="151">
        <f>ROUND(SUM(C72:C75)-C77-C76,-1)</f>
        <v>12140</v>
      </c>
      <c r="D78" s="151">
        <f>ROUND(SUM(D72:D75)-D77-D76,-1)</f>
        <v>12540</v>
      </c>
      <c r="E78" s="151">
        <f>ROUND(SUM(E72:E75)-E77-E76,-1)</f>
        <v>11260</v>
      </c>
      <c r="F78" s="151">
        <f>ROUND(SUM(F72:F75)-F77-F76,-1)</f>
        <v>9700</v>
      </c>
      <c r="G78" s="102"/>
    </row>
    <row r="79" spans="1:7">
      <c r="A79" s="13" t="str">
        <f>'NORTH FORK'!A55</f>
        <v>Adjustment For Flood Flows</v>
      </c>
      <c r="B79" s="151">
        <f>B28</f>
        <v>0</v>
      </c>
      <c r="C79" s="151">
        <f>C28</f>
        <v>0</v>
      </c>
      <c r="D79" s="151">
        <f>D28</f>
        <v>0</v>
      </c>
      <c r="E79" s="151">
        <f>E28</f>
        <v>0</v>
      </c>
      <c r="F79" s="151">
        <f>F28</f>
        <v>0</v>
      </c>
      <c r="G79" s="102"/>
    </row>
    <row r="80" spans="1:7">
      <c r="A80" s="13" t="str">
        <f>'NORTH FORK'!A56</f>
        <v>Computed Water Supply</v>
      </c>
      <c r="B80" s="151">
        <f>+ROUND(B78-B79,-1)</f>
        <v>12230</v>
      </c>
      <c r="C80" s="151">
        <f>+ROUND(C78-C79,-1)</f>
        <v>12140</v>
      </c>
      <c r="D80" s="151">
        <f>+ROUND(D78-D79,-1)</f>
        <v>12540</v>
      </c>
      <c r="E80" s="151">
        <f>+ROUND(E78-E79,-1)</f>
        <v>11260</v>
      </c>
      <c r="F80" s="151">
        <f>+ROUND(F78-F79,-1)</f>
        <v>9700</v>
      </c>
      <c r="G80" s="102"/>
    </row>
    <row r="81" spans="1:7">
      <c r="A81" s="45" t="s">
        <v>66</v>
      </c>
      <c r="B81" s="151"/>
      <c r="C81" s="151"/>
      <c r="D81" s="151"/>
      <c r="E81" s="151"/>
      <c r="F81" s="151"/>
      <c r="G81" s="102"/>
    </row>
    <row r="82" spans="1:7" ht="15.75">
      <c r="A82" s="10" t="s">
        <v>12</v>
      </c>
      <c r="B82" s="121"/>
      <c r="C82" s="121"/>
      <c r="D82" s="121"/>
      <c r="E82" s="121"/>
      <c r="F82" s="121"/>
      <c r="G82" s="102"/>
    </row>
    <row r="83" spans="1:7">
      <c r="A83" s="13" t="str">
        <f>'NORTH FORK'!A59</f>
        <v>Colorado Percent Of Allocation</v>
      </c>
      <c r="B83" s="122">
        <f>'T2'!$D12</f>
        <v>0.2</v>
      </c>
      <c r="C83" s="122">
        <f>'T2'!$D12</f>
        <v>0.2</v>
      </c>
      <c r="D83" s="122">
        <f>'T2'!$D12</f>
        <v>0.2</v>
      </c>
      <c r="E83" s="122">
        <f>'T2'!$D12</f>
        <v>0.2</v>
      </c>
      <c r="F83" s="122">
        <f>'T2'!$D12</f>
        <v>0.2</v>
      </c>
      <c r="G83" s="102"/>
    </row>
    <row r="84" spans="1:7">
      <c r="A84" s="13" t="str">
        <f>'NORTH FORK'!A60</f>
        <v>Colorado Allocation</v>
      </c>
      <c r="B84" s="151">
        <f>ROUND(+B80*B83,-1)</f>
        <v>2450</v>
      </c>
      <c r="C84" s="151">
        <f>ROUND(+C80*C83,-1)</f>
        <v>2430</v>
      </c>
      <c r="D84" s="151">
        <f>ROUND(+D80*D83,-1)</f>
        <v>2510</v>
      </c>
      <c r="E84" s="151">
        <f>ROUND(+E80*E83,-1)</f>
        <v>2250</v>
      </c>
      <c r="F84" s="151">
        <f>ROUND(+F80*F83,-1)</f>
        <v>1940</v>
      </c>
      <c r="G84" s="102"/>
    </row>
    <row r="85" spans="1:7">
      <c r="A85" s="13" t="str">
        <f>'NORTH FORK'!A61</f>
        <v>Kansas Percent Of Allocation</v>
      </c>
      <c r="B85" s="122">
        <f>'T2'!$F12</f>
        <v>0.38800000000000001</v>
      </c>
      <c r="C85" s="122">
        <f>'T2'!$F12</f>
        <v>0.38800000000000001</v>
      </c>
      <c r="D85" s="122">
        <f>'T2'!$F12</f>
        <v>0.38800000000000001</v>
      </c>
      <c r="E85" s="122">
        <f>'T2'!$F12</f>
        <v>0.38800000000000001</v>
      </c>
      <c r="F85" s="122">
        <f>'T2'!$F12</f>
        <v>0.38800000000000001</v>
      </c>
      <c r="G85" s="102"/>
    </row>
    <row r="86" spans="1:7">
      <c r="A86" s="13" t="str">
        <f>'NORTH FORK'!A62</f>
        <v>Kansas Allocation</v>
      </c>
      <c r="B86" s="151">
        <f>ROUND(B80*B85,-1)</f>
        <v>4750</v>
      </c>
      <c r="C86" s="151">
        <f>ROUND(C80*C85,-1)</f>
        <v>4710</v>
      </c>
      <c r="D86" s="151">
        <f>ROUND(D80*D85,-1)</f>
        <v>4870</v>
      </c>
      <c r="E86" s="151">
        <f>ROUND(E80*E85,-1)</f>
        <v>4370</v>
      </c>
      <c r="F86" s="151">
        <f>ROUND(F80*F85,-1)</f>
        <v>3760</v>
      </c>
      <c r="G86" s="102"/>
    </row>
    <row r="87" spans="1:7">
      <c r="A87" s="13" t="str">
        <f>'NORTH FORK'!A63</f>
        <v>Nebraska Percent Of Allocation</v>
      </c>
      <c r="B87" s="122">
        <f>'T2'!$H12</f>
        <v>0.40600000000000003</v>
      </c>
      <c r="C87" s="122">
        <f>'T2'!$H12</f>
        <v>0.40600000000000003</v>
      </c>
      <c r="D87" s="122">
        <f>'T2'!$H12</f>
        <v>0.40600000000000003</v>
      </c>
      <c r="E87" s="122">
        <f>'T2'!$H12</f>
        <v>0.40600000000000003</v>
      </c>
      <c r="F87" s="122">
        <f>'T2'!$H12</f>
        <v>0.40600000000000003</v>
      </c>
      <c r="G87" s="102"/>
    </row>
    <row r="88" spans="1:7">
      <c r="A88" s="2" t="str">
        <f>'NORTH FORK'!A64</f>
        <v>Nebraska Allocation</v>
      </c>
      <c r="B88" s="145">
        <f>ROUND(B80*B87,-1)</f>
        <v>4970</v>
      </c>
      <c r="C88" s="145">
        <f>ROUND(C80*C87,-1)</f>
        <v>4930</v>
      </c>
      <c r="D88" s="145">
        <f>ROUND(D80*D87,-1)</f>
        <v>5090</v>
      </c>
      <c r="E88" s="145">
        <f>ROUND(E80*E87,-1)</f>
        <v>4570</v>
      </c>
      <c r="F88" s="145">
        <f>ROUND(F80*F87,-1)</f>
        <v>3940</v>
      </c>
      <c r="G88" s="102"/>
    </row>
    <row r="89" spans="1:7">
      <c r="A89" s="2" t="str">
        <f>'NORTH FORK'!A65</f>
        <v>Total Basin Allocation</v>
      </c>
      <c r="B89" s="145">
        <f>+B84+B86+B88</f>
        <v>12170</v>
      </c>
      <c r="C89" s="145">
        <f>+C84+C86+C88</f>
        <v>12070</v>
      </c>
      <c r="D89" s="145">
        <f>+D84+D86+D88</f>
        <v>12470</v>
      </c>
      <c r="E89" s="145">
        <f>+E84+E86+E88</f>
        <v>11190</v>
      </c>
      <c r="F89" s="145">
        <f>+F84+F86+F88</f>
        <v>9640</v>
      </c>
      <c r="G89" s="102"/>
    </row>
    <row r="90" spans="1:7">
      <c r="A90" s="2" t="s">
        <v>170</v>
      </c>
      <c r="B90" s="117">
        <f>'T2'!$J12</f>
        <v>6.0000000000000001E-3</v>
      </c>
      <c r="C90" s="117">
        <f>'T2'!$J12</f>
        <v>6.0000000000000001E-3</v>
      </c>
      <c r="D90" s="117">
        <f>'T2'!$J12</f>
        <v>6.0000000000000001E-3</v>
      </c>
      <c r="E90" s="117">
        <f>'T2'!$J12</f>
        <v>6.0000000000000001E-3</v>
      </c>
      <c r="F90" s="117">
        <f>'T2'!$J12</f>
        <v>6.0000000000000001E-3</v>
      </c>
      <c r="G90" s="102"/>
    </row>
    <row r="91" spans="1:7">
      <c r="A91" s="2" t="str">
        <f>'NORTH FORK'!A67</f>
        <v>Quantity Of Unallocated Supply</v>
      </c>
      <c r="B91" s="145">
        <f>+B80-B84-B86-B88</f>
        <v>60</v>
      </c>
      <c r="C91" s="145">
        <f>+C80-C84-C86-C88</f>
        <v>70</v>
      </c>
      <c r="D91" s="145">
        <f>+D80-D84-D86-D88</f>
        <v>70</v>
      </c>
      <c r="E91" s="145">
        <f>+E80-E84-E86-E88</f>
        <v>70</v>
      </c>
      <c r="F91" s="145">
        <f>+F80-F84-F86-F88</f>
        <v>60</v>
      </c>
      <c r="G91" s="102"/>
    </row>
  </sheetData>
  <phoneticPr fontId="0" type="noConversion"/>
  <printOptions headings="1"/>
  <pageMargins left="0.75" right="0.75" top="0.75" bottom="0.5" header="0.25" footer="0.5"/>
  <pageSetup paperSize="3" fitToHeight="2" orientation="portrait" r:id="rId1"/>
  <headerFooter alignWithMargins="0">
    <oddHeader>&amp;LRRCA
Compact Accounting&amp;C&amp;A SUB-BASIN&amp;RPage &amp;P of &amp;N</oddHeader>
  </headerFooter>
  <rowBreaks count="1" manualBreakCount="1">
    <brk id="60" max="2"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85"/>
  <sheetViews>
    <sheetView workbookViewId="0">
      <pane ySplit="1" topLeftCell="A14" activePane="bottomLeft" state="frozen"/>
      <selection pane="bottomLeft" activeCell="M49" sqref="M49"/>
    </sheetView>
  </sheetViews>
  <sheetFormatPr defaultRowHeight="12.75"/>
  <cols>
    <col min="1" max="1" width="69.85546875" customWidth="1"/>
  </cols>
  <sheetData>
    <row r="1" spans="1:15" ht="15.75">
      <c r="A1" s="37" t="s">
        <v>202</v>
      </c>
      <c r="B1" s="194">
        <f>INPUT!C1</f>
        <v>2017</v>
      </c>
      <c r="C1" s="194">
        <f>INPUT!D1</f>
        <v>2018</v>
      </c>
      <c r="D1" s="194">
        <f>INPUT!E1</f>
        <v>2019</v>
      </c>
      <c r="E1" s="194">
        <f>INPUT!F1</f>
        <v>2020</v>
      </c>
      <c r="F1" s="194">
        <f>INPUT!G1</f>
        <v>2021</v>
      </c>
    </row>
    <row r="2" spans="1:15">
      <c r="A2" t="s">
        <v>66</v>
      </c>
      <c r="E2" s="312"/>
      <c r="F2" s="312"/>
    </row>
    <row r="3" spans="1:15" ht="15.75">
      <c r="A3" s="9" t="s">
        <v>157</v>
      </c>
      <c r="E3" s="312"/>
      <c r="F3" s="312"/>
    </row>
    <row r="4" spans="1:15">
      <c r="A4" s="7" t="s">
        <v>158</v>
      </c>
      <c r="E4" s="312"/>
      <c r="F4" s="312"/>
    </row>
    <row r="5" spans="1:15">
      <c r="A5" s="31" t="str">
        <f>+INPUT!B57</f>
        <v>Imported Water Nebraska</v>
      </c>
      <c r="B5" s="145">
        <f>+INPUT!C57</f>
        <v>62</v>
      </c>
      <c r="C5" s="145">
        <f>+INPUT!D57</f>
        <v>58</v>
      </c>
      <c r="D5" s="145">
        <f>+INPUT!E57</f>
        <v>32</v>
      </c>
      <c r="E5" s="145">
        <f>+INPUT!F57</f>
        <v>27</v>
      </c>
      <c r="F5" s="145">
        <f>+INPUT!G57</f>
        <v>29</v>
      </c>
      <c r="K5" s="102"/>
      <c r="L5" s="102"/>
      <c r="M5" s="102"/>
      <c r="N5" s="102"/>
      <c r="O5" s="102"/>
    </row>
    <row r="6" spans="1:15">
      <c r="A6" s="31" t="str">
        <f>+INPUT!B34</f>
        <v>GW CBCU Colorado</v>
      </c>
      <c r="B6" s="145">
        <f>+INPUT!C34</f>
        <v>0</v>
      </c>
      <c r="C6" s="145">
        <f>+INPUT!D34</f>
        <v>0</v>
      </c>
      <c r="D6" s="145">
        <f>+INPUT!E34</f>
        <v>0</v>
      </c>
      <c r="E6" s="145">
        <f>+INPUT!F34</f>
        <v>0</v>
      </c>
      <c r="F6" s="145">
        <f>+INPUT!G34</f>
        <v>0</v>
      </c>
      <c r="K6" s="102"/>
      <c r="L6" s="102"/>
      <c r="M6" s="102"/>
      <c r="N6" s="102"/>
      <c r="O6" s="102"/>
    </row>
    <row r="7" spans="1:15">
      <c r="A7" s="31" t="str">
        <f>+INPUT!B35</f>
        <v>GW CBCU Kansas</v>
      </c>
      <c r="B7" s="145">
        <f>+INPUT!C35</f>
        <v>2305</v>
      </c>
      <c r="C7" s="145">
        <f>+INPUT!D35</f>
        <v>2960</v>
      </c>
      <c r="D7" s="145">
        <f>+INPUT!E35</f>
        <v>2675</v>
      </c>
      <c r="E7" s="145">
        <f>+INPUT!F35</f>
        <v>2075</v>
      </c>
      <c r="F7" s="145">
        <f>+INPUT!G35</f>
        <v>1241</v>
      </c>
      <c r="G7" s="21"/>
      <c r="I7" s="21"/>
      <c r="K7" s="102"/>
      <c r="L7" s="102"/>
      <c r="M7" s="102"/>
      <c r="N7" s="102"/>
      <c r="O7" s="102"/>
    </row>
    <row r="8" spans="1:15" ht="12" customHeight="1">
      <c r="A8" s="31" t="str">
        <f>+INPUT!B36</f>
        <v>GW CBCU Nebraska</v>
      </c>
      <c r="B8" s="145">
        <f>+INPUT!C36</f>
        <v>2183</v>
      </c>
      <c r="C8" s="145">
        <f>+INPUT!D36</f>
        <v>2144</v>
      </c>
      <c r="D8" s="145">
        <f>+INPUT!E36</f>
        <v>1886</v>
      </c>
      <c r="E8" s="145">
        <f>+INPUT!F36</f>
        <v>1654</v>
      </c>
      <c r="F8" s="145">
        <f>+INPUT!G36</f>
        <v>1560</v>
      </c>
      <c r="H8" s="21"/>
      <c r="I8" s="21"/>
      <c r="K8" s="102"/>
      <c r="L8" s="102"/>
      <c r="M8" s="102"/>
      <c r="N8" s="102"/>
      <c r="O8" s="102"/>
    </row>
    <row r="9" spans="1:15">
      <c r="A9" s="2"/>
      <c r="B9" s="145"/>
      <c r="C9" s="145"/>
      <c r="D9" s="145"/>
      <c r="E9" s="145"/>
      <c r="F9" s="145"/>
      <c r="K9" s="102"/>
      <c r="L9" s="102"/>
      <c r="M9" s="102"/>
      <c r="N9" s="102"/>
      <c r="O9" s="102"/>
    </row>
    <row r="10" spans="1:15">
      <c r="A10" s="4" t="s">
        <v>160</v>
      </c>
      <c r="B10" s="145"/>
      <c r="C10" s="145"/>
      <c r="D10" s="145"/>
      <c r="E10" s="145"/>
      <c r="F10" s="145"/>
      <c r="K10" s="102"/>
      <c r="L10" s="102"/>
      <c r="M10" s="102"/>
      <c r="N10" s="102"/>
      <c r="O10" s="102"/>
    </row>
    <row r="11" spans="1:15">
      <c r="A11" s="31" t="str">
        <f>+INPUT!B194</f>
        <v>Sappa Creek Near Stamford</v>
      </c>
      <c r="B11" s="145">
        <f>+INPUT!C194</f>
        <v>8238</v>
      </c>
      <c r="C11" s="145">
        <f>+INPUT!D194</f>
        <v>12574</v>
      </c>
      <c r="D11" s="145">
        <f>+INPUT!E194</f>
        <v>42888</v>
      </c>
      <c r="E11" s="145">
        <f>+INPUT!F194</f>
        <v>16223</v>
      </c>
      <c r="F11" s="145">
        <f>+INPUT!G194</f>
        <v>14925</v>
      </c>
      <c r="G11" s="21"/>
      <c r="H11" s="21"/>
      <c r="I11" s="21"/>
      <c r="K11" s="102"/>
      <c r="L11" s="102"/>
      <c r="M11" s="102"/>
      <c r="N11" s="102"/>
      <c r="O11" s="102"/>
    </row>
    <row r="12" spans="1:15">
      <c r="A12" s="31" t="str">
        <f>+INPUT!B193</f>
        <v>Beaver Creek Near Beaver City</v>
      </c>
      <c r="B12" s="145">
        <f>+INPUT!C193</f>
        <v>1082</v>
      </c>
      <c r="C12" s="145">
        <f>+INPUT!D193</f>
        <v>1023</v>
      </c>
      <c r="D12" s="145">
        <f>+INPUT!E193</f>
        <v>1632</v>
      </c>
      <c r="E12" s="145">
        <f>+INPUT!F193</f>
        <v>788</v>
      </c>
      <c r="F12" s="145">
        <f>+INPUT!G193</f>
        <v>796</v>
      </c>
      <c r="K12" s="102"/>
      <c r="L12" s="102"/>
      <c r="M12" s="102"/>
      <c r="N12" s="102"/>
      <c r="O12" s="102"/>
    </row>
    <row r="13" spans="1:15">
      <c r="A13" s="50" t="str">
        <f>+INPUT!B123</f>
        <v>SW Diversions - Irrigation - Non-Federal Canals- Kansas</v>
      </c>
      <c r="B13" s="151">
        <f>+INPUT!C123</f>
        <v>0</v>
      </c>
      <c r="C13" s="151">
        <f>+INPUT!D123</f>
        <v>0</v>
      </c>
      <c r="D13" s="151">
        <f>+INPUT!E123</f>
        <v>0</v>
      </c>
      <c r="E13" s="151">
        <f>+INPUT!F123</f>
        <v>0</v>
      </c>
      <c r="F13" s="151">
        <f>+INPUT!G123</f>
        <v>0</v>
      </c>
      <c r="K13" s="102"/>
      <c r="L13" s="102"/>
      <c r="M13" s="102"/>
      <c r="N13" s="102"/>
      <c r="O13" s="102"/>
    </row>
    <row r="14" spans="1:15">
      <c r="A14" s="50" t="str">
        <f>+INPUT!B124</f>
        <v>SW Diversions - Irrigation - Small Pumps - Kansas</v>
      </c>
      <c r="B14" s="151">
        <f>+INPUT!C124</f>
        <v>0</v>
      </c>
      <c r="C14" s="151">
        <f>+INPUT!D124</f>
        <v>0</v>
      </c>
      <c r="D14" s="151">
        <f>+INPUT!E124</f>
        <v>0</v>
      </c>
      <c r="E14" s="151">
        <f>+INPUT!F124</f>
        <v>0</v>
      </c>
      <c r="F14" s="151">
        <f>+INPUT!G124</f>
        <v>0</v>
      </c>
      <c r="K14" s="102"/>
      <c r="L14" s="102"/>
      <c r="M14" s="102"/>
      <c r="N14" s="102"/>
      <c r="O14" s="102"/>
    </row>
    <row r="15" spans="1:15">
      <c r="A15" s="50" t="str">
        <f>+INPUT!B125</f>
        <v>SW Diversions - M&amp;I - Kansas</v>
      </c>
      <c r="B15" s="151">
        <f>+INPUT!C125</f>
        <v>0</v>
      </c>
      <c r="C15" s="151">
        <f>+INPUT!D125</f>
        <v>0</v>
      </c>
      <c r="D15" s="151">
        <f>+INPUT!E125</f>
        <v>0</v>
      </c>
      <c r="E15" s="151">
        <f>+INPUT!F125</f>
        <v>0</v>
      </c>
      <c r="F15" s="151">
        <f>+INPUT!G125</f>
        <v>0</v>
      </c>
      <c r="K15" s="102"/>
      <c r="L15" s="102"/>
      <c r="M15" s="102"/>
      <c r="N15" s="102"/>
      <c r="O15" s="102"/>
    </row>
    <row r="16" spans="1:15">
      <c r="A16" s="50" t="str">
        <f>+INPUT!B126</f>
        <v>SW Diversions - Irrigation - Non-Federal Canals - Nebraska - Above Gage</v>
      </c>
      <c r="B16" s="151">
        <f>+INPUT!C126</f>
        <v>0</v>
      </c>
      <c r="C16" s="151">
        <f>+INPUT!D126</f>
        <v>0</v>
      </c>
      <c r="D16" s="151">
        <f>+INPUT!E126</f>
        <v>0</v>
      </c>
      <c r="E16" s="151">
        <f>+INPUT!F126</f>
        <v>0</v>
      </c>
      <c r="F16" s="151">
        <f>+INPUT!G126</f>
        <v>0</v>
      </c>
      <c r="K16" s="102"/>
      <c r="L16" s="102"/>
      <c r="M16" s="102"/>
      <c r="N16" s="102"/>
      <c r="O16" s="102"/>
    </row>
    <row r="17" spans="1:15">
      <c r="A17" s="50" t="str">
        <f>+INPUT!B127</f>
        <v>SW Diversions - Irrigation - Small Pumps - Nebraska - Above Gage</v>
      </c>
      <c r="B17" s="151">
        <f>+INPUT!C127</f>
        <v>0</v>
      </c>
      <c r="C17" s="151">
        <f>+INPUT!D127</f>
        <v>0</v>
      </c>
      <c r="D17" s="151">
        <f>+INPUT!E127</f>
        <v>0</v>
      </c>
      <c r="E17" s="151">
        <f>+INPUT!F127</f>
        <v>0</v>
      </c>
      <c r="F17" s="151">
        <f>+INPUT!G127</f>
        <v>0</v>
      </c>
      <c r="K17" s="102"/>
      <c r="L17" s="102"/>
      <c r="M17" s="102"/>
      <c r="N17" s="102"/>
      <c r="O17" s="102"/>
    </row>
    <row r="18" spans="1:15">
      <c r="A18" s="50" t="str">
        <f>+INPUT!B128</f>
        <v>SW Diversions - M&amp;I - Nebraska - Above Gage</v>
      </c>
      <c r="B18" s="151">
        <f>+INPUT!C128</f>
        <v>0</v>
      </c>
      <c r="C18" s="151">
        <f>+INPUT!D128</f>
        <v>0</v>
      </c>
      <c r="D18" s="151">
        <f>+INPUT!E128</f>
        <v>0</v>
      </c>
      <c r="E18" s="151">
        <f>+INPUT!F128</f>
        <v>0</v>
      </c>
      <c r="F18" s="151">
        <f>+INPUT!G128</f>
        <v>0</v>
      </c>
      <c r="K18" s="102"/>
      <c r="L18" s="102"/>
      <c r="M18" s="102"/>
      <c r="N18" s="102"/>
      <c r="O18" s="102"/>
    </row>
    <row r="19" spans="1:15">
      <c r="A19" s="50" t="str">
        <f>+INPUT!B129</f>
        <v>SW Diversions - Irrigation - Non-Federal Canals - Nebraska -Below Gage</v>
      </c>
      <c r="B19" s="151">
        <f>+INPUT!C129</f>
        <v>0</v>
      </c>
      <c r="C19" s="151">
        <f>+INPUT!D129</f>
        <v>0</v>
      </c>
      <c r="D19" s="151">
        <f>+INPUT!E129</f>
        <v>0</v>
      </c>
      <c r="E19" s="151">
        <f>+INPUT!F129</f>
        <v>0</v>
      </c>
      <c r="F19" s="151">
        <f>+INPUT!G129</f>
        <v>0</v>
      </c>
      <c r="K19" s="102"/>
      <c r="L19" s="102"/>
      <c r="M19" s="102"/>
      <c r="N19" s="102"/>
      <c r="O19" s="102"/>
    </row>
    <row r="20" spans="1:15">
      <c r="A20" s="50" t="str">
        <f>+INPUT!B130</f>
        <v>SW Diversions - Irrigation - Small Pumps -Nebraska - Below Gage</v>
      </c>
      <c r="B20" s="151">
        <f>+INPUT!C130</f>
        <v>0</v>
      </c>
      <c r="C20" s="151">
        <f>+INPUT!D130</f>
        <v>0.31364033830646271</v>
      </c>
      <c r="D20" s="151">
        <f>+INPUT!E130</f>
        <v>0.31364033830646271</v>
      </c>
      <c r="E20" s="151">
        <f>+INPUT!F130</f>
        <v>0</v>
      </c>
      <c r="F20" s="151">
        <f>+INPUT!G130</f>
        <v>0</v>
      </c>
      <c r="K20" s="102"/>
      <c r="L20" s="102"/>
      <c r="M20" s="102"/>
      <c r="N20" s="102"/>
      <c r="O20" s="102"/>
    </row>
    <row r="21" spans="1:15">
      <c r="A21" s="50" t="str">
        <f>+INPUT!B131</f>
        <v>SW Diversions - M&amp;I - Nebraska - Below Gage</v>
      </c>
      <c r="B21" s="151">
        <f>+INPUT!C131</f>
        <v>0</v>
      </c>
      <c r="C21" s="151">
        <f>+INPUT!D131</f>
        <v>0</v>
      </c>
      <c r="D21" s="151">
        <f>+INPUT!E131</f>
        <v>0</v>
      </c>
      <c r="E21" s="151">
        <f>+INPUT!F131</f>
        <v>0</v>
      </c>
      <c r="F21" s="151">
        <f>+INPUT!G131</f>
        <v>0</v>
      </c>
      <c r="K21" s="102"/>
      <c r="L21" s="102"/>
      <c r="M21" s="102"/>
      <c r="N21" s="102"/>
      <c r="O21" s="102"/>
    </row>
    <row r="22" spans="1:15">
      <c r="A22" s="50" t="str">
        <f>+INPUT!B174</f>
        <v>Non-Federal Reservoir Evaporation - Kansas</v>
      </c>
      <c r="B22" s="151">
        <f>+INPUT!C174</f>
        <v>228</v>
      </c>
      <c r="C22" s="151">
        <f>+INPUT!D174</f>
        <v>211.12234948125001</v>
      </c>
      <c r="D22" s="151">
        <f>+INPUT!E174</f>
        <v>271</v>
      </c>
      <c r="E22" s="151">
        <f>+INPUT!F174</f>
        <v>419.62</v>
      </c>
      <c r="F22" s="151">
        <f>+INPUT!G174</f>
        <v>400.84</v>
      </c>
      <c r="K22" s="102"/>
      <c r="L22" s="102"/>
      <c r="M22" s="102"/>
      <c r="N22" s="102"/>
      <c r="O22" s="102"/>
    </row>
    <row r="23" spans="1:15">
      <c r="A23" s="50" t="str">
        <f>+INPUT!B175</f>
        <v>Non-Federal Reservoir Evaporation - Nebraska - Above Gage</v>
      </c>
      <c r="B23" s="151">
        <f>+INPUT!C175</f>
        <v>36.86540875</v>
      </c>
      <c r="C23" s="151">
        <f>+INPUT!D175</f>
        <v>27.117141666666601</v>
      </c>
      <c r="D23" s="151">
        <f>+INPUT!E175</f>
        <v>42</v>
      </c>
      <c r="E23" s="151">
        <f>+INPUT!F175</f>
        <v>79.426739583333315</v>
      </c>
      <c r="F23" s="151">
        <f>+INPUT!G175</f>
        <v>46</v>
      </c>
      <c r="K23" s="102"/>
      <c r="L23" s="102"/>
      <c r="M23" s="102"/>
      <c r="N23" s="102"/>
      <c r="O23" s="102"/>
    </row>
    <row r="24" spans="1:15">
      <c r="A24" s="50" t="str">
        <f>+INPUT!B176</f>
        <v>Non-Federal Reservoir Evaporation - Nebraska - Below Gage</v>
      </c>
      <c r="B24" s="151">
        <f>+INPUT!C176</f>
        <v>1.97085</v>
      </c>
      <c r="C24" s="151">
        <f>+INPUT!D176</f>
        <v>1.4910000000000001</v>
      </c>
      <c r="D24" s="151">
        <f>+INPUT!E176</f>
        <v>2</v>
      </c>
      <c r="E24" s="151">
        <f>+INPUT!F176</f>
        <v>4.6528687499999997</v>
      </c>
      <c r="F24" s="151">
        <f>+INPUT!G176</f>
        <v>2</v>
      </c>
      <c r="K24" s="102"/>
      <c r="L24" s="102"/>
      <c r="M24" s="102"/>
      <c r="N24" s="102"/>
      <c r="O24" s="102"/>
    </row>
    <row r="25" spans="1:15">
      <c r="A25" s="137" t="str">
        <f>+FLOOD!A67</f>
        <v>Sappa Flood Flow</v>
      </c>
      <c r="B25" s="151">
        <f>+FLOOD!B67</f>
        <v>0</v>
      </c>
      <c r="C25" s="151">
        <f>+FLOOD!C67</f>
        <v>0</v>
      </c>
      <c r="D25" s="151">
        <f>+FLOOD!D67</f>
        <v>15988</v>
      </c>
      <c r="E25" s="151">
        <f>+FLOOD!E67</f>
        <v>0</v>
      </c>
      <c r="F25" s="151">
        <f>+FLOOD!F67</f>
        <v>0</v>
      </c>
      <c r="K25" s="102"/>
      <c r="L25" s="102"/>
      <c r="M25" s="102"/>
      <c r="N25" s="102"/>
      <c r="O25" s="102"/>
    </row>
    <row r="26" spans="1:15">
      <c r="A26" s="61" t="s">
        <v>66</v>
      </c>
      <c r="B26" s="151"/>
      <c r="C26" s="151"/>
      <c r="D26" s="151"/>
      <c r="E26" s="151"/>
      <c r="F26" s="151"/>
      <c r="K26" s="102"/>
      <c r="L26" s="102"/>
      <c r="M26" s="102"/>
      <c r="N26" s="102"/>
      <c r="O26" s="102"/>
    </row>
    <row r="27" spans="1:15" ht="15.75">
      <c r="A27" s="9" t="s">
        <v>241</v>
      </c>
      <c r="B27" s="151"/>
      <c r="C27" s="151"/>
      <c r="D27" s="151"/>
      <c r="E27" s="151"/>
      <c r="F27" s="151"/>
      <c r="K27" s="102"/>
      <c r="L27" s="102"/>
      <c r="M27" s="102"/>
      <c r="N27" s="102"/>
      <c r="O27" s="102"/>
    </row>
    <row r="28" spans="1:15">
      <c r="A28" s="7" t="s">
        <v>0</v>
      </c>
      <c r="B28" s="151"/>
      <c r="C28" s="151"/>
      <c r="D28" s="151"/>
      <c r="E28" s="151"/>
      <c r="F28" s="151"/>
      <c r="K28" s="102"/>
      <c r="L28" s="102"/>
      <c r="M28" s="102"/>
      <c r="N28" s="102"/>
      <c r="O28" s="102"/>
    </row>
    <row r="29" spans="1:15">
      <c r="A29" s="13" t="str">
        <f>'NORTH FORK'!A28</f>
        <v>GW CBCU</v>
      </c>
      <c r="B29" s="151">
        <f>+B6</f>
        <v>0</v>
      </c>
      <c r="C29" s="151">
        <f>+C6</f>
        <v>0</v>
      </c>
      <c r="D29" s="151">
        <f>+D6</f>
        <v>0</v>
      </c>
      <c r="E29" s="151">
        <f>+E6</f>
        <v>0</v>
      </c>
      <c r="F29" s="151">
        <f>+F6</f>
        <v>0</v>
      </c>
      <c r="K29" s="102"/>
      <c r="L29" s="102"/>
      <c r="M29" s="102"/>
      <c r="N29" s="102"/>
      <c r="O29" s="102"/>
    </row>
    <row r="30" spans="1:15">
      <c r="A30" s="13" t="str">
        <f>'NORTH FORK'!A29</f>
        <v>Total CBCU</v>
      </c>
      <c r="B30" s="151">
        <f>(ROUND(SUM(B29:B29),-1))</f>
        <v>0</v>
      </c>
      <c r="C30" s="151">
        <f>(ROUND(SUM(C29:C29),-1))</f>
        <v>0</v>
      </c>
      <c r="D30" s="151">
        <f>(ROUND(SUM(D29:D29),-1))</f>
        <v>0</v>
      </c>
      <c r="E30" s="151">
        <f>(ROUND(SUM(E29:E29),-1))</f>
        <v>0</v>
      </c>
      <c r="F30" s="151">
        <f>(ROUND(SUM(F29:F29),-1))</f>
        <v>0</v>
      </c>
      <c r="K30" s="102"/>
      <c r="L30" s="102"/>
      <c r="M30" s="102"/>
      <c r="N30" s="102"/>
      <c r="O30" s="102"/>
    </row>
    <row r="31" spans="1:15">
      <c r="A31" s="13" t="s">
        <v>66</v>
      </c>
      <c r="B31" s="151"/>
      <c r="C31" s="151"/>
      <c r="D31" s="151"/>
      <c r="E31" s="151"/>
      <c r="F31" s="151"/>
      <c r="K31" s="102"/>
      <c r="L31" s="102"/>
      <c r="M31" s="102"/>
      <c r="N31" s="102"/>
      <c r="O31" s="102"/>
    </row>
    <row r="32" spans="1:15">
      <c r="A32" s="7" t="s">
        <v>161</v>
      </c>
      <c r="B32" s="151"/>
      <c r="C32" s="151"/>
      <c r="D32" s="151"/>
      <c r="E32" s="151"/>
      <c r="F32" s="151"/>
      <c r="K32" s="102"/>
      <c r="L32" s="102"/>
      <c r="M32" s="102"/>
      <c r="N32" s="102"/>
      <c r="O32" s="102"/>
    </row>
    <row r="33" spans="1:15">
      <c r="A33" s="11" t="str">
        <f>'NORTH FORK'!A23</f>
        <v>SW CBCU - Irrigation - Non Federal Canals</v>
      </c>
      <c r="B33" s="151">
        <f>+B13*CanalCUPercent1</f>
        <v>0</v>
      </c>
      <c r="C33" s="151">
        <f>+C13*CanalCUPercent2</f>
        <v>0</v>
      </c>
      <c r="D33" s="151">
        <f>+D13*CanalCUPercent3</f>
        <v>0</v>
      </c>
      <c r="E33" s="151">
        <f>+E13*CanalCUPercent4</f>
        <v>0</v>
      </c>
      <c r="F33" s="151">
        <f>+F13*CanalCUPercent5</f>
        <v>0</v>
      </c>
      <c r="K33" s="102"/>
      <c r="L33" s="102"/>
      <c r="M33" s="102"/>
      <c r="N33" s="102"/>
      <c r="O33" s="102"/>
    </row>
    <row r="34" spans="1:15">
      <c r="A34" s="11" t="str">
        <f>'NORTH FORK'!A24</f>
        <v>SW CBCU - Irrigation - Small Pumps</v>
      </c>
      <c r="B34" s="151">
        <f>+B14*PumperCUPercent1</f>
        <v>0</v>
      </c>
      <c r="C34" s="151">
        <f>+C14*PumperCUPercent2</f>
        <v>0</v>
      </c>
      <c r="D34" s="151">
        <f>+D14*PumperCUPercent3</f>
        <v>0</v>
      </c>
      <c r="E34" s="151">
        <f>+E14*PumperCUPercent4</f>
        <v>0</v>
      </c>
      <c r="F34" s="151">
        <f>+F14*PumperCUPercent5</f>
        <v>0</v>
      </c>
      <c r="K34" s="102"/>
      <c r="L34" s="102"/>
      <c r="M34" s="102"/>
      <c r="N34" s="102"/>
      <c r="O34" s="102"/>
    </row>
    <row r="35" spans="1:15">
      <c r="A35" s="11" t="str">
        <f>'NORTH FORK'!A25</f>
        <v>SW CBCU - M&amp;I</v>
      </c>
      <c r="B35" s="151">
        <f>+B15*MI_CUPercent1</f>
        <v>0</v>
      </c>
      <c r="C35" s="151">
        <f>+C15*MI_CUPercent2</f>
        <v>0</v>
      </c>
      <c r="D35" s="151">
        <f>+D15*MI_CUPercent3</f>
        <v>0</v>
      </c>
      <c r="E35" s="151">
        <f>+E15*MI_CUPercent4</f>
        <v>0</v>
      </c>
      <c r="F35" s="151">
        <f>+F15*MI_CUPercent5</f>
        <v>0</v>
      </c>
      <c r="K35" s="102"/>
      <c r="L35" s="102"/>
      <c r="M35" s="102"/>
      <c r="N35" s="102"/>
      <c r="O35" s="102"/>
    </row>
    <row r="36" spans="1:15">
      <c r="A36" s="11" t="str">
        <f>'NORTH FORK'!A26</f>
        <v>Non-Federal Reservoir Evaporation</v>
      </c>
      <c r="B36" s="151">
        <f>B22</f>
        <v>228</v>
      </c>
      <c r="C36" s="151">
        <f>C22</f>
        <v>211.12234948125001</v>
      </c>
      <c r="D36" s="151">
        <f>D22</f>
        <v>271</v>
      </c>
      <c r="E36" s="151">
        <f>E22</f>
        <v>419.62</v>
      </c>
      <c r="F36" s="151">
        <f>F22</f>
        <v>400.84</v>
      </c>
      <c r="K36" s="102"/>
      <c r="L36" s="102"/>
      <c r="M36" s="102"/>
      <c r="N36" s="102"/>
      <c r="O36" s="102"/>
    </row>
    <row r="37" spans="1:15">
      <c r="A37" s="11" t="str">
        <f>'NORTH FORK'!A27</f>
        <v>SW CBCU</v>
      </c>
      <c r="B37" s="151">
        <f>B33+B34+B35+B36</f>
        <v>228</v>
      </c>
      <c r="C37" s="151">
        <f>C33+C34+C35+C36</f>
        <v>211.12234948125001</v>
      </c>
      <c r="D37" s="151">
        <f>D33+D34+D35+D36</f>
        <v>271</v>
      </c>
      <c r="E37" s="151">
        <f>E33+E34+E35+E36</f>
        <v>419.62</v>
      </c>
      <c r="F37" s="151">
        <f>F33+F34+F35+F36</f>
        <v>400.84</v>
      </c>
      <c r="K37" s="102"/>
      <c r="L37" s="102"/>
      <c r="M37" s="102"/>
      <c r="N37" s="102"/>
      <c r="O37" s="102"/>
    </row>
    <row r="38" spans="1:15">
      <c r="A38" s="11" t="str">
        <f>'NORTH FORK'!A28</f>
        <v>GW CBCU</v>
      </c>
      <c r="B38" s="151">
        <f>+B7</f>
        <v>2305</v>
      </c>
      <c r="C38" s="151">
        <f>+C7</f>
        <v>2960</v>
      </c>
      <c r="D38" s="151">
        <f>+D7</f>
        <v>2675</v>
      </c>
      <c r="E38" s="151">
        <f>+E7</f>
        <v>2075</v>
      </c>
      <c r="F38" s="151">
        <f>+F7</f>
        <v>1241</v>
      </c>
      <c r="G38" s="21"/>
      <c r="I38" s="21"/>
      <c r="K38" s="102"/>
      <c r="L38" s="102"/>
      <c r="M38" s="102"/>
      <c r="N38" s="102"/>
      <c r="O38" s="102"/>
    </row>
    <row r="39" spans="1:15">
      <c r="A39" s="11" t="str">
        <f>'NORTH FORK'!A29</f>
        <v>Total CBCU</v>
      </c>
      <c r="B39" s="151">
        <f>(ROUND(SUM(B37:B38),-1))</f>
        <v>2530</v>
      </c>
      <c r="C39" s="151">
        <f>(ROUND(SUM(C37:C38),-1))</f>
        <v>3170</v>
      </c>
      <c r="D39" s="151">
        <f>(ROUND(SUM(D37:D38),-1))</f>
        <v>2950</v>
      </c>
      <c r="E39" s="151">
        <f>(ROUND(SUM(E37:E38),-1))</f>
        <v>2490</v>
      </c>
      <c r="F39" s="151">
        <f>(ROUND(SUM(F37:F38),-1))</f>
        <v>1640</v>
      </c>
      <c r="I39" s="21"/>
      <c r="K39" s="102"/>
      <c r="L39" s="102"/>
      <c r="M39" s="102"/>
      <c r="N39" s="102"/>
      <c r="O39" s="102"/>
    </row>
    <row r="40" spans="1:15">
      <c r="A40" s="13" t="s">
        <v>66</v>
      </c>
      <c r="B40" s="151"/>
      <c r="C40" s="151"/>
      <c r="D40" s="151"/>
      <c r="E40" s="151"/>
      <c r="F40" s="151"/>
      <c r="K40" s="102"/>
      <c r="L40" s="102"/>
      <c r="M40" s="102"/>
      <c r="N40" s="102"/>
      <c r="O40" s="102"/>
    </row>
    <row r="41" spans="1:15">
      <c r="A41" s="7" t="s">
        <v>1</v>
      </c>
      <c r="B41" s="151"/>
      <c r="C41" s="151"/>
      <c r="D41" s="151"/>
      <c r="E41" s="151"/>
      <c r="F41" s="151"/>
      <c r="K41" s="102"/>
      <c r="L41" s="102"/>
      <c r="M41" s="102"/>
      <c r="N41" s="102"/>
      <c r="O41" s="102"/>
    </row>
    <row r="42" spans="1:15">
      <c r="A42" s="7"/>
      <c r="B42" s="151"/>
      <c r="C42" s="151"/>
      <c r="D42" s="151"/>
      <c r="E42" s="151"/>
      <c r="F42" s="151"/>
      <c r="K42" s="102"/>
      <c r="L42" s="102"/>
      <c r="M42" s="102"/>
      <c r="N42" s="102"/>
      <c r="O42" s="102"/>
    </row>
    <row r="43" spans="1:15">
      <c r="A43" s="13" t="str">
        <f>'MEDICINE CREEK'!A34</f>
        <v>SW CBCU - Irrigation - Non Federal Canals</v>
      </c>
      <c r="B43" s="151">
        <f>B16*CanalCUPercent1</f>
        <v>0</v>
      </c>
      <c r="C43" s="151">
        <f>C16*CanalCUPercent2</f>
        <v>0</v>
      </c>
      <c r="D43" s="151">
        <f>D16*CanalCUPercent3</f>
        <v>0</v>
      </c>
      <c r="E43" s="151">
        <f>E16*CanalCUPercent4</f>
        <v>0</v>
      </c>
      <c r="F43" s="151">
        <f>F16*CanalCUPercent5</f>
        <v>0</v>
      </c>
      <c r="K43" s="102"/>
      <c r="L43" s="102"/>
      <c r="M43" s="102"/>
      <c r="N43" s="102"/>
      <c r="O43" s="102"/>
    </row>
    <row r="44" spans="1:15">
      <c r="A44" s="13" t="str">
        <f>'MEDICINE CREEK'!A35</f>
        <v>SW CBCU - Irrigation - Small Pumps</v>
      </c>
      <c r="B44" s="151">
        <f>B17*PumperCUPercent1</f>
        <v>0</v>
      </c>
      <c r="C44" s="151">
        <f>C17*PumperCUPercent2</f>
        <v>0</v>
      </c>
      <c r="D44" s="151">
        <f>D17*PumperCUPercent3</f>
        <v>0</v>
      </c>
      <c r="E44" s="151">
        <f>E17*PumperCUPercent4</f>
        <v>0</v>
      </c>
      <c r="F44" s="151">
        <f>F17*PumperCUPercent5</f>
        <v>0</v>
      </c>
      <c r="K44" s="102"/>
      <c r="L44" s="102"/>
      <c r="M44" s="102"/>
      <c r="N44" s="102"/>
      <c r="O44" s="102"/>
    </row>
    <row r="45" spans="1:15">
      <c r="A45" s="13" t="str">
        <f>'MEDICINE CREEK'!A36</f>
        <v>SW CBCU - M&amp;I</v>
      </c>
      <c r="B45" s="151">
        <f>B18*MI_CUPercent1</f>
        <v>0</v>
      </c>
      <c r="C45" s="151">
        <f>C18*MI_CUPercent2</f>
        <v>0</v>
      </c>
      <c r="D45" s="151">
        <f>D18*MI_CUPercent3</f>
        <v>0</v>
      </c>
      <c r="E45" s="151">
        <f>E18*MI_CUPercent4</f>
        <v>0</v>
      </c>
      <c r="F45" s="151">
        <f>F18*MI_CUPercent5</f>
        <v>0</v>
      </c>
      <c r="K45" s="102"/>
      <c r="L45" s="102"/>
      <c r="M45" s="102"/>
      <c r="N45" s="102"/>
      <c r="O45" s="102"/>
    </row>
    <row r="46" spans="1:15">
      <c r="A46" s="13" t="str">
        <f>'MEDICINE CREEK'!A37</f>
        <v>SW CBCU - Irrigation - Non Federal Canals - Below Gage</v>
      </c>
      <c r="B46" s="151">
        <f>B19*CanalCUPercent1</f>
        <v>0</v>
      </c>
      <c r="C46" s="151">
        <f>C19*CanalCUPercent2</f>
        <v>0</v>
      </c>
      <c r="D46" s="151">
        <f>D19*CanalCUPercent3</f>
        <v>0</v>
      </c>
      <c r="E46" s="151">
        <f>E19*CanalCUPercent4</f>
        <v>0</v>
      </c>
      <c r="F46" s="151">
        <f>F19*CanalCUPercent5</f>
        <v>0</v>
      </c>
      <c r="K46" s="102"/>
      <c r="L46" s="102"/>
      <c r="M46" s="102"/>
      <c r="N46" s="102"/>
      <c r="O46" s="102"/>
    </row>
    <row r="47" spans="1:15">
      <c r="A47" s="13" t="str">
        <f>'MEDICINE CREEK'!A38</f>
        <v>SW CBCU - Irrigation - Small Pumps - Below Gage</v>
      </c>
      <c r="B47" s="151">
        <f>B20*PumperCUPercent1</f>
        <v>0</v>
      </c>
      <c r="C47" s="151">
        <f>C20*PumperCUPercent2</f>
        <v>0.23523025372984702</v>
      </c>
      <c r="D47" s="151">
        <f>D20*PumperCUPercent3</f>
        <v>0.23523025372984702</v>
      </c>
      <c r="E47" s="151">
        <f>E20*PumperCUPercent4</f>
        <v>0</v>
      </c>
      <c r="F47" s="151">
        <f>F20*PumperCUPercent5</f>
        <v>0</v>
      </c>
      <c r="K47" s="102"/>
      <c r="L47" s="102"/>
      <c r="M47" s="102"/>
      <c r="N47" s="102"/>
      <c r="O47" s="102"/>
    </row>
    <row r="48" spans="1:15">
      <c r="A48" s="13" t="str">
        <f>'MEDICINE CREEK'!A39</f>
        <v>SW CBCU - M&amp;I - Below Gage</v>
      </c>
      <c r="B48" s="151">
        <f>B21*MI_CUPercent1</f>
        <v>0</v>
      </c>
      <c r="C48" s="151">
        <f>C21*MI_CUPercent2</f>
        <v>0</v>
      </c>
      <c r="D48" s="151">
        <f>D21*MI_CUPercent3</f>
        <v>0</v>
      </c>
      <c r="E48" s="151">
        <f>E21*MI_CUPercent4</f>
        <v>0</v>
      </c>
      <c r="F48" s="151">
        <f>F21*MI_CUPercent5</f>
        <v>0</v>
      </c>
      <c r="K48" s="102"/>
      <c r="L48" s="102"/>
      <c r="M48" s="102"/>
      <c r="N48" s="102"/>
      <c r="O48" s="102"/>
    </row>
    <row r="49" spans="1:15">
      <c r="A49" s="45" t="str">
        <f>'MEDICINE CREEK'!A40</f>
        <v>Non-Federal Reservoir Evaporation</v>
      </c>
      <c r="B49" s="151">
        <f t="shared" ref="B49:D50" si="0">B23</f>
        <v>36.86540875</v>
      </c>
      <c r="C49" s="151">
        <f t="shared" si="0"/>
        <v>27.117141666666601</v>
      </c>
      <c r="D49" s="151">
        <f t="shared" si="0"/>
        <v>42</v>
      </c>
      <c r="E49" s="151">
        <f>E23</f>
        <v>79.426739583333315</v>
      </c>
      <c r="F49" s="151">
        <f>F23</f>
        <v>46</v>
      </c>
      <c r="K49" s="102"/>
      <c r="L49" s="102"/>
      <c r="M49" s="102"/>
      <c r="N49" s="102"/>
      <c r="O49" s="102"/>
    </row>
    <row r="50" spans="1:15">
      <c r="A50" s="45" t="str">
        <f>'MEDICINE CREEK'!A41</f>
        <v>Non-Federal Reservoir Evaporation - Below gage</v>
      </c>
      <c r="B50" s="151">
        <f t="shared" si="0"/>
        <v>1.97085</v>
      </c>
      <c r="C50" s="151">
        <f t="shared" si="0"/>
        <v>1.4910000000000001</v>
      </c>
      <c r="D50" s="151">
        <f t="shared" si="0"/>
        <v>2</v>
      </c>
      <c r="E50" s="151">
        <f>E24</f>
        <v>4.6528687499999997</v>
      </c>
      <c r="F50" s="151">
        <f>F24</f>
        <v>2</v>
      </c>
      <c r="K50" s="102"/>
      <c r="L50" s="102"/>
      <c r="M50" s="102"/>
      <c r="N50" s="102"/>
      <c r="O50" s="102"/>
    </row>
    <row r="51" spans="1:15">
      <c r="A51" s="13" t="str">
        <f>'MEDICINE CREEK'!A42</f>
        <v>SW CBCU</v>
      </c>
      <c r="B51" s="151">
        <f>B43+B44+B45+B46+B47+B48+B49+B50</f>
        <v>38.836258749999999</v>
      </c>
      <c r="C51" s="151">
        <f>C43+C44+C45+C46+C47+C48+C49+C50</f>
        <v>28.843371920396446</v>
      </c>
      <c r="D51" s="151">
        <f>D43+D44+D45+D46+D47+D48+D49+D50</f>
        <v>44.235230253729846</v>
      </c>
      <c r="E51" s="151">
        <f>E43+E44+E45+E46+E47+E48+E49+E50</f>
        <v>84.079608333333312</v>
      </c>
      <c r="F51" s="151">
        <f>F43+F44+F45+F46+F47+F48+F49+F50</f>
        <v>48</v>
      </c>
      <c r="K51" s="102"/>
      <c r="L51" s="102"/>
      <c r="M51" s="102"/>
      <c r="N51" s="102"/>
      <c r="O51" s="102"/>
    </row>
    <row r="52" spans="1:15">
      <c r="A52" s="13" t="str">
        <f>'MEDICINE CREEK'!A43</f>
        <v>GW CBCU</v>
      </c>
      <c r="B52" s="151">
        <f>+B8</f>
        <v>2183</v>
      </c>
      <c r="C52" s="151">
        <f>+C8</f>
        <v>2144</v>
      </c>
      <c r="D52" s="151">
        <f>+D8</f>
        <v>1886</v>
      </c>
      <c r="E52" s="151">
        <f>+E8</f>
        <v>1654</v>
      </c>
      <c r="F52" s="151">
        <f>+F8</f>
        <v>1560</v>
      </c>
      <c r="H52" s="21"/>
      <c r="I52" s="21"/>
      <c r="K52" s="102"/>
      <c r="L52" s="102"/>
      <c r="M52" s="102"/>
      <c r="N52" s="102"/>
      <c r="O52" s="102"/>
    </row>
    <row r="53" spans="1:15">
      <c r="A53" s="13" t="str">
        <f>'MEDICINE CREEK'!A44</f>
        <v>Total CBCU</v>
      </c>
      <c r="B53" s="151">
        <f>(ROUND(SUM(B51:B52),-1))</f>
        <v>2220</v>
      </c>
      <c r="C53" s="151">
        <f>(ROUND(SUM(C51:C52),-1))</f>
        <v>2170</v>
      </c>
      <c r="D53" s="151">
        <f>(ROUND(SUM(D51:D52),-1))</f>
        <v>1930</v>
      </c>
      <c r="E53" s="151">
        <f>(ROUND(SUM(E51:E52),-1))</f>
        <v>1740</v>
      </c>
      <c r="F53" s="151">
        <f>(ROUND(SUM(F51:F52),-1))</f>
        <v>1610</v>
      </c>
      <c r="G53" s="21"/>
      <c r="H53" s="21"/>
      <c r="I53" s="21"/>
      <c r="K53" s="102"/>
      <c r="L53" s="102"/>
      <c r="M53" s="102"/>
      <c r="N53" s="102"/>
      <c r="O53" s="102"/>
    </row>
    <row r="54" spans="1:15">
      <c r="A54" s="45" t="s">
        <v>66</v>
      </c>
      <c r="B54" s="151"/>
      <c r="C54" s="151"/>
      <c r="D54" s="151"/>
      <c r="E54" s="151"/>
      <c r="F54" s="151"/>
      <c r="K54" s="102"/>
      <c r="L54" s="102"/>
      <c r="M54" s="102"/>
      <c r="N54" s="102"/>
      <c r="O54" s="102"/>
    </row>
    <row r="55" spans="1:15">
      <c r="A55" s="29" t="s">
        <v>328</v>
      </c>
      <c r="B55" s="151"/>
      <c r="C55" s="151"/>
      <c r="D55" s="151"/>
      <c r="E55" s="151"/>
      <c r="F55" s="151"/>
      <c r="K55" s="102"/>
      <c r="L55" s="102"/>
      <c r="M55" s="102"/>
      <c r="N55" s="102"/>
      <c r="O55" s="102"/>
    </row>
    <row r="56" spans="1:15">
      <c r="A56" s="13" t="s">
        <v>227</v>
      </c>
      <c r="B56" s="151">
        <f>B46+B47+B48+B50</f>
        <v>1.97085</v>
      </c>
      <c r="C56" s="151">
        <f>C46+C47+C48+C50</f>
        <v>1.7262302537298471</v>
      </c>
      <c r="D56" s="151">
        <f>D46+D47+D48+D50</f>
        <v>2.235230253729847</v>
      </c>
      <c r="E56" s="151">
        <f>E46+E47+E48+E50</f>
        <v>4.6528687499999997</v>
      </c>
      <c r="F56" s="151">
        <f>F46+F47+F48+F50</f>
        <v>2</v>
      </c>
      <c r="K56" s="102"/>
      <c r="L56" s="102"/>
      <c r="M56" s="102"/>
      <c r="N56" s="102"/>
      <c r="O56" s="102"/>
    </row>
    <row r="57" spans="1:15">
      <c r="A57" s="45" t="str">
        <f>'MEDICINE CREEK'!A53</f>
        <v>Total</v>
      </c>
      <c r="B57" s="151">
        <f>B56</f>
        <v>1.97085</v>
      </c>
      <c r="C57" s="151">
        <f>C56</f>
        <v>1.7262302537298471</v>
      </c>
      <c r="D57" s="151">
        <f>D56</f>
        <v>2.235230253729847</v>
      </c>
      <c r="E57" s="151">
        <f>E56</f>
        <v>4.6528687499999997</v>
      </c>
      <c r="F57" s="151">
        <f>F56</f>
        <v>2</v>
      </c>
      <c r="K57" s="102"/>
      <c r="L57" s="102"/>
      <c r="M57" s="102"/>
      <c r="N57" s="102"/>
      <c r="O57" s="102"/>
    </row>
    <row r="58" spans="1:15">
      <c r="A58" s="45" t="s">
        <v>66</v>
      </c>
      <c r="B58" s="151"/>
      <c r="C58" s="151"/>
      <c r="D58" s="151"/>
      <c r="E58" s="151"/>
      <c r="F58" s="151"/>
      <c r="K58" s="102"/>
      <c r="L58" s="102"/>
      <c r="M58" s="102"/>
      <c r="N58" s="102"/>
      <c r="O58" s="102"/>
    </row>
    <row r="59" spans="1:15">
      <c r="A59" s="4" t="s">
        <v>162</v>
      </c>
      <c r="B59" s="151"/>
      <c r="C59" s="151"/>
      <c r="D59" s="151"/>
      <c r="E59" s="151"/>
      <c r="F59" s="151"/>
      <c r="K59" s="102"/>
      <c r="L59" s="102"/>
      <c r="M59" s="102"/>
      <c r="N59" s="102"/>
      <c r="O59" s="102"/>
    </row>
    <row r="60" spans="1:15">
      <c r="A60" s="45" t="str">
        <f>'NORTH FORK'!A42</f>
        <v>Total SW CBCU</v>
      </c>
      <c r="B60" s="151">
        <f>+B37+B51</f>
        <v>266.83625875000001</v>
      </c>
      <c r="C60" s="151">
        <f>+C37+C51</f>
        <v>239.96572140164645</v>
      </c>
      <c r="D60" s="151">
        <f>+D37+D51</f>
        <v>315.23523025372987</v>
      </c>
      <c r="E60" s="151">
        <f>+E37+E51</f>
        <v>503.69960833333334</v>
      </c>
      <c r="F60" s="151">
        <f>+F37+F51</f>
        <v>448.84</v>
      </c>
      <c r="K60" s="102"/>
      <c r="L60" s="102"/>
      <c r="M60" s="102"/>
      <c r="N60" s="102"/>
      <c r="O60" s="102"/>
    </row>
    <row r="61" spans="1:15">
      <c r="A61" s="45" t="str">
        <f>'NORTH FORK'!A43</f>
        <v>Total GW CBCU</v>
      </c>
      <c r="B61" s="151">
        <f>+B29+B38+B52</f>
        <v>4488</v>
      </c>
      <c r="C61" s="151">
        <f>+C29+C38+C52</f>
        <v>5104</v>
      </c>
      <c r="D61" s="151">
        <f>+D29+D38+D52</f>
        <v>4561</v>
      </c>
      <c r="E61" s="151">
        <f>+E29+E38+E52</f>
        <v>3729</v>
      </c>
      <c r="F61" s="151">
        <f>+F29+F38+F52</f>
        <v>2801</v>
      </c>
      <c r="H61" s="21"/>
      <c r="I61" s="21"/>
      <c r="K61" s="102"/>
      <c r="L61" s="102"/>
      <c r="M61" s="102"/>
      <c r="N61" s="102"/>
      <c r="O61" s="102"/>
    </row>
    <row r="62" spans="1:15">
      <c r="A62" s="45" t="str">
        <f>'NORTH FORK'!A44</f>
        <v>Total Basin CBCU</v>
      </c>
      <c r="B62" s="151">
        <f>SUM(B60:B61)</f>
        <v>4754.8362587499996</v>
      </c>
      <c r="C62" s="151">
        <f>SUM(C60:C61)</f>
        <v>5343.9657214016461</v>
      </c>
      <c r="D62" s="151">
        <f>SUM(D60:D61)</f>
        <v>4876.2352302537302</v>
      </c>
      <c r="E62" s="151">
        <f>SUM(E60:E61)</f>
        <v>4232.6996083333333</v>
      </c>
      <c r="F62" s="151">
        <f>SUM(F60:F61)</f>
        <v>3249.84</v>
      </c>
      <c r="H62" s="21"/>
      <c r="I62" s="21"/>
      <c r="K62" s="102"/>
      <c r="L62" s="102"/>
      <c r="M62" s="102"/>
      <c r="N62" s="102"/>
      <c r="O62" s="102"/>
    </row>
    <row r="63" spans="1:15">
      <c r="A63" s="45" t="s">
        <v>66</v>
      </c>
      <c r="B63" s="151"/>
      <c r="C63" s="151"/>
      <c r="D63" s="151"/>
      <c r="E63" s="151"/>
      <c r="F63" s="151"/>
      <c r="K63" s="102"/>
      <c r="L63" s="102"/>
      <c r="M63" s="102"/>
      <c r="N63" s="102"/>
      <c r="O63" s="102"/>
    </row>
    <row r="64" spans="1:15" ht="15.75">
      <c r="A64" s="10" t="s">
        <v>10</v>
      </c>
      <c r="B64" s="151"/>
      <c r="C64" s="151"/>
      <c r="D64" s="151"/>
      <c r="E64" s="151"/>
      <c r="F64" s="151"/>
      <c r="K64" s="102"/>
      <c r="L64" s="102"/>
      <c r="M64" s="102"/>
      <c r="N64" s="102"/>
      <c r="O64" s="102"/>
    </row>
    <row r="65" spans="1:15">
      <c r="A65" s="42" t="str">
        <f t="shared" ref="A65:D66" si="1">A11</f>
        <v>Sappa Creek Near Stamford</v>
      </c>
      <c r="B65" s="151">
        <f t="shared" si="1"/>
        <v>8238</v>
      </c>
      <c r="C65" s="151">
        <f t="shared" si="1"/>
        <v>12574</v>
      </c>
      <c r="D65" s="151">
        <f t="shared" si="1"/>
        <v>42888</v>
      </c>
      <c r="E65" s="151">
        <f>E11</f>
        <v>16223</v>
      </c>
      <c r="F65" s="151">
        <f>F11</f>
        <v>14925</v>
      </c>
      <c r="G65" s="21"/>
      <c r="H65" s="21"/>
      <c r="I65" s="21"/>
      <c r="K65" s="102"/>
      <c r="L65" s="102"/>
      <c r="M65" s="102"/>
      <c r="N65" s="102"/>
      <c r="O65" s="102"/>
    </row>
    <row r="66" spans="1:15">
      <c r="A66" s="42" t="str">
        <f t="shared" si="1"/>
        <v>Beaver Creek Near Beaver City</v>
      </c>
      <c r="B66" s="151">
        <f t="shared" si="1"/>
        <v>1082</v>
      </c>
      <c r="C66" s="151">
        <f t="shared" si="1"/>
        <v>1023</v>
      </c>
      <c r="D66" s="151">
        <f t="shared" si="1"/>
        <v>1632</v>
      </c>
      <c r="E66" s="151">
        <f>E12</f>
        <v>788</v>
      </c>
      <c r="F66" s="151">
        <f>F12</f>
        <v>796</v>
      </c>
      <c r="K66" s="102"/>
      <c r="L66" s="102"/>
      <c r="M66" s="102"/>
      <c r="N66" s="102"/>
      <c r="O66" s="102"/>
    </row>
    <row r="67" spans="1:15">
      <c r="A67" s="13" t="str">
        <f>'NORTH FORK'!A49</f>
        <v>Colorado CBCU</v>
      </c>
      <c r="B67" s="151">
        <f>+B30</f>
        <v>0</v>
      </c>
      <c r="C67" s="151">
        <f>+C30</f>
        <v>0</v>
      </c>
      <c r="D67" s="151">
        <f>+D30</f>
        <v>0</v>
      </c>
      <c r="E67" s="151">
        <f>+E30</f>
        <v>0</v>
      </c>
      <c r="F67" s="151">
        <f>+F30</f>
        <v>0</v>
      </c>
      <c r="K67" s="102"/>
      <c r="L67" s="102"/>
      <c r="M67" s="102"/>
      <c r="N67" s="102"/>
      <c r="O67" s="102"/>
    </row>
    <row r="68" spans="1:15">
      <c r="A68" s="13" t="str">
        <f>'NORTH FORK'!A50</f>
        <v>Kansas CBCU</v>
      </c>
      <c r="B68" s="151">
        <f>+B39</f>
        <v>2530</v>
      </c>
      <c r="C68" s="151">
        <f>+C39</f>
        <v>3170</v>
      </c>
      <c r="D68" s="151">
        <f>+D39</f>
        <v>2950</v>
      </c>
      <c r="E68" s="151">
        <f>+E39</f>
        <v>2490</v>
      </c>
      <c r="F68" s="151">
        <f>+F39</f>
        <v>1640</v>
      </c>
      <c r="I68" s="21"/>
      <c r="K68" s="102"/>
      <c r="L68" s="102"/>
      <c r="M68" s="102"/>
      <c r="N68" s="102"/>
      <c r="O68" s="102"/>
    </row>
    <row r="69" spans="1:15">
      <c r="A69" s="13" t="str">
        <f>'NORTH FORK'!A51</f>
        <v>Nebraska CBCU</v>
      </c>
      <c r="B69" s="151">
        <f>B53</f>
        <v>2220</v>
      </c>
      <c r="C69" s="151">
        <f>C53</f>
        <v>2170</v>
      </c>
      <c r="D69" s="151">
        <f>D53</f>
        <v>1930</v>
      </c>
      <c r="E69" s="151">
        <f>E53</f>
        <v>1740</v>
      </c>
      <c r="F69" s="151">
        <f>F53</f>
        <v>1610</v>
      </c>
      <c r="G69" s="21"/>
      <c r="H69" s="21"/>
      <c r="I69" s="21"/>
      <c r="K69" s="102"/>
      <c r="L69" s="102"/>
      <c r="M69" s="102"/>
      <c r="N69" s="102"/>
      <c r="O69" s="102"/>
    </row>
    <row r="70" spans="1:15">
      <c r="A70" s="13" t="str">
        <f>A56</f>
        <v>SW CBCU Below The Gage</v>
      </c>
      <c r="B70" s="151">
        <f>B57</f>
        <v>1.97085</v>
      </c>
      <c r="C70" s="151">
        <f>C57</f>
        <v>1.7262302537298471</v>
      </c>
      <c r="D70" s="151">
        <f>D57</f>
        <v>2.235230253729847</v>
      </c>
      <c r="E70" s="151">
        <f>E57</f>
        <v>4.6528687499999997</v>
      </c>
      <c r="F70" s="151">
        <f>F57</f>
        <v>2</v>
      </c>
      <c r="K70" s="102"/>
      <c r="L70" s="102"/>
      <c r="M70" s="102"/>
      <c r="N70" s="102"/>
      <c r="O70" s="102"/>
    </row>
    <row r="71" spans="1:15">
      <c r="A71" s="13" t="str">
        <f>'NORTH FORK'!A52</f>
        <v>Imported Water</v>
      </c>
      <c r="B71" s="151">
        <f>+B5</f>
        <v>62</v>
      </c>
      <c r="C71" s="151">
        <f>+C5</f>
        <v>58</v>
      </c>
      <c r="D71" s="151">
        <f>+D5</f>
        <v>32</v>
      </c>
      <c r="E71" s="151">
        <f>+E5</f>
        <v>27</v>
      </c>
      <c r="F71" s="151">
        <f>+F5</f>
        <v>29</v>
      </c>
      <c r="K71" s="102"/>
      <c r="L71" s="102"/>
      <c r="M71" s="102"/>
      <c r="N71" s="102"/>
      <c r="O71" s="102"/>
    </row>
    <row r="72" spans="1:15">
      <c r="A72" s="13" t="str">
        <f>'NORTH FORK'!A54</f>
        <v>Virgin Water Supply</v>
      </c>
      <c r="B72" s="151">
        <f>ROUND(B65-B66+B67+B68+B69-B70-B71,-1)</f>
        <v>11840</v>
      </c>
      <c r="C72" s="151">
        <f>ROUND(C65-C66+C67+C68+C69-C70-C71,-1)</f>
        <v>16830</v>
      </c>
      <c r="D72" s="151">
        <f>ROUND(D65-D66+D67+D68+D69-D70-D71,-1)</f>
        <v>46100</v>
      </c>
      <c r="E72" s="151">
        <f>ROUND(E65-E66+E67+E68+E69-E70-E71,-1)</f>
        <v>19630</v>
      </c>
      <c r="F72" s="151">
        <f>ROUND(F65-F66+F67+F68+F69-F70-F71,-1)</f>
        <v>17350</v>
      </c>
      <c r="G72" s="21"/>
      <c r="H72" s="21"/>
      <c r="I72" s="21"/>
      <c r="K72" s="102"/>
      <c r="L72" s="102"/>
      <c r="M72" s="102"/>
      <c r="N72" s="102"/>
      <c r="O72" s="102"/>
    </row>
    <row r="73" spans="1:15">
      <c r="A73" s="13" t="str">
        <f>'NORTH FORK'!A55</f>
        <v>Adjustment For Flood Flows</v>
      </c>
      <c r="B73" s="151">
        <f>B25</f>
        <v>0</v>
      </c>
      <c r="C73" s="151">
        <f>C25</f>
        <v>0</v>
      </c>
      <c r="D73" s="151">
        <f>D25</f>
        <v>15988</v>
      </c>
      <c r="E73" s="151">
        <f>E25</f>
        <v>0</v>
      </c>
      <c r="F73" s="151">
        <f>F25</f>
        <v>0</v>
      </c>
      <c r="K73" s="102"/>
      <c r="L73" s="102"/>
      <c r="M73" s="102"/>
      <c r="N73" s="102"/>
      <c r="O73" s="102"/>
    </row>
    <row r="74" spans="1:15">
      <c r="A74" s="2" t="str">
        <f>'NORTH FORK'!A56</f>
        <v>Computed Water Supply</v>
      </c>
      <c r="B74" s="145">
        <f>+ROUND(B72-B73,-1)</f>
        <v>11840</v>
      </c>
      <c r="C74" s="145">
        <f>+ROUND(C72-C73,-1)</f>
        <v>16830</v>
      </c>
      <c r="D74" s="145">
        <f>+ROUND(D72-D73,-1)</f>
        <v>30110</v>
      </c>
      <c r="E74" s="145">
        <f>+ROUND(E72-E73,-1)</f>
        <v>19630</v>
      </c>
      <c r="F74" s="145">
        <f>+ROUND(F72-F73,-1)</f>
        <v>17350</v>
      </c>
      <c r="G74" s="21"/>
      <c r="H74" s="21"/>
      <c r="I74" s="21"/>
      <c r="K74" s="102"/>
      <c r="L74" s="102"/>
      <c r="M74" s="102"/>
      <c r="N74" s="102"/>
      <c r="O74" s="102"/>
    </row>
    <row r="75" spans="1:15">
      <c r="A75" s="8" t="s">
        <v>66</v>
      </c>
      <c r="B75" s="145"/>
      <c r="C75" s="145"/>
      <c r="D75" s="145"/>
      <c r="E75" s="145"/>
      <c r="F75" s="145"/>
      <c r="K75" s="102"/>
      <c r="L75" s="102"/>
      <c r="M75" s="102"/>
      <c r="N75" s="102"/>
      <c r="O75" s="102"/>
    </row>
    <row r="76" spans="1:15" ht="15.75">
      <c r="A76" s="10" t="s">
        <v>12</v>
      </c>
      <c r="B76" s="121"/>
      <c r="C76" s="121"/>
      <c r="D76" s="121"/>
      <c r="E76" s="121"/>
      <c r="F76" s="121"/>
      <c r="K76" s="102"/>
      <c r="L76" s="102"/>
      <c r="M76" s="102"/>
      <c r="N76" s="102"/>
      <c r="O76" s="102"/>
    </row>
    <row r="77" spans="1:15">
      <c r="A77" s="2" t="str">
        <f>'NORTH FORK'!A59</f>
        <v>Colorado Percent Of Allocation</v>
      </c>
      <c r="B77" s="117">
        <f>'T2'!$D13</f>
        <v>0</v>
      </c>
      <c r="C77" s="117">
        <f>'T2'!$D13</f>
        <v>0</v>
      </c>
      <c r="D77" s="117">
        <f>'T2'!$D13</f>
        <v>0</v>
      </c>
      <c r="E77" s="117">
        <f>'T2'!$D13</f>
        <v>0</v>
      </c>
      <c r="F77" s="117">
        <f>'T2'!$D13</f>
        <v>0</v>
      </c>
      <c r="G77" s="274"/>
      <c r="H77" s="274"/>
      <c r="I77" s="274"/>
      <c r="K77" s="102"/>
      <c r="L77" s="102"/>
      <c r="M77" s="102"/>
      <c r="N77" s="102"/>
      <c r="O77" s="102"/>
    </row>
    <row r="78" spans="1:15">
      <c r="A78" s="2" t="str">
        <f>'NORTH FORK'!A60</f>
        <v>Colorado Allocation</v>
      </c>
      <c r="B78" s="145">
        <f>ROUND(+B74*B77,-1)</f>
        <v>0</v>
      </c>
      <c r="C78" s="145">
        <f>ROUND(+C74*C77,-1)</f>
        <v>0</v>
      </c>
      <c r="D78" s="145">
        <f>ROUND(+D74*D77,-1)</f>
        <v>0</v>
      </c>
      <c r="E78" s="145">
        <f>ROUND(+E74*E77,-1)</f>
        <v>0</v>
      </c>
      <c r="F78" s="145">
        <f>ROUND(+F74*F77,-1)</f>
        <v>0</v>
      </c>
      <c r="K78" s="102"/>
      <c r="L78" s="102"/>
      <c r="M78" s="102"/>
      <c r="N78" s="102"/>
      <c r="O78" s="102"/>
    </row>
    <row r="79" spans="1:15">
      <c r="A79" s="2" t="str">
        <f>'NORTH FORK'!A61</f>
        <v>Kansas Percent Of Allocation</v>
      </c>
      <c r="B79" s="117">
        <f>'T2'!$F13</f>
        <v>0.41099999999999998</v>
      </c>
      <c r="C79" s="117">
        <f>'T2'!$F13</f>
        <v>0.41099999999999998</v>
      </c>
      <c r="D79" s="117">
        <f>'T2'!$F13</f>
        <v>0.41099999999999998</v>
      </c>
      <c r="E79" s="117">
        <f>'T2'!$F13</f>
        <v>0.41099999999999998</v>
      </c>
      <c r="F79" s="117">
        <f>'T2'!$F13</f>
        <v>0.41099999999999998</v>
      </c>
      <c r="G79" s="274"/>
      <c r="H79" s="274"/>
      <c r="I79" s="274"/>
      <c r="K79" s="102"/>
      <c r="L79" s="102"/>
      <c r="M79" s="102"/>
      <c r="N79" s="102"/>
      <c r="O79" s="102"/>
    </row>
    <row r="80" spans="1:15">
      <c r="A80" s="2" t="str">
        <f>'NORTH FORK'!A62</f>
        <v>Kansas Allocation</v>
      </c>
      <c r="B80" s="145">
        <f>ROUND(B74*B79,-1)</f>
        <v>4870</v>
      </c>
      <c r="C80" s="145">
        <f>ROUND(C74*C79,-1)</f>
        <v>6920</v>
      </c>
      <c r="D80" s="145">
        <f>ROUND(D74*D79,-1)</f>
        <v>12380</v>
      </c>
      <c r="E80" s="145">
        <f>ROUND(E74*E79,-1)</f>
        <v>8070</v>
      </c>
      <c r="F80" s="145">
        <f>ROUND(F74*F79,-1)</f>
        <v>7130</v>
      </c>
      <c r="H80" s="21"/>
      <c r="I80" s="21"/>
      <c r="K80" s="102"/>
      <c r="L80" s="102"/>
      <c r="M80" s="102"/>
      <c r="N80" s="102"/>
      <c r="O80" s="102"/>
    </row>
    <row r="81" spans="1:15">
      <c r="A81" s="2" t="str">
        <f>'NORTH FORK'!A63</f>
        <v>Nebraska Percent Of Allocation</v>
      </c>
      <c r="B81" s="117">
        <f>'T2'!$H13</f>
        <v>0.41099999999999998</v>
      </c>
      <c r="C81" s="117">
        <f>'T2'!$H13</f>
        <v>0.41099999999999998</v>
      </c>
      <c r="D81" s="117">
        <f>'T2'!$H13</f>
        <v>0.41099999999999998</v>
      </c>
      <c r="E81" s="117">
        <f>'T2'!$H13</f>
        <v>0.41099999999999998</v>
      </c>
      <c r="F81" s="117">
        <f>'T2'!$H13</f>
        <v>0.41099999999999998</v>
      </c>
      <c r="G81" s="274"/>
      <c r="H81" s="274"/>
      <c r="I81" s="274"/>
      <c r="K81" s="102"/>
      <c r="L81" s="102"/>
      <c r="M81" s="102"/>
      <c r="N81" s="102"/>
      <c r="O81" s="102"/>
    </row>
    <row r="82" spans="1:15">
      <c r="A82" s="2" t="str">
        <f>'NORTH FORK'!A64</f>
        <v>Nebraska Allocation</v>
      </c>
      <c r="B82" s="145">
        <f>ROUND(B74*B81,-1)</f>
        <v>4870</v>
      </c>
      <c r="C82" s="145">
        <f>ROUND(C74*C81,-1)</f>
        <v>6920</v>
      </c>
      <c r="D82" s="145">
        <f>ROUND(D74*D81,-1)</f>
        <v>12380</v>
      </c>
      <c r="E82" s="145">
        <f>ROUND(E74*E81,-1)</f>
        <v>8070</v>
      </c>
      <c r="F82" s="145">
        <f>ROUND(F74*F81,-1)</f>
        <v>7130</v>
      </c>
      <c r="H82" s="21"/>
      <c r="I82" s="21"/>
      <c r="K82" s="102"/>
      <c r="L82" s="102"/>
      <c r="M82" s="102"/>
      <c r="N82" s="102"/>
      <c r="O82" s="102"/>
    </row>
    <row r="83" spans="1:15">
      <c r="A83" s="2" t="str">
        <f>'NORTH FORK'!A65</f>
        <v>Total Basin Allocation</v>
      </c>
      <c r="B83" s="145">
        <f>+B78+B80+B82</f>
        <v>9740</v>
      </c>
      <c r="C83" s="145">
        <f>+C78+C80+C82</f>
        <v>13840</v>
      </c>
      <c r="D83" s="145">
        <f>+D78+D80+D82</f>
        <v>24760</v>
      </c>
      <c r="E83" s="145">
        <f>+E78+E80+E82</f>
        <v>16140</v>
      </c>
      <c r="F83" s="145">
        <f>+F78+F80+F82</f>
        <v>14260</v>
      </c>
      <c r="G83" s="21"/>
      <c r="H83" s="21"/>
      <c r="I83" s="21"/>
      <c r="K83" s="102"/>
      <c r="L83" s="102"/>
      <c r="M83" s="102"/>
      <c r="N83" s="102"/>
      <c r="O83" s="102"/>
    </row>
    <row r="84" spans="1:15">
      <c r="A84" s="2" t="str">
        <f>'NORTH FORK'!A66</f>
        <v>Percent Of Supply Not Allocated</v>
      </c>
      <c r="B84" s="117">
        <f>'T2'!$J13</f>
        <v>0.17799999999999999</v>
      </c>
      <c r="C84" s="117">
        <f>'T2'!$J13</f>
        <v>0.17799999999999999</v>
      </c>
      <c r="D84" s="117">
        <f>'T2'!$J13</f>
        <v>0.17799999999999999</v>
      </c>
      <c r="E84" s="117">
        <f>'T2'!$J13</f>
        <v>0.17799999999999999</v>
      </c>
      <c r="F84" s="117">
        <f>'T2'!$J13</f>
        <v>0.17799999999999999</v>
      </c>
      <c r="G84" s="274"/>
      <c r="H84" s="274"/>
      <c r="I84" s="274"/>
      <c r="K84" s="102"/>
      <c r="L84" s="102"/>
      <c r="M84" s="102"/>
      <c r="N84" s="102"/>
      <c r="O84" s="102"/>
    </row>
    <row r="85" spans="1:15">
      <c r="A85" s="2" t="str">
        <f>'NORTH FORK'!A67</f>
        <v>Quantity Of Unallocated Supply</v>
      </c>
      <c r="B85" s="145">
        <f>+B74-B78-B80-B82</f>
        <v>2100</v>
      </c>
      <c r="C85" s="145">
        <f>+C74-C78-C80-C82</f>
        <v>2990</v>
      </c>
      <c r="D85" s="145">
        <f>+D74-D78-D80-D82</f>
        <v>5350</v>
      </c>
      <c r="E85" s="145">
        <f>+E74-E78-E80-E82</f>
        <v>3490</v>
      </c>
      <c r="F85" s="145">
        <f>+F74-F78-F80-F82</f>
        <v>3090</v>
      </c>
      <c r="I85" s="21"/>
      <c r="K85" s="102"/>
      <c r="L85" s="102"/>
      <c r="M85" s="102"/>
      <c r="N85" s="102"/>
      <c r="O85" s="102"/>
    </row>
  </sheetData>
  <phoneticPr fontId="0" type="noConversion"/>
  <printOptions headings="1"/>
  <pageMargins left="0.75" right="0.75" top="0.75" bottom="0.5" header="0.25" footer="0.5"/>
  <pageSetup paperSize="3" scale="96" fitToHeight="2" orientation="portrait" r:id="rId1"/>
  <headerFooter alignWithMargins="0">
    <oddHeader>&amp;LRRCA
Compact Accounting&amp;C&amp;A SUB-BASIN&amp;RPage &amp;P of &amp;N</oddHeader>
  </headerFooter>
  <rowBreaks count="1" manualBreakCount="1">
    <brk id="56" max="1"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F83"/>
  <sheetViews>
    <sheetView workbookViewId="0">
      <pane ySplit="1" topLeftCell="A14" activePane="bottomLeft" state="frozen"/>
      <selection pane="bottomLeft" activeCell="F26" sqref="F26"/>
    </sheetView>
  </sheetViews>
  <sheetFormatPr defaultRowHeight="12.75"/>
  <cols>
    <col min="1" max="1" width="69" customWidth="1"/>
  </cols>
  <sheetData>
    <row r="1" spans="1:6" ht="15.75">
      <c r="A1" s="37" t="s">
        <v>200</v>
      </c>
      <c r="B1" s="194">
        <f>INPUT!C1</f>
        <v>2017</v>
      </c>
      <c r="C1" s="194">
        <f>INPUT!D1</f>
        <v>2018</v>
      </c>
      <c r="D1" s="194">
        <f>INPUT!E1</f>
        <v>2019</v>
      </c>
      <c r="E1" s="194">
        <f>INPUT!F1</f>
        <v>2020</v>
      </c>
      <c r="F1" s="194">
        <f>INPUT!G1</f>
        <v>2021</v>
      </c>
    </row>
    <row r="2" spans="1:6">
      <c r="A2" t="s">
        <v>66</v>
      </c>
      <c r="E2" s="312"/>
      <c r="F2" s="312"/>
    </row>
    <row r="3" spans="1:6" ht="15.75">
      <c r="A3" s="9" t="s">
        <v>157</v>
      </c>
      <c r="E3" s="312"/>
      <c r="F3" s="312"/>
    </row>
    <row r="4" spans="1:6">
      <c r="A4" s="7" t="s">
        <v>158</v>
      </c>
      <c r="E4" s="312"/>
      <c r="F4" s="312"/>
    </row>
    <row r="5" spans="1:6">
      <c r="A5" s="31" t="str">
        <f>+INPUT!B58</f>
        <v>Imported Water Nebraska</v>
      </c>
      <c r="B5" s="145">
        <f>+INPUT!C58</f>
        <v>0</v>
      </c>
      <c r="C5" s="145">
        <f>+INPUT!D58</f>
        <v>0</v>
      </c>
      <c r="D5" s="145">
        <f>+INPUT!E58</f>
        <v>0</v>
      </c>
      <c r="E5" s="145">
        <f>+INPUT!F58</f>
        <v>0</v>
      </c>
      <c r="F5" s="145">
        <f>+INPUT!G58</f>
        <v>0</v>
      </c>
    </row>
    <row r="6" spans="1:6">
      <c r="A6" s="31" t="str">
        <f>+INPUT!B37</f>
        <v>GW CBCU Colorado</v>
      </c>
      <c r="B6" s="145">
        <f>+INPUT!C37</f>
        <v>0</v>
      </c>
      <c r="C6" s="145">
        <f>+INPUT!D37</f>
        <v>0</v>
      </c>
      <c r="D6" s="145">
        <f>+INPUT!E37</f>
        <v>0</v>
      </c>
      <c r="E6" s="145">
        <f>+INPUT!F37</f>
        <v>0</v>
      </c>
      <c r="F6" s="145">
        <f>+INPUT!G37</f>
        <v>0</v>
      </c>
    </row>
    <row r="7" spans="1:6">
      <c r="A7" s="31" t="str">
        <f>+INPUT!B38</f>
        <v>GW CBCU Kansas</v>
      </c>
      <c r="B7" s="145">
        <f>+INPUT!C38</f>
        <v>7551</v>
      </c>
      <c r="C7" s="145">
        <f>+INPUT!D38</f>
        <v>9886</v>
      </c>
      <c r="D7" s="145">
        <f>+INPUT!E38</f>
        <v>8738</v>
      </c>
      <c r="E7" s="145">
        <f>+INPUT!F38</f>
        <v>3668</v>
      </c>
      <c r="F7" s="145">
        <f>+INPUT!G38</f>
        <v>2724</v>
      </c>
    </row>
    <row r="8" spans="1:6" ht="12" customHeight="1">
      <c r="A8" s="31" t="str">
        <f>+INPUT!B39</f>
        <v>GW CBCU Nebraska</v>
      </c>
      <c r="B8" s="145">
        <f>+INPUT!C39</f>
        <v>0</v>
      </c>
      <c r="C8" s="145">
        <f>+INPUT!D39</f>
        <v>0</v>
      </c>
      <c r="D8" s="145">
        <f>+INPUT!E39</f>
        <v>23</v>
      </c>
      <c r="E8" s="145">
        <f>+INPUT!F39</f>
        <v>0</v>
      </c>
      <c r="F8" s="145">
        <f>+INPUT!G39</f>
        <v>0</v>
      </c>
    </row>
    <row r="9" spans="1:6">
      <c r="A9" s="2" t="s">
        <v>66</v>
      </c>
      <c r="B9" s="145"/>
      <c r="C9" s="145"/>
      <c r="D9" s="145"/>
      <c r="E9" s="145"/>
      <c r="F9" s="145"/>
    </row>
    <row r="10" spans="1:6">
      <c r="A10" s="4" t="s">
        <v>192</v>
      </c>
      <c r="B10" s="145"/>
      <c r="C10" s="145"/>
      <c r="D10" s="145"/>
      <c r="E10" s="145"/>
      <c r="F10" s="145"/>
    </row>
    <row r="11" spans="1:6">
      <c r="A11" s="35" t="str">
        <f>+INPUT!B248</f>
        <v>Almena Canal % Return Flow</v>
      </c>
      <c r="B11" s="162">
        <f>+INPUT!C248</f>
        <v>0.60558754863813224</v>
      </c>
      <c r="C11" s="162">
        <f>+INPUT!D248</f>
        <v>1</v>
      </c>
      <c r="D11" s="162">
        <f>+INPUT!E248</f>
        <v>0.5660484848484848</v>
      </c>
      <c r="E11" s="162">
        <f>+INPUT!F248</f>
        <v>0.61305396618985686</v>
      </c>
      <c r="F11" s="162">
        <f>+INPUT!G248</f>
        <v>0.57981874276899337</v>
      </c>
    </row>
    <row r="12" spans="1:6">
      <c r="A12" s="2" t="s">
        <v>66</v>
      </c>
      <c r="B12" s="145"/>
      <c r="C12" s="145"/>
      <c r="D12" s="145"/>
      <c r="E12" s="145"/>
      <c r="F12" s="145"/>
    </row>
    <row r="13" spans="1:6">
      <c r="A13" s="4" t="s">
        <v>160</v>
      </c>
      <c r="B13" s="145"/>
      <c r="C13" s="145"/>
      <c r="D13" s="145"/>
      <c r="E13" s="145"/>
      <c r="F13" s="145"/>
    </row>
    <row r="14" spans="1:6">
      <c r="A14" s="31" t="str">
        <f>+INPUT!B195</f>
        <v>Prairie Dog Creek Near Woodruff</v>
      </c>
      <c r="B14" s="145">
        <f>+INPUT!C195</f>
        <v>2181</v>
      </c>
      <c r="C14" s="145">
        <f>+INPUT!D195</f>
        <v>4205</v>
      </c>
      <c r="D14" s="145">
        <f>+INPUT!E195</f>
        <v>40960</v>
      </c>
      <c r="E14" s="145">
        <f>+INPUT!F195</f>
        <v>8281.6859504132335</v>
      </c>
      <c r="F14" s="145">
        <f>+INPUT!G195</f>
        <v>6646</v>
      </c>
    </row>
    <row r="15" spans="1:6">
      <c r="A15" s="31" t="str">
        <f>+INPUT!B223</f>
        <v>Keith Sebelius Lake Evaporation</v>
      </c>
      <c r="B15" s="145">
        <f>+INPUT!C223</f>
        <v>2203</v>
      </c>
      <c r="C15" s="145">
        <f>+INPUT!D223</f>
        <v>1399</v>
      </c>
      <c r="D15" s="145">
        <f>+INPUT!E223</f>
        <v>2714</v>
      </c>
      <c r="E15" s="145">
        <f>+INPUT!F223</f>
        <v>4594</v>
      </c>
      <c r="F15" s="145">
        <f>+INPUT!G223</f>
        <v>3342</v>
      </c>
    </row>
    <row r="16" spans="1:6">
      <c r="A16" s="31" t="str">
        <f>+INPUT!B224</f>
        <v>Keith Sebelius Lake Change In Storage</v>
      </c>
      <c r="B16" s="145">
        <f>+INPUT!C224</f>
        <v>340</v>
      </c>
      <c r="C16" s="145">
        <f>+INPUT!D224</f>
        <v>3191</v>
      </c>
      <c r="D16" s="145">
        <f>+INPUT!E224</f>
        <v>9259</v>
      </c>
      <c r="E16" s="145">
        <f>+INPUT!F224</f>
        <v>-4632</v>
      </c>
      <c r="F16" s="145">
        <f>+INPUT!G224</f>
        <v>-3444</v>
      </c>
    </row>
    <row r="17" spans="1:6">
      <c r="A17" s="63" t="str">
        <f>+INPUT!B247</f>
        <v>Almena Canal Diversions</v>
      </c>
      <c r="B17" s="146">
        <f>+INPUT!C247</f>
        <v>771</v>
      </c>
      <c r="C17" s="146">
        <f>+INPUT!D247</f>
        <v>0</v>
      </c>
      <c r="D17" s="146">
        <f>+INPUT!E247</f>
        <v>1320</v>
      </c>
      <c r="E17" s="146">
        <f>+INPUT!F247</f>
        <v>3076</v>
      </c>
      <c r="F17" s="146">
        <f>+INPUT!G247</f>
        <v>2593</v>
      </c>
    </row>
    <row r="18" spans="1:6">
      <c r="A18" s="63" t="str">
        <f>+INPUT!B132</f>
        <v>SW Diversions - Irrigation - Non-Federal Canals- Kansas</v>
      </c>
      <c r="B18" s="146">
        <f>+INPUT!C132</f>
        <v>0</v>
      </c>
      <c r="C18" s="146">
        <f>+INPUT!D132</f>
        <v>0</v>
      </c>
      <c r="D18" s="146">
        <f>+INPUT!E132</f>
        <v>0</v>
      </c>
      <c r="E18" s="146">
        <f>+INPUT!F132</f>
        <v>0</v>
      </c>
      <c r="F18" s="146">
        <f>+INPUT!G132</f>
        <v>0</v>
      </c>
    </row>
    <row r="19" spans="1:6">
      <c r="A19" s="63" t="str">
        <f>+INPUT!B133</f>
        <v>SW Diversions - Irrigation - Small Pumps - Kansas</v>
      </c>
      <c r="B19" s="146">
        <f>+INPUT!C133</f>
        <v>412</v>
      </c>
      <c r="C19" s="146">
        <f>+INPUT!D133</f>
        <v>436</v>
      </c>
      <c r="D19" s="146">
        <f>+INPUT!E133</f>
        <v>908</v>
      </c>
      <c r="E19" s="146">
        <f>+INPUT!F133</f>
        <v>1392.21</v>
      </c>
      <c r="F19" s="146">
        <f>+INPUT!G133</f>
        <v>519</v>
      </c>
    </row>
    <row r="20" spans="1:6">
      <c r="A20" s="63" t="str">
        <f>+INPUT!B134</f>
        <v>SW Diversions - M&amp;I - Kansas</v>
      </c>
      <c r="B20" s="146">
        <f>+INPUT!C134</f>
        <v>369</v>
      </c>
      <c r="C20" s="146">
        <f>+INPUT!D134</f>
        <v>307</v>
      </c>
      <c r="D20" s="146">
        <f>+INPUT!E134</f>
        <v>288</v>
      </c>
      <c r="E20" s="146">
        <f>+INPUT!F134</f>
        <v>361</v>
      </c>
      <c r="F20" s="146">
        <f>+INPUT!G134</f>
        <v>376</v>
      </c>
    </row>
    <row r="21" spans="1:6">
      <c r="A21" s="63" t="str">
        <f>+INPUT!B135</f>
        <v>SW Diversions - Irrigation - Non-Federal Canals - Nebraska -Below Gage</v>
      </c>
      <c r="B21" s="146">
        <f>+INPUT!C135</f>
        <v>0</v>
      </c>
      <c r="C21" s="146">
        <f>+INPUT!D135</f>
        <v>0</v>
      </c>
      <c r="D21" s="146">
        <f>+INPUT!E135</f>
        <v>0</v>
      </c>
      <c r="E21" s="146">
        <f>+INPUT!F135</f>
        <v>0</v>
      </c>
      <c r="F21" s="146">
        <f>+INPUT!G135</f>
        <v>0</v>
      </c>
    </row>
    <row r="22" spans="1:6">
      <c r="A22" s="63" t="str">
        <f>+INPUT!B136</f>
        <v>SW Diversions - Irrigation - Small Pumps -Nebraska - Below Gage</v>
      </c>
      <c r="B22" s="146">
        <f>+INPUT!C136</f>
        <v>96.929900000000004</v>
      </c>
      <c r="C22" s="146">
        <f>+INPUT!D136</f>
        <v>110.24238380341461</v>
      </c>
      <c r="D22" s="146">
        <f>+INPUT!E136</f>
        <v>196</v>
      </c>
      <c r="E22" s="146">
        <f>+INPUT!F136</f>
        <v>171.77234913286273</v>
      </c>
      <c r="F22" s="146">
        <f>+INPUT!G136</f>
        <v>92</v>
      </c>
    </row>
    <row r="23" spans="1:6">
      <c r="A23" s="63" t="str">
        <f>+INPUT!B137</f>
        <v>SW Diversions - M&amp;I - Nebraska - Below Gage</v>
      </c>
      <c r="B23" s="146">
        <f>+INPUT!C137</f>
        <v>0</v>
      </c>
      <c r="C23" s="146">
        <f>+INPUT!D137</f>
        <v>0</v>
      </c>
      <c r="D23" s="146">
        <f>+INPUT!E137</f>
        <v>0</v>
      </c>
      <c r="E23" s="146">
        <f>+INPUT!F137</f>
        <v>0</v>
      </c>
      <c r="F23" s="146">
        <f>+INPUT!G137</f>
        <v>0</v>
      </c>
    </row>
    <row r="24" spans="1:6">
      <c r="A24" s="63" t="str">
        <f>+INPUT!B177</f>
        <v>Non-Federal Reservoir Evaporation - Kansas</v>
      </c>
      <c r="B24" s="146">
        <f>+INPUT!C177</f>
        <v>227</v>
      </c>
      <c r="C24" s="146">
        <f>+INPUT!D177</f>
        <v>140.60064060333332</v>
      </c>
      <c r="D24" s="146">
        <f>+INPUT!E177</f>
        <v>194</v>
      </c>
      <c r="E24" s="146">
        <f>+INPUT!F177</f>
        <v>333.31</v>
      </c>
      <c r="F24" s="146">
        <f>+INPUT!G177</f>
        <v>270.39</v>
      </c>
    </row>
    <row r="25" spans="1:6">
      <c r="A25" s="63" t="str">
        <f>+INPUT!B178</f>
        <v>Non-Federal Reservoir Evaporation - Nebraska</v>
      </c>
      <c r="B25" s="146">
        <f>+INPUT!C178</f>
        <v>9.5476733330000005</v>
      </c>
      <c r="C25" s="146">
        <f>+INPUT!D178</f>
        <v>7.2230666666666599</v>
      </c>
      <c r="D25" s="146">
        <f>+INPUT!E178</f>
        <v>13</v>
      </c>
      <c r="E25" s="146">
        <f>+INPUT!F178</f>
        <v>26.417954791666659</v>
      </c>
      <c r="F25" s="146">
        <f>+INPUT!G178</f>
        <v>12</v>
      </c>
    </row>
    <row r="26" spans="1:6">
      <c r="A26" s="138" t="str">
        <f>+FLOOD!A68</f>
        <v>Prairie Dog Flood Flow</v>
      </c>
      <c r="B26" s="146">
        <f>+FLOOD!B68</f>
        <v>0</v>
      </c>
      <c r="C26" s="146">
        <f>+FLOOD!C68</f>
        <v>0</v>
      </c>
      <c r="D26" s="146">
        <f>+FLOOD!D68</f>
        <v>25260</v>
      </c>
      <c r="E26" s="146">
        <f>+FLOOD!E68</f>
        <v>0</v>
      </c>
      <c r="F26" s="146">
        <f>+FLOOD!F68</f>
        <v>0</v>
      </c>
    </row>
    <row r="27" spans="1:6">
      <c r="A27" s="64" t="s">
        <v>66</v>
      </c>
      <c r="B27" s="146"/>
      <c r="C27" s="146"/>
      <c r="D27" s="146"/>
      <c r="E27" s="146"/>
      <c r="F27" s="146"/>
    </row>
    <row r="28" spans="1:6" ht="15.75">
      <c r="A28" s="65" t="s">
        <v>241</v>
      </c>
      <c r="B28" s="157"/>
      <c r="C28" s="157"/>
      <c r="D28" s="157"/>
      <c r="E28" s="157"/>
      <c r="F28" s="157"/>
    </row>
    <row r="29" spans="1:6">
      <c r="A29" s="51" t="s">
        <v>0</v>
      </c>
      <c r="B29" s="156"/>
      <c r="C29" s="156"/>
      <c r="D29" s="156"/>
      <c r="E29" s="156"/>
      <c r="F29" s="156"/>
    </row>
    <row r="30" spans="1:6">
      <c r="A30" s="52" t="str">
        <f>'NORTH FORK'!A38</f>
        <v>GW CBCU</v>
      </c>
      <c r="B30" s="156">
        <f>+B6</f>
        <v>0</v>
      </c>
      <c r="C30" s="156">
        <f>+C6</f>
        <v>0</v>
      </c>
      <c r="D30" s="156">
        <f>+D6</f>
        <v>0</v>
      </c>
      <c r="E30" s="156">
        <f>+E6</f>
        <v>0</v>
      </c>
      <c r="F30" s="156">
        <f>+F6</f>
        <v>0</v>
      </c>
    </row>
    <row r="31" spans="1:6">
      <c r="A31" s="52" t="str">
        <f>'NORTH FORK'!A39</f>
        <v>Total CBCU</v>
      </c>
      <c r="B31" s="156">
        <f>(ROUND(SUM(B30:B30),-1))</f>
        <v>0</v>
      </c>
      <c r="C31" s="156">
        <f>(ROUND(SUM(C30:C30),-1))</f>
        <v>0</v>
      </c>
      <c r="D31" s="156">
        <f>(ROUND(SUM(D30:D30),-1))</f>
        <v>0</v>
      </c>
      <c r="E31" s="156">
        <f>(ROUND(SUM(E30:E30),-1))</f>
        <v>0</v>
      </c>
      <c r="F31" s="156">
        <f>(ROUND(SUM(F30:F30),-1))</f>
        <v>0</v>
      </c>
    </row>
    <row r="32" spans="1:6">
      <c r="A32" s="52" t="s">
        <v>66</v>
      </c>
      <c r="B32" s="156"/>
      <c r="C32" s="156"/>
      <c r="D32" s="156"/>
      <c r="E32" s="156"/>
      <c r="F32" s="156"/>
    </row>
    <row r="33" spans="1:6">
      <c r="A33" s="51" t="s">
        <v>161</v>
      </c>
      <c r="B33" s="156"/>
      <c r="C33" s="156"/>
      <c r="D33" s="156"/>
      <c r="E33" s="156"/>
      <c r="F33" s="156"/>
    </row>
    <row r="34" spans="1:6">
      <c r="A34" s="52" t="str">
        <f>(LEFT(A17,13))&amp;" "&amp;"CBCU"</f>
        <v>Almena Canal  CBCU</v>
      </c>
      <c r="B34" s="156">
        <f>+B17*(1-B11)</f>
        <v>304.09200000000004</v>
      </c>
      <c r="C34" s="156">
        <f>+C17*(1-C11)</f>
        <v>0</v>
      </c>
      <c r="D34" s="156">
        <f>+D17*(1-D11)</f>
        <v>572.81600000000003</v>
      </c>
      <c r="E34" s="156">
        <f>+E17*(1-E11)</f>
        <v>1190.2460000000003</v>
      </c>
      <c r="F34" s="156">
        <f>+F17*(1-F11)</f>
        <v>1089.5300000000002</v>
      </c>
    </row>
    <row r="35" spans="1:6">
      <c r="A35" s="52" t="str">
        <f>'NORTH FORK'!A23</f>
        <v>SW CBCU - Irrigation - Non Federal Canals</v>
      </c>
      <c r="B35" s="156">
        <f>+B18*CanalCUPercent1</f>
        <v>0</v>
      </c>
      <c r="C35" s="156">
        <f>+C18*CanalCUPercent2</f>
        <v>0</v>
      </c>
      <c r="D35" s="156">
        <f>+D18*CanalCUPercent3</f>
        <v>0</v>
      </c>
      <c r="E35" s="156">
        <f>+E18*CanalCUPercent4</f>
        <v>0</v>
      </c>
      <c r="F35" s="156">
        <f>+F18*CanalCUPercent5</f>
        <v>0</v>
      </c>
    </row>
    <row r="36" spans="1:6">
      <c r="A36" s="52" t="str">
        <f>'NORTH FORK'!A24</f>
        <v>SW CBCU - Irrigation - Small Pumps</v>
      </c>
      <c r="B36" s="156">
        <f>+B19*PumperCUPercent1</f>
        <v>309</v>
      </c>
      <c r="C36" s="156">
        <f>+C19*PumperCUPercent2</f>
        <v>327</v>
      </c>
      <c r="D36" s="156">
        <f>+D19*PumperCUPercent3</f>
        <v>681</v>
      </c>
      <c r="E36" s="156">
        <f>+E19*PumperCUPercent4</f>
        <v>1044.1575</v>
      </c>
      <c r="F36" s="156">
        <f>+F19*PumperCUPercent5</f>
        <v>389.25</v>
      </c>
    </row>
    <row r="37" spans="1:6">
      <c r="A37" s="52" t="str">
        <f>'NORTH FORK'!A25</f>
        <v>SW CBCU - M&amp;I</v>
      </c>
      <c r="B37" s="156">
        <f>+B20*MI_CUPercent1</f>
        <v>184.5</v>
      </c>
      <c r="C37" s="156">
        <f>+C20*MI_CUPercent2</f>
        <v>153.5</v>
      </c>
      <c r="D37" s="156">
        <f>+D20*MI_CUPercent3</f>
        <v>144</v>
      </c>
      <c r="E37" s="156">
        <f>+E20*MI_CUPercent4</f>
        <v>180.5</v>
      </c>
      <c r="F37" s="156">
        <f>+F20*MI_CUPercent5</f>
        <v>188</v>
      </c>
    </row>
    <row r="38" spans="1:6">
      <c r="A38" s="52" t="str">
        <f>A15</f>
        <v>Keith Sebelius Lake Evaporation</v>
      </c>
      <c r="B38" s="156">
        <f>+B15</f>
        <v>2203</v>
      </c>
      <c r="C38" s="156">
        <f>+C15</f>
        <v>1399</v>
      </c>
      <c r="D38" s="156">
        <f>+D15</f>
        <v>2714</v>
      </c>
      <c r="E38" s="156">
        <f>+E15</f>
        <v>4594</v>
      </c>
      <c r="F38" s="156">
        <f>+F15</f>
        <v>3342</v>
      </c>
    </row>
    <row r="39" spans="1:6">
      <c r="A39" s="55" t="str">
        <f>'NORTH FORK'!A26</f>
        <v>Non-Federal Reservoir Evaporation</v>
      </c>
      <c r="B39" s="156">
        <f>B24</f>
        <v>227</v>
      </c>
      <c r="C39" s="156">
        <f>C24</f>
        <v>140.60064060333332</v>
      </c>
      <c r="D39" s="156">
        <f>D24</f>
        <v>194</v>
      </c>
      <c r="E39" s="156">
        <f>E24</f>
        <v>333.31</v>
      </c>
      <c r="F39" s="156">
        <f>F24</f>
        <v>270.39</v>
      </c>
    </row>
    <row r="40" spans="1:6">
      <c r="A40" s="55" t="str">
        <f>'NORTH FORK'!A27</f>
        <v>SW CBCU</v>
      </c>
      <c r="B40" s="156">
        <f>B34+B35+B36+B37+B38+B39</f>
        <v>3227.5920000000001</v>
      </c>
      <c r="C40" s="156">
        <f>C34+C35+C36+C37+C38+C39</f>
        <v>2020.1006406033334</v>
      </c>
      <c r="D40" s="156">
        <f>D34+D35+D36+D37+D38+D39</f>
        <v>4305.8159999999998</v>
      </c>
      <c r="E40" s="156">
        <f>E34+E35+E36+E37+E38+E39</f>
        <v>7342.2135000000007</v>
      </c>
      <c r="F40" s="156">
        <f>F34+F35+F36+F37+F38+F39</f>
        <v>5279.170000000001</v>
      </c>
    </row>
    <row r="41" spans="1:6">
      <c r="A41" s="55" t="str">
        <f>'NORTH FORK'!A28</f>
        <v>GW CBCU</v>
      </c>
      <c r="B41" s="156">
        <f>+B7</f>
        <v>7551</v>
      </c>
      <c r="C41" s="156">
        <f>+C7</f>
        <v>9886</v>
      </c>
      <c r="D41" s="156">
        <f>+D7</f>
        <v>8738</v>
      </c>
      <c r="E41" s="156">
        <f>+E7</f>
        <v>3668</v>
      </c>
      <c r="F41" s="156">
        <f>+F7</f>
        <v>2724</v>
      </c>
    </row>
    <row r="42" spans="1:6">
      <c r="A42" s="55" t="str">
        <f>'NORTH FORK'!A29</f>
        <v>Total CBCU</v>
      </c>
      <c r="B42" s="156">
        <f>(ROUND(SUM(B40:B41),-1))</f>
        <v>10780</v>
      </c>
      <c r="C42" s="156">
        <f>(ROUND(SUM(C40:C41),-1))</f>
        <v>11910</v>
      </c>
      <c r="D42" s="156">
        <f>(ROUND(SUM(D40:D41),-1))</f>
        <v>13040</v>
      </c>
      <c r="E42" s="156">
        <f>(ROUND(SUM(E40:E41),-1))</f>
        <v>11010</v>
      </c>
      <c r="F42" s="156">
        <f>(ROUND(SUM(F40:F41),-1))</f>
        <v>8000</v>
      </c>
    </row>
    <row r="43" spans="1:6">
      <c r="A43" s="52" t="s">
        <v>66</v>
      </c>
      <c r="B43" s="156"/>
      <c r="C43" s="156"/>
      <c r="D43" s="156"/>
      <c r="E43" s="156"/>
      <c r="F43" s="156"/>
    </row>
    <row r="44" spans="1:6">
      <c r="A44" s="51" t="s">
        <v>1</v>
      </c>
      <c r="B44" s="156"/>
      <c r="C44" s="156"/>
      <c r="D44" s="156"/>
      <c r="E44" s="156"/>
      <c r="F44" s="156"/>
    </row>
    <row r="45" spans="1:6">
      <c r="A45" s="55" t="s">
        <v>217</v>
      </c>
      <c r="B45" s="156">
        <f>B21*CanalCUPercent1</f>
        <v>0</v>
      </c>
      <c r="C45" s="156">
        <f>C21*CanalCUPercent2</f>
        <v>0</v>
      </c>
      <c r="D45" s="156">
        <f>D21*CanalCUPercent3</f>
        <v>0</v>
      </c>
      <c r="E45" s="156">
        <f>E21*CanalCUPercent4</f>
        <v>0</v>
      </c>
      <c r="F45" s="156">
        <f>F21*CanalCUPercent5</f>
        <v>0</v>
      </c>
    </row>
    <row r="46" spans="1:6">
      <c r="A46" s="55" t="s">
        <v>409</v>
      </c>
      <c r="B46" s="156">
        <f>B22*PumperCUPercent1</f>
        <v>72.69742500000001</v>
      </c>
      <c r="C46" s="156">
        <f>C22*PumperCUPercent2</f>
        <v>82.681787852560959</v>
      </c>
      <c r="D46" s="156">
        <f>D22*PumperCUPercent3</f>
        <v>147</v>
      </c>
      <c r="E46" s="156">
        <f>E22*PumperCUPercent4</f>
        <v>128.82926184964705</v>
      </c>
      <c r="F46" s="156">
        <f>F22*PumperCUPercent5</f>
        <v>69</v>
      </c>
    </row>
    <row r="47" spans="1:6">
      <c r="A47" s="55" t="s">
        <v>175</v>
      </c>
      <c r="B47" s="156">
        <f>B23*MI_CUPercent1</f>
        <v>0</v>
      </c>
      <c r="C47" s="156">
        <f>C23*MI_CUPercent2</f>
        <v>0</v>
      </c>
      <c r="D47" s="156">
        <f>D23*MI_CUPercent3</f>
        <v>0</v>
      </c>
      <c r="E47" s="156">
        <f>E23*MI_CUPercent4</f>
        <v>0</v>
      </c>
      <c r="F47" s="156">
        <f>F23*MI_CUPercent5</f>
        <v>0</v>
      </c>
    </row>
    <row r="48" spans="1:6">
      <c r="A48" s="55" t="str">
        <f>'NORTH FORK'!A26</f>
        <v>Non-Federal Reservoir Evaporation</v>
      </c>
      <c r="B48" s="156">
        <f>B25</f>
        <v>9.5476733330000005</v>
      </c>
      <c r="C48" s="156">
        <f>C25</f>
        <v>7.2230666666666599</v>
      </c>
      <c r="D48" s="156">
        <f>D25</f>
        <v>13</v>
      </c>
      <c r="E48" s="156">
        <f>E25</f>
        <v>26.417954791666659</v>
      </c>
      <c r="F48" s="156">
        <f>F25</f>
        <v>12</v>
      </c>
    </row>
    <row r="49" spans="1:6">
      <c r="A49" s="55" t="str">
        <f>'NORTH FORK'!A27</f>
        <v>SW CBCU</v>
      </c>
      <c r="B49" s="156">
        <f>B45+B46+B47+B48</f>
        <v>82.245098333000016</v>
      </c>
      <c r="C49" s="156">
        <f>C45+C46+C47+C48</f>
        <v>89.904854519227612</v>
      </c>
      <c r="D49" s="156">
        <f>D45+D46+D47+D48</f>
        <v>160</v>
      </c>
      <c r="E49" s="156">
        <f>E45+E46+E47+E48</f>
        <v>155.24721664131371</v>
      </c>
      <c r="F49" s="156">
        <f>F45+F46+F47+F48</f>
        <v>81</v>
      </c>
    </row>
    <row r="50" spans="1:6">
      <c r="A50" s="55" t="str">
        <f>'NORTH FORK'!A28</f>
        <v>GW CBCU</v>
      </c>
      <c r="B50" s="156">
        <f>+B8</f>
        <v>0</v>
      </c>
      <c r="C50" s="156">
        <f>+C8</f>
        <v>0</v>
      </c>
      <c r="D50" s="156">
        <f>+D8</f>
        <v>23</v>
      </c>
      <c r="E50" s="156">
        <f>+E8</f>
        <v>0</v>
      </c>
      <c r="F50" s="156">
        <f>+F8</f>
        <v>0</v>
      </c>
    </row>
    <row r="51" spans="1:6">
      <c r="A51" s="55" t="str">
        <f>'NORTH FORK'!A29</f>
        <v>Total CBCU</v>
      </c>
      <c r="B51" s="156">
        <f>(ROUND(SUM(B49:B50),-1))</f>
        <v>80</v>
      </c>
      <c r="C51" s="156">
        <f>(ROUND(SUM(C49:C50),-1))</f>
        <v>90</v>
      </c>
      <c r="D51" s="156">
        <f>(ROUND(SUM(D49:D50),-1))</f>
        <v>180</v>
      </c>
      <c r="E51" s="156">
        <f>(ROUND(SUM(E49:E50),-1))</f>
        <v>160</v>
      </c>
      <c r="F51" s="156">
        <f>(ROUND(SUM(F49:F50),-1))</f>
        <v>80</v>
      </c>
    </row>
    <row r="52" spans="1:6">
      <c r="A52" s="55" t="s">
        <v>66</v>
      </c>
      <c r="B52" s="156"/>
      <c r="C52" s="156"/>
      <c r="D52" s="156"/>
      <c r="E52" s="156"/>
      <c r="F52" s="156"/>
    </row>
    <row r="53" spans="1:6">
      <c r="A53" s="56" t="s">
        <v>328</v>
      </c>
      <c r="B53" s="156"/>
      <c r="C53" s="156"/>
      <c r="D53" s="156"/>
      <c r="E53" s="156"/>
      <c r="F53" s="156"/>
    </row>
    <row r="54" spans="1:6">
      <c r="A54" s="52" t="s">
        <v>227</v>
      </c>
      <c r="B54" s="156">
        <f>B45+B46+B47+B48</f>
        <v>82.245098333000016</v>
      </c>
      <c r="C54" s="156">
        <f>C45+C46+C47+C48</f>
        <v>89.904854519227612</v>
      </c>
      <c r="D54" s="156">
        <f>D45+D46+D47+D48</f>
        <v>160</v>
      </c>
      <c r="E54" s="156">
        <f>E45+E46+E47+E48</f>
        <v>155.24721664131371</v>
      </c>
      <c r="F54" s="156">
        <f>F45+F46+F47+F48</f>
        <v>81</v>
      </c>
    </row>
    <row r="55" spans="1:6">
      <c r="A55" s="55" t="s">
        <v>201</v>
      </c>
      <c r="B55" s="156">
        <f>SUM(B54:B54)</f>
        <v>82.245098333000016</v>
      </c>
      <c r="C55" s="156">
        <f>SUM(C54:C54)</f>
        <v>89.904854519227612</v>
      </c>
      <c r="D55" s="156">
        <f>SUM(D54:D54)</f>
        <v>160</v>
      </c>
      <c r="E55" s="156">
        <f>SUM(E54:E54)</f>
        <v>155.24721664131371</v>
      </c>
      <c r="F55" s="156">
        <f>SUM(F54:F54)</f>
        <v>81</v>
      </c>
    </row>
    <row r="56" spans="1:6">
      <c r="A56" s="55" t="s">
        <v>66</v>
      </c>
      <c r="B56" s="156"/>
      <c r="C56" s="156"/>
      <c r="D56" s="156"/>
      <c r="E56" s="156"/>
      <c r="F56" s="156"/>
    </row>
    <row r="57" spans="1:6">
      <c r="A57" s="56" t="s">
        <v>162</v>
      </c>
      <c r="B57" s="156"/>
      <c r="C57" s="156"/>
      <c r="D57" s="156"/>
      <c r="E57" s="156"/>
      <c r="F57" s="156"/>
    </row>
    <row r="58" spans="1:6">
      <c r="A58" s="55" t="str">
        <f>'NORTH FORK'!A42</f>
        <v>Total SW CBCU</v>
      </c>
      <c r="B58" s="156">
        <f>+B40+B49</f>
        <v>3309.8370983330001</v>
      </c>
      <c r="C58" s="156">
        <f>+C40+C49</f>
        <v>2110.0054951225611</v>
      </c>
      <c r="D58" s="156">
        <f>+D40+D49</f>
        <v>4465.8159999999998</v>
      </c>
      <c r="E58" s="156">
        <f>+E40+E49</f>
        <v>7497.4607166413143</v>
      </c>
      <c r="F58" s="156">
        <f>+F40+F49</f>
        <v>5360.170000000001</v>
      </c>
    </row>
    <row r="59" spans="1:6">
      <c r="A59" s="55" t="str">
        <f>'NORTH FORK'!A43</f>
        <v>Total GW CBCU</v>
      </c>
      <c r="B59" s="156">
        <f>+B30+B41+B50</f>
        <v>7551</v>
      </c>
      <c r="C59" s="156">
        <f>+C30+C41+C50</f>
        <v>9886</v>
      </c>
      <c r="D59" s="156">
        <f>+D30+D41+D50</f>
        <v>8761</v>
      </c>
      <c r="E59" s="156">
        <f>+E30+E41+E50</f>
        <v>3668</v>
      </c>
      <c r="F59" s="156">
        <f>+F30+F41+F50</f>
        <v>2724</v>
      </c>
    </row>
    <row r="60" spans="1:6">
      <c r="A60" s="55" t="str">
        <f>'NORTH FORK'!A44</f>
        <v>Total Basin CBCU</v>
      </c>
      <c r="B60" s="156">
        <f>SUM(B58:B59)</f>
        <v>10860.837098333001</v>
      </c>
      <c r="C60" s="156">
        <f>SUM(C58:C59)</f>
        <v>11996.005495122561</v>
      </c>
      <c r="D60" s="156">
        <f>SUM(D58:D59)</f>
        <v>13226.815999999999</v>
      </c>
      <c r="E60" s="156">
        <f>SUM(E58:E59)</f>
        <v>11165.460716641315</v>
      </c>
      <c r="F60" s="156">
        <f>SUM(F58:F59)</f>
        <v>8084.170000000001</v>
      </c>
    </row>
    <row r="61" spans="1:6">
      <c r="A61" s="55" t="s">
        <v>66</v>
      </c>
      <c r="B61" s="156"/>
      <c r="C61" s="156"/>
      <c r="D61" s="156"/>
      <c r="E61" s="156"/>
      <c r="F61" s="156"/>
    </row>
    <row r="62" spans="1:6" ht="15.75">
      <c r="A62" s="57" t="s">
        <v>10</v>
      </c>
      <c r="B62" s="157"/>
      <c r="C62" s="157"/>
      <c r="D62" s="157"/>
      <c r="E62" s="157"/>
      <c r="F62" s="157"/>
    </row>
    <row r="63" spans="1:6">
      <c r="A63" s="59" t="str">
        <f t="shared" ref="A63:F63" si="0">A14</f>
        <v>Prairie Dog Creek Near Woodruff</v>
      </c>
      <c r="B63" s="157">
        <f t="shared" si="0"/>
        <v>2181</v>
      </c>
      <c r="C63" s="157">
        <f t="shared" si="0"/>
        <v>4205</v>
      </c>
      <c r="D63" s="157">
        <f t="shared" si="0"/>
        <v>40960</v>
      </c>
      <c r="E63" s="157">
        <f t="shared" si="0"/>
        <v>8281.6859504132335</v>
      </c>
      <c r="F63" s="157">
        <f t="shared" si="0"/>
        <v>6646</v>
      </c>
    </row>
    <row r="64" spans="1:6">
      <c r="A64" s="58" t="str">
        <f>'NORTH FORK'!A49</f>
        <v>Colorado CBCU</v>
      </c>
      <c r="B64" s="157">
        <f>+B31</f>
        <v>0</v>
      </c>
      <c r="C64" s="157">
        <f>+C31</f>
        <v>0</v>
      </c>
      <c r="D64" s="157">
        <f>+D31</f>
        <v>0</v>
      </c>
      <c r="E64" s="157">
        <f>+E31</f>
        <v>0</v>
      </c>
      <c r="F64" s="157">
        <f>+F31</f>
        <v>0</v>
      </c>
    </row>
    <row r="65" spans="1:6">
      <c r="A65" s="58" t="str">
        <f>'NORTH FORK'!A50</f>
        <v>Kansas CBCU</v>
      </c>
      <c r="B65" s="163">
        <f>+B42</f>
        <v>10780</v>
      </c>
      <c r="C65" s="163">
        <f>+C42</f>
        <v>11910</v>
      </c>
      <c r="D65" s="163">
        <f>+D42</f>
        <v>13040</v>
      </c>
      <c r="E65" s="163">
        <f>+E42</f>
        <v>11010</v>
      </c>
      <c r="F65" s="163">
        <f>+F42</f>
        <v>8000</v>
      </c>
    </row>
    <row r="66" spans="1:6">
      <c r="A66" s="58" t="str">
        <f>'NORTH FORK'!A51</f>
        <v>Nebraska CBCU</v>
      </c>
      <c r="B66" s="157">
        <f>B51</f>
        <v>80</v>
      </c>
      <c r="C66" s="157">
        <f>C51</f>
        <v>90</v>
      </c>
      <c r="D66" s="157">
        <f>D51</f>
        <v>180</v>
      </c>
      <c r="E66" s="157">
        <f>E51</f>
        <v>160</v>
      </c>
      <c r="F66" s="157">
        <f>F51</f>
        <v>80</v>
      </c>
    </row>
    <row r="67" spans="1:6">
      <c r="A67" s="58" t="s">
        <v>227</v>
      </c>
      <c r="B67" s="157">
        <f>B54</f>
        <v>82.245098333000016</v>
      </c>
      <c r="C67" s="157">
        <f>C54</f>
        <v>89.904854519227612</v>
      </c>
      <c r="D67" s="157">
        <f>D54</f>
        <v>160</v>
      </c>
      <c r="E67" s="157">
        <f>E54</f>
        <v>155.24721664131371</v>
      </c>
      <c r="F67" s="157">
        <f>F54</f>
        <v>81</v>
      </c>
    </row>
    <row r="68" spans="1:6">
      <c r="A68" s="58" t="str">
        <f>A16</f>
        <v>Keith Sebelius Lake Change In Storage</v>
      </c>
      <c r="B68" s="157">
        <f>+B16</f>
        <v>340</v>
      </c>
      <c r="C68" s="157">
        <f>+C16</f>
        <v>3191</v>
      </c>
      <c r="D68" s="157">
        <f>+D16</f>
        <v>9259</v>
      </c>
      <c r="E68" s="157">
        <f>+E16</f>
        <v>-4632</v>
      </c>
      <c r="F68" s="157">
        <f>+F16</f>
        <v>-3444</v>
      </c>
    </row>
    <row r="69" spans="1:6">
      <c r="A69" s="58" t="str">
        <f>'NORTH FORK'!A52</f>
        <v>Imported Water</v>
      </c>
      <c r="B69" s="157">
        <f>+B5</f>
        <v>0</v>
      </c>
      <c r="C69" s="157">
        <f>+C5</f>
        <v>0</v>
      </c>
      <c r="D69" s="157">
        <f>+D5</f>
        <v>0</v>
      </c>
      <c r="E69" s="157">
        <f>+E5</f>
        <v>0</v>
      </c>
      <c r="F69" s="157">
        <f>+F5</f>
        <v>0</v>
      </c>
    </row>
    <row r="70" spans="1:6">
      <c r="A70" s="58" t="str">
        <f>'NORTH FORK'!A54</f>
        <v>Virgin Water Supply</v>
      </c>
      <c r="B70" s="157">
        <f>ROUND(SUM(B63:B66)+B68-B69-B67,-1)</f>
        <v>13300</v>
      </c>
      <c r="C70" s="157">
        <f>ROUND(SUM(C63:C66)+C68-C69-C67,-1)</f>
        <v>19310</v>
      </c>
      <c r="D70" s="157">
        <f>ROUND(SUM(D63:D66)+D68-D69-D67,-1)</f>
        <v>63280</v>
      </c>
      <c r="E70" s="157">
        <f>ROUND(SUM(E63:E66)+E68-E69-E67,-1)</f>
        <v>14660</v>
      </c>
      <c r="F70" s="157">
        <f>ROUND(SUM(F63:F66)+F68-F69-F67,-1)</f>
        <v>11200</v>
      </c>
    </row>
    <row r="71" spans="1:6">
      <c r="A71" s="58" t="str">
        <f>'NORTH FORK'!A55</f>
        <v>Adjustment For Flood Flows</v>
      </c>
      <c r="B71" s="157">
        <f>B26</f>
        <v>0</v>
      </c>
      <c r="C71" s="157">
        <f>C26</f>
        <v>0</v>
      </c>
      <c r="D71" s="157">
        <f>D26</f>
        <v>25260</v>
      </c>
      <c r="E71" s="157">
        <f>E26</f>
        <v>0</v>
      </c>
      <c r="F71" s="157">
        <f>F26</f>
        <v>0</v>
      </c>
    </row>
    <row r="72" spans="1:6">
      <c r="A72" s="58" t="str">
        <f>'NORTH FORK'!A56</f>
        <v>Computed Water Supply</v>
      </c>
      <c r="B72" s="157">
        <f>ROUND(+B70-B71-B68,-1)</f>
        <v>12960</v>
      </c>
      <c r="C72" s="157">
        <f>ROUND(+C70-C71-C68,-1)</f>
        <v>16120</v>
      </c>
      <c r="D72" s="157">
        <f>ROUND(+D70-D71-D68,-1)</f>
        <v>28760</v>
      </c>
      <c r="E72" s="157">
        <f>ROUND(+E70-E71-E68,-1)</f>
        <v>19290</v>
      </c>
      <c r="F72" s="157">
        <f>ROUND(+F70-F71-F68,-1)</f>
        <v>14640</v>
      </c>
    </row>
    <row r="73" spans="1:6">
      <c r="A73" s="60" t="s">
        <v>66</v>
      </c>
      <c r="B73" s="157"/>
      <c r="C73" s="157"/>
      <c r="D73" s="157"/>
      <c r="E73" s="157"/>
      <c r="F73" s="157"/>
    </row>
    <row r="74" spans="1:6" ht="15.75">
      <c r="A74" s="57" t="s">
        <v>12</v>
      </c>
      <c r="B74" s="118"/>
      <c r="C74" s="118"/>
      <c r="D74" s="118"/>
      <c r="E74" s="118"/>
      <c r="F74" s="118"/>
    </row>
    <row r="75" spans="1:6">
      <c r="A75" s="52" t="str">
        <f>'NORTH FORK'!A59</f>
        <v>Colorado Percent Of Allocation</v>
      </c>
      <c r="B75" s="119">
        <f>'T2'!$D14</f>
        <v>0</v>
      </c>
      <c r="C75" s="119">
        <f>'T2'!$D14</f>
        <v>0</v>
      </c>
      <c r="D75" s="119">
        <f>'T2'!$D14</f>
        <v>0</v>
      </c>
      <c r="E75" s="119">
        <f>'T2'!$D14</f>
        <v>0</v>
      </c>
      <c r="F75" s="119">
        <f>'T2'!$D14</f>
        <v>0</v>
      </c>
    </row>
    <row r="76" spans="1:6">
      <c r="A76" s="52" t="str">
        <f>'NORTH FORK'!A60</f>
        <v>Colorado Allocation</v>
      </c>
      <c r="B76" s="156">
        <f>ROUND(+B72*B75,-1)</f>
        <v>0</v>
      </c>
      <c r="C76" s="156">
        <f>ROUND(+C72*C75,-1)</f>
        <v>0</v>
      </c>
      <c r="D76" s="156">
        <f>ROUND(+D72*D75,-1)</f>
        <v>0</v>
      </c>
      <c r="E76" s="156">
        <f>ROUND(+E72*E75,-1)</f>
        <v>0</v>
      </c>
      <c r="F76" s="156">
        <f>ROUND(+F72*F75,-1)</f>
        <v>0</v>
      </c>
    </row>
    <row r="77" spans="1:6">
      <c r="A77" s="52" t="str">
        <f>'NORTH FORK'!A61</f>
        <v>Kansas Percent Of Allocation</v>
      </c>
      <c r="B77" s="119">
        <f>'T2'!$F14</f>
        <v>0.45700000000000002</v>
      </c>
      <c r="C77" s="119">
        <f>'T2'!$F14</f>
        <v>0.45700000000000002</v>
      </c>
      <c r="D77" s="119">
        <f>'T2'!$F14</f>
        <v>0.45700000000000002</v>
      </c>
      <c r="E77" s="119">
        <f>'T2'!$F14</f>
        <v>0.45700000000000002</v>
      </c>
      <c r="F77" s="119">
        <f>'T2'!$F14</f>
        <v>0.45700000000000002</v>
      </c>
    </row>
    <row r="78" spans="1:6">
      <c r="A78" s="52" t="str">
        <f>'NORTH FORK'!A62</f>
        <v>Kansas Allocation</v>
      </c>
      <c r="B78" s="156">
        <f>ROUND(B72*B77,-1)</f>
        <v>5920</v>
      </c>
      <c r="C78" s="156">
        <f>ROUND(C72*C77,-1)</f>
        <v>7370</v>
      </c>
      <c r="D78" s="156">
        <f>ROUND(D72*D77,-1)</f>
        <v>13140</v>
      </c>
      <c r="E78" s="156">
        <f>ROUND(E72*E77,-1)</f>
        <v>8820</v>
      </c>
      <c r="F78" s="156">
        <f>ROUND(F72*F77,-1)</f>
        <v>6690</v>
      </c>
    </row>
    <row r="79" spans="1:6">
      <c r="A79" s="52" t="str">
        <f>'NORTH FORK'!A63</f>
        <v>Nebraska Percent Of Allocation</v>
      </c>
      <c r="B79" s="119">
        <f>'T2'!$H14</f>
        <v>7.5999999999999998E-2</v>
      </c>
      <c r="C79" s="119">
        <f>'T2'!$H14</f>
        <v>7.5999999999999998E-2</v>
      </c>
      <c r="D79" s="119">
        <f>'T2'!$H14</f>
        <v>7.5999999999999998E-2</v>
      </c>
      <c r="E79" s="119">
        <f>'T2'!$H14</f>
        <v>7.5999999999999998E-2</v>
      </c>
      <c r="F79" s="119">
        <f>'T2'!$H14</f>
        <v>7.5999999999999998E-2</v>
      </c>
    </row>
    <row r="80" spans="1:6">
      <c r="A80" s="2" t="str">
        <f>'NORTH FORK'!A64</f>
        <v>Nebraska Allocation</v>
      </c>
      <c r="B80" s="145">
        <f>ROUND(B72*B79,-1)</f>
        <v>980</v>
      </c>
      <c r="C80" s="145">
        <f>ROUND(C72*C79,-1)</f>
        <v>1230</v>
      </c>
      <c r="D80" s="145">
        <f>ROUND(D72*D79,-1)</f>
        <v>2190</v>
      </c>
      <c r="E80" s="145">
        <f>ROUND(E72*E79,-1)</f>
        <v>1470</v>
      </c>
      <c r="F80" s="145">
        <f>ROUND(F72*F79,-1)</f>
        <v>1110</v>
      </c>
    </row>
    <row r="81" spans="1:6">
      <c r="A81" s="2" t="str">
        <f>'NORTH FORK'!A65</f>
        <v>Total Basin Allocation</v>
      </c>
      <c r="B81" s="145">
        <f>+B76+B78+B80</f>
        <v>6900</v>
      </c>
      <c r="C81" s="145">
        <f>+C76+C78+C80</f>
        <v>8600</v>
      </c>
      <c r="D81" s="145">
        <f>+D76+D78+D80</f>
        <v>15330</v>
      </c>
      <c r="E81" s="145">
        <f>+E76+E78+E80</f>
        <v>10290</v>
      </c>
      <c r="F81" s="145">
        <f>+F76+F78+F80</f>
        <v>7800</v>
      </c>
    </row>
    <row r="82" spans="1:6">
      <c r="A82" s="2" t="str">
        <f>'NORTH FORK'!A66</f>
        <v>Percent Of Supply Not Allocated</v>
      </c>
      <c r="B82" s="117">
        <f>'T2'!$J14</f>
        <v>0.46700000000000003</v>
      </c>
      <c r="C82" s="117">
        <f>'T2'!$J14</f>
        <v>0.46700000000000003</v>
      </c>
      <c r="D82" s="117">
        <f>'T2'!$J14</f>
        <v>0.46700000000000003</v>
      </c>
      <c r="E82" s="117">
        <f>'T2'!$J14</f>
        <v>0.46700000000000003</v>
      </c>
      <c r="F82" s="117">
        <f>'T2'!$J14</f>
        <v>0.46700000000000003</v>
      </c>
    </row>
    <row r="83" spans="1:6">
      <c r="A83" s="2" t="str">
        <f>'NORTH FORK'!A67</f>
        <v>Quantity Of Unallocated Supply</v>
      </c>
      <c r="B83" s="145">
        <f>+B72-B76-B78-B80</f>
        <v>6060</v>
      </c>
      <c r="C83" s="145">
        <f>+C72-C76-C78-C80</f>
        <v>7520</v>
      </c>
      <c r="D83" s="145">
        <f>+D72-D76-D78-D80</f>
        <v>13430</v>
      </c>
      <c r="E83" s="145">
        <f>+E72-E76-E78-E80</f>
        <v>9000</v>
      </c>
      <c r="F83" s="145">
        <f>+F72-F76-F78-F80</f>
        <v>6840</v>
      </c>
    </row>
  </sheetData>
  <phoneticPr fontId="0" type="noConversion"/>
  <printOptions headings="1"/>
  <pageMargins left="0.75" right="0.75" top="0.75" bottom="0.5" header="0.25" footer="0.5"/>
  <pageSetup paperSize="3" scale="96" fitToHeight="2" orientation="portrait" r:id="rId1"/>
  <headerFooter alignWithMargins="0">
    <oddHeader>&amp;LRRCA
Compact Accounting&amp;C&amp;A SUB-BASIN&amp;RPage &amp;P of &amp;N</oddHeader>
  </headerFooter>
  <rowBreaks count="1" manualBreakCount="1">
    <brk id="51" max="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G202"/>
  <sheetViews>
    <sheetView zoomScaleNormal="100" workbookViewId="0">
      <pane ySplit="1" topLeftCell="A71" activePane="bottomLeft" state="frozen"/>
      <selection pane="bottomLeft" activeCell="F93" sqref="F93"/>
    </sheetView>
  </sheetViews>
  <sheetFormatPr defaultRowHeight="12.75"/>
  <cols>
    <col min="1" max="1" width="65.28515625" customWidth="1"/>
  </cols>
  <sheetData>
    <row r="1" spans="1:7" ht="15.75">
      <c r="A1" s="37" t="s">
        <v>178</v>
      </c>
      <c r="B1" s="194">
        <f>INPUT!C1</f>
        <v>2017</v>
      </c>
      <c r="C1" s="194">
        <f>INPUT!D1</f>
        <v>2018</v>
      </c>
      <c r="D1" s="194">
        <f>INPUT!E1</f>
        <v>2019</v>
      </c>
      <c r="E1" s="194">
        <f>INPUT!F1</f>
        <v>2020</v>
      </c>
      <c r="F1" s="194">
        <f>INPUT!G1</f>
        <v>2021</v>
      </c>
    </row>
    <row r="2" spans="1:7">
      <c r="A2" t="s">
        <v>66</v>
      </c>
      <c r="E2" s="312"/>
      <c r="F2" s="312"/>
    </row>
    <row r="3" spans="1:7" ht="15.75">
      <c r="A3" s="9" t="s">
        <v>157</v>
      </c>
      <c r="E3" s="312"/>
      <c r="F3" s="312"/>
    </row>
    <row r="4" spans="1:7">
      <c r="A4" s="7" t="s">
        <v>158</v>
      </c>
      <c r="E4" s="312"/>
      <c r="F4" s="312"/>
    </row>
    <row r="5" spans="1:7">
      <c r="A5" s="36" t="str">
        <f>+INPUT!B59</f>
        <v>Imported Water Nebraska Above Guide Rock</v>
      </c>
      <c r="B5" s="145">
        <f>+INPUT!C59</f>
        <v>9015</v>
      </c>
      <c r="C5" s="145">
        <f>+INPUT!D59</f>
        <v>14529</v>
      </c>
      <c r="D5" s="145">
        <f>+INPUT!E59</f>
        <v>15131</v>
      </c>
      <c r="E5" s="145">
        <f>+INPUT!F59</f>
        <v>8314</v>
      </c>
      <c r="F5" s="145">
        <f>+INPUT!G59</f>
        <v>10699</v>
      </c>
      <c r="G5" s="21"/>
    </row>
    <row r="6" spans="1:7">
      <c r="A6" s="36" t="str">
        <f>+INPUT!B40</f>
        <v>GW CBCU Colorado</v>
      </c>
      <c r="B6" s="145">
        <f>+INPUT!C40</f>
        <v>-3316</v>
      </c>
      <c r="C6" s="145">
        <f>+INPUT!D40</f>
        <v>-1978</v>
      </c>
      <c r="D6" s="145">
        <f>+INPUT!E40</f>
        <v>-2522</v>
      </c>
      <c r="E6" s="145">
        <f>+INPUT!F40</f>
        <v>-5115</v>
      </c>
      <c r="F6" s="145">
        <f>+INPUT!G40</f>
        <v>-3839</v>
      </c>
      <c r="G6" s="21"/>
    </row>
    <row r="7" spans="1:7">
      <c r="A7" s="340" t="str">
        <f>+INPUT!B41</f>
        <v>GW CBCU Kansas Above Guide Rock</v>
      </c>
      <c r="B7" s="145">
        <f>+INPUT!C41</f>
        <v>-26</v>
      </c>
      <c r="C7" s="145">
        <f>+INPUT!D41</f>
        <v>964</v>
      </c>
      <c r="D7" s="145">
        <f>+INPUT!E41</f>
        <v>352</v>
      </c>
      <c r="E7" s="145">
        <f>+INPUT!F41</f>
        <v>-769</v>
      </c>
      <c r="F7" s="145">
        <f>+INPUT!G41</f>
        <v>-353</v>
      </c>
      <c r="G7" s="21"/>
    </row>
    <row r="8" spans="1:7" s="312" customFormat="1">
      <c r="A8" s="340" t="str">
        <f>+INPUT!B42</f>
        <v>GW CBCU Kansas Below Guide Rock</v>
      </c>
      <c r="B8" s="145">
        <f>+INPUT!C42</f>
        <v>53</v>
      </c>
      <c r="C8" s="145">
        <f>+INPUT!D42</f>
        <v>47</v>
      </c>
      <c r="D8" s="145">
        <f>+INPUT!E42</f>
        <v>49</v>
      </c>
      <c r="E8" s="145">
        <f>+INPUT!F42</f>
        <v>51</v>
      </c>
      <c r="F8" s="145">
        <f>+INPUT!G42</f>
        <v>56</v>
      </c>
      <c r="G8" s="317"/>
    </row>
    <row r="9" spans="1:7">
      <c r="A9" s="36" t="str">
        <f>+INPUT!B43</f>
        <v>GW CBCU Nebraska Above Guide Rock</v>
      </c>
      <c r="B9" s="145">
        <f>+INPUT!C43</f>
        <v>64732</v>
      </c>
      <c r="C9" s="145">
        <f>+INPUT!D43</f>
        <v>88133</v>
      </c>
      <c r="D9" s="145">
        <f>+INPUT!E43</f>
        <v>83486</v>
      </c>
      <c r="E9" s="145">
        <f>+INPUT!F43</f>
        <v>52721</v>
      </c>
      <c r="F9" s="145">
        <f>+INPUT!G43</f>
        <v>62951</v>
      </c>
      <c r="G9" s="21"/>
    </row>
    <row r="10" spans="1:7">
      <c r="A10" s="36" t="str">
        <f>+INPUT!B44</f>
        <v>GW CBCU Nebraska Below Guide Rock</v>
      </c>
      <c r="B10" s="145">
        <f>+INPUT!C44</f>
        <v>2546</v>
      </c>
      <c r="C10" s="145">
        <f>+INPUT!D44</f>
        <v>2440</v>
      </c>
      <c r="D10" s="145">
        <f>+INPUT!E44</f>
        <v>1723</v>
      </c>
      <c r="E10" s="145">
        <f>+INPUT!F44</f>
        <v>1769</v>
      </c>
      <c r="F10" s="145">
        <f>+INPUT!G44</f>
        <v>2534</v>
      </c>
      <c r="G10" s="21"/>
    </row>
    <row r="11" spans="1:7" ht="12" customHeight="1">
      <c r="A11" s="31" t="s">
        <v>197</v>
      </c>
      <c r="B11" s="145">
        <f>+B9+B10</f>
        <v>67278</v>
      </c>
      <c r="C11" s="145">
        <f>+C9+C10</f>
        <v>90573</v>
      </c>
      <c r="D11" s="145">
        <f>+D9+D10</f>
        <v>85209</v>
      </c>
      <c r="E11" s="145">
        <f>+E9+E10</f>
        <v>54490</v>
      </c>
      <c r="F11" s="145">
        <f>+F9+F10</f>
        <v>65485</v>
      </c>
      <c r="G11" s="21"/>
    </row>
    <row r="12" spans="1:7" ht="12" customHeight="1">
      <c r="A12" s="8"/>
      <c r="B12" s="110"/>
      <c r="C12" s="110"/>
      <c r="D12" s="110"/>
      <c r="E12" s="110"/>
      <c r="F12" s="110"/>
      <c r="G12" s="21"/>
    </row>
    <row r="13" spans="1:7" ht="12" customHeight="1">
      <c r="A13" s="4" t="s">
        <v>192</v>
      </c>
      <c r="B13" s="110"/>
      <c r="C13" s="110"/>
      <c r="D13" s="110"/>
      <c r="E13" s="110"/>
      <c r="F13" s="110"/>
      <c r="G13" s="21"/>
    </row>
    <row r="14" spans="1:7" ht="12" customHeight="1">
      <c r="A14" s="35" t="str">
        <f>+INPUT!B244</f>
        <v>Meeker-Driftwood Canal % Return Flow</v>
      </c>
      <c r="B14" s="111">
        <f>+INPUT!C244</f>
        <v>0.66432806134675293</v>
      </c>
      <c r="C14" s="111">
        <f>+INPUT!D244</f>
        <v>0.65655292060160897</v>
      </c>
      <c r="D14" s="111">
        <f>+INPUT!E244</f>
        <v>0.66992628127277143</v>
      </c>
      <c r="E14" s="111">
        <f>+INPUT!F244</f>
        <v>0.61602526033611704</v>
      </c>
      <c r="F14" s="111">
        <f>+INPUT!G244</f>
        <v>0.5985318966441513</v>
      </c>
      <c r="G14" s="21"/>
    </row>
    <row r="15" spans="1:7" ht="12" customHeight="1">
      <c r="A15" s="31" t="str">
        <f>+INPUT!B241</f>
        <v>Culbertson Canal % Return Flow</v>
      </c>
      <c r="B15" s="112">
        <f>+INPUT!C241</f>
        <v>1</v>
      </c>
      <c r="C15" s="112">
        <f>+INPUT!D241</f>
        <v>0.80004497710746014</v>
      </c>
      <c r="D15" s="112">
        <f>+INPUT!E241</f>
        <v>0.83343283324711159</v>
      </c>
      <c r="E15" s="112">
        <f>+INPUT!F241</f>
        <v>0.82040196370127938</v>
      </c>
      <c r="F15" s="112">
        <f>+INPUT!G241</f>
        <v>0.81909752839011352</v>
      </c>
      <c r="G15" s="21"/>
    </row>
    <row r="16" spans="1:7" ht="12" customHeight="1">
      <c r="A16" s="31" t="str">
        <f>+INPUT!B242</f>
        <v>Culbertson Canal Extension % Return Flow</v>
      </c>
      <c r="B16" s="112">
        <f>+INPUT!C242</f>
        <v>1</v>
      </c>
      <c r="C16" s="112">
        <f>+INPUT!D242</f>
        <v>1</v>
      </c>
      <c r="D16" s="112">
        <f>+INPUT!E242</f>
        <v>1</v>
      </c>
      <c r="E16" s="112">
        <f>+INPUT!F242</f>
        <v>1</v>
      </c>
      <c r="F16" s="112">
        <f>+INPUT!G242</f>
        <v>1</v>
      </c>
      <c r="G16" s="21"/>
    </row>
    <row r="17" spans="1:7" ht="12" customHeight="1">
      <c r="A17" s="35" t="str">
        <f>+INPUT!B246</f>
        <v>Red Willow Canal % Return Flow</v>
      </c>
      <c r="B17" s="111">
        <f>+INPUT!C246</f>
        <v>1</v>
      </c>
      <c r="C17" s="111">
        <f>+INPUT!D246</f>
        <v>1</v>
      </c>
      <c r="D17" s="111">
        <f>+INPUT!E246</f>
        <v>0.71196881496881492</v>
      </c>
      <c r="E17" s="111">
        <f>+INPUT!F246</f>
        <v>0.66370417145044003</v>
      </c>
      <c r="F17" s="111">
        <f>+INPUT!G246</f>
        <v>0.631425305173416</v>
      </c>
      <c r="G17" s="21"/>
    </row>
    <row r="18" spans="1:7" ht="12" customHeight="1">
      <c r="A18" s="35" t="str">
        <f>+INPUT!B250</f>
        <v>Bartley Canal % Return Flow</v>
      </c>
      <c r="B18" s="111">
        <f>+INPUT!C250</f>
        <v>0.64515395993007929</v>
      </c>
      <c r="C18" s="111">
        <f>+INPUT!D250</f>
        <v>0.76015678150894017</v>
      </c>
      <c r="D18" s="111">
        <f>+INPUT!E250</f>
        <v>0.81121909099535061</v>
      </c>
      <c r="E18" s="111">
        <f>+INPUT!F250</f>
        <v>0.66081239848402817</v>
      </c>
      <c r="F18" s="111">
        <f>+INPUT!G250</f>
        <v>0.66521681624940965</v>
      </c>
      <c r="G18" s="21"/>
    </row>
    <row r="19" spans="1:7" ht="12" customHeight="1">
      <c r="A19" s="35" t="str">
        <f>+INPUT!B252</f>
        <v>Cambridge Canal % Return Flow</v>
      </c>
      <c r="B19" s="111">
        <f>+INPUT!C252</f>
        <v>0.63137258915216876</v>
      </c>
      <c r="C19" s="111">
        <f>+INPUT!D252</f>
        <v>0.64205998571768619</v>
      </c>
      <c r="D19" s="111">
        <f>+INPUT!E252</f>
        <v>0.64489290544694444</v>
      </c>
      <c r="E19" s="111">
        <f>+INPUT!F252</f>
        <v>0.58974702403234258</v>
      </c>
      <c r="F19" s="111">
        <f>+INPUT!G252</f>
        <v>0.59162689153286352</v>
      </c>
      <c r="G19" s="21"/>
    </row>
    <row r="20" spans="1:7" ht="12" customHeight="1">
      <c r="A20" s="67" t="str">
        <f>+INPUT!B254</f>
        <v>Naponee Canal % Return Flow</v>
      </c>
      <c r="B20" s="113">
        <f>+INPUT!C254</f>
        <v>0.68191719077568136</v>
      </c>
      <c r="C20" s="113">
        <f>+INPUT!D254</f>
        <v>0.67279393939393939</v>
      </c>
      <c r="D20" s="113">
        <f>+INPUT!E254</f>
        <v>0.89308609271523187</v>
      </c>
      <c r="E20" s="113">
        <f>+INPUT!F254</f>
        <v>0.73953044569993731</v>
      </c>
      <c r="F20" s="113">
        <f>+INPUT!G254</f>
        <v>0.72791745112237516</v>
      </c>
      <c r="G20" s="21"/>
    </row>
    <row r="21" spans="1:7" ht="12" customHeight="1">
      <c r="A21" s="67" t="str">
        <f>+INPUT!B256</f>
        <v>Franklin Canal % Return Flow</v>
      </c>
      <c r="B21" s="113">
        <f>+INPUT!C256</f>
        <v>0.63818069335823502</v>
      </c>
      <c r="C21" s="113">
        <f>+INPUT!D256</f>
        <v>0.68769695817490484</v>
      </c>
      <c r="D21" s="113">
        <f>+INPUT!E256</f>
        <v>0.89378442735222852</v>
      </c>
      <c r="E21" s="113">
        <f>+INPUT!F256</f>
        <v>0.70675327619824957</v>
      </c>
      <c r="F21" s="113">
        <f>+INPUT!G256</f>
        <v>0.73293748505285305</v>
      </c>
      <c r="G21" s="21"/>
    </row>
    <row r="22" spans="1:7" ht="12" customHeight="1">
      <c r="A22" s="67" t="str">
        <f>+INPUT!B258</f>
        <v>Franklin Pump Canal % Return Flow</v>
      </c>
      <c r="B22" s="113">
        <f>+INPUT!C258</f>
        <v>0.52134586466165411</v>
      </c>
      <c r="C22" s="113">
        <f>+INPUT!D258</f>
        <v>0.55493480934809347</v>
      </c>
      <c r="D22" s="113">
        <f>+INPUT!E258</f>
        <v>0.70386986301369858</v>
      </c>
      <c r="E22" s="113">
        <f>+INPUT!F258</f>
        <v>0.63433949579831939</v>
      </c>
      <c r="F22" s="113">
        <f>+INPUT!G258</f>
        <v>0.66641592920353987</v>
      </c>
      <c r="G22" s="21"/>
    </row>
    <row r="23" spans="1:7" ht="12" customHeight="1">
      <c r="A23" s="67" t="str">
        <f>+INPUT!B260</f>
        <v>Superior Canal % Return Flow</v>
      </c>
      <c r="B23" s="113">
        <f>+INPUT!C260</f>
        <v>0.65089657013212332</v>
      </c>
      <c r="C23" s="113">
        <f>+INPUT!D260</f>
        <v>0.66209560398965639</v>
      </c>
      <c r="D23" s="113">
        <f>+INPUT!E260</f>
        <v>0.81493440124014982</v>
      </c>
      <c r="E23" s="113">
        <f>+INPUT!F260</f>
        <v>0.79686407149950345</v>
      </c>
      <c r="F23" s="113">
        <f>+INPUT!G260</f>
        <v>0.67789102711757931</v>
      </c>
      <c r="G23" s="21"/>
    </row>
    <row r="24" spans="1:7" ht="12" customHeight="1">
      <c r="A24" s="67" t="str">
        <f>INPUT!B264</f>
        <v>Nebraska Courtland % Return Flow</v>
      </c>
      <c r="B24" s="113">
        <f>INPUT!C264</f>
        <v>0.26769256900212313</v>
      </c>
      <c r="C24" s="113">
        <f>INPUT!D264</f>
        <v>0.23779999999999998</v>
      </c>
      <c r="D24" s="113">
        <f>INPUT!E264</f>
        <v>0.24600000000000002</v>
      </c>
      <c r="E24" s="113">
        <f>INPUT!F264</f>
        <v>0.31386773547094188</v>
      </c>
      <c r="F24" s="113">
        <f>INPUT!G264</f>
        <v>0.27493428571428574</v>
      </c>
      <c r="G24" s="21"/>
    </row>
    <row r="25" spans="1:7" ht="12" customHeight="1">
      <c r="A25" s="67" t="str">
        <f>+INPUT!B269</f>
        <v>Courtland Canal Above Lovewell %  Return Flow</v>
      </c>
      <c r="B25" s="113">
        <f>+INPUT!C269</f>
        <v>0.58363937419595791</v>
      </c>
      <c r="C25" s="113">
        <f>+INPUT!D269</f>
        <v>0.53652500734991471</v>
      </c>
      <c r="D25" s="113">
        <f>+INPUT!E269</f>
        <v>0.65140601580796254</v>
      </c>
      <c r="E25" s="113">
        <f>+INPUT!F269</f>
        <v>0.60707028216269721</v>
      </c>
      <c r="F25" s="113">
        <f>+INPUT!G269</f>
        <v>0.58613387516515192</v>
      </c>
      <c r="G25" s="21"/>
    </row>
    <row r="26" spans="1:7" ht="12" customHeight="1">
      <c r="A26" s="67" t="str">
        <f>+INPUT!B273</f>
        <v>Courtland Canal Below Lovewell % Return Flow</v>
      </c>
      <c r="B26" s="113">
        <f>+INPUT!C273</f>
        <v>0.41957856842105262</v>
      </c>
      <c r="C26" s="113">
        <f>+INPUT!D273</f>
        <v>0.49400414270778881</v>
      </c>
      <c r="D26" s="113">
        <f>+INPUT!E273</f>
        <v>0.56052460700389095</v>
      </c>
      <c r="E26" s="113">
        <f>+INPUT!F273</f>
        <v>0.51217636200277716</v>
      </c>
      <c r="F26" s="113">
        <f>+INPUT!G273</f>
        <v>0.42398638171229186</v>
      </c>
      <c r="G26" s="21"/>
    </row>
    <row r="27" spans="1:7">
      <c r="A27" s="46"/>
      <c r="B27" s="114"/>
      <c r="C27" s="114"/>
      <c r="D27" s="114"/>
      <c r="E27" s="114"/>
      <c r="F27" s="114"/>
      <c r="G27" s="21"/>
    </row>
    <row r="28" spans="1:7">
      <c r="A28" s="56" t="s">
        <v>160</v>
      </c>
      <c r="B28" s="115"/>
      <c r="C28" s="115"/>
      <c r="D28" s="115"/>
      <c r="E28" s="115"/>
      <c r="F28" s="115"/>
      <c r="G28" s="21"/>
    </row>
    <row r="29" spans="1:7">
      <c r="A29" s="52" t="s">
        <v>179</v>
      </c>
      <c r="B29" s="115"/>
      <c r="C29" s="115"/>
      <c r="D29" s="115"/>
      <c r="E29" s="115"/>
      <c r="F29" s="115"/>
      <c r="G29" s="21"/>
    </row>
    <row r="30" spans="1:7">
      <c r="A30" s="68" t="str">
        <f>+INPUT!B197</f>
        <v>Republican River Near Hardy</v>
      </c>
      <c r="B30" s="156">
        <f>+INPUT!C197</f>
        <v>127121</v>
      </c>
      <c r="C30" s="156">
        <f>+INPUT!D197</f>
        <v>110861</v>
      </c>
      <c r="D30" s="156">
        <f>+INPUT!E197</f>
        <v>626375</v>
      </c>
      <c r="E30" s="156">
        <f>+INPUT!F197</f>
        <v>251238.74380165289</v>
      </c>
      <c r="F30" s="156">
        <f>+INPUT!G197</f>
        <v>142152</v>
      </c>
      <c r="G30" s="21"/>
    </row>
    <row r="31" spans="1:7">
      <c r="A31" s="68" t="str">
        <f>+INPUT!B184</f>
        <v>North Fork Republican River At Colorado-Nebraska State Line</v>
      </c>
      <c r="B31" s="156">
        <f>+INPUT!C184</f>
        <v>26046</v>
      </c>
      <c r="C31" s="156">
        <f>+INPUT!D184</f>
        <v>32580</v>
      </c>
      <c r="D31" s="156">
        <f>+INPUT!E184</f>
        <v>25436</v>
      </c>
      <c r="E31" s="156">
        <f>+INPUT!F184</f>
        <v>22984.165289256216</v>
      </c>
      <c r="F31" s="156">
        <f>+INPUT!G184</f>
        <v>25846</v>
      </c>
      <c r="G31" s="21"/>
    </row>
    <row r="32" spans="1:7">
      <c r="A32" s="68" t="str">
        <f>+INPUT!B185</f>
        <v>Arikaree River At Haigler</v>
      </c>
      <c r="B32" s="156">
        <f>+INPUT!C185</f>
        <v>646</v>
      </c>
      <c r="C32" s="156">
        <f>+INPUT!D185</f>
        <v>821</v>
      </c>
      <c r="D32" s="156">
        <f>+INPUT!E185</f>
        <v>1113</v>
      </c>
      <c r="E32" s="156">
        <f>+INPUT!F185</f>
        <v>1656.6148760330564</v>
      </c>
      <c r="F32" s="156">
        <f>+INPUT!G185</f>
        <v>1635</v>
      </c>
      <c r="G32" s="21"/>
    </row>
    <row r="33" spans="1:7">
      <c r="A33" s="68" t="str">
        <f>+INPUT!B186</f>
        <v>Buffalo Creek Near Haigler</v>
      </c>
      <c r="B33" s="156">
        <f>+INPUT!C186</f>
        <v>1282</v>
      </c>
      <c r="C33" s="156">
        <f>+INPUT!D186</f>
        <v>1858</v>
      </c>
      <c r="D33" s="156">
        <f>+INPUT!E186</f>
        <v>1355</v>
      </c>
      <c r="E33" s="156">
        <f>+INPUT!F186</f>
        <v>2143.4181818181801</v>
      </c>
      <c r="F33" s="156">
        <f>+INPUT!G186</f>
        <v>1583</v>
      </c>
      <c r="G33" s="21"/>
    </row>
    <row r="34" spans="1:7">
      <c r="A34" s="68" t="str">
        <f>+INPUT!B187</f>
        <v>Rock Creek At Parks</v>
      </c>
      <c r="B34" s="156">
        <f>+INPUT!C187</f>
        <v>8686</v>
      </c>
      <c r="C34" s="156">
        <f>+INPUT!D187</f>
        <v>4095</v>
      </c>
      <c r="D34" s="156">
        <f>+INPUT!E187</f>
        <v>3748</v>
      </c>
      <c r="E34" s="156">
        <f>+INPUT!F187</f>
        <v>4049</v>
      </c>
      <c r="F34" s="156">
        <f>+INPUT!G187</f>
        <v>3583</v>
      </c>
      <c r="G34" s="21"/>
    </row>
    <row r="35" spans="1:7">
      <c r="A35" s="68" t="str">
        <f>+INPUT!B188</f>
        <v>South Fork Republican River Near Benkelman</v>
      </c>
      <c r="B35" s="156">
        <f>+INPUT!C188</f>
        <v>2385</v>
      </c>
      <c r="C35" s="156">
        <f>+INPUT!D188</f>
        <v>1970</v>
      </c>
      <c r="D35" s="156">
        <f>+INPUT!E188</f>
        <v>2385</v>
      </c>
      <c r="E35" s="156">
        <f>+INPUT!F188</f>
        <v>7229.355371900826</v>
      </c>
      <c r="F35" s="156">
        <f>+INPUT!G188</f>
        <v>321</v>
      </c>
      <c r="G35" s="21"/>
    </row>
    <row r="36" spans="1:7">
      <c r="A36" s="68" t="str">
        <f>+INPUT!B189</f>
        <v>Frenchman Creek At Culbertson</v>
      </c>
      <c r="B36" s="156">
        <f>+INPUT!C189</f>
        <v>27490</v>
      </c>
      <c r="C36" s="156">
        <f>+INPUT!D189</f>
        <v>25906</v>
      </c>
      <c r="D36" s="156">
        <f>+INPUT!E189</f>
        <v>27267</v>
      </c>
      <c r="E36" s="156">
        <f>+INPUT!F189</f>
        <v>19122</v>
      </c>
      <c r="F36" s="156">
        <f>+INPUT!G189</f>
        <v>16678</v>
      </c>
      <c r="G36" s="21"/>
    </row>
    <row r="37" spans="1:7">
      <c r="A37" s="68" t="str">
        <f>+INPUT!B190</f>
        <v>Driftwood Creek Near McCook</v>
      </c>
      <c r="B37" s="156">
        <f>+INPUT!C190</f>
        <v>2392</v>
      </c>
      <c r="C37" s="156">
        <f>+INPUT!D190</f>
        <v>3911</v>
      </c>
      <c r="D37" s="156">
        <f>+INPUT!E190</f>
        <v>3284</v>
      </c>
      <c r="E37" s="156">
        <f>+INPUT!F190</f>
        <v>2492</v>
      </c>
      <c r="F37" s="156">
        <f>+INPUT!G190</f>
        <v>1999</v>
      </c>
      <c r="G37" s="21"/>
    </row>
    <row r="38" spans="1:7">
      <c r="A38" s="68" t="str">
        <f>+INPUT!B191</f>
        <v>Red Willow Creek Near Red Willow</v>
      </c>
      <c r="B38" s="156">
        <f>+INPUT!C191</f>
        <v>4346</v>
      </c>
      <c r="C38" s="156">
        <f>+INPUT!D191</f>
        <v>3932</v>
      </c>
      <c r="D38" s="156">
        <f>+INPUT!E191</f>
        <v>3457</v>
      </c>
      <c r="E38" s="156">
        <f>+INPUT!F191</f>
        <v>4284</v>
      </c>
      <c r="F38" s="156">
        <f>+INPUT!G191</f>
        <v>4012</v>
      </c>
      <c r="G38" s="21"/>
    </row>
    <row r="39" spans="1:7">
      <c r="A39" s="68" t="str">
        <f>+INPUT!B192</f>
        <v>Medicine Creek Below Harry Strunk</v>
      </c>
      <c r="B39" s="156">
        <f>+INPUT!C192</f>
        <v>41207</v>
      </c>
      <c r="C39" s="156">
        <f>+INPUT!D192</f>
        <v>25135</v>
      </c>
      <c r="D39" s="156">
        <f>+INPUT!E192</f>
        <v>48769</v>
      </c>
      <c r="E39" s="156">
        <f>+INPUT!F192</f>
        <v>39930.267768594946</v>
      </c>
      <c r="F39" s="156">
        <f>+INPUT!G192</f>
        <v>22871</v>
      </c>
      <c r="G39" s="21"/>
    </row>
    <row r="40" spans="1:7">
      <c r="A40" s="68" t="str">
        <f>+INPUT!B194</f>
        <v>Sappa Creek Near Stamford</v>
      </c>
      <c r="B40" s="156">
        <f>+INPUT!C194</f>
        <v>8238</v>
      </c>
      <c r="C40" s="156">
        <f>+INPUT!D194</f>
        <v>12574</v>
      </c>
      <c r="D40" s="156">
        <f>+INPUT!E194</f>
        <v>42888</v>
      </c>
      <c r="E40" s="156">
        <f>+INPUT!F194</f>
        <v>16223</v>
      </c>
      <c r="F40" s="156">
        <f>+INPUT!G194</f>
        <v>14925</v>
      </c>
      <c r="G40" s="21"/>
    </row>
    <row r="41" spans="1:7">
      <c r="A41" s="68" t="str">
        <f>+INPUT!B195</f>
        <v>Prairie Dog Creek Near Woodruff</v>
      </c>
      <c r="B41" s="156">
        <f>+INPUT!C195</f>
        <v>2181</v>
      </c>
      <c r="C41" s="156">
        <f>+INPUT!D195</f>
        <v>4205</v>
      </c>
      <c r="D41" s="156">
        <f>+INPUT!E195</f>
        <v>40960</v>
      </c>
      <c r="E41" s="156">
        <f>+INPUT!F195</f>
        <v>8281.6859504132335</v>
      </c>
      <c r="F41" s="156">
        <f>+INPUT!G195</f>
        <v>6646</v>
      </c>
      <c r="G41" s="21"/>
    </row>
    <row r="42" spans="1:7">
      <c r="A42" s="69" t="s">
        <v>109</v>
      </c>
      <c r="B42" s="156"/>
      <c r="C42" s="156"/>
      <c r="D42" s="156"/>
      <c r="E42" s="156"/>
      <c r="F42" s="156"/>
      <c r="G42" s="21"/>
    </row>
    <row r="43" spans="1:7">
      <c r="A43" s="68" t="str">
        <f>+INPUT!B225</f>
        <v>Swanson Lake Evaporation</v>
      </c>
      <c r="B43" s="156">
        <f>+INPUT!C225</f>
        <v>3382</v>
      </c>
      <c r="C43" s="156">
        <f>+INPUT!D225</f>
        <v>4441</v>
      </c>
      <c r="D43" s="156">
        <f>+INPUT!E225</f>
        <v>5787</v>
      </c>
      <c r="E43" s="156">
        <f>+INPUT!F225</f>
        <v>10172</v>
      </c>
      <c r="F43" s="156">
        <f>+INPUT!G225</f>
        <v>8671</v>
      </c>
      <c r="G43" s="21"/>
    </row>
    <row r="44" spans="1:7">
      <c r="A44" s="68" t="str">
        <f>+INPUT!B226</f>
        <v>Swanson Lake Change In Storage</v>
      </c>
      <c r="B44" s="156">
        <f>+INPUT!C226</f>
        <v>5370</v>
      </c>
      <c r="C44" s="156">
        <f>+INPUT!D226</f>
        <v>8017</v>
      </c>
      <c r="D44" s="156">
        <f>+INPUT!E226</f>
        <v>905</v>
      </c>
      <c r="E44" s="156">
        <f>+INPUT!F226</f>
        <v>-4786</v>
      </c>
      <c r="F44" s="156">
        <f>+INPUT!G226</f>
        <v>-9291</v>
      </c>
      <c r="G44" s="21"/>
    </row>
    <row r="45" spans="1:7">
      <c r="A45" s="68" t="str">
        <f>+INPUT!B219</f>
        <v>Hugh Butler Lake Evaporation</v>
      </c>
      <c r="B45" s="156">
        <f>+INPUT!C219</f>
        <v>2068</v>
      </c>
      <c r="C45" s="156">
        <f>+INPUT!D219</f>
        <v>1395</v>
      </c>
      <c r="D45" s="156">
        <f>+INPUT!E219</f>
        <v>950</v>
      </c>
      <c r="E45" s="156">
        <f>+INPUT!F219</f>
        <v>3032</v>
      </c>
      <c r="F45" s="156">
        <f>+INPUT!G219</f>
        <v>2608</v>
      </c>
      <c r="G45" s="21"/>
    </row>
    <row r="46" spans="1:7">
      <c r="A46" s="68" t="str">
        <f>+INPUT!B221</f>
        <v>Harry Strunk Lake Evaporation</v>
      </c>
      <c r="B46" s="156">
        <f>+INPUT!C221</f>
        <v>2513</v>
      </c>
      <c r="C46" s="156">
        <f>+INPUT!D221</f>
        <v>2357</v>
      </c>
      <c r="D46" s="156">
        <f>+INPUT!E221</f>
        <v>857</v>
      </c>
      <c r="E46" s="156">
        <f>+INPUT!F221</f>
        <v>2924</v>
      </c>
      <c r="F46" s="156">
        <f>+INPUT!G221</f>
        <v>2452</v>
      </c>
      <c r="G46" s="21"/>
    </row>
    <row r="47" spans="1:7">
      <c r="A47" s="68" t="str">
        <f>+INPUT!B227</f>
        <v>Harlan County Evaporation Subject to Nebraska/Kansas Split</v>
      </c>
      <c r="B47" s="156">
        <f>+INPUT!C227</f>
        <v>8753</v>
      </c>
      <c r="C47" s="156">
        <f>+INPUT!D227</f>
        <v>7127</v>
      </c>
      <c r="D47" s="156">
        <f>+INPUT!E227</f>
        <v>16760</v>
      </c>
      <c r="E47" s="156">
        <f>+INPUT!F227</f>
        <v>26419</v>
      </c>
      <c r="F47" s="156">
        <f>+INPUT!G227</f>
        <v>11476</v>
      </c>
      <c r="G47" s="21"/>
    </row>
    <row r="48" spans="1:7" s="312" customFormat="1">
      <c r="A48" s="68" t="str">
        <f>INPUT!B228</f>
        <v>Harlan County Evaporation Charged to Kansas</v>
      </c>
      <c r="B48" s="156">
        <f>INPUT!C228</f>
        <v>2011</v>
      </c>
      <c r="C48" s="156">
        <f>INPUT!D228</f>
        <v>345</v>
      </c>
      <c r="D48" s="156">
        <f>INPUT!E228</f>
        <v>0</v>
      </c>
      <c r="E48" s="156">
        <f>INPUT!F228</f>
        <v>0</v>
      </c>
      <c r="F48" s="156">
        <f>INPUT!G228</f>
        <v>0</v>
      </c>
      <c r="G48" s="317"/>
    </row>
    <row r="49" spans="1:7">
      <c r="A49" s="68" t="str">
        <f>+INPUT!B229</f>
        <v>Harlan County Change In Storage</v>
      </c>
      <c r="B49" s="156">
        <f>+INPUT!C229</f>
        <v>30044</v>
      </c>
      <c r="C49" s="156">
        <f>+INPUT!D229</f>
        <v>30781</v>
      </c>
      <c r="D49" s="156">
        <f>+INPUT!E229</f>
        <v>74701</v>
      </c>
      <c r="E49" s="156">
        <f>+INPUT!F229</f>
        <v>-50098</v>
      </c>
      <c r="F49" s="156">
        <f>+INPUT!G229</f>
        <v>754</v>
      </c>
      <c r="G49" s="21"/>
    </row>
    <row r="50" spans="1:7">
      <c r="A50" s="68" t="str">
        <f>+INPUT!B230</f>
        <v xml:space="preserve">Lovewell Reservoir Ev charged to the Republican River </v>
      </c>
      <c r="B50" s="156">
        <f>+INPUT!C230</f>
        <v>2595</v>
      </c>
      <c r="C50" s="156">
        <f>+INPUT!D230</f>
        <v>-194</v>
      </c>
      <c r="D50" s="156">
        <f>+INPUT!E230</f>
        <v>-131</v>
      </c>
      <c r="E50" s="156">
        <f>+INPUT!F230</f>
        <v>1385</v>
      </c>
      <c r="F50" s="156">
        <f>+INPUT!G230</f>
        <v>1290</v>
      </c>
      <c r="G50" s="21"/>
    </row>
    <row r="51" spans="1:7">
      <c r="A51" s="69" t="s">
        <v>180</v>
      </c>
      <c r="B51" s="156"/>
      <c r="C51" s="156"/>
      <c r="D51" s="156"/>
      <c r="E51" s="156"/>
      <c r="F51" s="156"/>
      <c r="G51" s="21"/>
    </row>
    <row r="52" spans="1:7">
      <c r="A52" s="68" t="str">
        <f>+INPUT!B249</f>
        <v>Bartley Canal Diversion</v>
      </c>
      <c r="B52" s="156">
        <f>+INPUT!C249</f>
        <v>7437</v>
      </c>
      <c r="C52" s="156">
        <f>+INPUT!D249</f>
        <v>9172</v>
      </c>
      <c r="D52" s="156">
        <f>+INPUT!E249</f>
        <v>10539</v>
      </c>
      <c r="E52" s="156">
        <f>+INPUT!F249</f>
        <v>7388</v>
      </c>
      <c r="F52" s="156">
        <f>+INPUT!G249</f>
        <v>8468</v>
      </c>
      <c r="G52" s="21"/>
    </row>
    <row r="53" spans="1:7">
      <c r="A53" s="68" t="str">
        <f>+INPUT!B251</f>
        <v>Cambridge Canal Diversion</v>
      </c>
      <c r="B53" s="156">
        <f>+INPUT!C251</f>
        <v>25406</v>
      </c>
      <c r="C53" s="156">
        <f>+INPUT!D251</f>
        <v>21005</v>
      </c>
      <c r="D53" s="156">
        <f>+INPUT!E251</f>
        <v>24399</v>
      </c>
      <c r="E53" s="156">
        <f>+INPUT!F251</f>
        <v>26714</v>
      </c>
      <c r="F53" s="156">
        <f>+INPUT!G251</f>
        <v>25971</v>
      </c>
      <c r="G53" s="21"/>
    </row>
    <row r="54" spans="1:7">
      <c r="A54" s="68" t="str">
        <f>+INPUT!B253</f>
        <v>Naponee Canal Diversion</v>
      </c>
      <c r="B54" s="156">
        <f>+INPUT!C253</f>
        <v>954</v>
      </c>
      <c r="C54" s="156">
        <f>+INPUT!D253</f>
        <v>660</v>
      </c>
      <c r="D54" s="156">
        <f>+INPUT!E253</f>
        <v>2567</v>
      </c>
      <c r="E54" s="156">
        <f>+INPUT!F253</f>
        <v>1593</v>
      </c>
      <c r="F54" s="156">
        <f>+INPUT!G253</f>
        <v>1381</v>
      </c>
      <c r="G54" s="21"/>
    </row>
    <row r="55" spans="1:7">
      <c r="A55" s="68" t="str">
        <f>+INPUT!B255</f>
        <v>Franklin Canal Diversion</v>
      </c>
      <c r="B55" s="156">
        <f>+INPUT!C255</f>
        <v>17134</v>
      </c>
      <c r="C55" s="156">
        <f>+INPUT!D255</f>
        <v>15780</v>
      </c>
      <c r="D55" s="156">
        <f>+INPUT!E255</f>
        <v>28473</v>
      </c>
      <c r="E55" s="156">
        <f>+INPUT!F255</f>
        <v>22053</v>
      </c>
      <c r="F55" s="156">
        <f>+INPUT!G255</f>
        <v>20907</v>
      </c>
      <c r="G55" s="21"/>
    </row>
    <row r="56" spans="1:7">
      <c r="A56" s="68" t="str">
        <f>+INPUT!B257</f>
        <v>Franklin Pump Canal Diversions</v>
      </c>
      <c r="B56" s="156">
        <f>+INPUT!C257</f>
        <v>798</v>
      </c>
      <c r="C56" s="156">
        <f>+INPUT!D257</f>
        <v>813</v>
      </c>
      <c r="D56" s="156">
        <f>+INPUT!E257</f>
        <v>584</v>
      </c>
      <c r="E56" s="156">
        <f>+INPUT!F257</f>
        <v>1190</v>
      </c>
      <c r="F56" s="156">
        <f>+INPUT!G257</f>
        <v>904</v>
      </c>
      <c r="G56" s="21"/>
    </row>
    <row r="57" spans="1:7">
      <c r="A57" s="68" t="str">
        <f>+INPUT!B259</f>
        <v>Superior Canal Diversions</v>
      </c>
      <c r="B57" s="156">
        <f>+INPUT!C259</f>
        <v>7493</v>
      </c>
      <c r="C57" s="156">
        <f>+INPUT!D259</f>
        <v>8121</v>
      </c>
      <c r="D57" s="156">
        <f>+INPUT!E259</f>
        <v>7741</v>
      </c>
      <c r="E57" s="156">
        <f>+INPUT!F259</f>
        <v>10070</v>
      </c>
      <c r="F57" s="156">
        <f>+INPUT!G259</f>
        <v>9551</v>
      </c>
      <c r="G57" s="21"/>
    </row>
    <row r="58" spans="1:7">
      <c r="A58" s="69"/>
      <c r="B58" s="156"/>
      <c r="C58" s="156"/>
      <c r="D58" s="156"/>
      <c r="E58" s="156"/>
      <c r="F58" s="156"/>
      <c r="G58" s="21"/>
    </row>
    <row r="59" spans="1:7">
      <c r="A59" s="68" t="str">
        <f>+INPUT!B262</f>
        <v>Courtland Canal Diversions At Headgate</v>
      </c>
      <c r="B59" s="156">
        <f>+INPUT!C262</f>
        <v>62438</v>
      </c>
      <c r="C59" s="156">
        <f>+INPUT!D262</f>
        <v>46704</v>
      </c>
      <c r="D59" s="156">
        <f>+INPUT!E262</f>
        <v>55120</v>
      </c>
      <c r="E59" s="156">
        <f>+INPUT!F262</f>
        <v>44380</v>
      </c>
      <c r="F59" s="156">
        <f>+INPUT!G262</f>
        <v>73224</v>
      </c>
      <c r="G59" s="21"/>
    </row>
    <row r="60" spans="1:7">
      <c r="A60" s="68" t="str">
        <f>+INPUT!B263</f>
        <v>Diversions to Nebraska Courtland</v>
      </c>
      <c r="B60" s="156">
        <f>+INPUT!C263</f>
        <v>471</v>
      </c>
      <c r="C60" s="156">
        <f>+INPUT!D263</f>
        <v>532</v>
      </c>
      <c r="D60" s="156">
        <f>+INPUT!E263</f>
        <v>143</v>
      </c>
      <c r="E60" s="156">
        <f>+INPUT!F263</f>
        <v>499</v>
      </c>
      <c r="F60" s="156">
        <f>+INPUT!G263</f>
        <v>980</v>
      </c>
      <c r="G60" s="21"/>
    </row>
    <row r="61" spans="1:7">
      <c r="A61" s="68" t="str">
        <f>INPUT!B265</f>
        <v>Courtland Canal, Loss in NE assigned to upper Courtland KS</v>
      </c>
      <c r="B61" s="156">
        <f>INPUT!C265</f>
        <v>3484</v>
      </c>
      <c r="C61" s="156">
        <f>INPUT!D265</f>
        <v>1548</v>
      </c>
      <c r="D61" s="156">
        <f>INPUT!E265</f>
        <v>1491</v>
      </c>
      <c r="E61" s="156">
        <f>INPUT!F265</f>
        <v>3847</v>
      </c>
      <c r="F61" s="156">
        <f>INPUT!G265</f>
        <v>3712</v>
      </c>
      <c r="G61" s="21"/>
    </row>
    <row r="62" spans="1:7">
      <c r="A62" s="68" t="str">
        <f>INPUT!B266</f>
        <v xml:space="preserve">Courtland Canal, Loss in NE assigned to delivery to Lovewell </v>
      </c>
      <c r="B62" s="156">
        <f>INPUT!C266</f>
        <v>5903</v>
      </c>
      <c r="C62" s="156">
        <f>INPUT!D266</f>
        <v>4065</v>
      </c>
      <c r="D62" s="156">
        <f>INPUT!E266</f>
        <v>2765</v>
      </c>
      <c r="E62" s="156">
        <f>INPUT!F266</f>
        <v>4278</v>
      </c>
      <c r="F62" s="156">
        <f>INPUT!G266</f>
        <v>7815</v>
      </c>
      <c r="G62" s="21"/>
    </row>
    <row r="63" spans="1:7">
      <c r="A63" s="68" t="str">
        <f>+INPUT!B267</f>
        <v>Courtland Canal At Kansas-Nebraska State Line</v>
      </c>
      <c r="B63" s="156">
        <f>+INPUT!C267</f>
        <v>52599</v>
      </c>
      <c r="C63" s="156">
        <f>+INPUT!D267</f>
        <v>40559</v>
      </c>
      <c r="D63" s="156">
        <f>+INPUT!E267</f>
        <v>50721</v>
      </c>
      <c r="E63" s="156">
        <f>+INPUT!F267</f>
        <v>35756</v>
      </c>
      <c r="F63" s="156">
        <f>+INPUT!G267</f>
        <v>60776</v>
      </c>
      <c r="G63" s="21"/>
    </row>
    <row r="64" spans="1:7">
      <c r="A64" s="68" t="str">
        <f>+INPUT!B268</f>
        <v>Courtland Canal Diversions to the Upper Courtland District</v>
      </c>
      <c r="B64" s="156">
        <f>+INPUT!C268</f>
        <v>24094</v>
      </c>
      <c r="C64" s="156">
        <f>+INPUT!D268</f>
        <v>17007</v>
      </c>
      <c r="D64" s="156">
        <f>+INPUT!E268</f>
        <v>13664</v>
      </c>
      <c r="E64" s="156">
        <f>+INPUT!F268</f>
        <v>18180</v>
      </c>
      <c r="F64" s="156">
        <f>+INPUT!G268</f>
        <v>24977</v>
      </c>
      <c r="G64" s="21"/>
    </row>
    <row r="65" spans="1:7">
      <c r="A65" s="68" t="str">
        <f>+INPUT!B270</f>
        <v>Courtland Canal, Loss assigned to deliveries of water to Lovewell, Stateline to Lovewell</v>
      </c>
      <c r="B65" s="156">
        <f>+INPUT!C270</f>
        <v>3866</v>
      </c>
      <c r="C65" s="156">
        <f>+INPUT!D270</f>
        <v>5681</v>
      </c>
      <c r="D65" s="156">
        <f>+INPUT!E270</f>
        <v>7553</v>
      </c>
      <c r="E65" s="156">
        <f>+INPUT!F270</f>
        <v>3950</v>
      </c>
      <c r="F65" s="156">
        <f>+INPUT!G270</f>
        <v>8795</v>
      </c>
      <c r="G65" s="21"/>
    </row>
    <row r="66" spans="1:7">
      <c r="A66" s="68" t="str">
        <f>+INPUT!B271</f>
        <v>Courtland Canal Deliveries To Lovewell Reservoir</v>
      </c>
      <c r="B66" s="156">
        <f>+INPUT!C271</f>
        <v>28120</v>
      </c>
      <c r="C66" s="156">
        <f>+INPUT!D271</f>
        <v>19419</v>
      </c>
      <c r="D66" s="156">
        <f>+INPUT!E271</f>
        <v>30995</v>
      </c>
      <c r="E66" s="156">
        <f>+INPUT!F271</f>
        <v>17473</v>
      </c>
      <c r="F66" s="156">
        <f>+INPUT!G271</f>
        <v>30657</v>
      </c>
      <c r="G66" s="21"/>
    </row>
    <row r="67" spans="1:7">
      <c r="A67" s="68" t="str">
        <f>+INPUT!B272</f>
        <v>Diversions of Republican River water from Lovewell Reservoir to the Courtland Canal below Lovewell</v>
      </c>
      <c r="B67" s="156">
        <f>+INPUT!C272</f>
        <v>25525</v>
      </c>
      <c r="C67" s="156">
        <f>+INPUT!D272</f>
        <v>14050</v>
      </c>
      <c r="D67" s="156">
        <f>+INPUT!E272</f>
        <v>10662</v>
      </c>
      <c r="E67" s="156">
        <f>+INPUT!F272</f>
        <v>14183</v>
      </c>
      <c r="F67" s="156">
        <f>+INPUT!G272</f>
        <v>24651</v>
      </c>
      <c r="G67" s="21"/>
    </row>
    <row r="68" spans="1:7">
      <c r="A68" s="83"/>
      <c r="B68" s="116"/>
      <c r="C68" s="116"/>
      <c r="D68" s="116"/>
      <c r="E68" s="116"/>
      <c r="F68" s="116"/>
      <c r="G68" s="21"/>
    </row>
    <row r="69" spans="1:7">
      <c r="A69" s="68" t="str">
        <f>+INPUT!B276</f>
        <v>Kansas Bostwick Diversions During Irrigation Season (actual, or 3-year average)</v>
      </c>
      <c r="B69" s="156">
        <f>+INPUT!C276</f>
        <v>38784.591548472919</v>
      </c>
      <c r="C69" s="156">
        <f>+INPUT!D276</f>
        <v>37077</v>
      </c>
      <c r="D69" s="156">
        <f>+INPUT!E276</f>
        <v>37221.863849490997</v>
      </c>
      <c r="E69" s="156">
        <f>+INPUT!F276</f>
        <v>32827.674475489039</v>
      </c>
      <c r="F69" s="156">
        <f>+INPUT!G276</f>
        <v>52212</v>
      </c>
      <c r="G69" s="21"/>
    </row>
    <row r="70" spans="1:7">
      <c r="A70" s="135" t="s">
        <v>547</v>
      </c>
      <c r="B70" s="156">
        <f>INPUT!C277</f>
        <v>26806.759204000991</v>
      </c>
      <c r="C70" s="156">
        <f>INPUT!D277</f>
        <v>25860</v>
      </c>
      <c r="D70" s="156">
        <f>INPUT!E277</f>
        <v>26706.586401333665</v>
      </c>
      <c r="E70" s="156">
        <f>INPUT!F277</f>
        <v>32808.708010000002</v>
      </c>
      <c r="F70" s="156">
        <f>INPUT!G277</f>
        <v>30809</v>
      </c>
      <c r="G70" s="21"/>
    </row>
    <row r="71" spans="1:7">
      <c r="A71" s="68" t="s">
        <v>129</v>
      </c>
      <c r="B71" s="156">
        <f>INPUT!C238</f>
        <v>0</v>
      </c>
      <c r="C71" s="156">
        <f>INPUT!D238</f>
        <v>0</v>
      </c>
      <c r="D71" s="156">
        <f>INPUT!E238</f>
        <v>0</v>
      </c>
      <c r="E71" s="156">
        <f>INPUT!F238</f>
        <v>0</v>
      </c>
      <c r="F71" s="156">
        <f>INPUT!G238</f>
        <v>0</v>
      </c>
      <c r="G71" s="21"/>
    </row>
    <row r="72" spans="1:7">
      <c r="A72" s="68" t="str">
        <f>+INPUT!B243</f>
        <v>Meeker-Driftwood Canal Diversions</v>
      </c>
      <c r="B72" s="156">
        <f>+INPUT!C243</f>
        <v>16692</v>
      </c>
      <c r="C72" s="156">
        <f>+INPUT!D243</f>
        <v>14295</v>
      </c>
      <c r="D72" s="156">
        <f>+INPUT!E243</f>
        <v>16468</v>
      </c>
      <c r="E72" s="156">
        <f>+INPUT!F243</f>
        <v>19398</v>
      </c>
      <c r="F72" s="156">
        <f>+INPUT!G243</f>
        <v>18654</v>
      </c>
      <c r="G72" s="21"/>
    </row>
    <row r="73" spans="1:7">
      <c r="A73" s="68" t="str">
        <f>+INPUT!B245</f>
        <v>Red Willow Canal Diversions</v>
      </c>
      <c r="B73" s="156">
        <f>+INPUT!C245</f>
        <v>0</v>
      </c>
      <c r="C73" s="156">
        <f>+INPUT!D245</f>
        <v>0</v>
      </c>
      <c r="D73" s="156">
        <f>+INPUT!E245</f>
        <v>5772</v>
      </c>
      <c r="E73" s="156">
        <f>+INPUT!F245</f>
        <v>5226</v>
      </c>
      <c r="F73" s="156">
        <f>+INPUT!G245</f>
        <v>5161</v>
      </c>
      <c r="G73" s="21"/>
    </row>
    <row r="74" spans="1:7">
      <c r="A74" s="68" t="str">
        <f>+INPUT!B239</f>
        <v>Culbertson Canal Diversions</v>
      </c>
      <c r="B74" s="156">
        <f>+INPUT!C239</f>
        <v>0</v>
      </c>
      <c r="C74" s="156">
        <f>+INPUT!D239</f>
        <v>7426</v>
      </c>
      <c r="D74" s="156">
        <f>+INPUT!E239</f>
        <v>11598</v>
      </c>
      <c r="E74" s="156">
        <f>+INPUT!F239</f>
        <v>6722</v>
      </c>
      <c r="F74" s="156">
        <f>+INPUT!G239</f>
        <v>5988</v>
      </c>
      <c r="G74" s="21"/>
    </row>
    <row r="75" spans="1:7">
      <c r="A75" s="68" t="str">
        <f>+INPUT!B240</f>
        <v>Culbertson Canal Extension Diversions</v>
      </c>
      <c r="B75" s="156">
        <f>+INPUT!C240</f>
        <v>0</v>
      </c>
      <c r="C75" s="156">
        <f>+INPUT!D240</f>
        <v>0</v>
      </c>
      <c r="D75" s="156">
        <f>+INPUT!E240</f>
        <v>0</v>
      </c>
      <c r="E75" s="156">
        <f>+INPUT!F240</f>
        <v>0</v>
      </c>
      <c r="F75" s="156">
        <f>+INPUT!G240</f>
        <v>0</v>
      </c>
      <c r="G75" s="21"/>
    </row>
    <row r="76" spans="1:7">
      <c r="A76" s="68" t="str">
        <f>+INPUT!B234</f>
        <v>Haigler Canal Diversions - Nebraska</v>
      </c>
      <c r="B76" s="156">
        <f>+INPUT!C234</f>
        <v>4732</v>
      </c>
      <c r="C76" s="156">
        <f>+INPUT!D234</f>
        <v>3676</v>
      </c>
      <c r="D76" s="156">
        <f>+INPUT!E234</f>
        <v>3963</v>
      </c>
      <c r="E76" s="156">
        <f>+INPUT!F234</f>
        <v>5288</v>
      </c>
      <c r="F76" s="156">
        <f>+INPUT!G234</f>
        <v>5640</v>
      </c>
      <c r="G76" s="21"/>
    </row>
    <row r="77" spans="1:7">
      <c r="A77" s="69" t="s">
        <v>181</v>
      </c>
      <c r="B77" s="156"/>
      <c r="C77" s="156"/>
      <c r="D77" s="156"/>
      <c r="E77" s="156"/>
      <c r="F77" s="156"/>
      <c r="G77" s="21"/>
    </row>
    <row r="78" spans="1:7">
      <c r="A78" s="68" t="str">
        <f>+INPUT!B138</f>
        <v>SW Diversions - Irrigation - Non-Federal Canals- Kansas</v>
      </c>
      <c r="B78" s="156">
        <f>+INPUT!C138</f>
        <v>0</v>
      </c>
      <c r="C78" s="156">
        <f>+INPUT!D138</f>
        <v>0</v>
      </c>
      <c r="D78" s="156">
        <f>+INPUT!E138</f>
        <v>0</v>
      </c>
      <c r="E78" s="156">
        <f>+INPUT!F138</f>
        <v>0</v>
      </c>
      <c r="F78" s="156">
        <f>+INPUT!G138</f>
        <v>0</v>
      </c>
      <c r="G78" s="21"/>
    </row>
    <row r="79" spans="1:7">
      <c r="A79" s="68" t="str">
        <f>+INPUT!B139</f>
        <v>SW Diversions - Irrigation - Small Pumps - Kansas</v>
      </c>
      <c r="B79" s="156">
        <f>+INPUT!C139</f>
        <v>969</v>
      </c>
      <c r="C79" s="156">
        <f>+INPUT!D139</f>
        <v>690</v>
      </c>
      <c r="D79" s="156">
        <f>+INPUT!E139</f>
        <v>197</v>
      </c>
      <c r="E79" s="156">
        <f>+INPUT!F139</f>
        <v>753</v>
      </c>
      <c r="F79" s="156">
        <f>+INPUT!G139</f>
        <v>889.36</v>
      </c>
      <c r="G79" s="21"/>
    </row>
    <row r="80" spans="1:7">
      <c r="A80" s="68" t="str">
        <f>+INPUT!B140</f>
        <v>SW Diversions - M&amp;I - Kansas</v>
      </c>
      <c r="B80" s="156">
        <f>+INPUT!C140</f>
        <v>0</v>
      </c>
      <c r="C80" s="156">
        <f>+INPUT!D140</f>
        <v>0</v>
      </c>
      <c r="D80" s="156">
        <f>+INPUT!E140</f>
        <v>0</v>
      </c>
      <c r="E80" s="156">
        <f>+INPUT!F140</f>
        <v>0</v>
      </c>
      <c r="F80" s="156">
        <f>+INPUT!G140</f>
        <v>0</v>
      </c>
      <c r="G80" s="21"/>
    </row>
    <row r="81" spans="1:7">
      <c r="A81" s="68" t="str">
        <f>+INPUT!B179</f>
        <v>Non-Federal Reservoir Evaporation - Kansas</v>
      </c>
      <c r="B81" s="156">
        <f>+INPUT!C179</f>
        <v>70</v>
      </c>
      <c r="C81" s="156">
        <f>+INPUT!D179</f>
        <v>49.91693107337499</v>
      </c>
      <c r="D81" s="156">
        <f>+INPUT!E179</f>
        <v>76</v>
      </c>
      <c r="E81" s="156">
        <f>+INPUT!F179</f>
        <v>118.52</v>
      </c>
      <c r="F81" s="156">
        <f>+INPUT!G179</f>
        <v>77.930000000000007</v>
      </c>
      <c r="G81" s="21"/>
    </row>
    <row r="82" spans="1:7">
      <c r="A82" s="69" t="s">
        <v>182</v>
      </c>
      <c r="B82" s="156"/>
      <c r="C82" s="156"/>
      <c r="D82" s="156"/>
      <c r="E82" s="156"/>
      <c r="F82" s="156"/>
      <c r="G82" s="21"/>
    </row>
    <row r="83" spans="1:7">
      <c r="A83" s="68" t="str">
        <f>+INPUT!B141 &amp; " " &amp;"-" &amp;" " &amp;(LEFT(INPUT!A138,8))</f>
        <v>SW Diversions - Irrigation - Non-Federal Canals - Nebraska - Mainstem</v>
      </c>
      <c r="B83" s="156">
        <f>+INPUT!C141</f>
        <v>2268</v>
      </c>
      <c r="C83" s="156">
        <f>+INPUT!D141</f>
        <v>2677.0466470953293</v>
      </c>
      <c r="D83" s="156">
        <f>+INPUT!E141</f>
        <v>3286</v>
      </c>
      <c r="E83" s="156">
        <f>+INPUT!F141</f>
        <v>1751.5329999999999</v>
      </c>
      <c r="F83" s="156">
        <f>+INPUT!G141</f>
        <v>1830</v>
      </c>
      <c r="G83" s="21"/>
    </row>
    <row r="84" spans="1:7">
      <c r="A84" s="68" t="str">
        <f>+INPUT!B142 &amp; " " &amp;"-" &amp;" " &amp;(LEFT(INPUT!$A$138,8))</f>
        <v>SW Diversions - Irrigation - Small Pumps - Nebraska - Mainstem</v>
      </c>
      <c r="B84" s="156">
        <f>+INPUT!C142</f>
        <v>1687.6172999999999</v>
      </c>
      <c r="C84" s="156">
        <f>+INPUT!D142</f>
        <v>1489</v>
      </c>
      <c r="D84" s="156">
        <f>+INPUT!E142</f>
        <v>316</v>
      </c>
      <c r="E84" s="156">
        <f>+INPUT!F142</f>
        <v>1452.824987345437</v>
      </c>
      <c r="F84" s="156">
        <f>+INPUT!G142</f>
        <v>1461</v>
      </c>
      <c r="G84" s="21"/>
    </row>
    <row r="85" spans="1:7">
      <c r="A85" s="68" t="str">
        <f>+INPUT!B143 &amp; " " &amp;"-" &amp;" " &amp;(LEFT(INPUT!$A$138,8))</f>
        <v>SW Diversions - M&amp;I - Nebraska - Mainstem</v>
      </c>
      <c r="B85" s="156">
        <f>+INPUT!C143</f>
        <v>0</v>
      </c>
      <c r="C85" s="156">
        <f>+INPUT!D143</f>
        <v>0</v>
      </c>
      <c r="D85" s="156">
        <f>+INPUT!E143</f>
        <v>0</v>
      </c>
      <c r="E85" s="156">
        <f>+INPUT!F143</f>
        <v>0</v>
      </c>
      <c r="F85" s="156">
        <f>+INPUT!G143</f>
        <v>0</v>
      </c>
      <c r="G85" s="21"/>
    </row>
    <row r="86" spans="1:7">
      <c r="A86" s="68" t="str">
        <f>+INPUT!B180</f>
        <v>Non-Federal Reservoir Evaporation - Nebraska - Above Guide Rock Gage - Whole Basin Value:</v>
      </c>
      <c r="B86" s="156">
        <f>INPUT!C180</f>
        <v>917.02710890000003</v>
      </c>
      <c r="C86" s="156">
        <f>INPUT!D180</f>
        <v>632.43047149999802</v>
      </c>
      <c r="D86" s="156">
        <f>INPUT!E180</f>
        <v>536</v>
      </c>
      <c r="E86" s="156">
        <f>INPUT!F180</f>
        <v>1477.9915206458338</v>
      </c>
      <c r="F86" s="156">
        <f>INPUT!G180</f>
        <v>983</v>
      </c>
      <c r="G86" s="21"/>
    </row>
    <row r="87" spans="1:7">
      <c r="A87" s="68" t="str">
        <f>+INPUT!B181</f>
        <v>Non-Federal Reservoir Evaporation - Nebraska - Below Guide Rock Gage - Whole Basin Value:</v>
      </c>
      <c r="B87" s="156">
        <f>+INPUT!C181</f>
        <v>93.334166670000002</v>
      </c>
      <c r="C87" s="156">
        <f>+INPUT!D181</f>
        <v>-8.8209000000000106</v>
      </c>
      <c r="D87" s="156">
        <f>+INPUT!E181</f>
        <v>-6</v>
      </c>
      <c r="E87" s="156">
        <f>+INPUT!F181</f>
        <v>83.536200000000008</v>
      </c>
      <c r="F87" s="156">
        <f>+INPUT!G181</f>
        <v>51</v>
      </c>
      <c r="G87" s="21"/>
    </row>
    <row r="88" spans="1:7">
      <c r="A88" s="139" t="str">
        <f>+FLOOD!A69</f>
        <v>Mainstem Flood Flow</v>
      </c>
      <c r="B88" s="156">
        <f>+FLOOD!B69</f>
        <v>0</v>
      </c>
      <c r="C88" s="156">
        <f>+FLOOD!C69</f>
        <v>0</v>
      </c>
      <c r="D88" s="156">
        <f>+FLOOD!D69</f>
        <v>185128</v>
      </c>
      <c r="E88" s="156">
        <f>+FLOOD!E69</f>
        <v>0</v>
      </c>
      <c r="F88" s="156">
        <f>+FLOOD!F69</f>
        <v>0</v>
      </c>
      <c r="G88" s="21"/>
    </row>
    <row r="89" spans="1:7">
      <c r="A89" s="70" t="s">
        <v>66</v>
      </c>
      <c r="B89" s="156"/>
      <c r="C89" s="156"/>
      <c r="D89" s="156"/>
      <c r="E89" s="156"/>
      <c r="F89" s="156"/>
      <c r="G89" s="21"/>
    </row>
    <row r="90" spans="1:7" ht="15.75">
      <c r="A90" s="65" t="s">
        <v>183</v>
      </c>
      <c r="B90" s="157"/>
      <c r="C90" s="157"/>
      <c r="D90" s="157"/>
      <c r="E90" s="157"/>
      <c r="F90" s="157"/>
      <c r="G90" s="21"/>
    </row>
    <row r="91" spans="1:7">
      <c r="A91" s="261" t="s">
        <v>553</v>
      </c>
      <c r="B91" s="157">
        <f>+B63*0.015</f>
        <v>788.98500000000001</v>
      </c>
      <c r="C91" s="157">
        <f>+C63*0.015</f>
        <v>608.38499999999999</v>
      </c>
      <c r="D91" s="157">
        <f>+D63*0.015</f>
        <v>760.81499999999994</v>
      </c>
      <c r="E91" s="157">
        <f>+E63*0.015</f>
        <v>536.34</v>
      </c>
      <c r="F91" s="157">
        <f>+F63*0.015</f>
        <v>911.64</v>
      </c>
      <c r="G91" s="21"/>
    </row>
    <row r="92" spans="1:7">
      <c r="A92" s="71" t="s">
        <v>421</v>
      </c>
      <c r="B92" s="157">
        <f t="shared" ref="B92:D93" si="0">B61*0.18</f>
        <v>627.12</v>
      </c>
      <c r="C92" s="157">
        <f t="shared" si="0"/>
        <v>278.64</v>
      </c>
      <c r="D92" s="157">
        <f t="shared" si="0"/>
        <v>268.38</v>
      </c>
      <c r="E92" s="157">
        <f>E61*0.18</f>
        <v>692.45999999999992</v>
      </c>
      <c r="F92" s="157">
        <f>F61*0.18</f>
        <v>668.16</v>
      </c>
      <c r="G92" s="21"/>
    </row>
    <row r="93" spans="1:7">
      <c r="A93" s="71" t="s">
        <v>422</v>
      </c>
      <c r="B93" s="157">
        <f t="shared" si="0"/>
        <v>1062.54</v>
      </c>
      <c r="C93" s="157">
        <f t="shared" si="0"/>
        <v>731.69999999999993</v>
      </c>
      <c r="D93" s="157">
        <f t="shared" si="0"/>
        <v>497.7</v>
      </c>
      <c r="E93" s="157">
        <f>E62*0.18</f>
        <v>770.04</v>
      </c>
      <c r="F93" s="157">
        <f>F62*0.18</f>
        <v>1406.7</v>
      </c>
      <c r="G93" s="21"/>
    </row>
    <row r="94" spans="1:7">
      <c r="A94" s="71" t="s">
        <v>423</v>
      </c>
      <c r="B94" s="157">
        <f>B65*0.18</f>
        <v>695.88</v>
      </c>
      <c r="C94" s="157">
        <f>C65*0.18</f>
        <v>1022.5799999999999</v>
      </c>
      <c r="D94" s="157">
        <f>D65*0.18</f>
        <v>1359.54</v>
      </c>
      <c r="E94" s="157">
        <f>E65*0.18</f>
        <v>711</v>
      </c>
      <c r="F94" s="157">
        <f>F65*0.18</f>
        <v>1583.1</v>
      </c>
      <c r="G94" s="21"/>
    </row>
    <row r="95" spans="1:7">
      <c r="A95" s="71" t="s">
        <v>184</v>
      </c>
      <c r="B95" s="169">
        <f>B69/(B69+B70)</f>
        <v>0.59130649244954114</v>
      </c>
      <c r="C95" s="169">
        <f>C69/(C69+C70)</f>
        <v>0.58911292244625579</v>
      </c>
      <c r="D95" s="169">
        <f>D69/(D69+D70)</f>
        <v>0.58224254934149355</v>
      </c>
      <c r="E95" s="169">
        <f>E69/(E69+E70)</f>
        <v>0.50014448134381284</v>
      </c>
      <c r="F95" s="169">
        <f>F69/(F69+F70)</f>
        <v>0.62890112140301846</v>
      </c>
      <c r="G95" s="21"/>
    </row>
    <row r="96" spans="1:7">
      <c r="A96" s="72" t="s">
        <v>228</v>
      </c>
      <c r="B96" s="169">
        <f>1-B95</f>
        <v>0.40869350755045886</v>
      </c>
      <c r="C96" s="169">
        <f>1-C95</f>
        <v>0.41088707755374421</v>
      </c>
      <c r="D96" s="169">
        <f>1-D95</f>
        <v>0.41775745065850645</v>
      </c>
      <c r="E96" s="169">
        <f>1-E95</f>
        <v>0.49985551865618716</v>
      </c>
      <c r="F96" s="169">
        <f>1-F95</f>
        <v>0.37109887859698154</v>
      </c>
      <c r="G96" s="21"/>
    </row>
    <row r="97" spans="1:7">
      <c r="A97" s="72" t="s">
        <v>410</v>
      </c>
      <c r="B97" s="164">
        <f>B47*B95</f>
        <v>5175.7057284108332</v>
      </c>
      <c r="C97" s="164">
        <f>C47*C95</f>
        <v>4198.6077982744646</v>
      </c>
      <c r="D97" s="165">
        <f>D47*D95</f>
        <v>9758.3851269634324</v>
      </c>
      <c r="E97" s="164">
        <f>E47*E95</f>
        <v>13213.317052622191</v>
      </c>
      <c r="F97" s="165">
        <f>F47*F95</f>
        <v>7217.2692692210394</v>
      </c>
      <c r="G97" s="21"/>
    </row>
    <row r="98" spans="1:7">
      <c r="A98" s="72" t="s">
        <v>229</v>
      </c>
      <c r="B98" s="157">
        <f>B47-B97</f>
        <v>3577.2942715891668</v>
      </c>
      <c r="C98" s="157">
        <f>C47-C97</f>
        <v>2928.3922017255354</v>
      </c>
      <c r="D98" s="157">
        <f>D47-D97</f>
        <v>7001.6148730365676</v>
      </c>
      <c r="E98" s="157">
        <f>E47-E97</f>
        <v>13205.682947377809</v>
      </c>
      <c r="F98" s="157">
        <f>F47-F97</f>
        <v>4258.7307307789606</v>
      </c>
      <c r="G98" s="21"/>
    </row>
    <row r="99" spans="1:7">
      <c r="A99" s="73" t="s">
        <v>66</v>
      </c>
      <c r="B99" s="157"/>
      <c r="C99" s="157"/>
      <c r="D99" s="157"/>
      <c r="E99" s="157"/>
      <c r="F99" s="157"/>
      <c r="G99" s="21"/>
    </row>
    <row r="100" spans="1:7" ht="15.75">
      <c r="A100" s="65" t="s">
        <v>241</v>
      </c>
      <c r="B100" s="157"/>
      <c r="C100" s="157"/>
      <c r="D100" s="157"/>
      <c r="E100" s="157"/>
      <c r="F100" s="157"/>
      <c r="G100" s="21"/>
    </row>
    <row r="101" spans="1:7">
      <c r="A101" s="51" t="s">
        <v>0</v>
      </c>
      <c r="B101" s="156"/>
      <c r="C101" s="156"/>
      <c r="D101" s="156"/>
      <c r="E101" s="156"/>
      <c r="F101" s="156"/>
      <c r="G101" s="21"/>
    </row>
    <row r="102" spans="1:7">
      <c r="A102" s="53" t="s">
        <v>176</v>
      </c>
      <c r="B102" s="156">
        <f>+B6</f>
        <v>-3316</v>
      </c>
      <c r="C102" s="156">
        <f>+C6</f>
        <v>-1978</v>
      </c>
      <c r="D102" s="156">
        <f>+D6</f>
        <v>-2522</v>
      </c>
      <c r="E102" s="156">
        <f>+E6</f>
        <v>-5115</v>
      </c>
      <c r="F102" s="156">
        <f>+F6</f>
        <v>-3839</v>
      </c>
      <c r="G102" s="21"/>
    </row>
    <row r="103" spans="1:7">
      <c r="A103" s="53" t="s">
        <v>177</v>
      </c>
      <c r="B103" s="156">
        <f>(ROUND(SUM(B102:B102),-1))</f>
        <v>-3320</v>
      </c>
      <c r="C103" s="156">
        <f>(ROUND(SUM(C102:C102),-1))</f>
        <v>-1980</v>
      </c>
      <c r="D103" s="156">
        <f>(ROUND(SUM(D102:D102),-1))</f>
        <v>-2520</v>
      </c>
      <c r="E103" s="156">
        <f>(ROUND(SUM(E102:E102),-1))</f>
        <v>-5120</v>
      </c>
      <c r="F103" s="156">
        <f>(ROUND(SUM(F102:F102),-1))</f>
        <v>-3840</v>
      </c>
      <c r="G103" s="21"/>
    </row>
    <row r="104" spans="1:7">
      <c r="A104" s="52" t="s">
        <v>66</v>
      </c>
      <c r="B104" s="156"/>
      <c r="C104" s="156"/>
      <c r="D104" s="156"/>
      <c r="E104" s="156"/>
      <c r="F104" s="156"/>
      <c r="G104" s="21"/>
    </row>
    <row r="105" spans="1:7">
      <c r="A105" s="74" t="s">
        <v>161</v>
      </c>
      <c r="B105" s="156"/>
      <c r="C105" s="156"/>
      <c r="D105" s="156"/>
      <c r="E105" s="156"/>
      <c r="F105" s="156"/>
      <c r="G105" s="21"/>
    </row>
    <row r="106" spans="1:7">
      <c r="A106" s="54" t="str">
        <f>+A97</f>
        <v>Net Evaporation From Harlan County Reservoir Charged To Kansas</v>
      </c>
      <c r="B106" s="156">
        <f>+B97 +B48</f>
        <v>7186.7057284108332</v>
      </c>
      <c r="C106" s="156">
        <f>+C97 +C48</f>
        <v>4543.6077982744646</v>
      </c>
      <c r="D106" s="156">
        <f>+D97 +D48</f>
        <v>9758.3851269634324</v>
      </c>
      <c r="E106" s="156">
        <f>+E97 +E48</f>
        <v>13213.317052622191</v>
      </c>
      <c r="F106" s="156">
        <f>+F97 +F48</f>
        <v>7217.2692692210394</v>
      </c>
      <c r="G106" s="21"/>
    </row>
    <row r="107" spans="1:7">
      <c r="A107" s="54" t="str">
        <f t="shared" ref="A107:F107" si="1">+A93</f>
        <v>Courtland Canal Transportation Loss in NE assigned to deliveries to Lovewell that does not recharge</v>
      </c>
      <c r="B107" s="156">
        <f t="shared" si="1"/>
        <v>1062.54</v>
      </c>
      <c r="C107" s="156">
        <f t="shared" si="1"/>
        <v>731.69999999999993</v>
      </c>
      <c r="D107" s="156">
        <f t="shared" si="1"/>
        <v>497.7</v>
      </c>
      <c r="E107" s="156">
        <f t="shared" si="1"/>
        <v>770.04</v>
      </c>
      <c r="F107" s="156">
        <f t="shared" si="1"/>
        <v>1406.7</v>
      </c>
      <c r="G107" s="21"/>
    </row>
    <row r="108" spans="1:7">
      <c r="A108" s="55" t="s">
        <v>397</v>
      </c>
      <c r="B108" s="156">
        <f>(B64)*(1-B25)</f>
        <v>10031.79291812259</v>
      </c>
      <c r="C108" s="156">
        <f>(C64)*(1-C25)</f>
        <v>7882.3192000000008</v>
      </c>
      <c r="D108" s="156">
        <f>(D64)*(1-D25)</f>
        <v>4763.1881999999996</v>
      </c>
      <c r="E108" s="156">
        <f>(E64)*(1-E25)</f>
        <v>7143.4622702821644</v>
      </c>
      <c r="F108" s="156">
        <f>(F64)*(1-F25)</f>
        <v>10337.1342</v>
      </c>
      <c r="G108" s="21"/>
    </row>
    <row r="109" spans="1:7">
      <c r="A109" s="54" t="str">
        <f t="shared" ref="A109:F109" si="2">+A94</f>
        <v>Courtland Canal Transportation Loss from the Stateline to Lovewell that does not return</v>
      </c>
      <c r="B109" s="156">
        <f t="shared" si="2"/>
        <v>695.88</v>
      </c>
      <c r="C109" s="156">
        <f t="shared" si="2"/>
        <v>1022.5799999999999</v>
      </c>
      <c r="D109" s="156">
        <f t="shared" si="2"/>
        <v>1359.54</v>
      </c>
      <c r="E109" s="156">
        <f t="shared" si="2"/>
        <v>711</v>
      </c>
      <c r="F109" s="156">
        <f t="shared" si="2"/>
        <v>1583.1</v>
      </c>
      <c r="G109" s="21"/>
    </row>
    <row r="110" spans="1:7">
      <c r="A110" s="69" t="s">
        <v>185</v>
      </c>
      <c r="B110" s="156">
        <f>B50</f>
        <v>2595</v>
      </c>
      <c r="C110" s="156">
        <f>C50</f>
        <v>-194</v>
      </c>
      <c r="D110" s="156">
        <f>D50</f>
        <v>-131</v>
      </c>
      <c r="E110" s="156">
        <f>E50</f>
        <v>1385</v>
      </c>
      <c r="F110" s="156">
        <f>F50</f>
        <v>1290</v>
      </c>
      <c r="G110" s="21"/>
    </row>
    <row r="111" spans="1:7">
      <c r="A111" s="55" t="s">
        <v>398</v>
      </c>
      <c r="B111" s="156">
        <f>B67*(1-B26)</f>
        <v>14815.25704105263</v>
      </c>
      <c r="C111" s="156">
        <f>C67*(1-C26)</f>
        <v>7109.2417949555675</v>
      </c>
      <c r="D111" s="156">
        <f>D67*(1-D26)</f>
        <v>4685.6866401245143</v>
      </c>
      <c r="E111" s="156">
        <f>E67*(1-E26)</f>
        <v>6918.8026577146111</v>
      </c>
      <c r="F111" s="156">
        <f>F67*(1-F26)</f>
        <v>14199.311704410293</v>
      </c>
      <c r="G111" s="21"/>
    </row>
    <row r="112" spans="1:7" ht="12" customHeight="1">
      <c r="A112" s="69" t="str">
        <f>'NORTH FORK'!A23</f>
        <v>SW CBCU - Irrigation - Non Federal Canals</v>
      </c>
      <c r="B112" s="156">
        <f>+B78*CanalCUPercent1</f>
        <v>0</v>
      </c>
      <c r="C112" s="156">
        <f>+C78*CanalCUPercent2</f>
        <v>0</v>
      </c>
      <c r="D112" s="156">
        <f>+D78*CanalCUPercent3</f>
        <v>0</v>
      </c>
      <c r="E112" s="156">
        <f>+E78*CanalCUPercent4</f>
        <v>0</v>
      </c>
      <c r="F112" s="156">
        <f>+F78*CanalCUPercent5</f>
        <v>0</v>
      </c>
      <c r="G112" s="21"/>
    </row>
    <row r="113" spans="1:7">
      <c r="A113" s="69" t="str">
        <f>'NORTH FORK'!A24</f>
        <v>SW CBCU - Irrigation - Small Pumps</v>
      </c>
      <c r="B113" s="156">
        <f>+B79*PumperCUPercent1</f>
        <v>726.75</v>
      </c>
      <c r="C113" s="156">
        <f>+C79*PumperCUPercent2</f>
        <v>517.5</v>
      </c>
      <c r="D113" s="156">
        <f>+D79*PumperCUPercent3</f>
        <v>147.75</v>
      </c>
      <c r="E113" s="156">
        <f>+E79*PumperCUPercent4</f>
        <v>564.75</v>
      </c>
      <c r="F113" s="156">
        <f>+F79*PumperCUPercent5</f>
        <v>667.02</v>
      </c>
      <c r="G113" s="21"/>
    </row>
    <row r="114" spans="1:7">
      <c r="A114" s="69" t="str">
        <f>'NORTH FORK'!A25</f>
        <v>SW CBCU - M&amp;I</v>
      </c>
      <c r="B114" s="156">
        <f>+B80*MI_CUPercent1</f>
        <v>0</v>
      </c>
      <c r="C114" s="156">
        <f>+C80*MI_CUPercent2</f>
        <v>0</v>
      </c>
      <c r="D114" s="156">
        <f>+D80*MI_CUPercent3</f>
        <v>0</v>
      </c>
      <c r="E114" s="156">
        <f>+E80*MI_CUPercent4</f>
        <v>0</v>
      </c>
      <c r="F114" s="156">
        <f>+F80*MI_CUPercent5</f>
        <v>0</v>
      </c>
      <c r="G114" s="21"/>
    </row>
    <row r="115" spans="1:7">
      <c r="A115" s="76" t="str">
        <f t="shared" ref="A115:F115" si="3">A81</f>
        <v>Non-Federal Reservoir Evaporation - Kansas</v>
      </c>
      <c r="B115" s="156">
        <f t="shared" si="3"/>
        <v>70</v>
      </c>
      <c r="C115" s="156">
        <f t="shared" si="3"/>
        <v>49.91693107337499</v>
      </c>
      <c r="D115" s="156">
        <f t="shared" si="3"/>
        <v>76</v>
      </c>
      <c r="E115" s="156">
        <f t="shared" si="3"/>
        <v>118.52</v>
      </c>
      <c r="F115" s="156">
        <f t="shared" si="3"/>
        <v>77.930000000000007</v>
      </c>
      <c r="G115" s="21"/>
    </row>
    <row r="116" spans="1:7">
      <c r="A116" s="54" t="str">
        <f>'NORTH FORK'!A27</f>
        <v>SW CBCU</v>
      </c>
      <c r="B116" s="156">
        <f>SUM(B106:B115)</f>
        <v>37183.925687586052</v>
      </c>
      <c r="C116" s="156">
        <f>SUM(C106:C115)</f>
        <v>21662.865724303407</v>
      </c>
      <c r="D116" s="156">
        <f>SUM(D106:D115)</f>
        <v>21157.249967087948</v>
      </c>
      <c r="E116" s="156">
        <f>SUM(E106:E115)</f>
        <v>30824.89198061897</v>
      </c>
      <c r="F116" s="156">
        <f>SUM(F106:F115)</f>
        <v>36778.465173631324</v>
      </c>
      <c r="G116" s="21"/>
    </row>
    <row r="117" spans="1:7">
      <c r="A117" s="385" t="str">
        <f>'NORTH FORK'!A28</f>
        <v>GW CBCU</v>
      </c>
      <c r="B117" s="156">
        <f>+B7+B8</f>
        <v>27</v>
      </c>
      <c r="C117" s="156">
        <f>+C7+C8</f>
        <v>1011</v>
      </c>
      <c r="D117" s="156">
        <f>+D7+D8</f>
        <v>401</v>
      </c>
      <c r="E117" s="156">
        <f>+E7+E8</f>
        <v>-718</v>
      </c>
      <c r="F117" s="156">
        <f>+F7+F8</f>
        <v>-297</v>
      </c>
      <c r="G117" s="21"/>
    </row>
    <row r="118" spans="1:7">
      <c r="A118" s="54" t="str">
        <f>'NORTH FORK'!A29</f>
        <v>Total CBCU</v>
      </c>
      <c r="B118" s="156">
        <f>(ROUND(SUM(B116:B117),-1))</f>
        <v>37210</v>
      </c>
      <c r="C118" s="156">
        <f>(ROUND(SUM(C116:C117),-1))</f>
        <v>22670</v>
      </c>
      <c r="D118" s="156">
        <f>(ROUND(SUM(D116:D117),-1))</f>
        <v>21560</v>
      </c>
      <c r="E118" s="156">
        <f>(ROUND(SUM(E116:E117),-1))</f>
        <v>30110</v>
      </c>
      <c r="F118" s="156">
        <f>(ROUND(SUM(F116:F117),-1))</f>
        <v>36480</v>
      </c>
      <c r="G118" s="21"/>
    </row>
    <row r="119" spans="1:7">
      <c r="A119" s="52" t="s">
        <v>66</v>
      </c>
      <c r="B119" s="156"/>
      <c r="C119" s="156"/>
      <c r="D119" s="156"/>
      <c r="E119" s="156"/>
      <c r="F119" s="156"/>
      <c r="G119" s="21"/>
    </row>
    <row r="120" spans="1:7">
      <c r="A120" s="51" t="s">
        <v>1</v>
      </c>
      <c r="B120" s="156"/>
      <c r="C120" s="156"/>
      <c r="D120" s="156"/>
      <c r="E120" s="156"/>
      <c r="F120" s="156"/>
      <c r="G120" s="21"/>
    </row>
    <row r="121" spans="1:7">
      <c r="A121" s="77" t="s">
        <v>327</v>
      </c>
      <c r="B121" s="166">
        <f>B60*(1-B24)</f>
        <v>344.91680000000002</v>
      </c>
      <c r="C121" s="166">
        <f>C60*(1-C24)</f>
        <v>405.49040000000002</v>
      </c>
      <c r="D121" s="166">
        <f>D60*(1-D24)</f>
        <v>107.822</v>
      </c>
      <c r="E121" s="166">
        <f>E60*(1-E24)</f>
        <v>342.38000000000005</v>
      </c>
      <c r="F121" s="166">
        <f>F60*(1-F24)</f>
        <v>710.56439999999986</v>
      </c>
      <c r="G121" s="21"/>
    </row>
    <row r="122" spans="1:7">
      <c r="A122" s="77" t="s">
        <v>322</v>
      </c>
      <c r="B122" s="156">
        <f>+B57*(1-B23)</f>
        <v>2615.8319999999999</v>
      </c>
      <c r="C122" s="156">
        <f>+C57*(1-C23)</f>
        <v>2744.1216000000004</v>
      </c>
      <c r="D122" s="156">
        <f>+D57*(1-D23)</f>
        <v>1432.5928000000004</v>
      </c>
      <c r="E122" s="156">
        <f>+E57*(1-E23)</f>
        <v>2045.5788000000002</v>
      </c>
      <c r="F122" s="156">
        <f>+F57*(1-F23)</f>
        <v>3076.4627999999998</v>
      </c>
      <c r="G122" s="21"/>
    </row>
    <row r="123" spans="1:7">
      <c r="A123" s="77" t="s">
        <v>323</v>
      </c>
      <c r="B123" s="166">
        <f>+B56*(1-B22)</f>
        <v>381.96600000000001</v>
      </c>
      <c r="C123" s="166">
        <f>+C56*(1-C22)</f>
        <v>361.83800000000002</v>
      </c>
      <c r="D123" s="166">
        <f>+D56*(1-D22)</f>
        <v>172.94000000000003</v>
      </c>
      <c r="E123" s="166">
        <f>+E56*(1-E22)</f>
        <v>435.13599999999991</v>
      </c>
      <c r="F123" s="166">
        <f>+F56*(1-F22)</f>
        <v>301.55999999999995</v>
      </c>
      <c r="G123" s="21"/>
    </row>
    <row r="124" spans="1:7">
      <c r="A124" s="77" t="s">
        <v>324</v>
      </c>
      <c r="B124" s="166">
        <f>+B55*(1-B21)</f>
        <v>6199.4120000000012</v>
      </c>
      <c r="C124" s="166">
        <f>+C55*(1-C21)</f>
        <v>4928.1420000000016</v>
      </c>
      <c r="D124" s="166">
        <f>+D55*(1-D21)</f>
        <v>3024.2759999999976</v>
      </c>
      <c r="E124" s="166">
        <f>+E55*(1-E21)</f>
        <v>6466.9700000000021</v>
      </c>
      <c r="F124" s="166">
        <f>+F55*(1-F21)</f>
        <v>5583.4760000000015</v>
      </c>
      <c r="G124" s="21"/>
    </row>
    <row r="125" spans="1:7">
      <c r="A125" s="77" t="s">
        <v>325</v>
      </c>
      <c r="B125" s="166">
        <f>+B54*(1-B20)</f>
        <v>303.45099999999996</v>
      </c>
      <c r="C125" s="166">
        <f>+C54*(1-C20)</f>
        <v>215.95600000000002</v>
      </c>
      <c r="D125" s="166">
        <f>+D54*(1-D20)</f>
        <v>274.44799999999981</v>
      </c>
      <c r="E125" s="166">
        <f>+E54*(1-E20)</f>
        <v>414.92799999999988</v>
      </c>
      <c r="F125" s="166">
        <f>+F54*(1-F20)</f>
        <v>375.74599999999992</v>
      </c>
      <c r="G125" s="21"/>
    </row>
    <row r="126" spans="1:7">
      <c r="A126" s="260" t="s">
        <v>548</v>
      </c>
      <c r="B126" s="166">
        <f>+B53*(1-B19)</f>
        <v>9365.348</v>
      </c>
      <c r="C126" s="166">
        <f>+C53*(1-C19)</f>
        <v>7518.5300000000016</v>
      </c>
      <c r="D126" s="166">
        <f>+D53*(1-D19)</f>
        <v>8664.2580000000034</v>
      </c>
      <c r="E126" s="166">
        <f>+E53*(1-E19)</f>
        <v>10959.498</v>
      </c>
      <c r="F126" s="166">
        <f>+F53*(1-F19)</f>
        <v>10605.858000000002</v>
      </c>
      <c r="G126" s="21"/>
    </row>
    <row r="127" spans="1:7">
      <c r="A127" s="77" t="str">
        <f>+A52</f>
        <v>Bartley Canal Diversion</v>
      </c>
      <c r="B127" s="166">
        <f>+B52*(1-B18)</f>
        <v>2638.9900000000002</v>
      </c>
      <c r="C127" s="166">
        <f>+C52*(1-C18)</f>
        <v>2199.8420000000006</v>
      </c>
      <c r="D127" s="166">
        <f>+D52*(1-D18)</f>
        <v>1989.5619999999999</v>
      </c>
      <c r="E127" s="166">
        <f>+E52*(1-E18)</f>
        <v>2505.9179999999997</v>
      </c>
      <c r="F127" s="166">
        <f>+F52*(1-F18)</f>
        <v>2834.9439999999991</v>
      </c>
      <c r="G127" s="21"/>
    </row>
    <row r="128" spans="1:7">
      <c r="A128" s="77" t="s">
        <v>326</v>
      </c>
      <c r="B128" s="166">
        <f>+B72*(1-B14)</f>
        <v>5603.0360000000001</v>
      </c>
      <c r="C128" s="166">
        <f>+C72*(1-C14)</f>
        <v>4909.576</v>
      </c>
      <c r="D128" s="166">
        <f>+D72*(1-D14)</f>
        <v>5435.6540000000005</v>
      </c>
      <c r="E128" s="166">
        <f>+E72*(1-E14)</f>
        <v>7448.3420000000015</v>
      </c>
      <c r="F128" s="166">
        <f>+F72*(1-F14)</f>
        <v>7488.9860000000017</v>
      </c>
      <c r="G128" s="21"/>
    </row>
    <row r="129" spans="1:7">
      <c r="A129" s="77" t="str">
        <f>A73 &amp;" "&amp;"(90%)"</f>
        <v>Red Willow Canal Diversions (90%)</v>
      </c>
      <c r="B129" s="166">
        <f>+B73*0.9*(1-B17)</f>
        <v>0</v>
      </c>
      <c r="C129" s="166">
        <f>+C73*0.9*(1-C17)</f>
        <v>0</v>
      </c>
      <c r="D129" s="166">
        <f>+D73*0.9*(1-D17)</f>
        <v>1496.2644000000003</v>
      </c>
      <c r="E129" s="166">
        <f>+E73*0.9*(1-E17)</f>
        <v>1581.7338000000007</v>
      </c>
      <c r="F129" s="166">
        <f>+F73*0.9*(1-F17)</f>
        <v>1711.9926000000003</v>
      </c>
      <c r="G129" s="21"/>
    </row>
    <row r="130" spans="1:7">
      <c r="A130" s="77" t="s">
        <v>551</v>
      </c>
      <c r="B130" s="166">
        <f>B71*0.6</f>
        <v>0</v>
      </c>
      <c r="C130" s="166">
        <f>C71*0.6</f>
        <v>0</v>
      </c>
      <c r="D130" s="166">
        <f>D71*0.6</f>
        <v>0</v>
      </c>
      <c r="E130" s="166">
        <f>E71*0.6</f>
        <v>0</v>
      </c>
      <c r="F130" s="166">
        <f>F71*0.6</f>
        <v>0</v>
      </c>
      <c r="G130" s="21"/>
    </row>
    <row r="131" spans="1:7">
      <c r="A131" s="69" t="str">
        <f>'NORTH FORK'!A23</f>
        <v>SW CBCU - Irrigation - Non Federal Canals</v>
      </c>
      <c r="B131" s="156">
        <f>B83*CanalCUPercent1</f>
        <v>1360.8</v>
      </c>
      <c r="C131" s="156">
        <f>C83*CanalCUPercent2</f>
        <v>1606.2279882571975</v>
      </c>
      <c r="D131" s="156">
        <f>D83*CanalCUPercent3</f>
        <v>1971.6</v>
      </c>
      <c r="E131" s="156">
        <f>E83*CanalCUPercent4</f>
        <v>1050.9197999999999</v>
      </c>
      <c r="F131" s="156">
        <f>F83*CanalCUPercent5</f>
        <v>1098</v>
      </c>
      <c r="G131" s="21"/>
    </row>
    <row r="132" spans="1:7">
      <c r="A132" s="69" t="str">
        <f>'NORTH FORK'!A24</f>
        <v>SW CBCU - Irrigation - Small Pumps</v>
      </c>
      <c r="B132" s="156">
        <f>B84*PumperCUPercent1</f>
        <v>1265.7129749999999</v>
      </c>
      <c r="C132" s="156">
        <f>C84*PumperCUPercent2</f>
        <v>1116.75</v>
      </c>
      <c r="D132" s="156">
        <f>D84*PumperCUPercent3</f>
        <v>237</v>
      </c>
      <c r="E132" s="156">
        <f>E84*PumperCUPercent4</f>
        <v>1089.6187405090777</v>
      </c>
      <c r="F132" s="156">
        <f>F84*PumperCUPercent5</f>
        <v>1095.75</v>
      </c>
      <c r="G132" s="21"/>
    </row>
    <row r="133" spans="1:7">
      <c r="A133" s="69" t="str">
        <f>'NORTH FORK'!A25</f>
        <v>SW CBCU - M&amp;I</v>
      </c>
      <c r="B133" s="156">
        <f>B85*MI_CUPercent1</f>
        <v>0</v>
      </c>
      <c r="C133" s="156">
        <f>C85*MI_CUPercent2</f>
        <v>0</v>
      </c>
      <c r="D133" s="156">
        <f>D85*MI_CUPercent3</f>
        <v>0</v>
      </c>
      <c r="E133" s="156">
        <f>E85*MI_CUPercent4</f>
        <v>0</v>
      </c>
      <c r="F133" s="156">
        <f>F85*MI_CUPercent5</f>
        <v>0</v>
      </c>
      <c r="G133" s="21"/>
    </row>
    <row r="134" spans="1:7">
      <c r="A134" s="75" t="str">
        <f>A46</f>
        <v>Harry Strunk Lake Evaporation</v>
      </c>
      <c r="B134" s="156">
        <f>+B46</f>
        <v>2513</v>
      </c>
      <c r="C134" s="156">
        <f>+C46</f>
        <v>2357</v>
      </c>
      <c r="D134" s="156">
        <f>+D46</f>
        <v>857</v>
      </c>
      <c r="E134" s="156">
        <f>+E46</f>
        <v>2924</v>
      </c>
      <c r="F134" s="156">
        <f>+F46</f>
        <v>2452</v>
      </c>
      <c r="G134" s="21"/>
    </row>
    <row r="135" spans="1:7">
      <c r="A135" s="75" t="str">
        <f>A43</f>
        <v>Swanson Lake Evaporation</v>
      </c>
      <c r="B135" s="156">
        <f>+B43</f>
        <v>3382</v>
      </c>
      <c r="C135" s="156">
        <f>+C43</f>
        <v>4441</v>
      </c>
      <c r="D135" s="156">
        <f>+D43</f>
        <v>5787</v>
      </c>
      <c r="E135" s="156">
        <f>+E43</f>
        <v>10172</v>
      </c>
      <c r="F135" s="156">
        <f>+F43</f>
        <v>8671</v>
      </c>
      <c r="G135" s="21"/>
    </row>
    <row r="136" spans="1:7">
      <c r="A136" s="53" t="str">
        <f>A45&amp; " " &amp; "(90%)"</f>
        <v>Hugh Butler Lake Evaporation (90%)</v>
      </c>
      <c r="B136" s="156">
        <f>+B45*0.9</f>
        <v>1861.2</v>
      </c>
      <c r="C136" s="156">
        <f>+C45*0.9</f>
        <v>1255.5</v>
      </c>
      <c r="D136" s="156">
        <f>+D45*0.9</f>
        <v>855</v>
      </c>
      <c r="E136" s="156">
        <f>+E45*0.9</f>
        <v>2728.8</v>
      </c>
      <c r="F136" s="156">
        <f>+F45*0.9</f>
        <v>2347.2000000000003</v>
      </c>
      <c r="G136" s="21"/>
    </row>
    <row r="137" spans="1:7">
      <c r="A137" s="69" t="s">
        <v>466</v>
      </c>
      <c r="B137" s="156">
        <f>+B98</f>
        <v>3577.2942715891668</v>
      </c>
      <c r="C137" s="156">
        <f>+C98</f>
        <v>2928.3922017255354</v>
      </c>
      <c r="D137" s="156">
        <f>+D98</f>
        <v>7001.6148730365676</v>
      </c>
      <c r="E137" s="156">
        <f>+E98</f>
        <v>13205.682947377809</v>
      </c>
      <c r="F137" s="156">
        <f>+F98</f>
        <v>4258.7307307789606</v>
      </c>
      <c r="G137" s="21"/>
    </row>
    <row r="138" spans="1:7">
      <c r="A138" s="52" t="s">
        <v>239</v>
      </c>
      <c r="B138" s="156">
        <f>B86+B87</f>
        <v>1010.3612755700001</v>
      </c>
      <c r="C138" s="156">
        <f>C86+C87</f>
        <v>623.60957149999797</v>
      </c>
      <c r="D138" s="156">
        <f>D86+D87</f>
        <v>530</v>
      </c>
      <c r="E138" s="156">
        <f>E86+E87</f>
        <v>1561.5277206458338</v>
      </c>
      <c r="F138" s="156">
        <f>F86+F87</f>
        <v>1034</v>
      </c>
      <c r="G138" s="21"/>
    </row>
    <row r="139" spans="1:7">
      <c r="A139" s="52" t="str">
        <f>'NORTH FORK'!A27</f>
        <v>SW CBCU</v>
      </c>
      <c r="B139" s="156">
        <f>SUM(B121:B129,B131:B138)</f>
        <v>42423.320322159168</v>
      </c>
      <c r="C139" s="156">
        <f>SUM(C121:C129,C131:C138)</f>
        <v>37611.975761482739</v>
      </c>
      <c r="D139" s="156">
        <f>SUM(D121:D129,D131:D138)</f>
        <v>39837.032073036564</v>
      </c>
      <c r="E139" s="156">
        <f>SUM(E121:E129,E131:E138)</f>
        <v>64933.033808532717</v>
      </c>
      <c r="F139" s="156">
        <f>SUM(F121:F129,F131:F138)</f>
        <v>53646.270530778958</v>
      </c>
      <c r="G139" s="21"/>
    </row>
    <row r="140" spans="1:7">
      <c r="A140" s="52" t="str">
        <f>'NORTH FORK'!A28</f>
        <v>GW CBCU</v>
      </c>
      <c r="B140" s="156">
        <f>+B11</f>
        <v>67278</v>
      </c>
      <c r="C140" s="156">
        <f>+C11</f>
        <v>90573</v>
      </c>
      <c r="D140" s="156">
        <f>+D11</f>
        <v>85209</v>
      </c>
      <c r="E140" s="156">
        <f>+E11</f>
        <v>54490</v>
      </c>
      <c r="F140" s="156">
        <f>+F11</f>
        <v>65485</v>
      </c>
      <c r="G140" s="21"/>
    </row>
    <row r="141" spans="1:7">
      <c r="A141" s="52" t="str">
        <f>'NORTH FORK'!A29</f>
        <v>Total CBCU</v>
      </c>
      <c r="B141" s="156">
        <f>(ROUND(SUM(B139:B140),-1))</f>
        <v>109700</v>
      </c>
      <c r="C141" s="156">
        <f>(ROUND(SUM(C139:C140),-1))</f>
        <v>128180</v>
      </c>
      <c r="D141" s="156">
        <f>(ROUND(SUM(D139:D140),-1))</f>
        <v>125050</v>
      </c>
      <c r="E141" s="156">
        <f>(ROUND(SUM(E139:E140),-1))</f>
        <v>119420</v>
      </c>
      <c r="F141" s="156">
        <f>(ROUND(SUM(F139:F140),-1))</f>
        <v>119130</v>
      </c>
      <c r="G141" s="21"/>
    </row>
    <row r="142" spans="1:7">
      <c r="A142" s="55" t="s">
        <v>66</v>
      </c>
      <c r="B142" s="156"/>
      <c r="C142" s="156"/>
      <c r="D142" s="156"/>
      <c r="E142" s="156"/>
      <c r="F142" s="156"/>
      <c r="G142" s="21"/>
    </row>
    <row r="143" spans="1:7">
      <c r="A143" s="56" t="s">
        <v>162</v>
      </c>
      <c r="B143" s="156"/>
      <c r="C143" s="156"/>
      <c r="D143" s="156"/>
      <c r="E143" s="156"/>
      <c r="F143" s="156"/>
      <c r="G143" s="21"/>
    </row>
    <row r="144" spans="1:7">
      <c r="A144" s="55" t="str">
        <f>'NORTH FORK'!A42</f>
        <v>Total SW CBCU</v>
      </c>
      <c r="B144" s="156">
        <f>+B116+B139</f>
        <v>79607.246009745228</v>
      </c>
      <c r="C144" s="156">
        <f>+C116+C139</f>
        <v>59274.84148578615</v>
      </c>
      <c r="D144" s="156">
        <f>+D116+D139</f>
        <v>60994.282040124512</v>
      </c>
      <c r="E144" s="156">
        <f>+E116+E139</f>
        <v>95757.92578915169</v>
      </c>
      <c r="F144" s="156">
        <f>+F116+F139</f>
        <v>90424.735704410283</v>
      </c>
      <c r="G144" s="21"/>
    </row>
    <row r="145" spans="1:7">
      <c r="A145" s="55" t="str">
        <f>'NORTH FORK'!A43</f>
        <v>Total GW CBCU</v>
      </c>
      <c r="B145" s="156">
        <f>+B102+B117+B140</f>
        <v>63989</v>
      </c>
      <c r="C145" s="156">
        <f>+C102+C117+C140</f>
        <v>89606</v>
      </c>
      <c r="D145" s="156">
        <f>+D102+D117+D140</f>
        <v>83088</v>
      </c>
      <c r="E145" s="156">
        <f>+E102+E117+E140</f>
        <v>48657</v>
      </c>
      <c r="F145" s="156">
        <f>+F102+F117+F140</f>
        <v>61349</v>
      </c>
      <c r="G145" s="21"/>
    </row>
    <row r="146" spans="1:7">
      <c r="A146" s="55" t="str">
        <f>'NORTH FORK'!A44</f>
        <v>Total Basin CBCU</v>
      </c>
      <c r="B146" s="156">
        <f>(ROUND(SUM(B144:B145),-1))</f>
        <v>143600</v>
      </c>
      <c r="C146" s="156">
        <f>(ROUND(SUM(C144:C145),-1))</f>
        <v>148880</v>
      </c>
      <c r="D146" s="156">
        <f>(ROUND(SUM(D144:D145),-1))</f>
        <v>144080</v>
      </c>
      <c r="E146" s="156">
        <f>(ROUND(SUM(E144:E145),-1))</f>
        <v>144410</v>
      </c>
      <c r="F146" s="156">
        <f>(ROUND(SUM(F144:F145),-1))</f>
        <v>151770</v>
      </c>
      <c r="G146" s="21"/>
    </row>
    <row r="147" spans="1:7">
      <c r="A147" s="55" t="s">
        <v>66</v>
      </c>
      <c r="B147" s="156"/>
      <c r="C147" s="156"/>
      <c r="D147" s="156"/>
      <c r="E147" s="156"/>
      <c r="F147" s="156"/>
      <c r="G147" s="21"/>
    </row>
    <row r="148" spans="1:7" ht="15.75">
      <c r="A148" s="57" t="s">
        <v>10</v>
      </c>
      <c r="B148" s="157"/>
      <c r="C148" s="157"/>
      <c r="D148" s="157"/>
      <c r="E148" s="157"/>
      <c r="F148" s="157"/>
      <c r="G148" s="21"/>
    </row>
    <row r="149" spans="1:7">
      <c r="A149" s="59" t="str">
        <f t="shared" ref="A149:F160" si="4">A30</f>
        <v>Republican River Near Hardy</v>
      </c>
      <c r="B149" s="157">
        <f t="shared" si="4"/>
        <v>127121</v>
      </c>
      <c r="C149" s="157">
        <f t="shared" si="4"/>
        <v>110861</v>
      </c>
      <c r="D149" s="157">
        <f t="shared" si="4"/>
        <v>626375</v>
      </c>
      <c r="E149" s="157">
        <f t="shared" si="4"/>
        <v>251238.74380165289</v>
      </c>
      <c r="F149" s="157">
        <f t="shared" si="4"/>
        <v>142152</v>
      </c>
      <c r="G149" s="21"/>
    </row>
    <row r="150" spans="1:7">
      <c r="A150" s="59" t="str">
        <f t="shared" si="4"/>
        <v>North Fork Republican River At Colorado-Nebraska State Line</v>
      </c>
      <c r="B150" s="157">
        <f t="shared" si="4"/>
        <v>26046</v>
      </c>
      <c r="C150" s="157">
        <f t="shared" si="4"/>
        <v>32580</v>
      </c>
      <c r="D150" s="157">
        <f t="shared" si="4"/>
        <v>25436</v>
      </c>
      <c r="E150" s="157">
        <f t="shared" si="4"/>
        <v>22984.165289256216</v>
      </c>
      <c r="F150" s="157">
        <f t="shared" si="4"/>
        <v>25846</v>
      </c>
      <c r="G150" s="21"/>
    </row>
    <row r="151" spans="1:7">
      <c r="A151" s="59" t="str">
        <f t="shared" si="4"/>
        <v>Arikaree River At Haigler</v>
      </c>
      <c r="B151" s="157">
        <f t="shared" si="4"/>
        <v>646</v>
      </c>
      <c r="C151" s="157">
        <f t="shared" si="4"/>
        <v>821</v>
      </c>
      <c r="D151" s="157">
        <f t="shared" si="4"/>
        <v>1113</v>
      </c>
      <c r="E151" s="157">
        <f t="shared" si="4"/>
        <v>1656.6148760330564</v>
      </c>
      <c r="F151" s="157">
        <f t="shared" si="4"/>
        <v>1635</v>
      </c>
      <c r="G151" s="21"/>
    </row>
    <row r="152" spans="1:7">
      <c r="A152" s="59" t="str">
        <f t="shared" si="4"/>
        <v>Buffalo Creek Near Haigler</v>
      </c>
      <c r="B152" s="157">
        <f t="shared" si="4"/>
        <v>1282</v>
      </c>
      <c r="C152" s="157">
        <f t="shared" si="4"/>
        <v>1858</v>
      </c>
      <c r="D152" s="157">
        <f t="shared" si="4"/>
        <v>1355</v>
      </c>
      <c r="E152" s="157">
        <f t="shared" si="4"/>
        <v>2143.4181818181801</v>
      </c>
      <c r="F152" s="157">
        <f t="shared" si="4"/>
        <v>1583</v>
      </c>
      <c r="G152" s="21"/>
    </row>
    <row r="153" spans="1:7">
      <c r="A153" s="59" t="str">
        <f t="shared" si="4"/>
        <v>Rock Creek At Parks</v>
      </c>
      <c r="B153" s="157">
        <f t="shared" si="4"/>
        <v>8686</v>
      </c>
      <c r="C153" s="157">
        <f t="shared" si="4"/>
        <v>4095</v>
      </c>
      <c r="D153" s="157">
        <f t="shared" si="4"/>
        <v>3748</v>
      </c>
      <c r="E153" s="157">
        <f t="shared" si="4"/>
        <v>4049</v>
      </c>
      <c r="F153" s="157">
        <f t="shared" si="4"/>
        <v>3583</v>
      </c>
      <c r="G153" s="21"/>
    </row>
    <row r="154" spans="1:7">
      <c r="A154" s="59" t="str">
        <f t="shared" si="4"/>
        <v>South Fork Republican River Near Benkelman</v>
      </c>
      <c r="B154" s="157">
        <f t="shared" si="4"/>
        <v>2385</v>
      </c>
      <c r="C154" s="157">
        <f t="shared" si="4"/>
        <v>1970</v>
      </c>
      <c r="D154" s="157">
        <f t="shared" si="4"/>
        <v>2385</v>
      </c>
      <c r="E154" s="157">
        <f t="shared" si="4"/>
        <v>7229.355371900826</v>
      </c>
      <c r="F154" s="157">
        <f t="shared" si="4"/>
        <v>321</v>
      </c>
      <c r="G154" s="21"/>
    </row>
    <row r="155" spans="1:7">
      <c r="A155" s="59" t="str">
        <f t="shared" si="4"/>
        <v>Frenchman Creek At Culbertson</v>
      </c>
      <c r="B155" s="157">
        <f t="shared" si="4"/>
        <v>27490</v>
      </c>
      <c r="C155" s="157">
        <f t="shared" si="4"/>
        <v>25906</v>
      </c>
      <c r="D155" s="157">
        <f t="shared" si="4"/>
        <v>27267</v>
      </c>
      <c r="E155" s="157">
        <f t="shared" si="4"/>
        <v>19122</v>
      </c>
      <c r="F155" s="157">
        <f t="shared" si="4"/>
        <v>16678</v>
      </c>
      <c r="G155" s="21"/>
    </row>
    <row r="156" spans="1:7">
      <c r="A156" s="59" t="str">
        <f t="shared" si="4"/>
        <v>Driftwood Creek Near McCook</v>
      </c>
      <c r="B156" s="157">
        <f t="shared" si="4"/>
        <v>2392</v>
      </c>
      <c r="C156" s="157">
        <f t="shared" si="4"/>
        <v>3911</v>
      </c>
      <c r="D156" s="157">
        <f t="shared" si="4"/>
        <v>3284</v>
      </c>
      <c r="E156" s="157">
        <f t="shared" si="4"/>
        <v>2492</v>
      </c>
      <c r="F156" s="157">
        <f t="shared" si="4"/>
        <v>1999</v>
      </c>
      <c r="G156" s="21"/>
    </row>
    <row r="157" spans="1:7">
      <c r="A157" s="59" t="str">
        <f t="shared" si="4"/>
        <v>Red Willow Creek Near Red Willow</v>
      </c>
      <c r="B157" s="157">
        <f t="shared" si="4"/>
        <v>4346</v>
      </c>
      <c r="C157" s="157">
        <f t="shared" si="4"/>
        <v>3932</v>
      </c>
      <c r="D157" s="157">
        <f t="shared" si="4"/>
        <v>3457</v>
      </c>
      <c r="E157" s="157">
        <f t="shared" si="4"/>
        <v>4284</v>
      </c>
      <c r="F157" s="157">
        <f t="shared" si="4"/>
        <v>4012</v>
      </c>
      <c r="G157" s="21"/>
    </row>
    <row r="158" spans="1:7">
      <c r="A158" s="59" t="str">
        <f t="shared" si="4"/>
        <v>Medicine Creek Below Harry Strunk</v>
      </c>
      <c r="B158" s="157">
        <f t="shared" si="4"/>
        <v>41207</v>
      </c>
      <c r="C158" s="157">
        <f t="shared" si="4"/>
        <v>25135</v>
      </c>
      <c r="D158" s="157">
        <f t="shared" si="4"/>
        <v>48769</v>
      </c>
      <c r="E158" s="157">
        <f t="shared" si="4"/>
        <v>39930.267768594946</v>
      </c>
      <c r="F158" s="157">
        <f t="shared" si="4"/>
        <v>22871</v>
      </c>
      <c r="G158" s="21"/>
    </row>
    <row r="159" spans="1:7">
      <c r="A159" s="59" t="str">
        <f t="shared" si="4"/>
        <v>Sappa Creek Near Stamford</v>
      </c>
      <c r="B159" s="157">
        <f t="shared" si="4"/>
        <v>8238</v>
      </c>
      <c r="C159" s="157">
        <f t="shared" si="4"/>
        <v>12574</v>
      </c>
      <c r="D159" s="157">
        <f t="shared" si="4"/>
        <v>42888</v>
      </c>
      <c r="E159" s="157">
        <f t="shared" si="4"/>
        <v>16223</v>
      </c>
      <c r="F159" s="157">
        <f t="shared" si="4"/>
        <v>14925</v>
      </c>
      <c r="G159" s="21"/>
    </row>
    <row r="160" spans="1:7">
      <c r="A160" s="59" t="str">
        <f t="shared" si="4"/>
        <v>Prairie Dog Creek Near Woodruff</v>
      </c>
      <c r="B160" s="157">
        <f t="shared" si="4"/>
        <v>2181</v>
      </c>
      <c r="C160" s="157">
        <f t="shared" si="4"/>
        <v>4205</v>
      </c>
      <c r="D160" s="157">
        <f t="shared" si="4"/>
        <v>40960</v>
      </c>
      <c r="E160" s="157">
        <f t="shared" si="4"/>
        <v>8281.6859504132335</v>
      </c>
      <c r="F160" s="157">
        <f t="shared" si="4"/>
        <v>6646</v>
      </c>
      <c r="G160" s="21"/>
    </row>
    <row r="161" spans="1:7">
      <c r="A161" s="78"/>
      <c r="B161" s="167"/>
      <c r="C161" s="167"/>
      <c r="D161" s="167"/>
      <c r="E161" s="167"/>
      <c r="F161" s="167"/>
      <c r="G161" s="21"/>
    </row>
    <row r="162" spans="1:7">
      <c r="A162" s="58" t="str">
        <f>'NORTH FORK'!A49</f>
        <v>Colorado CBCU</v>
      </c>
      <c r="B162" s="157">
        <f>+B103</f>
        <v>-3320</v>
      </c>
      <c r="C162" s="157">
        <f>+C103</f>
        <v>-1980</v>
      </c>
      <c r="D162" s="157">
        <f>+D103</f>
        <v>-2520</v>
      </c>
      <c r="E162" s="157">
        <f>+E103</f>
        <v>-5120</v>
      </c>
      <c r="F162" s="157">
        <f>+F103</f>
        <v>-3840</v>
      </c>
      <c r="G162" s="21"/>
    </row>
    <row r="163" spans="1:7">
      <c r="A163" s="58" t="str">
        <f>'NORTH FORK'!A50 &amp; " " &amp;"Above Stateline"</f>
        <v>Kansas CBCU Above Stateline</v>
      </c>
      <c r="B163" s="157">
        <f>B92+B93+B106+B117+SUM(B112:B115)</f>
        <v>9700.115728410834</v>
      </c>
      <c r="C163" s="157">
        <f>C92+C93+C106+C117+SUM(C112:C115)</f>
        <v>7132.3647293478398</v>
      </c>
      <c r="D163" s="157">
        <f>D92+D93+D106+D117+SUM(D112:D115)</f>
        <v>11149.215126963432</v>
      </c>
      <c r="E163" s="157">
        <f>E92+E93+E106+E117+SUM(E112:E115)</f>
        <v>14641.087052622192</v>
      </c>
      <c r="F163" s="157">
        <f>F92+F93+F106+F117+SUM(F112:F115)</f>
        <v>9740.0792692210398</v>
      </c>
      <c r="G163" s="21"/>
    </row>
    <row r="164" spans="1:7">
      <c r="A164" s="58" t="str">
        <f>'NORTH FORK'!A51</f>
        <v>Nebraska CBCU</v>
      </c>
      <c r="B164" s="157">
        <f>+B141</f>
        <v>109700</v>
      </c>
      <c r="C164" s="157">
        <f>+C141</f>
        <v>128180</v>
      </c>
      <c r="D164" s="157">
        <f>+D141</f>
        <v>125050</v>
      </c>
      <c r="E164" s="157">
        <f>+E141</f>
        <v>119420</v>
      </c>
      <c r="F164" s="157">
        <f>+F141</f>
        <v>119130</v>
      </c>
      <c r="G164" s="21"/>
    </row>
    <row r="165" spans="1:7">
      <c r="A165" s="58"/>
      <c r="B165" s="157"/>
      <c r="C165" s="157"/>
      <c r="D165" s="157"/>
      <c r="E165" s="157"/>
      <c r="F165" s="157"/>
      <c r="G165" s="21"/>
    </row>
    <row r="166" spans="1:7">
      <c r="A166" s="79" t="s">
        <v>198</v>
      </c>
      <c r="B166" s="157">
        <f>+B129</f>
        <v>0</v>
      </c>
      <c r="C166" s="157">
        <f>+C129</f>
        <v>0</v>
      </c>
      <c r="D166" s="157">
        <f>+D129</f>
        <v>1496.2644000000003</v>
      </c>
      <c r="E166" s="157">
        <f>+E129</f>
        <v>1581.7338000000007</v>
      </c>
      <c r="F166" s="157">
        <f>+F129</f>
        <v>1711.9926000000003</v>
      </c>
      <c r="G166" s="21"/>
    </row>
    <row r="167" spans="1:7">
      <c r="A167" s="79" t="s">
        <v>186</v>
      </c>
      <c r="B167" s="157">
        <f>+B136</f>
        <v>1861.2</v>
      </c>
      <c r="C167" s="157">
        <f>+C136</f>
        <v>1255.5</v>
      </c>
      <c r="D167" s="157">
        <f>+D136</f>
        <v>855</v>
      </c>
      <c r="E167" s="157">
        <f>+E136</f>
        <v>2728.8</v>
      </c>
      <c r="F167" s="157">
        <f>+F136</f>
        <v>2347.2000000000003</v>
      </c>
      <c r="G167" s="21"/>
    </row>
    <row r="168" spans="1:7">
      <c r="A168" s="79" t="s">
        <v>116</v>
      </c>
      <c r="B168" s="157">
        <f>+B134</f>
        <v>2513</v>
      </c>
      <c r="C168" s="157">
        <f>+C134</f>
        <v>2357</v>
      </c>
      <c r="D168" s="157">
        <f>+D134</f>
        <v>857</v>
      </c>
      <c r="E168" s="157">
        <f>+E134</f>
        <v>2924</v>
      </c>
      <c r="F168" s="157">
        <f>+F134</f>
        <v>2452</v>
      </c>
      <c r="G168" s="21"/>
    </row>
    <row r="169" spans="1:7">
      <c r="A169" s="58"/>
      <c r="B169" s="157"/>
      <c r="C169" s="157"/>
      <c r="D169" s="157"/>
      <c r="E169" s="157"/>
      <c r="F169" s="157"/>
      <c r="G169" s="21"/>
    </row>
    <row r="170" spans="1:7">
      <c r="A170" s="66" t="s">
        <v>330</v>
      </c>
      <c r="B170" s="157">
        <f>'MEDICINE CREEK'!B52</f>
        <v>43.486199999999997</v>
      </c>
      <c r="C170" s="157">
        <f>'MEDICINE CREEK'!C52</f>
        <v>10.38094999999999</v>
      </c>
      <c r="D170" s="157">
        <f>'MEDICINE CREEK'!D52</f>
        <v>121</v>
      </c>
      <c r="E170" s="157">
        <f>'MEDICINE CREEK'!E52</f>
        <v>175.22869335796676</v>
      </c>
      <c r="F170" s="157">
        <f>'MEDICINE CREEK'!F52</f>
        <v>48.75</v>
      </c>
      <c r="G170" s="21"/>
    </row>
    <row r="171" spans="1:7">
      <c r="A171" s="66" t="s">
        <v>331</v>
      </c>
      <c r="B171" s="157">
        <f>BEAVER!B63</f>
        <v>0</v>
      </c>
      <c r="C171" s="157">
        <f>BEAVER!C63</f>
        <v>0</v>
      </c>
      <c r="D171" s="157">
        <f>BEAVER!D63</f>
        <v>0</v>
      </c>
      <c r="E171" s="157">
        <f>BEAVER!E63</f>
        <v>0</v>
      </c>
      <c r="F171" s="157">
        <f>BEAVER!F63</f>
        <v>0</v>
      </c>
      <c r="G171" s="21"/>
    </row>
    <row r="172" spans="1:7">
      <c r="A172" s="66" t="s">
        <v>333</v>
      </c>
      <c r="B172" s="157">
        <f>SAPPA!B56</f>
        <v>1.97085</v>
      </c>
      <c r="C172" s="157">
        <f>SAPPA!C56</f>
        <v>1.7262302537298471</v>
      </c>
      <c r="D172" s="157">
        <f>SAPPA!D56</f>
        <v>2.235230253729847</v>
      </c>
      <c r="E172" s="157">
        <f>SAPPA!E56</f>
        <v>4.6528687499999997</v>
      </c>
      <c r="F172" s="157">
        <f>SAPPA!F56</f>
        <v>2</v>
      </c>
      <c r="G172" s="21"/>
    </row>
    <row r="173" spans="1:7">
      <c r="A173" s="66" t="s">
        <v>332</v>
      </c>
      <c r="B173" s="157">
        <f>'PRAIRIE DOG'!B54</f>
        <v>82.245098333000016</v>
      </c>
      <c r="C173" s="157">
        <f>'PRAIRIE DOG'!C54</f>
        <v>89.904854519227612</v>
      </c>
      <c r="D173" s="157">
        <f>'PRAIRIE DOG'!D54</f>
        <v>160</v>
      </c>
      <c r="E173" s="157">
        <f>'PRAIRIE DOG'!E54</f>
        <v>155.24721664131371</v>
      </c>
      <c r="F173" s="157">
        <f>'PRAIRIE DOG'!F54</f>
        <v>81</v>
      </c>
      <c r="G173" s="21"/>
    </row>
    <row r="174" spans="1:7">
      <c r="A174" s="58"/>
      <c r="B174" s="157"/>
      <c r="C174" s="157"/>
      <c r="D174" s="157"/>
      <c r="E174" s="157"/>
      <c r="F174" s="157"/>
      <c r="G174" s="21"/>
    </row>
    <row r="175" spans="1:7">
      <c r="A175" s="59" t="str">
        <f t="shared" ref="A175:F175" si="5">+A49</f>
        <v>Harlan County Change In Storage</v>
      </c>
      <c r="B175" s="157">
        <f t="shared" si="5"/>
        <v>30044</v>
      </c>
      <c r="C175" s="157">
        <f t="shared" si="5"/>
        <v>30781</v>
      </c>
      <c r="D175" s="157">
        <f t="shared" si="5"/>
        <v>74701</v>
      </c>
      <c r="E175" s="157">
        <f t="shared" si="5"/>
        <v>-50098</v>
      </c>
      <c r="F175" s="157">
        <f t="shared" si="5"/>
        <v>754</v>
      </c>
      <c r="G175" s="21"/>
    </row>
    <row r="176" spans="1:7">
      <c r="A176" s="59" t="str">
        <f t="shared" ref="A176:F176" si="6">+A44</f>
        <v>Swanson Lake Change In Storage</v>
      </c>
      <c r="B176" s="157">
        <f t="shared" si="6"/>
        <v>5370</v>
      </c>
      <c r="C176" s="157">
        <f t="shared" si="6"/>
        <v>8017</v>
      </c>
      <c r="D176" s="157">
        <f t="shared" si="6"/>
        <v>905</v>
      </c>
      <c r="E176" s="157">
        <f t="shared" si="6"/>
        <v>-4786</v>
      </c>
      <c r="F176" s="157">
        <f t="shared" si="6"/>
        <v>-9291</v>
      </c>
      <c r="G176" s="21"/>
    </row>
    <row r="177" spans="1:7">
      <c r="A177" s="79"/>
      <c r="B177" s="157"/>
      <c r="C177" s="157"/>
      <c r="D177" s="157"/>
      <c r="E177" s="157"/>
      <c r="F177" s="157"/>
      <c r="G177" s="21"/>
    </row>
    <row r="178" spans="1:7">
      <c r="A178" s="80" t="s">
        <v>190</v>
      </c>
      <c r="B178" s="157">
        <f>+B76*(1-CanalCUPercent1)</f>
        <v>1892.8000000000002</v>
      </c>
      <c r="C178" s="157">
        <f>+C76*(1-CanalCUPercent2)</f>
        <v>1470.4</v>
      </c>
      <c r="D178" s="157">
        <f>+D76*(1-CanalCUPercent3)</f>
        <v>1585.2</v>
      </c>
      <c r="E178" s="157">
        <f>+E76*(1-CanalCUPercent4)</f>
        <v>2115.2000000000003</v>
      </c>
      <c r="F178" s="157">
        <f>+F76*(1-CanalCUPercent5)</f>
        <v>2256</v>
      </c>
      <c r="G178" s="21"/>
    </row>
    <row r="179" spans="1:7">
      <c r="A179" s="79" t="s">
        <v>188</v>
      </c>
      <c r="B179" s="157">
        <f>+B74*B15*0.17</f>
        <v>0</v>
      </c>
      <c r="C179" s="157">
        <f>+C74*C15*0.17</f>
        <v>1009.9927799999999</v>
      </c>
      <c r="D179" s="157">
        <f>+D74*D15*0.17</f>
        <v>1643.2461800000001</v>
      </c>
      <c r="E179" s="157">
        <f>+E74*E15*0.17</f>
        <v>937.50614000000007</v>
      </c>
      <c r="F179" s="157">
        <f>+F74*F15*0.17</f>
        <v>833.80851999999993</v>
      </c>
      <c r="G179" s="21"/>
    </row>
    <row r="180" spans="1:7">
      <c r="A180" s="79" t="s">
        <v>189</v>
      </c>
      <c r="B180" s="157">
        <f>+B75*B16</f>
        <v>0</v>
      </c>
      <c r="C180" s="157">
        <f>+C75*C16</f>
        <v>0</v>
      </c>
      <c r="D180" s="157">
        <f>+D75*D16</f>
        <v>0</v>
      </c>
      <c r="E180" s="157">
        <f>+E75*E16</f>
        <v>0</v>
      </c>
      <c r="F180" s="157">
        <f>+F75*F16</f>
        <v>0</v>
      </c>
      <c r="G180" s="21"/>
    </row>
    <row r="181" spans="1:7">
      <c r="A181" s="60" t="s">
        <v>191</v>
      </c>
      <c r="B181" s="157">
        <f>0.24*(B14*B72)</f>
        <v>2661.3513600000001</v>
      </c>
      <c r="C181" s="157">
        <f>0.24*(C14*C72)</f>
        <v>2252.5017600000001</v>
      </c>
      <c r="D181" s="157">
        <f>0.24*(D14*D72)</f>
        <v>2647.7630399999998</v>
      </c>
      <c r="E181" s="157">
        <f>0.24*(E14*E72)</f>
        <v>2867.9179199999994</v>
      </c>
      <c r="F181" s="157">
        <f>0.24*(F14*F72)</f>
        <v>2679.6033599999992</v>
      </c>
      <c r="G181" s="21"/>
    </row>
    <row r="182" spans="1:7">
      <c r="A182" s="79" t="s">
        <v>187</v>
      </c>
      <c r="B182" s="157">
        <f>+B73*B17*0.9</f>
        <v>0</v>
      </c>
      <c r="C182" s="157">
        <f>+C73*C17*0.9</f>
        <v>0</v>
      </c>
      <c r="D182" s="157">
        <f>+D73*D17*0.9</f>
        <v>3698.5355999999997</v>
      </c>
      <c r="E182" s="157">
        <f>+E73*E17*0.9</f>
        <v>3121.6661999999997</v>
      </c>
      <c r="F182" s="157">
        <f>+F73*F17*0.9</f>
        <v>2932.9074000000001</v>
      </c>
      <c r="G182" s="21"/>
    </row>
    <row r="183" spans="1:7">
      <c r="A183" s="79" t="s">
        <v>552</v>
      </c>
      <c r="B183" s="157">
        <f>(B71-B130)*0.78</f>
        <v>0</v>
      </c>
      <c r="C183" s="157">
        <f>(C71-C130)*0.78</f>
        <v>0</v>
      </c>
      <c r="D183" s="157">
        <f>(D71-D130)*0.78</f>
        <v>0</v>
      </c>
      <c r="E183" s="157">
        <f>(E71-E130)*0.78</f>
        <v>0</v>
      </c>
      <c r="F183" s="157">
        <f>(F71-F130)*0.78</f>
        <v>0</v>
      </c>
      <c r="G183" s="21"/>
    </row>
    <row r="184" spans="1:7">
      <c r="A184" s="81" t="str">
        <f t="shared" ref="A184:F184" si="7">+A63</f>
        <v>Courtland Canal At Kansas-Nebraska State Line</v>
      </c>
      <c r="B184" s="163">
        <f t="shared" si="7"/>
        <v>52599</v>
      </c>
      <c r="C184" s="163">
        <f t="shared" si="7"/>
        <v>40559</v>
      </c>
      <c r="D184" s="163">
        <f t="shared" si="7"/>
        <v>50721</v>
      </c>
      <c r="E184" s="163">
        <f t="shared" si="7"/>
        <v>35756</v>
      </c>
      <c r="F184" s="163">
        <f t="shared" si="7"/>
        <v>60776</v>
      </c>
      <c r="G184" s="21"/>
    </row>
    <row r="185" spans="1:7">
      <c r="A185" s="79" t="s">
        <v>147</v>
      </c>
      <c r="B185" s="163">
        <f>+B91</f>
        <v>788.98500000000001</v>
      </c>
      <c r="C185" s="163">
        <f>+C91</f>
        <v>608.38499999999999</v>
      </c>
      <c r="D185" s="163">
        <f>+D91</f>
        <v>760.81499999999994</v>
      </c>
      <c r="E185" s="163">
        <f>+E91</f>
        <v>536.34</v>
      </c>
      <c r="F185" s="163">
        <f>+F91</f>
        <v>911.64</v>
      </c>
      <c r="G185" s="21"/>
    </row>
    <row r="186" spans="1:7">
      <c r="A186" s="59"/>
      <c r="B186" s="157"/>
      <c r="C186" s="157"/>
      <c r="D186" s="157"/>
      <c r="E186" s="157"/>
      <c r="F186" s="157"/>
      <c r="G186" s="21"/>
    </row>
    <row r="187" spans="1:7">
      <c r="A187" s="58" t="str">
        <f>'NORTH FORK'!A52</f>
        <v>Imported Water</v>
      </c>
      <c r="B187" s="157">
        <f>+B5</f>
        <v>9015</v>
      </c>
      <c r="C187" s="157">
        <f>+C5</f>
        <v>14529</v>
      </c>
      <c r="D187" s="157">
        <f>+D5</f>
        <v>15131</v>
      </c>
      <c r="E187" s="157">
        <f>+E5</f>
        <v>8314</v>
      </c>
      <c r="F187" s="157">
        <f>+F5</f>
        <v>10699</v>
      </c>
      <c r="G187" s="21"/>
    </row>
    <row r="188" spans="1:7">
      <c r="A188" s="58" t="str">
        <f>'NORTH FORK'!A54</f>
        <v>Virgin Water Supply</v>
      </c>
      <c r="B188" s="157">
        <f>ROUND(B149-SUM(B150:B160)+B162+B163+B164-B166-B167-B168+SUM(B170:B173)+B175+B176-B178-B179-B180+B181-B182-B183+B184-B185-B187,-1)</f>
        <v>193030</v>
      </c>
      <c r="C188" s="157">
        <f>ROUND(C149-SUM(C150:C160)+C162+C163+C164-C166-C167-C168+SUM(C170:C173)+C175+C176-C178-C179-C180+C181-C182-C183+C184-C185-C187,-1)</f>
        <v>187690</v>
      </c>
      <c r="D188" s="157">
        <f>ROUND(D149-SUM(D150:D160)+D162+D163+D164-D166-D167-D168+SUM(D170:D173)+D175+D176-D178-D179-D180+D181-D182-D183+D184-D185-D187,-1)</f>
        <v>662620</v>
      </c>
      <c r="E188" s="157">
        <f>ROUND(E149-SUM(E150:E160)+E162+E163+E164-E166-E167-E168+SUM(E170:E173)+E175+E176-E178-E179-E180+E181-E182-E183+E184-E185-E187,-1)</f>
        <v>213600</v>
      </c>
      <c r="F188" s="157">
        <f>ROUND(F149-SUM(F150:F160)+F162+F163+F164-F166-F167-F168+SUM(F170:F173)+F175+F176-F178-F179-F180+F181-F182-F183+F184-F185-F187,-1)</f>
        <v>197990</v>
      </c>
      <c r="G188" s="21"/>
    </row>
    <row r="189" spans="1:7">
      <c r="A189" s="58" t="str">
        <f>'NORTH FORK'!A55</f>
        <v>Adjustment For Flood Flows</v>
      </c>
      <c r="B189" s="157">
        <f>B88</f>
        <v>0</v>
      </c>
      <c r="C189" s="157">
        <f>C88</f>
        <v>0</v>
      </c>
      <c r="D189" s="157">
        <f>D88</f>
        <v>185128</v>
      </c>
      <c r="E189" s="157">
        <f>E88</f>
        <v>0</v>
      </c>
      <c r="F189" s="157">
        <f>F88</f>
        <v>0</v>
      </c>
      <c r="G189" s="21"/>
    </row>
    <row r="190" spans="1:7">
      <c r="A190" s="277" t="s">
        <v>563</v>
      </c>
      <c r="B190" s="279">
        <f>RWS_CWSA!L16</f>
        <v>-2241</v>
      </c>
      <c r="C190" s="279">
        <f>RWS_CWSA!L17</f>
        <v>-1339</v>
      </c>
      <c r="D190" s="279">
        <f>RWS_CWSA!L18</f>
        <v>-2340</v>
      </c>
      <c r="E190" s="279">
        <f>RWS_CWSA!L19</f>
        <v>-3889</v>
      </c>
      <c r="F190" s="279">
        <f>RWS_CWSA!L20</f>
        <v>-1550</v>
      </c>
      <c r="G190" s="21"/>
    </row>
    <row r="191" spans="1:7">
      <c r="A191" s="58" t="str">
        <f>'NORTH FORK'!A56</f>
        <v>Computed Water Supply</v>
      </c>
      <c r="B191" s="279">
        <f>+ROUND(B188-B189-SUM(B175:B176)+B190,-1)</f>
        <v>155380</v>
      </c>
      <c r="C191" s="279">
        <f>+ROUND(C188-C189-SUM(C175:C176)+C190,-1)</f>
        <v>147550</v>
      </c>
      <c r="D191" s="279">
        <f>+ROUND(D188-D189-SUM(D175:D176)+D190,-1)</f>
        <v>399550</v>
      </c>
      <c r="E191" s="279">
        <f>+ROUND(E188-E189-SUM(E175:E176)+E190,-1)</f>
        <v>264600</v>
      </c>
      <c r="F191" s="279">
        <f>+ROUND(F188-F189-SUM(F175:F176)+F190,-1)</f>
        <v>204980</v>
      </c>
      <c r="G191" s="21"/>
    </row>
    <row r="192" spans="1:7">
      <c r="A192" s="60" t="s">
        <v>66</v>
      </c>
      <c r="B192" s="157"/>
      <c r="C192" s="157"/>
      <c r="D192" s="157"/>
      <c r="E192" s="157"/>
      <c r="F192" s="157"/>
      <c r="G192" s="21"/>
    </row>
    <row r="193" spans="1:7" ht="15.75">
      <c r="A193" s="10" t="s">
        <v>12</v>
      </c>
      <c r="B193" s="154"/>
      <c r="C193" s="154"/>
      <c r="D193" s="154"/>
      <c r="E193" s="154"/>
      <c r="F193" s="154"/>
      <c r="G193" s="21"/>
    </row>
    <row r="194" spans="1:7">
      <c r="A194" s="2" t="str">
        <f>'NORTH FORK'!A59</f>
        <v>Colorado Percent Of Allocation</v>
      </c>
      <c r="B194" s="168">
        <f>'T2'!$D17</f>
        <v>0</v>
      </c>
      <c r="C194" s="168">
        <f>'T2'!$D17</f>
        <v>0</v>
      </c>
      <c r="D194" s="168">
        <f>'T2'!$D17</f>
        <v>0</v>
      </c>
      <c r="E194" s="168">
        <f>'T2'!$D17</f>
        <v>0</v>
      </c>
      <c r="F194" s="168">
        <f>'T2'!$D17</f>
        <v>0</v>
      </c>
      <c r="G194" s="21"/>
    </row>
    <row r="195" spans="1:7">
      <c r="A195" s="2" t="str">
        <f>'NORTH FORK'!A60</f>
        <v>Colorado Allocation</v>
      </c>
      <c r="B195" s="145">
        <f>ROUND(B191*B194,-1)</f>
        <v>0</v>
      </c>
      <c r="C195" s="145">
        <f>ROUND(C191*C194,-1)</f>
        <v>0</v>
      </c>
      <c r="D195" s="145">
        <f>ROUND(D191*D194,-1)</f>
        <v>0</v>
      </c>
      <c r="E195" s="145">
        <f>ROUND(E191*E194,-1)</f>
        <v>0</v>
      </c>
      <c r="F195" s="145">
        <f>ROUND(F191*F194,-1)</f>
        <v>0</v>
      </c>
      <c r="G195" s="21"/>
    </row>
    <row r="196" spans="1:7">
      <c r="A196" s="2" t="str">
        <f>'NORTH FORK'!A61</f>
        <v>Kansas Percent Of Allocation</v>
      </c>
      <c r="B196" s="117">
        <f>'T2'!$F17</f>
        <v>0.51100000000000001</v>
      </c>
      <c r="C196" s="117">
        <f>'T2'!$F17</f>
        <v>0.51100000000000001</v>
      </c>
      <c r="D196" s="117">
        <f>'T2'!$F17</f>
        <v>0.51100000000000001</v>
      </c>
      <c r="E196" s="117">
        <f>'T2'!$F17</f>
        <v>0.51100000000000001</v>
      </c>
      <c r="F196" s="117">
        <f>'T2'!$F17</f>
        <v>0.51100000000000001</v>
      </c>
      <c r="G196" s="21"/>
    </row>
    <row r="197" spans="1:7">
      <c r="A197" s="2" t="str">
        <f>'NORTH FORK'!A62</f>
        <v>Kansas Allocation</v>
      </c>
      <c r="B197" s="145">
        <f>ROUND(B191*B196,-1)</f>
        <v>79400</v>
      </c>
      <c r="C197" s="145">
        <f>ROUND(C191*C196,-1)</f>
        <v>75400</v>
      </c>
      <c r="D197" s="145">
        <f>ROUND(D191*D196,-1)</f>
        <v>204170</v>
      </c>
      <c r="E197" s="145">
        <f>ROUND(E191*E196,-1)</f>
        <v>135210</v>
      </c>
      <c r="F197" s="145">
        <f>ROUND(F191*F196,-1)</f>
        <v>104740</v>
      </c>
      <c r="G197" s="21"/>
    </row>
    <row r="198" spans="1:7">
      <c r="A198" s="2" t="str">
        <f>'NORTH FORK'!A63</f>
        <v>Nebraska Percent Of Allocation</v>
      </c>
      <c r="B198" s="117">
        <f>'T2'!$H17</f>
        <v>0.48899999999999999</v>
      </c>
      <c r="C198" s="117">
        <f>'T2'!$H17</f>
        <v>0.48899999999999999</v>
      </c>
      <c r="D198" s="117">
        <f>'T2'!$H17</f>
        <v>0.48899999999999999</v>
      </c>
      <c r="E198" s="117">
        <f>'T2'!$H17</f>
        <v>0.48899999999999999</v>
      </c>
      <c r="F198" s="117">
        <f>'T2'!$H17</f>
        <v>0.48899999999999999</v>
      </c>
      <c r="G198" s="21"/>
    </row>
    <row r="199" spans="1:7">
      <c r="A199" s="2" t="str">
        <f>'NORTH FORK'!A64</f>
        <v>Nebraska Allocation</v>
      </c>
      <c r="B199" s="145">
        <f>ROUND(B191*B198,-1)</f>
        <v>75980</v>
      </c>
      <c r="C199" s="145">
        <f>ROUND(C191*C198,-1)</f>
        <v>72150</v>
      </c>
      <c r="D199" s="145">
        <f>ROUND(D191*D198,-1)</f>
        <v>195380</v>
      </c>
      <c r="E199" s="145">
        <f>ROUND(E191*E198,-1)</f>
        <v>129390</v>
      </c>
      <c r="F199" s="145">
        <f>ROUND(F191*F198,-1)</f>
        <v>100240</v>
      </c>
      <c r="G199" s="21"/>
    </row>
    <row r="200" spans="1:7">
      <c r="A200" s="2" t="str">
        <f>'NORTH FORK'!A65</f>
        <v>Total Basin Allocation</v>
      </c>
      <c r="B200" s="145">
        <f>+B195+B197+B199</f>
        <v>155380</v>
      </c>
      <c r="C200" s="145">
        <f>+C195+C197+C199</f>
        <v>147550</v>
      </c>
      <c r="D200" s="145">
        <f>+D195+D197+D199</f>
        <v>399550</v>
      </c>
      <c r="E200" s="145">
        <f>+E195+E197+E199</f>
        <v>264600</v>
      </c>
      <c r="F200" s="145">
        <f>+F195+F197+F199</f>
        <v>204980</v>
      </c>
      <c r="G200" s="21"/>
    </row>
    <row r="201" spans="1:7">
      <c r="A201" s="2" t="str">
        <f>'NORTH FORK'!A66</f>
        <v>Percent Of Supply Not Allocated</v>
      </c>
      <c r="B201" s="117">
        <f>'T2'!$J17</f>
        <v>0</v>
      </c>
      <c r="C201" s="117">
        <f>'T2'!$J17</f>
        <v>0</v>
      </c>
      <c r="D201" s="117">
        <f>'T2'!$J17</f>
        <v>0</v>
      </c>
      <c r="E201" s="117">
        <f>'T2'!$J17</f>
        <v>0</v>
      </c>
      <c r="F201" s="117">
        <f>'T2'!$J17</f>
        <v>0</v>
      </c>
      <c r="G201" s="21"/>
    </row>
    <row r="202" spans="1:7">
      <c r="A202" s="2" t="str">
        <f>'NORTH FORK'!A67</f>
        <v>Quantity Of Unallocated Supply</v>
      </c>
      <c r="B202" s="145">
        <f>+B191-B195-B197-B199</f>
        <v>0</v>
      </c>
      <c r="C202" s="145">
        <f>+C191-C195-C197-C199</f>
        <v>0</v>
      </c>
      <c r="D202" s="145">
        <f>+D191-D195-D197-D199</f>
        <v>0</v>
      </c>
      <c r="E202" s="145">
        <f>+E191-E195-E197-E199</f>
        <v>0</v>
      </c>
      <c r="F202" s="145">
        <f>+F191-F195-F197-F199</f>
        <v>0</v>
      </c>
      <c r="G202" s="21"/>
    </row>
  </sheetData>
  <phoneticPr fontId="0" type="noConversion"/>
  <printOptions headings="1"/>
  <pageMargins left="0.75" right="0.75" top="0.75" bottom="0.5" header="0.25" footer="0.5"/>
  <pageSetup fitToHeight="4" orientation="portrait" r:id="rId1"/>
  <headerFooter alignWithMargins="0">
    <oddHeader>&amp;LRRCA
Compact Accounting&amp;C&amp;A&amp;RPage &amp;P of &amp;N</oddHeader>
  </headerFooter>
  <rowBreaks count="3" manualBreakCount="3">
    <brk id="50" max="3" man="1"/>
    <brk id="99" max="3" man="1"/>
    <brk id="141" max="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AH230"/>
  <sheetViews>
    <sheetView zoomScale="98" zoomScaleNormal="98" workbookViewId="0">
      <selection activeCell="O24" sqref="O24"/>
    </sheetView>
  </sheetViews>
  <sheetFormatPr defaultColWidth="9.140625" defaultRowHeight="14.25"/>
  <cols>
    <col min="1" max="1" width="17.28515625" style="208" customWidth="1"/>
    <col min="2" max="2" width="11.28515625" style="208" customWidth="1"/>
    <col min="3" max="3" width="9.85546875" style="208" bestFit="1" customWidth="1"/>
    <col min="4" max="7" width="9.42578125" style="208" bestFit="1" customWidth="1"/>
    <col min="8" max="8" width="10.7109375" style="208" customWidth="1"/>
    <col min="9" max="10" width="9.42578125" style="208" bestFit="1" customWidth="1"/>
    <col min="11" max="11" width="12.85546875" style="208" customWidth="1"/>
    <col min="12" max="12" width="11.7109375" style="208" customWidth="1"/>
    <col min="13" max="14" width="11" style="208" customWidth="1"/>
    <col min="15" max="16" width="9.28515625" style="208" bestFit="1" customWidth="1"/>
    <col min="17" max="17" width="13.28515625" style="208" customWidth="1"/>
    <col min="18" max="18" width="13.42578125" style="208" customWidth="1"/>
    <col min="19" max="19" width="11.28515625" style="208" customWidth="1"/>
    <col min="20" max="20" width="21" style="208" bestFit="1" customWidth="1"/>
    <col min="21" max="21" width="12.42578125" style="208" customWidth="1"/>
    <col min="22" max="16384" width="9.140625" style="208"/>
  </cols>
  <sheetData>
    <row r="1" spans="1:34" ht="15">
      <c r="A1" s="205"/>
      <c r="B1" s="206"/>
      <c r="C1" s="206"/>
      <c r="D1" s="206"/>
      <c r="E1" s="206"/>
      <c r="F1" s="206"/>
      <c r="G1" s="206"/>
      <c r="H1" s="206"/>
      <c r="I1" s="206"/>
      <c r="J1" s="207" t="s">
        <v>265</v>
      </c>
      <c r="K1" s="206"/>
      <c r="L1" s="206"/>
      <c r="M1" s="206"/>
      <c r="N1" s="206"/>
      <c r="O1" s="206"/>
      <c r="P1" s="206"/>
      <c r="Q1" s="206" t="s">
        <v>432</v>
      </c>
      <c r="R1" s="206"/>
      <c r="S1" s="206"/>
    </row>
    <row r="2" spans="1:34">
      <c r="A2" s="205"/>
      <c r="B2" s="206"/>
      <c r="C2" s="206"/>
      <c r="D2" s="206"/>
      <c r="E2" s="206"/>
      <c r="F2" s="206"/>
      <c r="G2" s="206"/>
      <c r="H2" s="206"/>
      <c r="I2" s="206"/>
      <c r="J2" s="206"/>
      <c r="K2" s="206"/>
      <c r="L2" s="206"/>
      <c r="M2" s="206"/>
      <c r="N2" s="206"/>
      <c r="O2" s="206"/>
      <c r="P2" s="206"/>
      <c r="Q2" s="206"/>
      <c r="R2" s="206"/>
      <c r="S2" s="206"/>
    </row>
    <row r="3" spans="1:34">
      <c r="A3" s="209">
        <v>1</v>
      </c>
      <c r="B3" s="209">
        <v>2</v>
      </c>
      <c r="C3" s="209">
        <v>3</v>
      </c>
      <c r="D3" s="209">
        <v>4</v>
      </c>
      <c r="E3" s="209">
        <v>5</v>
      </c>
      <c r="F3" s="209">
        <v>6</v>
      </c>
      <c r="G3" s="209">
        <v>7</v>
      </c>
      <c r="H3" s="209">
        <v>8</v>
      </c>
      <c r="I3" s="209">
        <v>9</v>
      </c>
      <c r="J3" s="209">
        <v>10</v>
      </c>
      <c r="K3" s="209">
        <v>11</v>
      </c>
      <c r="L3" s="209">
        <v>12</v>
      </c>
      <c r="M3" s="209">
        <v>13</v>
      </c>
      <c r="N3" s="209">
        <v>14</v>
      </c>
      <c r="O3" s="209">
        <v>15</v>
      </c>
      <c r="P3" s="209">
        <v>16</v>
      </c>
      <c r="Q3" s="209">
        <v>17</v>
      </c>
      <c r="R3" s="209">
        <v>18</v>
      </c>
      <c r="S3" s="209">
        <v>19</v>
      </c>
    </row>
    <row r="4" spans="1:34" ht="15" thickBot="1">
      <c r="A4" s="210"/>
      <c r="B4" s="209" t="s">
        <v>266</v>
      </c>
      <c r="C4" s="209" t="s">
        <v>266</v>
      </c>
      <c r="D4" s="209" t="s">
        <v>267</v>
      </c>
      <c r="E4" s="209" t="s">
        <v>268</v>
      </c>
      <c r="F4" s="209" t="s">
        <v>269</v>
      </c>
      <c r="G4" s="209" t="s">
        <v>267</v>
      </c>
      <c r="H4" s="209" t="s">
        <v>266</v>
      </c>
      <c r="I4" s="209" t="s">
        <v>270</v>
      </c>
      <c r="J4" s="209" t="s">
        <v>271</v>
      </c>
      <c r="K4" s="209" t="s">
        <v>272</v>
      </c>
      <c r="L4" s="209" t="s">
        <v>273</v>
      </c>
      <c r="M4" s="209" t="s">
        <v>274</v>
      </c>
      <c r="N4" s="209" t="s">
        <v>275</v>
      </c>
      <c r="O4" s="209" t="s">
        <v>276</v>
      </c>
      <c r="P4" s="209" t="s">
        <v>277</v>
      </c>
      <c r="Q4" s="209" t="s">
        <v>278</v>
      </c>
      <c r="R4" s="209" t="s">
        <v>279</v>
      </c>
      <c r="S4" s="209" t="s">
        <v>280</v>
      </c>
    </row>
    <row r="5" spans="1:34" ht="15">
      <c r="A5" s="211"/>
      <c r="B5" s="211"/>
      <c r="C5" s="211"/>
      <c r="D5" s="211"/>
      <c r="E5" s="211"/>
      <c r="F5" s="211"/>
      <c r="G5" s="211"/>
      <c r="H5" s="211"/>
      <c r="I5" s="211"/>
      <c r="J5" s="211"/>
      <c r="K5" s="212"/>
      <c r="L5" s="213"/>
      <c r="M5" s="214" t="s">
        <v>281</v>
      </c>
      <c r="N5" s="215"/>
      <c r="O5" s="215"/>
      <c r="P5" s="212"/>
      <c r="Q5" s="214" t="s">
        <v>282</v>
      </c>
      <c r="R5" s="215"/>
      <c r="S5" s="216" t="s">
        <v>283</v>
      </c>
    </row>
    <row r="6" spans="1:34" ht="15.75" thickBot="1">
      <c r="A6" s="217"/>
      <c r="B6" s="217"/>
      <c r="C6" s="217"/>
      <c r="D6" s="217"/>
      <c r="E6" s="217"/>
      <c r="F6" s="217"/>
      <c r="G6" s="217"/>
      <c r="H6" s="217"/>
      <c r="I6" s="217"/>
      <c r="J6" s="217"/>
      <c r="K6" s="218"/>
      <c r="L6" s="219"/>
      <c r="M6" s="207" t="s">
        <v>284</v>
      </c>
      <c r="N6" s="206"/>
      <c r="O6" s="206"/>
      <c r="P6" s="218"/>
      <c r="Q6" s="207" t="s">
        <v>281</v>
      </c>
      <c r="R6" s="206"/>
      <c r="S6" s="220"/>
    </row>
    <row r="7" spans="1:34" ht="15">
      <c r="A7" s="205"/>
      <c r="B7" s="205"/>
      <c r="C7" s="205"/>
      <c r="D7" s="205"/>
      <c r="E7" s="205"/>
      <c r="F7" s="205"/>
      <c r="G7" s="205"/>
      <c r="H7" s="205"/>
      <c r="I7" s="205"/>
      <c r="J7" s="217"/>
      <c r="K7" s="212"/>
      <c r="L7" s="213" t="s">
        <v>285</v>
      </c>
      <c r="M7" s="214"/>
      <c r="N7" s="212" t="s">
        <v>286</v>
      </c>
      <c r="O7" s="215"/>
      <c r="P7" s="218"/>
      <c r="Q7" s="207" t="s">
        <v>287</v>
      </c>
      <c r="R7" s="206"/>
      <c r="S7" s="220" t="s">
        <v>288</v>
      </c>
    </row>
    <row r="8" spans="1:34" ht="15.75" thickBot="1">
      <c r="A8" s="205"/>
      <c r="B8" s="205"/>
      <c r="C8" s="205"/>
      <c r="D8" s="221" t="s">
        <v>289</v>
      </c>
      <c r="E8" s="205"/>
      <c r="F8" s="205"/>
      <c r="G8" s="221" t="s">
        <v>290</v>
      </c>
      <c r="H8" s="221" t="s">
        <v>291</v>
      </c>
      <c r="I8" s="205"/>
      <c r="J8" s="217"/>
      <c r="K8" s="218"/>
      <c r="L8" s="219" t="s">
        <v>292</v>
      </c>
      <c r="M8" s="207"/>
      <c r="N8" s="218" t="s">
        <v>293</v>
      </c>
      <c r="O8" s="206"/>
      <c r="P8" s="218"/>
      <c r="Q8" s="207" t="s">
        <v>294</v>
      </c>
      <c r="R8" s="206"/>
      <c r="S8" s="220" t="s">
        <v>295</v>
      </c>
    </row>
    <row r="9" spans="1:34" ht="15">
      <c r="A9" s="205"/>
      <c r="B9" s="205"/>
      <c r="C9" s="205"/>
      <c r="D9" s="221" t="s">
        <v>296</v>
      </c>
      <c r="E9" s="221" t="s">
        <v>4</v>
      </c>
      <c r="F9" s="221" t="s">
        <v>4</v>
      </c>
      <c r="G9" s="221" t="s">
        <v>296</v>
      </c>
      <c r="H9" s="221" t="s">
        <v>297</v>
      </c>
      <c r="I9" s="221" t="s">
        <v>4</v>
      </c>
      <c r="J9" s="221" t="s">
        <v>4</v>
      </c>
      <c r="K9" s="212"/>
      <c r="L9" s="213" t="s">
        <v>298</v>
      </c>
      <c r="M9" s="214"/>
      <c r="N9" s="212" t="s">
        <v>299</v>
      </c>
      <c r="O9" s="215"/>
      <c r="P9" s="212"/>
      <c r="Q9" s="213" t="s">
        <v>298</v>
      </c>
      <c r="R9" s="214"/>
      <c r="S9" s="220" t="s">
        <v>300</v>
      </c>
    </row>
    <row r="10" spans="1:34">
      <c r="A10" s="205"/>
      <c r="B10" s="221"/>
      <c r="C10" s="221"/>
      <c r="D10" s="221" t="s">
        <v>301</v>
      </c>
      <c r="E10" s="221" t="s">
        <v>302</v>
      </c>
      <c r="F10" s="221" t="s">
        <v>303</v>
      </c>
      <c r="G10" s="221" t="s">
        <v>301</v>
      </c>
      <c r="H10" s="221" t="s">
        <v>304</v>
      </c>
      <c r="I10" s="221" t="s">
        <v>302</v>
      </c>
      <c r="J10" s="221" t="s">
        <v>303</v>
      </c>
      <c r="K10" s="218"/>
      <c r="L10" s="219" t="s">
        <v>305</v>
      </c>
      <c r="M10" s="206"/>
      <c r="N10" s="218" t="s">
        <v>306</v>
      </c>
      <c r="O10" s="206"/>
      <c r="P10" s="218"/>
      <c r="Q10" s="219" t="s">
        <v>305</v>
      </c>
      <c r="R10" s="206"/>
      <c r="S10" s="220" t="s">
        <v>288</v>
      </c>
    </row>
    <row r="11" spans="1:34" ht="15" thickBot="1">
      <c r="A11" s="205"/>
      <c r="B11" s="221" t="s">
        <v>307</v>
      </c>
      <c r="C11" s="221" t="s">
        <v>307</v>
      </c>
      <c r="D11" s="221" t="s">
        <v>308</v>
      </c>
      <c r="E11" s="221" t="s">
        <v>309</v>
      </c>
      <c r="F11" s="221" t="s">
        <v>310</v>
      </c>
      <c r="G11" s="221" t="s">
        <v>308</v>
      </c>
      <c r="H11" s="221" t="s">
        <v>307</v>
      </c>
      <c r="I11" s="221" t="s">
        <v>309</v>
      </c>
      <c r="J11" s="221" t="s">
        <v>310</v>
      </c>
      <c r="K11" s="218"/>
      <c r="L11" s="219" t="s">
        <v>311</v>
      </c>
      <c r="M11" s="206"/>
      <c r="N11" s="218" t="s">
        <v>312</v>
      </c>
      <c r="O11" s="206"/>
      <c r="P11" s="218"/>
      <c r="Q11" s="219" t="s">
        <v>313</v>
      </c>
      <c r="R11" s="206"/>
      <c r="S11" s="220" t="s">
        <v>314</v>
      </c>
    </row>
    <row r="12" spans="1:34">
      <c r="A12" s="221" t="s">
        <v>315</v>
      </c>
      <c r="B12" s="221" t="s">
        <v>305</v>
      </c>
      <c r="C12" s="221" t="s">
        <v>305</v>
      </c>
      <c r="D12" s="221" t="s">
        <v>305</v>
      </c>
      <c r="E12" s="221" t="s">
        <v>310</v>
      </c>
      <c r="F12" s="221" t="s">
        <v>289</v>
      </c>
      <c r="G12" s="221" t="s">
        <v>305</v>
      </c>
      <c r="H12" s="221" t="s">
        <v>305</v>
      </c>
      <c r="I12" s="221" t="s">
        <v>310</v>
      </c>
      <c r="J12" s="221" t="s">
        <v>290</v>
      </c>
      <c r="K12" s="222" t="s">
        <v>289</v>
      </c>
      <c r="L12" s="223" t="s">
        <v>290</v>
      </c>
      <c r="M12" s="224"/>
      <c r="N12" s="222" t="s">
        <v>290</v>
      </c>
      <c r="O12" s="224"/>
      <c r="P12" s="222" t="s">
        <v>289</v>
      </c>
      <c r="Q12" s="223" t="s">
        <v>290</v>
      </c>
      <c r="R12" s="224"/>
      <c r="S12" s="225"/>
      <c r="T12"/>
      <c r="U12"/>
      <c r="V12"/>
      <c r="W12"/>
      <c r="X12"/>
      <c r="Y12"/>
      <c r="Z12"/>
      <c r="AA12"/>
      <c r="AB12"/>
      <c r="AC12"/>
      <c r="AD12"/>
      <c r="AE12"/>
      <c r="AF12"/>
      <c r="AG12"/>
      <c r="AH12"/>
    </row>
    <row r="13" spans="1:34" ht="15" thickBot="1">
      <c r="A13" s="205"/>
      <c r="B13" s="221" t="s">
        <v>316</v>
      </c>
      <c r="C13" s="221" t="s">
        <v>317</v>
      </c>
      <c r="D13" s="221" t="s">
        <v>318</v>
      </c>
      <c r="E13" s="221" t="s">
        <v>289</v>
      </c>
      <c r="F13" s="221" t="s">
        <v>318</v>
      </c>
      <c r="G13" s="221" t="s">
        <v>312</v>
      </c>
      <c r="H13" s="221" t="s">
        <v>319</v>
      </c>
      <c r="I13" s="221" t="s">
        <v>290</v>
      </c>
      <c r="J13" s="221" t="s">
        <v>312</v>
      </c>
      <c r="K13" s="226" t="s">
        <v>296</v>
      </c>
      <c r="L13" s="221" t="s">
        <v>296</v>
      </c>
      <c r="M13" s="227" t="s">
        <v>320</v>
      </c>
      <c r="N13" s="226" t="s">
        <v>296</v>
      </c>
      <c r="O13" s="227" t="s">
        <v>320</v>
      </c>
      <c r="P13" s="226" t="s">
        <v>296</v>
      </c>
      <c r="Q13" s="221" t="s">
        <v>296</v>
      </c>
      <c r="R13" s="227" t="s">
        <v>320</v>
      </c>
      <c r="S13" s="228"/>
      <c r="T13"/>
      <c r="U13"/>
      <c r="V13"/>
      <c r="W13"/>
      <c r="X13"/>
      <c r="Y13"/>
      <c r="Z13"/>
      <c r="AA13"/>
      <c r="AB13"/>
      <c r="AC13"/>
      <c r="AD13"/>
      <c r="AE13"/>
      <c r="AF13"/>
      <c r="AG13"/>
      <c r="AH13"/>
    </row>
    <row r="14" spans="1:34">
      <c r="A14" s="211"/>
      <c r="B14" s="229"/>
      <c r="C14" s="229"/>
      <c r="D14" s="229"/>
      <c r="E14" s="229"/>
      <c r="F14" s="229"/>
      <c r="G14" s="229"/>
      <c r="H14" s="229"/>
      <c r="I14" s="229"/>
      <c r="J14" s="229"/>
      <c r="K14" s="216"/>
      <c r="L14" s="229"/>
      <c r="M14" s="230"/>
      <c r="N14" s="231"/>
      <c r="O14" s="232"/>
      <c r="P14" s="231"/>
      <c r="Q14" s="233"/>
      <c r="R14" s="232"/>
      <c r="S14" s="234"/>
      <c r="T14"/>
      <c r="U14"/>
      <c r="V14"/>
      <c r="W14"/>
      <c r="X14"/>
      <c r="Y14"/>
      <c r="Z14"/>
      <c r="AA14"/>
      <c r="AB14"/>
      <c r="AC14"/>
      <c r="AD14"/>
      <c r="AE14"/>
      <c r="AF14"/>
      <c r="AG14"/>
      <c r="AH14"/>
    </row>
    <row r="15" spans="1:34" ht="15">
      <c r="A15" s="235" t="s">
        <v>681</v>
      </c>
      <c r="B15" s="429">
        <v>62438</v>
      </c>
      <c r="C15" s="429">
        <v>52599</v>
      </c>
      <c r="D15" s="429">
        <v>412</v>
      </c>
      <c r="E15" s="429">
        <v>53011</v>
      </c>
      <c r="F15" s="429">
        <v>9428</v>
      </c>
      <c r="G15" s="429">
        <v>16810</v>
      </c>
      <c r="H15" s="429">
        <v>28120</v>
      </c>
      <c r="I15" s="429">
        <v>44929</v>
      </c>
      <c r="J15" s="429">
        <v>7669</v>
      </c>
      <c r="K15" s="429">
        <v>59</v>
      </c>
      <c r="L15" s="429">
        <v>3484</v>
      </c>
      <c r="M15" s="429">
        <v>5903</v>
      </c>
      <c r="N15" s="429">
        <v>3803</v>
      </c>
      <c r="O15" s="429">
        <v>3866</v>
      </c>
      <c r="P15" s="429">
        <v>471</v>
      </c>
      <c r="Q15" s="429">
        <v>24094</v>
      </c>
      <c r="R15" s="429">
        <v>37870</v>
      </c>
      <c r="S15" s="429">
        <v>62438</v>
      </c>
      <c r="U15" s="275"/>
    </row>
    <row r="16" spans="1:34" ht="15">
      <c r="A16" s="235" t="s">
        <v>684</v>
      </c>
      <c r="B16" s="429">
        <v>46704</v>
      </c>
      <c r="C16" s="429">
        <v>40559</v>
      </c>
      <c r="D16" s="429">
        <v>490</v>
      </c>
      <c r="E16" s="429">
        <v>41049</v>
      </c>
      <c r="F16" s="429">
        <v>5655</v>
      </c>
      <c r="G16" s="429">
        <v>12357</v>
      </c>
      <c r="H16" s="429">
        <v>19419</v>
      </c>
      <c r="I16" s="429">
        <v>31776</v>
      </c>
      <c r="J16" s="429">
        <v>8783</v>
      </c>
      <c r="K16" s="429">
        <v>42</v>
      </c>
      <c r="L16" s="429">
        <v>1548</v>
      </c>
      <c r="M16" s="429">
        <v>4065</v>
      </c>
      <c r="N16" s="429">
        <v>3102</v>
      </c>
      <c r="O16" s="429">
        <v>5681</v>
      </c>
      <c r="P16" s="429">
        <v>532</v>
      </c>
      <c r="Q16" s="429">
        <v>17007</v>
      </c>
      <c r="R16" s="429">
        <v>29165</v>
      </c>
      <c r="S16" s="429">
        <v>46704</v>
      </c>
      <c r="U16" s="275"/>
    </row>
    <row r="17" spans="1:22" ht="15">
      <c r="A17" s="235" t="s">
        <v>687</v>
      </c>
      <c r="B17" s="429">
        <v>55120</v>
      </c>
      <c r="C17" s="429">
        <v>50721</v>
      </c>
      <c r="D17" s="429">
        <v>130</v>
      </c>
      <c r="E17" s="429">
        <v>50851</v>
      </c>
      <c r="F17" s="429">
        <v>4269</v>
      </c>
      <c r="G17" s="429">
        <v>8400</v>
      </c>
      <c r="H17" s="429">
        <v>30995</v>
      </c>
      <c r="I17" s="429">
        <v>39395</v>
      </c>
      <c r="J17" s="429">
        <v>11326</v>
      </c>
      <c r="K17" s="429">
        <v>13</v>
      </c>
      <c r="L17" s="429">
        <v>1491</v>
      </c>
      <c r="M17" s="429">
        <v>2765</v>
      </c>
      <c r="N17" s="429">
        <v>3773</v>
      </c>
      <c r="O17" s="429">
        <v>7553</v>
      </c>
      <c r="P17" s="429">
        <v>143</v>
      </c>
      <c r="Q17" s="429">
        <v>13664</v>
      </c>
      <c r="R17" s="429">
        <v>41313</v>
      </c>
      <c r="S17" s="429">
        <v>55120</v>
      </c>
      <c r="U17" s="275"/>
    </row>
    <row r="18" spans="1:22" ht="15">
      <c r="A18" s="235" t="s">
        <v>693</v>
      </c>
      <c r="B18" s="429">
        <v>44380</v>
      </c>
      <c r="C18" s="429">
        <v>35756</v>
      </c>
      <c r="D18" s="429">
        <v>400</v>
      </c>
      <c r="E18" s="429">
        <v>36156</v>
      </c>
      <c r="F18" s="429">
        <v>8224</v>
      </c>
      <c r="G18" s="429">
        <v>11053</v>
      </c>
      <c r="H18" s="429">
        <v>17473</v>
      </c>
      <c r="I18" s="429">
        <v>28526</v>
      </c>
      <c r="J18" s="429">
        <v>7230</v>
      </c>
      <c r="K18" s="429">
        <v>99</v>
      </c>
      <c r="L18" s="429">
        <v>3847</v>
      </c>
      <c r="M18" s="429">
        <v>4278</v>
      </c>
      <c r="N18" s="429">
        <v>3280</v>
      </c>
      <c r="O18" s="429">
        <v>3950</v>
      </c>
      <c r="P18" s="429">
        <v>499</v>
      </c>
      <c r="Q18" s="429">
        <v>18180</v>
      </c>
      <c r="R18" s="429">
        <v>25701</v>
      </c>
      <c r="S18" s="429">
        <v>44380</v>
      </c>
      <c r="U18" s="275"/>
    </row>
    <row r="19" spans="1:22" ht="15">
      <c r="A19" s="235" t="s">
        <v>694</v>
      </c>
      <c r="B19" s="429">
        <v>73224</v>
      </c>
      <c r="C19" s="429">
        <v>60776</v>
      </c>
      <c r="D19" s="429">
        <v>846</v>
      </c>
      <c r="E19" s="429">
        <v>61563</v>
      </c>
      <c r="F19" s="429">
        <v>11661</v>
      </c>
      <c r="G19" s="429">
        <v>15949</v>
      </c>
      <c r="H19" s="429">
        <v>30657</v>
      </c>
      <c r="I19" s="429">
        <v>46606</v>
      </c>
      <c r="J19" s="429">
        <v>14111</v>
      </c>
      <c r="K19" s="429">
        <v>134</v>
      </c>
      <c r="L19" s="429">
        <v>3712</v>
      </c>
      <c r="M19" s="429">
        <v>7815</v>
      </c>
      <c r="N19" s="429">
        <v>5316</v>
      </c>
      <c r="O19" s="429">
        <v>8795</v>
      </c>
      <c r="P19" s="429">
        <v>980</v>
      </c>
      <c r="Q19" s="429">
        <v>24977</v>
      </c>
      <c r="R19" s="429">
        <v>47267</v>
      </c>
      <c r="S19" s="429">
        <v>73224</v>
      </c>
      <c r="T19" s="257"/>
      <c r="U19" s="275"/>
      <c r="V19" s="257"/>
    </row>
    <row r="20" spans="1:22" ht="15">
      <c r="F20" s="258"/>
      <c r="H20" s="259"/>
      <c r="U20" s="275"/>
    </row>
    <row r="21" spans="1:22" ht="15">
      <c r="F21" s="258"/>
      <c r="H21" s="259"/>
      <c r="U21" s="275"/>
    </row>
    <row r="22" spans="1:22" ht="15">
      <c r="F22" s="258"/>
      <c r="H22" s="259"/>
      <c r="U22" s="275"/>
    </row>
    <row r="23" spans="1:22" ht="15">
      <c r="F23" s="258"/>
      <c r="H23" s="259"/>
      <c r="U23" s="275"/>
    </row>
    <row r="24" spans="1:22" ht="15">
      <c r="F24" s="258"/>
      <c r="H24" s="259"/>
      <c r="U24" s="275"/>
    </row>
    <row r="25" spans="1:22" ht="15">
      <c r="F25" s="258"/>
      <c r="H25" s="259"/>
      <c r="U25" s="275"/>
    </row>
    <row r="26" spans="1:22" ht="15">
      <c r="F26" s="258"/>
      <c r="H26" s="259"/>
      <c r="U26" s="275"/>
    </row>
    <row r="27" spans="1:22" ht="15">
      <c r="F27" s="258"/>
      <c r="H27" s="259"/>
      <c r="U27" s="275"/>
    </row>
    <row r="28" spans="1:22" ht="15">
      <c r="F28" s="258"/>
      <c r="H28" s="259"/>
      <c r="U28" s="275"/>
    </row>
    <row r="29" spans="1:22" ht="15">
      <c r="F29" s="258"/>
      <c r="H29" s="259"/>
      <c r="U29" s="275"/>
    </row>
    <row r="30" spans="1:22" ht="15">
      <c r="F30" s="258"/>
      <c r="H30" s="259"/>
      <c r="U30" s="275"/>
    </row>
    <row r="31" spans="1:22" ht="15">
      <c r="F31" s="258"/>
      <c r="H31" s="259"/>
      <c r="U31" s="275"/>
    </row>
    <row r="32" spans="1:22" ht="15">
      <c r="F32" s="258"/>
      <c r="H32" s="259"/>
      <c r="U32" s="275"/>
    </row>
    <row r="33" spans="6:21" ht="15">
      <c r="F33" s="258"/>
      <c r="H33" s="259"/>
      <c r="U33" s="275"/>
    </row>
    <row r="34" spans="6:21" ht="15">
      <c r="F34" s="258"/>
      <c r="H34" s="259"/>
      <c r="U34" s="275"/>
    </row>
    <row r="35" spans="6:21" ht="15">
      <c r="F35" s="258"/>
      <c r="H35" s="259"/>
      <c r="U35" s="275"/>
    </row>
    <row r="36" spans="6:21" ht="15">
      <c r="F36" s="258"/>
      <c r="H36" s="259"/>
      <c r="U36" s="275"/>
    </row>
    <row r="37" spans="6:21" ht="15">
      <c r="F37" s="258"/>
      <c r="H37" s="259"/>
      <c r="U37" s="275"/>
    </row>
    <row r="38" spans="6:21" ht="15">
      <c r="F38" s="258"/>
      <c r="H38" s="259"/>
      <c r="U38" s="275"/>
    </row>
    <row r="39" spans="6:21" ht="15">
      <c r="F39" s="258"/>
      <c r="H39" s="259"/>
      <c r="U39" s="275"/>
    </row>
    <row r="40" spans="6:21" ht="15">
      <c r="F40" s="258"/>
      <c r="H40" s="259"/>
      <c r="U40" s="275"/>
    </row>
    <row r="41" spans="6:21" ht="15">
      <c r="F41" s="258"/>
      <c r="H41" s="259"/>
      <c r="U41" s="275"/>
    </row>
    <row r="42" spans="6:21" ht="15">
      <c r="F42" s="258"/>
      <c r="H42" s="259"/>
      <c r="U42" s="275"/>
    </row>
    <row r="43" spans="6:21" ht="15">
      <c r="F43" s="258"/>
      <c r="H43" s="259"/>
      <c r="U43" s="275"/>
    </row>
    <row r="44" spans="6:21" ht="15">
      <c r="F44" s="258"/>
      <c r="H44" s="259"/>
      <c r="U44" s="275"/>
    </row>
    <row r="45" spans="6:21" ht="15">
      <c r="F45" s="258"/>
      <c r="H45" s="259"/>
      <c r="U45" s="275"/>
    </row>
    <row r="46" spans="6:21" ht="15">
      <c r="F46" s="258"/>
      <c r="H46" s="259"/>
      <c r="U46" s="275"/>
    </row>
    <row r="47" spans="6:21" ht="15">
      <c r="F47" s="258"/>
      <c r="H47" s="259"/>
      <c r="U47" s="275"/>
    </row>
    <row r="48" spans="6:21" ht="15">
      <c r="F48" s="258"/>
      <c r="H48" s="259"/>
      <c r="U48" s="275"/>
    </row>
    <row r="49" spans="6:21" ht="15">
      <c r="F49" s="258"/>
      <c r="H49" s="259"/>
      <c r="U49" s="275"/>
    </row>
    <row r="50" spans="6:21" ht="15">
      <c r="F50" s="258"/>
      <c r="H50" s="259"/>
      <c r="U50" s="275"/>
    </row>
    <row r="51" spans="6:21" ht="15">
      <c r="F51" s="258"/>
      <c r="H51" s="259"/>
      <c r="U51" s="275"/>
    </row>
    <row r="52" spans="6:21" ht="15">
      <c r="F52" s="258"/>
      <c r="H52" s="259"/>
      <c r="U52" s="275"/>
    </row>
    <row r="53" spans="6:21" ht="15">
      <c r="F53" s="258"/>
      <c r="H53" s="259"/>
      <c r="U53" s="275"/>
    </row>
    <row r="54" spans="6:21" ht="15">
      <c r="F54" s="258"/>
      <c r="H54" s="259"/>
      <c r="U54" s="275"/>
    </row>
    <row r="55" spans="6:21" ht="15">
      <c r="F55" s="258"/>
      <c r="H55" s="259"/>
      <c r="U55" s="275"/>
    </row>
    <row r="56" spans="6:21" ht="15">
      <c r="F56" s="258"/>
      <c r="H56" s="259"/>
      <c r="U56" s="275"/>
    </row>
    <row r="57" spans="6:21" ht="15">
      <c r="F57" s="258"/>
      <c r="H57" s="259"/>
      <c r="U57" s="275"/>
    </row>
    <row r="58" spans="6:21" ht="15">
      <c r="F58" s="258"/>
      <c r="H58" s="259"/>
      <c r="U58" s="275"/>
    </row>
    <row r="59" spans="6:21" ht="15">
      <c r="F59" s="258"/>
      <c r="H59" s="259"/>
      <c r="U59" s="275"/>
    </row>
    <row r="60" spans="6:21" ht="15">
      <c r="F60" s="258"/>
      <c r="H60" s="259"/>
      <c r="U60" s="275"/>
    </row>
    <row r="61" spans="6:21" ht="15">
      <c r="F61" s="258"/>
      <c r="H61" s="259"/>
      <c r="U61" s="275"/>
    </row>
    <row r="62" spans="6:21" ht="15">
      <c r="F62" s="258"/>
      <c r="H62" s="259"/>
      <c r="U62" s="275"/>
    </row>
    <row r="63" spans="6:21" ht="15">
      <c r="F63" s="258"/>
      <c r="H63" s="259"/>
      <c r="U63" s="275"/>
    </row>
    <row r="64" spans="6:21" ht="15">
      <c r="F64" s="258"/>
      <c r="H64" s="259"/>
      <c r="U64" s="275"/>
    </row>
    <row r="65" spans="6:21" ht="15">
      <c r="F65" s="258"/>
      <c r="H65" s="259"/>
      <c r="U65" s="275"/>
    </row>
    <row r="66" spans="6:21" ht="15">
      <c r="F66" s="258"/>
      <c r="H66" s="259"/>
      <c r="U66" s="275"/>
    </row>
    <row r="67" spans="6:21" ht="15">
      <c r="F67" s="258"/>
      <c r="H67" s="259"/>
      <c r="U67" s="275"/>
    </row>
    <row r="68" spans="6:21" ht="15">
      <c r="F68" s="258"/>
      <c r="H68" s="259"/>
      <c r="U68" s="275"/>
    </row>
    <row r="69" spans="6:21" ht="15">
      <c r="F69" s="258"/>
      <c r="H69" s="259"/>
      <c r="U69" s="275"/>
    </row>
    <row r="70" spans="6:21" ht="15">
      <c r="F70" s="258"/>
      <c r="H70" s="259"/>
      <c r="U70" s="275"/>
    </row>
    <row r="71" spans="6:21" ht="15">
      <c r="F71" s="258"/>
      <c r="H71" s="259"/>
      <c r="U71" s="275"/>
    </row>
    <row r="72" spans="6:21" ht="15">
      <c r="F72" s="258"/>
      <c r="H72" s="259"/>
      <c r="U72" s="275"/>
    </row>
    <row r="73" spans="6:21" ht="15">
      <c r="F73" s="258"/>
      <c r="H73" s="259"/>
      <c r="U73" s="275"/>
    </row>
    <row r="74" spans="6:21" ht="15">
      <c r="F74" s="258"/>
      <c r="H74" s="259"/>
      <c r="U74" s="275"/>
    </row>
    <row r="75" spans="6:21" ht="15">
      <c r="F75" s="258"/>
      <c r="H75" s="259"/>
      <c r="U75" s="275"/>
    </row>
    <row r="76" spans="6:21" ht="15">
      <c r="F76" s="258"/>
      <c r="H76" s="259"/>
      <c r="U76" s="275"/>
    </row>
    <row r="77" spans="6:21" ht="15">
      <c r="F77" s="258"/>
      <c r="H77" s="259"/>
      <c r="U77" s="275"/>
    </row>
    <row r="78" spans="6:21" ht="15">
      <c r="F78" s="258"/>
      <c r="H78" s="259"/>
      <c r="U78" s="275"/>
    </row>
    <row r="79" spans="6:21" ht="15">
      <c r="F79" s="258"/>
      <c r="H79" s="259"/>
      <c r="U79" s="275"/>
    </row>
    <row r="80" spans="6:21" ht="15">
      <c r="F80" s="258"/>
      <c r="H80" s="259"/>
      <c r="U80" s="275"/>
    </row>
    <row r="81" spans="6:21" ht="15">
      <c r="F81" s="258"/>
      <c r="H81" s="259"/>
      <c r="U81" s="275"/>
    </row>
    <row r="82" spans="6:21" ht="15">
      <c r="F82" s="258"/>
      <c r="H82" s="259"/>
      <c r="U82" s="275"/>
    </row>
    <row r="83" spans="6:21" ht="15">
      <c r="F83" s="258"/>
      <c r="H83" s="259"/>
      <c r="U83" s="275"/>
    </row>
    <row r="84" spans="6:21" ht="15">
      <c r="F84" s="258"/>
      <c r="H84" s="259"/>
      <c r="U84" s="275"/>
    </row>
    <row r="85" spans="6:21" ht="15">
      <c r="F85" s="258"/>
      <c r="H85" s="259"/>
      <c r="U85" s="275"/>
    </row>
    <row r="86" spans="6:21" ht="15">
      <c r="F86" s="258"/>
      <c r="H86" s="259"/>
      <c r="U86" s="275"/>
    </row>
    <row r="87" spans="6:21" ht="15">
      <c r="F87" s="258"/>
      <c r="H87" s="259"/>
      <c r="U87" s="275"/>
    </row>
    <row r="88" spans="6:21" ht="15">
      <c r="F88" s="258"/>
      <c r="H88" s="259"/>
      <c r="U88" s="275"/>
    </row>
    <row r="89" spans="6:21" ht="15">
      <c r="F89" s="258"/>
      <c r="H89" s="259"/>
      <c r="U89" s="275"/>
    </row>
    <row r="90" spans="6:21" ht="15">
      <c r="F90" s="258"/>
      <c r="H90" s="259"/>
      <c r="U90" s="275"/>
    </row>
    <row r="91" spans="6:21" ht="15">
      <c r="F91" s="258"/>
      <c r="H91" s="259"/>
      <c r="U91" s="275"/>
    </row>
    <row r="92" spans="6:21" ht="15">
      <c r="F92" s="258"/>
      <c r="H92" s="259"/>
      <c r="U92" s="275"/>
    </row>
    <row r="93" spans="6:21" ht="15">
      <c r="F93" s="258"/>
      <c r="H93" s="259"/>
      <c r="U93" s="275"/>
    </row>
    <row r="94" spans="6:21" ht="15">
      <c r="F94" s="258"/>
      <c r="H94" s="259"/>
      <c r="U94" s="275"/>
    </row>
    <row r="95" spans="6:21" ht="15">
      <c r="F95" s="258"/>
      <c r="H95" s="259"/>
      <c r="U95" s="275"/>
    </row>
    <row r="96" spans="6:21" ht="15">
      <c r="F96" s="258"/>
      <c r="H96" s="259"/>
      <c r="U96" s="275"/>
    </row>
    <row r="97" spans="6:21" ht="15">
      <c r="F97" s="258"/>
      <c r="H97" s="259"/>
      <c r="U97" s="275"/>
    </row>
    <row r="98" spans="6:21" ht="15">
      <c r="F98" s="258"/>
      <c r="H98" s="259"/>
      <c r="U98" s="275"/>
    </row>
    <row r="99" spans="6:21" ht="15">
      <c r="F99" s="258"/>
      <c r="H99" s="259"/>
      <c r="U99" s="275"/>
    </row>
    <row r="100" spans="6:21" ht="15">
      <c r="F100" s="258"/>
      <c r="H100" s="259"/>
      <c r="U100" s="275"/>
    </row>
    <row r="101" spans="6:21" ht="15">
      <c r="F101" s="258"/>
      <c r="H101" s="259"/>
      <c r="U101" s="275"/>
    </row>
    <row r="102" spans="6:21" ht="15">
      <c r="F102" s="258"/>
      <c r="H102" s="259"/>
      <c r="U102" s="275"/>
    </row>
    <row r="103" spans="6:21" ht="15">
      <c r="F103" s="258"/>
      <c r="H103" s="259"/>
      <c r="U103" s="275"/>
    </row>
    <row r="104" spans="6:21" ht="15">
      <c r="F104" s="258"/>
      <c r="H104" s="259"/>
      <c r="U104" s="275"/>
    </row>
    <row r="105" spans="6:21" ht="15">
      <c r="F105" s="258"/>
      <c r="H105" s="259"/>
      <c r="U105" s="275"/>
    </row>
    <row r="106" spans="6:21" ht="15">
      <c r="F106" s="258"/>
      <c r="H106" s="259"/>
      <c r="U106" s="275"/>
    </row>
    <row r="107" spans="6:21" ht="15">
      <c r="F107" s="258"/>
      <c r="H107" s="259"/>
      <c r="U107" s="275"/>
    </row>
    <row r="108" spans="6:21" ht="15">
      <c r="F108" s="258"/>
      <c r="H108" s="259"/>
      <c r="U108" s="275"/>
    </row>
    <row r="109" spans="6:21" ht="15">
      <c r="F109" s="258"/>
      <c r="H109" s="259"/>
      <c r="U109" s="275"/>
    </row>
    <row r="110" spans="6:21" ht="15">
      <c r="F110" s="258"/>
      <c r="H110" s="259"/>
      <c r="U110" s="275"/>
    </row>
    <row r="111" spans="6:21" ht="15">
      <c r="F111" s="258"/>
      <c r="H111" s="259"/>
      <c r="U111" s="275"/>
    </row>
    <row r="112" spans="6:21" ht="15">
      <c r="F112" s="258"/>
      <c r="H112" s="259"/>
      <c r="U112" s="275"/>
    </row>
    <row r="113" spans="6:21" ht="15">
      <c r="F113" s="258"/>
      <c r="H113" s="259"/>
      <c r="U113" s="275"/>
    </row>
    <row r="114" spans="6:21" ht="15">
      <c r="F114" s="258"/>
      <c r="H114" s="259"/>
      <c r="U114" s="275"/>
    </row>
    <row r="115" spans="6:21" ht="15">
      <c r="F115" s="258"/>
      <c r="H115" s="259"/>
      <c r="U115" s="275"/>
    </row>
    <row r="116" spans="6:21" ht="15">
      <c r="F116" s="258"/>
      <c r="H116" s="259"/>
      <c r="U116" s="275"/>
    </row>
    <row r="117" spans="6:21" ht="15">
      <c r="F117" s="258"/>
      <c r="H117" s="259"/>
      <c r="U117" s="275"/>
    </row>
    <row r="118" spans="6:21" ht="15">
      <c r="F118" s="258"/>
      <c r="H118" s="259"/>
      <c r="U118" s="275"/>
    </row>
    <row r="119" spans="6:21" ht="15">
      <c r="F119" s="258"/>
      <c r="H119" s="259"/>
      <c r="U119" s="275"/>
    </row>
    <row r="120" spans="6:21" ht="15">
      <c r="F120" s="258"/>
      <c r="H120" s="259"/>
      <c r="U120" s="275"/>
    </row>
    <row r="121" spans="6:21" ht="15">
      <c r="F121" s="258"/>
      <c r="H121" s="259"/>
      <c r="U121" s="275"/>
    </row>
    <row r="122" spans="6:21" ht="15">
      <c r="F122" s="258"/>
      <c r="H122" s="259"/>
      <c r="U122" s="275"/>
    </row>
    <row r="123" spans="6:21" ht="15">
      <c r="F123" s="258"/>
      <c r="H123" s="259"/>
      <c r="U123" s="275"/>
    </row>
    <row r="124" spans="6:21" ht="15">
      <c r="F124" s="258"/>
      <c r="H124" s="259"/>
      <c r="U124" s="275"/>
    </row>
    <row r="125" spans="6:21" ht="15">
      <c r="F125" s="258"/>
      <c r="H125" s="259"/>
      <c r="U125" s="275"/>
    </row>
    <row r="126" spans="6:21" ht="15">
      <c r="F126" s="258"/>
      <c r="H126" s="259"/>
      <c r="U126" s="275"/>
    </row>
    <row r="127" spans="6:21" ht="15">
      <c r="F127" s="258"/>
      <c r="H127" s="259"/>
    </row>
    <row r="128" spans="6:21" ht="15">
      <c r="F128" s="258"/>
      <c r="H128" s="259"/>
    </row>
    <row r="129" spans="6:8" ht="15">
      <c r="F129" s="258"/>
      <c r="H129" s="259"/>
    </row>
    <row r="130" spans="6:8" ht="15">
      <c r="F130" s="258"/>
      <c r="H130" s="259"/>
    </row>
    <row r="131" spans="6:8" ht="15">
      <c r="F131" s="258"/>
      <c r="H131" s="259"/>
    </row>
    <row r="132" spans="6:8" ht="15">
      <c r="F132" s="258"/>
      <c r="H132" s="259"/>
    </row>
    <row r="133" spans="6:8" ht="15">
      <c r="F133" s="258"/>
      <c r="H133" s="259"/>
    </row>
    <row r="134" spans="6:8" ht="15">
      <c r="F134" s="258"/>
      <c r="H134" s="259"/>
    </row>
    <row r="135" spans="6:8" ht="15">
      <c r="F135" s="258"/>
      <c r="H135" s="259"/>
    </row>
    <row r="136" spans="6:8" ht="15">
      <c r="F136" s="258"/>
      <c r="H136" s="259"/>
    </row>
    <row r="137" spans="6:8" ht="15">
      <c r="F137" s="258"/>
      <c r="H137" s="259"/>
    </row>
    <row r="138" spans="6:8" ht="15">
      <c r="F138" s="258"/>
      <c r="H138" s="259"/>
    </row>
    <row r="139" spans="6:8" ht="15">
      <c r="F139" s="258"/>
      <c r="H139" s="259"/>
    </row>
    <row r="140" spans="6:8" ht="15">
      <c r="F140" s="258"/>
      <c r="H140" s="259"/>
    </row>
    <row r="141" spans="6:8" ht="15">
      <c r="F141" s="258"/>
      <c r="H141" s="259"/>
    </row>
    <row r="142" spans="6:8" ht="15">
      <c r="F142" s="258"/>
      <c r="H142" s="259"/>
    </row>
    <row r="143" spans="6:8" ht="15">
      <c r="F143" s="258"/>
      <c r="H143" s="259"/>
    </row>
    <row r="144" spans="6:8" ht="15">
      <c r="F144" s="258"/>
      <c r="H144" s="259"/>
    </row>
    <row r="145" spans="6:8" ht="15">
      <c r="F145" s="258"/>
      <c r="H145" s="259"/>
    </row>
    <row r="146" spans="6:8" ht="15">
      <c r="F146" s="258"/>
      <c r="H146" s="259"/>
    </row>
    <row r="147" spans="6:8" ht="15">
      <c r="F147" s="258"/>
      <c r="H147" s="259"/>
    </row>
    <row r="148" spans="6:8" ht="15">
      <c r="F148" s="258"/>
      <c r="H148" s="259"/>
    </row>
    <row r="149" spans="6:8" ht="15">
      <c r="F149" s="258"/>
      <c r="H149" s="259"/>
    </row>
    <row r="150" spans="6:8" ht="15">
      <c r="F150" s="258"/>
      <c r="H150" s="259"/>
    </row>
    <row r="151" spans="6:8" ht="15">
      <c r="F151" s="258"/>
      <c r="H151" s="259"/>
    </row>
    <row r="152" spans="6:8" ht="15">
      <c r="F152" s="258"/>
      <c r="H152" s="259"/>
    </row>
    <row r="153" spans="6:8" ht="15">
      <c r="F153" s="258"/>
      <c r="H153" s="259"/>
    </row>
    <row r="154" spans="6:8" ht="15">
      <c r="F154" s="258"/>
      <c r="H154" s="259"/>
    </row>
    <row r="155" spans="6:8" ht="15">
      <c r="F155" s="258"/>
      <c r="H155" s="259"/>
    </row>
    <row r="156" spans="6:8" ht="15">
      <c r="F156" s="258"/>
      <c r="H156" s="259"/>
    </row>
    <row r="157" spans="6:8" ht="15">
      <c r="F157" s="258"/>
      <c r="H157" s="259"/>
    </row>
    <row r="158" spans="6:8" ht="15">
      <c r="F158" s="258"/>
      <c r="H158" s="259"/>
    </row>
    <row r="159" spans="6:8" ht="15">
      <c r="F159" s="258"/>
      <c r="H159" s="259"/>
    </row>
    <row r="160" spans="6:8" ht="15">
      <c r="F160" s="258"/>
      <c r="H160" s="259"/>
    </row>
    <row r="161" spans="6:8" ht="15">
      <c r="F161" s="258"/>
      <c r="H161" s="259"/>
    </row>
    <row r="162" spans="6:8" ht="15">
      <c r="F162" s="258"/>
      <c r="H162" s="259"/>
    </row>
    <row r="163" spans="6:8" ht="15">
      <c r="F163" s="258"/>
      <c r="H163" s="259"/>
    </row>
    <row r="164" spans="6:8" ht="15">
      <c r="F164" s="258"/>
      <c r="H164" s="259"/>
    </row>
    <row r="165" spans="6:8" ht="15">
      <c r="F165" s="258"/>
      <c r="H165" s="259"/>
    </row>
    <row r="166" spans="6:8" ht="15">
      <c r="F166" s="258"/>
      <c r="H166" s="259"/>
    </row>
    <row r="167" spans="6:8" ht="15">
      <c r="F167" s="258"/>
      <c r="H167" s="259"/>
    </row>
    <row r="168" spans="6:8" ht="15">
      <c r="F168" s="258"/>
      <c r="H168" s="259"/>
    </row>
    <row r="169" spans="6:8" ht="15">
      <c r="F169" s="258"/>
      <c r="H169" s="259"/>
    </row>
    <row r="170" spans="6:8" ht="15">
      <c r="F170" s="258"/>
      <c r="H170" s="259"/>
    </row>
    <row r="171" spans="6:8" ht="15">
      <c r="F171" s="258"/>
      <c r="H171" s="259"/>
    </row>
    <row r="172" spans="6:8" ht="15">
      <c r="F172" s="258"/>
      <c r="H172" s="259"/>
    </row>
    <row r="173" spans="6:8" ht="15">
      <c r="F173" s="258"/>
      <c r="H173" s="259"/>
    </row>
    <row r="174" spans="6:8" ht="15">
      <c r="F174" s="258"/>
      <c r="H174" s="259"/>
    </row>
    <row r="175" spans="6:8" ht="15">
      <c r="F175" s="258"/>
      <c r="H175" s="259"/>
    </row>
    <row r="176" spans="6:8" ht="15">
      <c r="F176" s="258"/>
      <c r="H176" s="259"/>
    </row>
    <row r="177" spans="6:8" ht="15">
      <c r="F177" s="258"/>
      <c r="H177" s="259"/>
    </row>
    <row r="178" spans="6:8" ht="15">
      <c r="F178" s="258"/>
      <c r="H178" s="259"/>
    </row>
    <row r="179" spans="6:8" ht="15">
      <c r="F179" s="258"/>
      <c r="H179" s="259"/>
    </row>
    <row r="180" spans="6:8" ht="15">
      <c r="F180" s="258"/>
      <c r="H180" s="259"/>
    </row>
    <row r="181" spans="6:8" ht="15">
      <c r="F181" s="258"/>
      <c r="H181" s="259"/>
    </row>
    <row r="182" spans="6:8" ht="15">
      <c r="F182" s="258"/>
      <c r="H182" s="259"/>
    </row>
    <row r="183" spans="6:8" ht="15">
      <c r="F183" s="258"/>
      <c r="H183" s="259"/>
    </row>
    <row r="184" spans="6:8" ht="15">
      <c r="F184" s="258"/>
      <c r="H184" s="259"/>
    </row>
    <row r="185" spans="6:8" ht="15">
      <c r="F185" s="258"/>
      <c r="H185" s="259"/>
    </row>
    <row r="186" spans="6:8" ht="15">
      <c r="F186" s="258"/>
      <c r="H186" s="259"/>
    </row>
    <row r="187" spans="6:8" ht="15">
      <c r="F187" s="258"/>
      <c r="H187" s="259"/>
    </row>
    <row r="188" spans="6:8" ht="15">
      <c r="F188" s="258"/>
      <c r="H188" s="259"/>
    </row>
    <row r="189" spans="6:8" ht="15">
      <c r="F189" s="258"/>
      <c r="H189" s="259"/>
    </row>
    <row r="190" spans="6:8" ht="15">
      <c r="F190" s="258"/>
      <c r="H190" s="259"/>
    </row>
    <row r="191" spans="6:8" ht="15">
      <c r="F191" s="258"/>
      <c r="H191" s="259"/>
    </row>
    <row r="192" spans="6:8" ht="15">
      <c r="F192" s="258"/>
      <c r="H192" s="259"/>
    </row>
    <row r="193" spans="6:8" ht="15">
      <c r="F193" s="258"/>
      <c r="H193" s="259"/>
    </row>
    <row r="194" spans="6:8" ht="15">
      <c r="F194" s="258"/>
      <c r="H194" s="259"/>
    </row>
    <row r="195" spans="6:8" ht="15">
      <c r="F195" s="258"/>
      <c r="H195" s="259"/>
    </row>
    <row r="196" spans="6:8" ht="15">
      <c r="F196" s="258"/>
      <c r="H196" s="259"/>
    </row>
    <row r="197" spans="6:8" ht="15">
      <c r="F197" s="258"/>
      <c r="H197" s="259"/>
    </row>
    <row r="198" spans="6:8" ht="15">
      <c r="F198" s="258"/>
      <c r="H198" s="259"/>
    </row>
    <row r="199" spans="6:8" ht="15">
      <c r="F199" s="258"/>
      <c r="H199" s="259"/>
    </row>
    <row r="200" spans="6:8" ht="15">
      <c r="F200" s="258"/>
      <c r="H200" s="259"/>
    </row>
    <row r="201" spans="6:8" ht="15">
      <c r="F201" s="258"/>
      <c r="H201" s="259"/>
    </row>
    <row r="202" spans="6:8" ht="15">
      <c r="F202" s="258"/>
      <c r="H202" s="259"/>
    </row>
    <row r="203" spans="6:8" ht="15">
      <c r="F203" s="258"/>
      <c r="H203" s="259"/>
    </row>
    <row r="204" spans="6:8" ht="15">
      <c r="F204" s="258"/>
      <c r="H204" s="259"/>
    </row>
    <row r="205" spans="6:8" ht="15">
      <c r="F205" s="258"/>
      <c r="H205" s="259"/>
    </row>
    <row r="206" spans="6:8" ht="15">
      <c r="F206" s="258"/>
      <c r="H206" s="259"/>
    </row>
    <row r="207" spans="6:8" ht="15">
      <c r="F207" s="258"/>
      <c r="H207" s="259"/>
    </row>
    <row r="208" spans="6:8" ht="15">
      <c r="F208" s="258"/>
      <c r="H208" s="259"/>
    </row>
    <row r="209" spans="6:8" ht="15">
      <c r="F209" s="258"/>
      <c r="H209" s="259"/>
    </row>
    <row r="210" spans="6:8" ht="15">
      <c r="F210" s="258"/>
      <c r="H210" s="259"/>
    </row>
    <row r="211" spans="6:8" ht="15">
      <c r="F211" s="258"/>
      <c r="H211" s="259"/>
    </row>
    <row r="212" spans="6:8" ht="15">
      <c r="F212" s="258"/>
      <c r="H212" s="259"/>
    </row>
    <row r="213" spans="6:8" ht="15">
      <c r="F213" s="258"/>
      <c r="H213" s="259"/>
    </row>
    <row r="214" spans="6:8" ht="15">
      <c r="F214" s="258"/>
      <c r="H214" s="259"/>
    </row>
    <row r="215" spans="6:8" ht="15">
      <c r="F215" s="258"/>
      <c r="H215" s="259"/>
    </row>
    <row r="216" spans="6:8" ht="15">
      <c r="F216" s="258"/>
      <c r="H216" s="259"/>
    </row>
    <row r="217" spans="6:8" ht="15">
      <c r="F217" s="258"/>
      <c r="H217" s="259"/>
    </row>
    <row r="218" spans="6:8" ht="15">
      <c r="F218" s="258"/>
      <c r="H218" s="259"/>
    </row>
    <row r="219" spans="6:8" ht="15">
      <c r="F219" s="258"/>
      <c r="H219" s="259"/>
    </row>
    <row r="220" spans="6:8" ht="15">
      <c r="F220" s="258"/>
      <c r="H220" s="259"/>
    </row>
    <row r="221" spans="6:8" ht="15">
      <c r="F221" s="258"/>
      <c r="H221" s="259"/>
    </row>
    <row r="222" spans="6:8" ht="15">
      <c r="F222" s="258"/>
      <c r="H222" s="259"/>
    </row>
    <row r="223" spans="6:8" ht="15">
      <c r="F223" s="258"/>
      <c r="H223" s="259"/>
    </row>
    <row r="224" spans="6:8" ht="15">
      <c r="F224" s="258"/>
      <c r="H224" s="259"/>
    </row>
    <row r="225" spans="6:8" ht="15">
      <c r="F225" s="258"/>
      <c r="H225" s="259"/>
    </row>
    <row r="226" spans="6:8" ht="15">
      <c r="F226" s="258"/>
      <c r="H226" s="259"/>
    </row>
    <row r="227" spans="6:8" ht="15">
      <c r="F227" s="258"/>
      <c r="H227" s="259"/>
    </row>
    <row r="228" spans="6:8" ht="15">
      <c r="F228" s="258"/>
      <c r="H228" s="259"/>
    </row>
    <row r="229" spans="6:8" ht="15">
      <c r="F229" s="258"/>
      <c r="H229" s="259"/>
    </row>
    <row r="230" spans="6:8" ht="15">
      <c r="F230" s="258"/>
      <c r="H230" s="259"/>
    </row>
  </sheetData>
  <phoneticPr fontId="0" type="noConversion"/>
  <pageMargins left="0.75" right="0.75" top="1" bottom="1" header="0.5" footer="0.5"/>
  <pageSetup scale="59" orientation="landscape" r:id="rId1"/>
  <headerFooter alignWithMargins="0">
    <oddHeader>&amp;LRRCA
Compact Accounting&amp;RPage &amp;P of &amp;N</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Z69"/>
  <sheetViews>
    <sheetView topLeftCell="N1" zoomScale="90" zoomScaleNormal="90" zoomScaleSheetLayoutView="70" workbookViewId="0">
      <selection activeCell="AC13" sqref="AC13"/>
    </sheetView>
  </sheetViews>
  <sheetFormatPr defaultColWidth="8.85546875" defaultRowHeight="12.75"/>
  <cols>
    <col min="1" max="1" width="18.85546875" style="14" customWidth="1"/>
    <col min="2" max="6" width="8.85546875" style="14" customWidth="1"/>
    <col min="7" max="7" width="18.85546875" style="14" customWidth="1"/>
    <col min="8" max="11" width="8.85546875" style="14" customWidth="1"/>
    <col min="12" max="12" width="8.85546875" style="14"/>
    <col min="13" max="13" width="18.85546875" style="14" customWidth="1"/>
    <col min="14" max="17" width="8.85546875" style="14" customWidth="1"/>
    <col min="18" max="18" width="8.85546875" style="14"/>
    <col min="19" max="20" width="18.85546875" style="14" customWidth="1"/>
    <col min="21" max="24" width="8.85546875" style="14" customWidth="1"/>
    <col min="25" max="25" width="19.28515625" style="14" customWidth="1"/>
    <col min="26" max="26" width="18.85546875" style="14" customWidth="1"/>
    <col min="27" max="29" width="8.85546875" style="14" customWidth="1"/>
    <col min="30" max="30" width="13.7109375" style="14" customWidth="1"/>
    <col min="31" max="31" width="8.85546875" style="14" customWidth="1"/>
    <col min="32" max="32" width="18.85546875" style="14" customWidth="1"/>
    <col min="33" max="33" width="17" style="14" bestFit="1" customWidth="1"/>
    <col min="34" max="35" width="8.85546875" style="14" customWidth="1"/>
    <col min="36" max="37" width="8.85546875" style="14"/>
    <col min="38" max="38" width="5.85546875" style="14" bestFit="1" customWidth="1"/>
    <col min="39" max="40" width="8.85546875" style="14"/>
    <col min="41" max="43" width="8.85546875" style="14" customWidth="1"/>
    <col min="44" max="44" width="18.85546875" style="14" customWidth="1"/>
    <col min="45" max="45" width="10.7109375" style="14" customWidth="1"/>
    <col min="46" max="46" width="10.28515625" style="14" customWidth="1"/>
    <col min="47" max="47" width="11.7109375" style="14" customWidth="1"/>
    <col min="48" max="48" width="10" style="14" customWidth="1"/>
    <col min="49" max="49" width="8.85546875" style="14"/>
    <col min="50" max="50" width="10" style="14" customWidth="1"/>
    <col min="51" max="51" width="10.7109375" style="14" customWidth="1"/>
    <col min="52" max="52" width="10" style="14" customWidth="1"/>
    <col min="53" max="16384" width="8.85546875" style="14"/>
  </cols>
  <sheetData>
    <row r="1" spans="1:52" ht="60" customHeight="1">
      <c r="A1" s="502" t="s">
        <v>679</v>
      </c>
      <c r="B1" s="503"/>
      <c r="C1" s="503"/>
      <c r="D1" s="503"/>
      <c r="E1" s="504"/>
      <c r="F1" s="435" t="s">
        <v>686</v>
      </c>
      <c r="G1" s="502" t="s">
        <v>685</v>
      </c>
      <c r="H1" s="503"/>
      <c r="I1" s="503"/>
      <c r="J1" s="503"/>
      <c r="K1" s="504"/>
      <c r="L1" s="445" t="s">
        <v>686</v>
      </c>
      <c r="M1" s="502" t="s">
        <v>688</v>
      </c>
      <c r="N1" s="503"/>
      <c r="O1" s="503"/>
      <c r="P1" s="503"/>
      <c r="Q1" s="504"/>
      <c r="R1" s="469" t="s">
        <v>686</v>
      </c>
      <c r="S1" s="555" t="s">
        <v>691</v>
      </c>
      <c r="T1" s="556"/>
      <c r="U1" s="556"/>
      <c r="V1" s="556"/>
      <c r="W1" s="557"/>
      <c r="X1" s="469" t="s">
        <v>686</v>
      </c>
      <c r="Y1" s="555" t="s">
        <v>692</v>
      </c>
      <c r="Z1" s="556"/>
      <c r="AA1" s="556"/>
      <c r="AB1" s="556"/>
      <c r="AC1" s="557"/>
      <c r="AD1" s="469" t="s">
        <v>697</v>
      </c>
      <c r="AE1" s="319"/>
      <c r="AF1" s="319"/>
      <c r="AG1" s="440"/>
      <c r="AH1" s="440"/>
      <c r="AI1" s="440"/>
      <c r="AJ1" s="440"/>
      <c r="AK1" s="440"/>
      <c r="AL1" s="440"/>
      <c r="AM1" s="440"/>
      <c r="AN1" s="440"/>
      <c r="AO1" s="440"/>
      <c r="AP1" s="440"/>
      <c r="AQ1" s="440"/>
      <c r="AR1" s="440"/>
      <c r="AS1" s="440"/>
      <c r="AT1" s="440"/>
      <c r="AU1" s="440"/>
      <c r="AV1" s="440"/>
      <c r="AW1" s="440"/>
      <c r="AX1" s="440"/>
      <c r="AY1" s="440"/>
      <c r="AZ1" s="440"/>
    </row>
    <row r="2" spans="1:52" ht="25.5" customHeight="1">
      <c r="A2" s="448" t="s">
        <v>242</v>
      </c>
      <c r="B2" s="448" t="s">
        <v>0</v>
      </c>
      <c r="C2" s="448" t="s">
        <v>161</v>
      </c>
      <c r="D2" s="448" t="s">
        <v>1</v>
      </c>
      <c r="E2" s="448" t="s">
        <v>1</v>
      </c>
      <c r="F2" s="319"/>
      <c r="G2" s="505" t="s">
        <v>242</v>
      </c>
      <c r="H2" s="505" t="s">
        <v>0</v>
      </c>
      <c r="I2" s="505" t="s">
        <v>161</v>
      </c>
      <c r="J2" s="505" t="s">
        <v>1</v>
      </c>
      <c r="K2" s="505" t="s">
        <v>1</v>
      </c>
      <c r="L2" s="319"/>
      <c r="M2" s="505" t="s">
        <v>242</v>
      </c>
      <c r="N2" s="505" t="s">
        <v>0</v>
      </c>
      <c r="O2" s="505" t="s">
        <v>161</v>
      </c>
      <c r="P2" s="505" t="s">
        <v>1</v>
      </c>
      <c r="Q2" s="505" t="s">
        <v>1</v>
      </c>
      <c r="R2" s="312"/>
      <c r="S2" s="558" t="s">
        <v>242</v>
      </c>
      <c r="T2" s="512" t="s">
        <v>0</v>
      </c>
      <c r="U2" s="512" t="s">
        <v>161</v>
      </c>
      <c r="V2" s="512" t="s">
        <v>1</v>
      </c>
      <c r="W2" s="512" t="s">
        <v>1</v>
      </c>
      <c r="X2" s="312"/>
      <c r="Y2" s="560" t="s">
        <v>242</v>
      </c>
      <c r="Z2" s="523" t="s">
        <v>0</v>
      </c>
      <c r="AA2" s="523" t="s">
        <v>161</v>
      </c>
      <c r="AB2" s="523" t="s">
        <v>1</v>
      </c>
      <c r="AC2" s="523" t="s">
        <v>1</v>
      </c>
      <c r="AD2" s="312"/>
      <c r="AE2" s="319"/>
      <c r="AF2" s="319"/>
      <c r="AG2" s="440"/>
      <c r="AH2" s="440"/>
      <c r="AI2" s="440"/>
      <c r="AJ2" s="440"/>
      <c r="AK2" s="440"/>
      <c r="AL2" s="319"/>
      <c r="AM2" s="319"/>
      <c r="AN2" s="319"/>
      <c r="AO2" s="319"/>
      <c r="AP2" s="319"/>
      <c r="AQ2" s="319"/>
      <c r="AR2" s="319"/>
      <c r="AS2" s="319"/>
      <c r="AT2" s="319"/>
      <c r="AU2" s="319"/>
      <c r="AV2" s="319"/>
      <c r="AW2" s="319"/>
      <c r="AX2" s="319"/>
      <c r="AY2" s="319"/>
      <c r="AZ2" s="319"/>
    </row>
    <row r="3" spans="1:52" ht="31.5">
      <c r="A3" s="449"/>
      <c r="B3" s="449" t="s">
        <v>243</v>
      </c>
      <c r="C3" s="449" t="s">
        <v>243</v>
      </c>
      <c r="D3" s="449" t="s">
        <v>243</v>
      </c>
      <c r="E3" s="449" t="s">
        <v>244</v>
      </c>
      <c r="F3" s="319"/>
      <c r="G3" s="506"/>
      <c r="H3" s="506" t="s">
        <v>243</v>
      </c>
      <c r="I3" s="506" t="s">
        <v>243</v>
      </c>
      <c r="J3" s="506" t="s">
        <v>243</v>
      </c>
      <c r="K3" s="506" t="s">
        <v>244</v>
      </c>
      <c r="L3" s="319"/>
      <c r="M3" s="506"/>
      <c r="N3" s="506" t="s">
        <v>243</v>
      </c>
      <c r="O3" s="506" t="s">
        <v>243</v>
      </c>
      <c r="P3" s="506" t="s">
        <v>243</v>
      </c>
      <c r="Q3" s="506" t="s">
        <v>244</v>
      </c>
      <c r="R3" s="312"/>
      <c r="S3" s="559"/>
      <c r="T3" s="513" t="s">
        <v>243</v>
      </c>
      <c r="U3" s="513" t="s">
        <v>243</v>
      </c>
      <c r="V3" s="513" t="s">
        <v>243</v>
      </c>
      <c r="W3" s="513" t="s">
        <v>244</v>
      </c>
      <c r="X3" s="312"/>
      <c r="Y3" s="561"/>
      <c r="Z3" s="523" t="s">
        <v>243</v>
      </c>
      <c r="AA3" s="523" t="s">
        <v>243</v>
      </c>
      <c r="AB3" s="523" t="s">
        <v>243</v>
      </c>
      <c r="AC3" s="523" t="s">
        <v>244</v>
      </c>
      <c r="AD3" s="312"/>
      <c r="AE3" s="319"/>
      <c r="AF3" s="319"/>
      <c r="AG3" s="440"/>
      <c r="AH3" s="440"/>
      <c r="AI3" s="440"/>
      <c r="AJ3" s="440"/>
      <c r="AK3" s="440"/>
      <c r="AL3" s="319"/>
      <c r="AM3" s="319"/>
      <c r="AN3" s="319"/>
      <c r="AO3" s="319"/>
      <c r="AP3" s="319"/>
      <c r="AQ3" s="319"/>
      <c r="AR3" s="319"/>
      <c r="AS3" s="319"/>
      <c r="AT3" s="319"/>
      <c r="AU3" s="319"/>
      <c r="AV3" s="319"/>
      <c r="AW3" s="319"/>
      <c r="AX3" s="319"/>
      <c r="AY3" s="319"/>
      <c r="AZ3" s="319"/>
    </row>
    <row r="4" spans="1:52" ht="15" customHeight="1">
      <c r="A4" s="425" t="s">
        <v>15</v>
      </c>
      <c r="B4" s="426">
        <v>2102</v>
      </c>
      <c r="C4" s="426">
        <v>157</v>
      </c>
      <c r="D4" s="426">
        <v>77</v>
      </c>
      <c r="E4" s="426">
        <v>0</v>
      </c>
      <c r="F4" s="319"/>
      <c r="G4" s="454" t="s">
        <v>15</v>
      </c>
      <c r="H4" s="451">
        <v>2639</v>
      </c>
      <c r="I4" s="451">
        <v>178</v>
      </c>
      <c r="J4" s="451">
        <v>112</v>
      </c>
      <c r="K4" s="451">
        <v>0</v>
      </c>
      <c r="L4" s="319"/>
      <c r="M4" s="454" t="s">
        <v>15</v>
      </c>
      <c r="N4" s="451">
        <v>2084</v>
      </c>
      <c r="O4" s="451">
        <v>111</v>
      </c>
      <c r="P4" s="451">
        <v>76</v>
      </c>
      <c r="Q4" s="451">
        <v>0</v>
      </c>
      <c r="R4" s="312"/>
      <c r="S4" s="425" t="s">
        <v>15</v>
      </c>
      <c r="T4" s="451">
        <v>1646</v>
      </c>
      <c r="U4" s="451">
        <v>81</v>
      </c>
      <c r="V4" s="451">
        <v>73</v>
      </c>
      <c r="W4" s="451">
        <v>0</v>
      </c>
      <c r="X4" s="312"/>
      <c r="Y4" s="524" t="s">
        <v>15</v>
      </c>
      <c r="Z4" s="525">
        <v>1443</v>
      </c>
      <c r="AA4" s="525">
        <v>115</v>
      </c>
      <c r="AB4" s="525">
        <v>110</v>
      </c>
      <c r="AC4" s="525">
        <v>0</v>
      </c>
      <c r="AD4" s="312"/>
      <c r="AE4" s="319"/>
      <c r="AF4" s="319"/>
      <c r="AG4" s="442"/>
      <c r="AH4" s="319"/>
      <c r="AI4" s="319"/>
      <c r="AJ4" s="319"/>
      <c r="AK4" s="319"/>
      <c r="AL4" s="319"/>
      <c r="AM4" s="319"/>
      <c r="AN4" s="319"/>
      <c r="AO4" s="319"/>
      <c r="AP4" s="319"/>
      <c r="AQ4" s="319"/>
      <c r="AR4" s="319"/>
      <c r="AS4" s="319"/>
      <c r="AT4" s="319"/>
      <c r="AU4" s="319"/>
      <c r="AV4" s="319"/>
      <c r="AW4" s="319"/>
      <c r="AX4" s="319"/>
      <c r="AY4" s="319"/>
      <c r="AZ4" s="319"/>
    </row>
    <row r="5" spans="1:52" ht="15" customHeight="1">
      <c r="A5" s="425" t="s">
        <v>22</v>
      </c>
      <c r="B5" s="426">
        <v>0</v>
      </c>
      <c r="C5" s="426">
        <v>6391</v>
      </c>
      <c r="D5" s="426">
        <v>4451</v>
      </c>
      <c r="E5" s="426">
        <v>0</v>
      </c>
      <c r="F5" s="319"/>
      <c r="G5" s="454" t="s">
        <v>22</v>
      </c>
      <c r="H5" s="451">
        <v>0</v>
      </c>
      <c r="I5" s="451">
        <v>6564</v>
      </c>
      <c r="J5" s="451">
        <v>4284</v>
      </c>
      <c r="K5" s="451">
        <v>0</v>
      </c>
      <c r="L5" s="319"/>
      <c r="M5" s="454" t="s">
        <v>22</v>
      </c>
      <c r="N5" s="451">
        <v>0</v>
      </c>
      <c r="O5" s="451">
        <v>6509</v>
      </c>
      <c r="P5" s="451">
        <v>4081</v>
      </c>
      <c r="Q5" s="451">
        <v>0</v>
      </c>
      <c r="R5" s="312"/>
      <c r="S5" s="425" t="s">
        <v>22</v>
      </c>
      <c r="T5" s="451">
        <v>0</v>
      </c>
      <c r="U5" s="451">
        <v>6025</v>
      </c>
      <c r="V5" s="451">
        <v>3875</v>
      </c>
      <c r="W5" s="451">
        <v>0</v>
      </c>
      <c r="X5" s="312"/>
      <c r="Y5" s="524" t="s">
        <v>22</v>
      </c>
      <c r="Z5" s="525">
        <v>0</v>
      </c>
      <c r="AA5" s="525">
        <v>5163</v>
      </c>
      <c r="AB5" s="525">
        <v>3228</v>
      </c>
      <c r="AC5" s="525">
        <v>0</v>
      </c>
      <c r="AD5" s="312"/>
      <c r="AE5" s="319"/>
      <c r="AF5" s="319"/>
      <c r="AG5" s="441"/>
      <c r="AH5" s="319"/>
      <c r="AI5" s="319"/>
      <c r="AJ5" s="319"/>
      <c r="AK5" s="319"/>
      <c r="AL5" s="319"/>
      <c r="AM5" s="319"/>
      <c r="AN5" s="319"/>
      <c r="AO5" s="319"/>
      <c r="AP5" s="319"/>
      <c r="AQ5" s="319"/>
      <c r="AR5" s="319"/>
      <c r="AS5" s="319"/>
      <c r="AT5" s="319"/>
      <c r="AU5" s="319"/>
      <c r="AV5" s="319"/>
      <c r="AW5" s="319"/>
      <c r="AX5" s="319"/>
      <c r="AY5" s="319"/>
      <c r="AZ5" s="319"/>
    </row>
    <row r="6" spans="1:52" ht="15" customHeight="1">
      <c r="A6" s="425" t="s">
        <v>16</v>
      </c>
      <c r="B6" s="426">
        <v>502</v>
      </c>
      <c r="C6" s="426">
        <v>0</v>
      </c>
      <c r="D6" s="426">
        <v>3544</v>
      </c>
      <c r="E6" s="426">
        <v>0</v>
      </c>
      <c r="F6" s="319"/>
      <c r="G6" s="454" t="s">
        <v>16</v>
      </c>
      <c r="H6" s="451">
        <v>521</v>
      </c>
      <c r="I6" s="451">
        <v>0</v>
      </c>
      <c r="J6" s="451">
        <v>3601</v>
      </c>
      <c r="K6" s="451">
        <v>0</v>
      </c>
      <c r="L6" s="319"/>
      <c r="M6" s="454" t="s">
        <v>16</v>
      </c>
      <c r="N6" s="451">
        <v>537</v>
      </c>
      <c r="O6" s="451">
        <v>0</v>
      </c>
      <c r="P6" s="451">
        <v>3660</v>
      </c>
      <c r="Q6" s="451">
        <v>0</v>
      </c>
      <c r="R6" s="312"/>
      <c r="S6" s="425" t="s">
        <v>16</v>
      </c>
      <c r="T6" s="451">
        <v>482</v>
      </c>
      <c r="U6" s="451">
        <v>0</v>
      </c>
      <c r="V6" s="451">
        <v>3603</v>
      </c>
      <c r="W6" s="451">
        <v>0</v>
      </c>
      <c r="X6" s="312"/>
      <c r="Y6" s="524" t="s">
        <v>16</v>
      </c>
      <c r="Z6" s="525">
        <v>437</v>
      </c>
      <c r="AA6" s="525">
        <v>0</v>
      </c>
      <c r="AB6" s="525">
        <v>3569</v>
      </c>
      <c r="AC6" s="525">
        <v>0</v>
      </c>
      <c r="AD6" s="312"/>
      <c r="AE6" s="319"/>
      <c r="AF6" s="319"/>
      <c r="AG6" s="443"/>
      <c r="AH6" s="319"/>
      <c r="AI6" s="319"/>
      <c r="AJ6" s="319"/>
      <c r="AK6" s="319"/>
      <c r="AL6" s="319"/>
      <c r="AM6" s="319"/>
      <c r="AN6" s="319"/>
      <c r="AO6" s="319"/>
      <c r="AP6" s="319"/>
      <c r="AQ6" s="319"/>
      <c r="AR6" s="319"/>
      <c r="AS6" s="319"/>
      <c r="AT6" s="319"/>
      <c r="AU6" s="319"/>
      <c r="AV6" s="319"/>
      <c r="AW6" s="319"/>
      <c r="AX6" s="319"/>
      <c r="AY6" s="319"/>
      <c r="AZ6" s="319"/>
    </row>
    <row r="7" spans="1:52" ht="15" customHeight="1">
      <c r="A7" s="425" t="s">
        <v>19</v>
      </c>
      <c r="B7" s="426">
        <v>0</v>
      </c>
      <c r="C7" s="426">
        <v>0</v>
      </c>
      <c r="D7" s="426">
        <v>891</v>
      </c>
      <c r="E7" s="426">
        <v>0</v>
      </c>
      <c r="F7" s="319"/>
      <c r="G7" s="454" t="s">
        <v>19</v>
      </c>
      <c r="H7" s="451">
        <v>0</v>
      </c>
      <c r="I7" s="451">
        <v>0</v>
      </c>
      <c r="J7" s="451">
        <v>867</v>
      </c>
      <c r="K7" s="451">
        <v>0</v>
      </c>
      <c r="L7" s="319"/>
      <c r="M7" s="454" t="s">
        <v>19</v>
      </c>
      <c r="N7" s="451">
        <v>0</v>
      </c>
      <c r="O7" s="451">
        <v>0</v>
      </c>
      <c r="P7" s="451">
        <v>826</v>
      </c>
      <c r="Q7" s="451">
        <v>0</v>
      </c>
      <c r="R7" s="312"/>
      <c r="S7" s="425" t="s">
        <v>19</v>
      </c>
      <c r="T7" s="451">
        <v>0</v>
      </c>
      <c r="U7" s="451">
        <v>0</v>
      </c>
      <c r="V7" s="451">
        <v>811</v>
      </c>
      <c r="W7" s="451">
        <v>0</v>
      </c>
      <c r="X7" s="312"/>
      <c r="Y7" s="524" t="s">
        <v>19</v>
      </c>
      <c r="Z7" s="525">
        <v>0</v>
      </c>
      <c r="AA7" s="525">
        <v>0</v>
      </c>
      <c r="AB7" s="525">
        <v>828</v>
      </c>
      <c r="AC7" s="525">
        <v>0</v>
      </c>
      <c r="AD7" s="312"/>
      <c r="AE7" s="319"/>
      <c r="AF7" s="319"/>
      <c r="AG7" s="443"/>
      <c r="AH7" s="319"/>
      <c r="AI7" s="319"/>
      <c r="AJ7" s="319"/>
      <c r="AK7" s="319"/>
      <c r="AL7" s="319"/>
      <c r="AM7" s="319"/>
      <c r="AN7" s="319"/>
      <c r="AO7" s="319"/>
      <c r="AP7" s="319"/>
      <c r="AQ7" s="319"/>
      <c r="AR7" s="319"/>
      <c r="AS7" s="319"/>
      <c r="AT7" s="319"/>
      <c r="AU7" s="319"/>
      <c r="AV7" s="319"/>
      <c r="AW7" s="319"/>
      <c r="AX7" s="319"/>
      <c r="AY7" s="319"/>
      <c r="AZ7" s="319"/>
    </row>
    <row r="8" spans="1:52" ht="15" customHeight="1">
      <c r="A8" s="425" t="s">
        <v>18</v>
      </c>
      <c r="B8" s="426">
        <v>1206</v>
      </c>
      <c r="C8" s="426">
        <v>0</v>
      </c>
      <c r="D8" s="426">
        <v>75001</v>
      </c>
      <c r="E8" s="426">
        <v>0</v>
      </c>
      <c r="F8" s="319"/>
      <c r="G8" s="454" t="s">
        <v>18</v>
      </c>
      <c r="H8" s="451">
        <v>1162</v>
      </c>
      <c r="I8" s="451">
        <v>0</v>
      </c>
      <c r="J8" s="451">
        <v>77402</v>
      </c>
      <c r="K8" s="451">
        <v>10</v>
      </c>
      <c r="L8" s="319"/>
      <c r="M8" s="454" t="s">
        <v>18</v>
      </c>
      <c r="N8" s="451">
        <v>1669</v>
      </c>
      <c r="O8" s="451">
        <v>0</v>
      </c>
      <c r="P8" s="451">
        <v>76759</v>
      </c>
      <c r="Q8" s="451">
        <v>10</v>
      </c>
      <c r="R8" s="312"/>
      <c r="S8" s="425" t="s">
        <v>18</v>
      </c>
      <c r="T8" s="451">
        <v>1121</v>
      </c>
      <c r="U8" s="451">
        <v>0</v>
      </c>
      <c r="V8" s="451">
        <v>73673</v>
      </c>
      <c r="W8" s="451">
        <v>0</v>
      </c>
      <c r="X8" s="312"/>
      <c r="Y8" s="524" t="s">
        <v>18</v>
      </c>
      <c r="Z8" s="525">
        <v>183</v>
      </c>
      <c r="AA8" s="525">
        <v>0</v>
      </c>
      <c r="AB8" s="525">
        <v>74743</v>
      </c>
      <c r="AC8" s="525">
        <v>0</v>
      </c>
      <c r="AD8" s="312"/>
      <c r="AE8" s="319"/>
      <c r="AF8" s="319"/>
      <c r="AG8" s="443"/>
      <c r="AH8" s="319"/>
      <c r="AI8" s="319"/>
      <c r="AJ8" s="319"/>
      <c r="AK8" s="319"/>
      <c r="AL8" s="319"/>
      <c r="AM8" s="319"/>
      <c r="AN8" s="319"/>
      <c r="AO8" s="319"/>
      <c r="AP8" s="319"/>
      <c r="AQ8" s="319"/>
      <c r="AR8" s="319"/>
      <c r="AS8" s="319"/>
      <c r="AT8" s="319"/>
      <c r="AU8" s="319"/>
      <c r="AV8" s="319"/>
      <c r="AW8" s="319"/>
      <c r="AX8" s="319"/>
      <c r="AY8" s="319"/>
      <c r="AZ8" s="319"/>
    </row>
    <row r="9" spans="1:52" ht="15" customHeight="1">
      <c r="A9" s="425" t="s">
        <v>14</v>
      </c>
      <c r="B9" s="426">
        <v>16906</v>
      </c>
      <c r="C9" s="426">
        <v>0</v>
      </c>
      <c r="D9" s="426">
        <v>1174</v>
      </c>
      <c r="E9" s="426">
        <v>0</v>
      </c>
      <c r="F9" s="319"/>
      <c r="G9" s="454" t="s">
        <v>14</v>
      </c>
      <c r="H9" s="451">
        <v>17365</v>
      </c>
      <c r="I9" s="451">
        <v>0</v>
      </c>
      <c r="J9" s="451">
        <v>1205</v>
      </c>
      <c r="K9" s="451">
        <v>0</v>
      </c>
      <c r="L9" s="319"/>
      <c r="M9" s="454" t="s">
        <v>14</v>
      </c>
      <c r="N9" s="451">
        <v>17492</v>
      </c>
      <c r="O9" s="451">
        <v>0</v>
      </c>
      <c r="P9" s="451">
        <v>1229</v>
      </c>
      <c r="Q9" s="451">
        <v>0</v>
      </c>
      <c r="R9" s="312"/>
      <c r="S9" s="425" t="s">
        <v>14</v>
      </c>
      <c r="T9" s="451">
        <v>17390</v>
      </c>
      <c r="U9" s="451">
        <v>0</v>
      </c>
      <c r="V9" s="451">
        <v>1246</v>
      </c>
      <c r="W9" s="451">
        <v>0</v>
      </c>
      <c r="X9" s="312"/>
      <c r="Y9" s="524" t="s">
        <v>14</v>
      </c>
      <c r="Z9" s="525">
        <v>17951</v>
      </c>
      <c r="AA9" s="525">
        <v>0</v>
      </c>
      <c r="AB9" s="525">
        <v>1272</v>
      </c>
      <c r="AC9" s="525">
        <v>0</v>
      </c>
      <c r="AD9" s="312"/>
      <c r="AE9" s="319"/>
      <c r="AF9" s="319"/>
      <c r="AG9" s="443"/>
      <c r="AH9" s="319"/>
      <c r="AI9" s="319"/>
      <c r="AJ9" s="319"/>
      <c r="AK9" s="319"/>
      <c r="AL9" s="319"/>
      <c r="AM9" s="319"/>
      <c r="AN9" s="319"/>
      <c r="AO9" s="319"/>
      <c r="AP9" s="319"/>
      <c r="AQ9" s="319"/>
      <c r="AR9" s="319"/>
      <c r="AS9" s="319"/>
      <c r="AT9" s="319"/>
      <c r="AU9" s="319"/>
      <c r="AV9" s="319"/>
      <c r="AW9" s="319"/>
      <c r="AX9" s="319"/>
      <c r="AY9" s="319"/>
      <c r="AZ9" s="319"/>
    </row>
    <row r="10" spans="1:52" ht="15" customHeight="1">
      <c r="A10" s="425" t="s">
        <v>245</v>
      </c>
      <c r="B10" s="426">
        <v>-3304</v>
      </c>
      <c r="C10" s="426">
        <v>101</v>
      </c>
      <c r="D10" s="426">
        <v>6821</v>
      </c>
      <c r="E10" s="426">
        <v>0</v>
      </c>
      <c r="F10" s="319"/>
      <c r="G10" s="454" t="s">
        <v>245</v>
      </c>
      <c r="H10" s="451">
        <v>-1951</v>
      </c>
      <c r="I10" s="451">
        <v>109</v>
      </c>
      <c r="J10" s="451">
        <v>8375</v>
      </c>
      <c r="K10" s="451">
        <v>0</v>
      </c>
      <c r="L10" s="319"/>
      <c r="M10" s="454" t="s">
        <v>245</v>
      </c>
      <c r="N10" s="451">
        <v>-2538</v>
      </c>
      <c r="O10" s="451">
        <v>147</v>
      </c>
      <c r="P10" s="451">
        <v>7245</v>
      </c>
      <c r="Q10" s="451">
        <v>0</v>
      </c>
      <c r="R10" s="312"/>
      <c r="S10" s="425" t="s">
        <v>245</v>
      </c>
      <c r="T10" s="451">
        <v>-5130</v>
      </c>
      <c r="U10" s="451">
        <v>166</v>
      </c>
      <c r="V10" s="451">
        <v>4457</v>
      </c>
      <c r="W10" s="451">
        <v>0</v>
      </c>
      <c r="X10" s="312"/>
      <c r="Y10" s="524" t="s">
        <v>245</v>
      </c>
      <c r="Z10" s="525">
        <v>-3856</v>
      </c>
      <c r="AA10" s="525">
        <v>34</v>
      </c>
      <c r="AB10" s="525">
        <v>6209</v>
      </c>
      <c r="AC10" s="525">
        <v>0</v>
      </c>
      <c r="AD10" s="312"/>
      <c r="AE10" s="319"/>
      <c r="AF10" s="319"/>
      <c r="AG10" s="443"/>
      <c r="AH10" s="319"/>
      <c r="AI10" s="319"/>
      <c r="AJ10" s="319"/>
      <c r="AK10" s="319"/>
      <c r="AL10" s="319"/>
      <c r="AM10" s="319"/>
      <c r="AN10" s="319"/>
      <c r="AO10" s="319"/>
      <c r="AP10" s="319"/>
      <c r="AQ10" s="319"/>
      <c r="AR10" s="319"/>
      <c r="AS10" s="319"/>
      <c r="AT10" s="319"/>
      <c r="AU10" s="319"/>
      <c r="AV10" s="319"/>
      <c r="AW10" s="319"/>
      <c r="AX10" s="319"/>
      <c r="AY10" s="319"/>
      <c r="AZ10" s="319"/>
    </row>
    <row r="11" spans="1:52" ht="15" customHeight="1">
      <c r="A11" s="425" t="s">
        <v>246</v>
      </c>
      <c r="B11" s="426">
        <v>-26</v>
      </c>
      <c r="C11" s="426">
        <v>-198</v>
      </c>
      <c r="D11" s="426">
        <v>30673</v>
      </c>
      <c r="E11" s="426">
        <v>8493</v>
      </c>
      <c r="F11" s="319"/>
      <c r="G11" s="454" t="s">
        <v>246</v>
      </c>
      <c r="H11" s="451">
        <v>-41</v>
      </c>
      <c r="I11" s="451">
        <v>747</v>
      </c>
      <c r="J11" s="451">
        <v>52620</v>
      </c>
      <c r="K11" s="451">
        <v>13866</v>
      </c>
      <c r="L11" s="319"/>
      <c r="M11" s="454" t="s">
        <v>246</v>
      </c>
      <c r="N11" s="451">
        <v>0</v>
      </c>
      <c r="O11" s="451">
        <v>64</v>
      </c>
      <c r="P11" s="451">
        <v>49949</v>
      </c>
      <c r="Q11" s="451">
        <v>14331</v>
      </c>
      <c r="R11" s="312"/>
      <c r="S11" s="425" t="s">
        <v>246</v>
      </c>
      <c r="T11" s="451">
        <v>0</v>
      </c>
      <c r="U11" s="451">
        <v>-1056</v>
      </c>
      <c r="V11" s="451">
        <v>20663</v>
      </c>
      <c r="W11" s="451">
        <v>7560</v>
      </c>
      <c r="X11" s="312"/>
      <c r="Y11" s="524" t="s">
        <v>246</v>
      </c>
      <c r="Z11" s="525">
        <v>0</v>
      </c>
      <c r="AA11" s="525">
        <v>-470</v>
      </c>
      <c r="AB11" s="525">
        <v>29183</v>
      </c>
      <c r="AC11" s="525">
        <v>9921</v>
      </c>
      <c r="AD11" s="312"/>
      <c r="AE11" s="319"/>
      <c r="AF11" s="319"/>
      <c r="AG11" s="443"/>
      <c r="AH11" s="319"/>
      <c r="AI11" s="319"/>
      <c r="AJ11" s="319"/>
      <c r="AK11" s="319"/>
      <c r="AL11" s="319"/>
      <c r="AM11" s="319"/>
      <c r="AN11" s="319"/>
      <c r="AO11" s="319"/>
      <c r="AP11" s="319"/>
      <c r="AQ11" s="319"/>
      <c r="AR11" s="319"/>
      <c r="AS11" s="319"/>
      <c r="AT11" s="319"/>
      <c r="AU11" s="319"/>
      <c r="AV11" s="319"/>
      <c r="AW11" s="319"/>
      <c r="AX11" s="319"/>
      <c r="AY11" s="319"/>
      <c r="AZ11" s="319"/>
    </row>
    <row r="12" spans="1:52" ht="15" customHeight="1">
      <c r="A12" s="425" t="s">
        <v>247</v>
      </c>
      <c r="B12" s="426">
        <v>0</v>
      </c>
      <c r="C12" s="426">
        <v>0</v>
      </c>
      <c r="D12" s="426">
        <v>26220</v>
      </c>
      <c r="E12" s="426">
        <v>492</v>
      </c>
      <c r="F12" s="319"/>
      <c r="G12" s="454" t="s">
        <v>247</v>
      </c>
      <c r="H12" s="451">
        <v>0</v>
      </c>
      <c r="I12" s="451">
        <v>0</v>
      </c>
      <c r="J12" s="451">
        <v>26150</v>
      </c>
      <c r="K12" s="451">
        <v>631</v>
      </c>
      <c r="L12" s="319"/>
      <c r="M12" s="454" t="s">
        <v>247</v>
      </c>
      <c r="N12" s="451">
        <v>0</v>
      </c>
      <c r="O12" s="451">
        <v>0</v>
      </c>
      <c r="P12" s="451">
        <v>25304</v>
      </c>
      <c r="Q12" s="451">
        <v>767</v>
      </c>
      <c r="R12" s="312"/>
      <c r="S12" s="425" t="s">
        <v>247</v>
      </c>
      <c r="T12" s="451">
        <v>0</v>
      </c>
      <c r="U12" s="451">
        <v>11</v>
      </c>
      <c r="V12" s="451">
        <v>26512</v>
      </c>
      <c r="W12" s="451">
        <v>719</v>
      </c>
      <c r="X12" s="312"/>
      <c r="Y12" s="524" t="s">
        <v>247</v>
      </c>
      <c r="Z12" s="525">
        <v>0</v>
      </c>
      <c r="AA12" s="525">
        <v>0</v>
      </c>
      <c r="AB12" s="525">
        <v>26527</v>
      </c>
      <c r="AC12" s="525">
        <v>742</v>
      </c>
      <c r="AD12" s="312"/>
      <c r="AE12" s="319"/>
      <c r="AF12" s="319"/>
      <c r="AG12" s="443"/>
      <c r="AH12" s="319"/>
      <c r="AI12" s="319"/>
      <c r="AJ12" s="319"/>
      <c r="AK12" s="319"/>
      <c r="AL12" s="319"/>
      <c r="AM12" s="319"/>
      <c r="AN12" s="319"/>
      <c r="AO12" s="319"/>
      <c r="AP12" s="319"/>
      <c r="AQ12" s="319"/>
      <c r="AR12" s="319"/>
      <c r="AS12" s="319"/>
      <c r="AT12" s="319"/>
      <c r="AU12" s="319"/>
      <c r="AV12" s="319"/>
      <c r="AW12" s="319"/>
      <c r="AX12" s="319"/>
      <c r="AY12" s="319"/>
      <c r="AZ12" s="319"/>
    </row>
    <row r="13" spans="1:52" ht="15" customHeight="1">
      <c r="A13" s="425" t="s">
        <v>248</v>
      </c>
      <c r="B13" s="426">
        <v>0</v>
      </c>
      <c r="C13" s="426">
        <v>53</v>
      </c>
      <c r="D13" s="426">
        <v>2546</v>
      </c>
      <c r="E13" s="426">
        <v>-12</v>
      </c>
      <c r="F13" s="319"/>
      <c r="G13" s="454" t="s">
        <v>248</v>
      </c>
      <c r="H13" s="451">
        <v>0</v>
      </c>
      <c r="I13" s="451">
        <v>47</v>
      </c>
      <c r="J13" s="451">
        <v>2440</v>
      </c>
      <c r="K13" s="451">
        <v>-17</v>
      </c>
      <c r="L13" s="319"/>
      <c r="M13" s="454" t="s">
        <v>248</v>
      </c>
      <c r="N13" s="451">
        <v>0</v>
      </c>
      <c r="O13" s="451">
        <v>49</v>
      </c>
      <c r="P13" s="451">
        <v>1723</v>
      </c>
      <c r="Q13" s="451">
        <v>-14</v>
      </c>
      <c r="R13" s="312"/>
      <c r="S13" s="425" t="s">
        <v>248</v>
      </c>
      <c r="T13" s="451">
        <v>0</v>
      </c>
      <c r="U13" s="451">
        <v>51</v>
      </c>
      <c r="V13" s="451">
        <v>1769</v>
      </c>
      <c r="W13" s="451">
        <v>-20</v>
      </c>
      <c r="X13" s="312"/>
      <c r="Y13" s="524" t="s">
        <v>248</v>
      </c>
      <c r="Z13" s="525">
        <v>0</v>
      </c>
      <c r="AA13" s="525">
        <v>56</v>
      </c>
      <c r="AB13" s="525">
        <v>2534</v>
      </c>
      <c r="AC13" s="525">
        <v>-14</v>
      </c>
      <c r="AD13" s="312"/>
      <c r="AE13" s="319"/>
      <c r="AF13" s="319"/>
      <c r="AG13" s="443"/>
      <c r="AH13" s="319"/>
      <c r="AI13" s="319"/>
      <c r="AJ13" s="319"/>
      <c r="AK13" s="319"/>
      <c r="AL13" s="319"/>
      <c r="AM13" s="319"/>
      <c r="AN13" s="319"/>
      <c r="AO13" s="319"/>
      <c r="AP13" s="319"/>
      <c r="AQ13" s="319"/>
      <c r="AR13" s="319"/>
      <c r="AS13" s="319"/>
      <c r="AT13" s="319"/>
      <c r="AU13" s="319"/>
      <c r="AV13" s="319"/>
      <c r="AW13" s="319"/>
      <c r="AX13" s="319"/>
      <c r="AY13" s="319"/>
      <c r="AZ13" s="319"/>
    </row>
    <row r="14" spans="1:52" ht="15" customHeight="1">
      <c r="A14" s="425" t="s">
        <v>21</v>
      </c>
      <c r="B14" s="426">
        <v>0</v>
      </c>
      <c r="C14" s="426">
        <v>0</v>
      </c>
      <c r="D14" s="426">
        <v>20362</v>
      </c>
      <c r="E14" s="426">
        <v>10337</v>
      </c>
      <c r="F14" s="319"/>
      <c r="G14" s="454" t="s">
        <v>21</v>
      </c>
      <c r="H14" s="451">
        <v>0</v>
      </c>
      <c r="I14" s="451">
        <v>0</v>
      </c>
      <c r="J14" s="451">
        <v>21043</v>
      </c>
      <c r="K14" s="451">
        <v>11274</v>
      </c>
      <c r="L14" s="319"/>
      <c r="M14" s="454" t="s">
        <v>21</v>
      </c>
      <c r="N14" s="451">
        <v>0</v>
      </c>
      <c r="O14" s="451">
        <v>0</v>
      </c>
      <c r="P14" s="451">
        <v>21059</v>
      </c>
      <c r="Q14" s="451">
        <v>11292</v>
      </c>
      <c r="R14" s="312"/>
      <c r="S14" s="425" t="s">
        <v>21</v>
      </c>
      <c r="T14" s="451">
        <v>0</v>
      </c>
      <c r="U14" s="451">
        <v>0</v>
      </c>
      <c r="V14" s="451">
        <v>19543</v>
      </c>
      <c r="W14" s="451">
        <v>10592</v>
      </c>
      <c r="X14" s="312"/>
      <c r="Y14" s="524" t="s">
        <v>21</v>
      </c>
      <c r="Z14" s="525">
        <v>0</v>
      </c>
      <c r="AA14" s="525">
        <v>0</v>
      </c>
      <c r="AB14" s="525">
        <v>20219</v>
      </c>
      <c r="AC14" s="525">
        <v>10693</v>
      </c>
      <c r="AD14" s="312"/>
      <c r="AE14" s="319"/>
      <c r="AF14" s="319"/>
      <c r="AG14" s="443"/>
      <c r="AH14" s="319"/>
      <c r="AI14" s="319"/>
      <c r="AJ14" s="319"/>
      <c r="AK14" s="319"/>
      <c r="AL14" s="319"/>
      <c r="AM14" s="319"/>
      <c r="AN14" s="319"/>
      <c r="AO14" s="319"/>
      <c r="AP14" s="319"/>
      <c r="AQ14" s="319"/>
      <c r="AR14" s="319"/>
      <c r="AS14" s="319"/>
      <c r="AT14" s="319"/>
      <c r="AU14" s="319"/>
      <c r="AV14" s="319"/>
      <c r="AW14" s="319"/>
      <c r="AX14" s="319"/>
      <c r="AY14" s="319"/>
      <c r="AZ14" s="319"/>
    </row>
    <row r="15" spans="1:52" ht="15" customHeight="1">
      <c r="A15" s="425" t="s">
        <v>24</v>
      </c>
      <c r="B15" s="426">
        <v>0</v>
      </c>
      <c r="C15" s="426">
        <v>6979</v>
      </c>
      <c r="D15" s="426">
        <v>0</v>
      </c>
      <c r="E15" s="426">
        <v>0</v>
      </c>
      <c r="F15" s="319"/>
      <c r="G15" s="454" t="s">
        <v>24</v>
      </c>
      <c r="H15" s="451">
        <v>0</v>
      </c>
      <c r="I15" s="451">
        <v>9442</v>
      </c>
      <c r="J15" s="451">
        <v>0</v>
      </c>
      <c r="K15" s="451">
        <v>0</v>
      </c>
      <c r="L15" s="319"/>
      <c r="M15" s="454" t="s">
        <v>24</v>
      </c>
      <c r="N15" s="451">
        <v>0</v>
      </c>
      <c r="O15" s="451">
        <v>8274</v>
      </c>
      <c r="P15" s="451">
        <v>23</v>
      </c>
      <c r="Q15" s="451">
        <v>0</v>
      </c>
      <c r="R15" s="312"/>
      <c r="S15" s="425" t="s">
        <v>24</v>
      </c>
      <c r="T15" s="451">
        <v>0</v>
      </c>
      <c r="U15" s="451">
        <v>3150</v>
      </c>
      <c r="V15" s="451">
        <v>0</v>
      </c>
      <c r="W15" s="451">
        <v>0</v>
      </c>
      <c r="X15" s="312"/>
      <c r="Y15" s="524" t="s">
        <v>24</v>
      </c>
      <c r="Z15" s="525">
        <v>0</v>
      </c>
      <c r="AA15" s="525">
        <v>2164</v>
      </c>
      <c r="AB15" s="525">
        <v>0</v>
      </c>
      <c r="AC15" s="525">
        <v>0</v>
      </c>
      <c r="AD15" s="312"/>
      <c r="AE15" s="319"/>
      <c r="AF15" s="319"/>
      <c r="AG15" s="443"/>
      <c r="AH15" s="319"/>
      <c r="AI15" s="319"/>
      <c r="AJ15" s="319"/>
      <c r="AK15" s="319"/>
      <c r="AL15" s="319"/>
      <c r="AM15" s="319"/>
      <c r="AN15" s="319"/>
      <c r="AO15" s="319"/>
      <c r="AP15" s="319"/>
      <c r="AQ15" s="319"/>
      <c r="AR15" s="319"/>
      <c r="AS15" s="319"/>
      <c r="AT15" s="319"/>
      <c r="AU15" s="319"/>
      <c r="AV15" s="319"/>
      <c r="AW15" s="319"/>
      <c r="AX15" s="319"/>
      <c r="AY15" s="319"/>
      <c r="AZ15" s="319"/>
    </row>
    <row r="16" spans="1:52" ht="15" customHeight="1">
      <c r="A16" s="425" t="s">
        <v>20</v>
      </c>
      <c r="B16" s="426">
        <v>0</v>
      </c>
      <c r="C16" s="426">
        <v>0</v>
      </c>
      <c r="D16" s="426">
        <v>6155</v>
      </c>
      <c r="E16" s="426">
        <v>37</v>
      </c>
      <c r="F16" s="319"/>
      <c r="G16" s="454" t="s">
        <v>20</v>
      </c>
      <c r="H16" s="451">
        <v>0</v>
      </c>
      <c r="I16" s="451">
        <v>0</v>
      </c>
      <c r="J16" s="451">
        <v>7523</v>
      </c>
      <c r="K16" s="451">
        <v>65</v>
      </c>
      <c r="L16" s="319"/>
      <c r="M16" s="454" t="s">
        <v>20</v>
      </c>
      <c r="N16" s="451">
        <v>0</v>
      </c>
      <c r="O16" s="451">
        <v>0</v>
      </c>
      <c r="P16" s="451">
        <v>8226</v>
      </c>
      <c r="Q16" s="451">
        <v>65</v>
      </c>
      <c r="R16" s="312"/>
      <c r="S16" s="425" t="s">
        <v>20</v>
      </c>
      <c r="T16" s="451">
        <v>0</v>
      </c>
      <c r="U16" s="451">
        <v>0</v>
      </c>
      <c r="V16" s="451">
        <v>6631</v>
      </c>
      <c r="W16" s="451">
        <v>49</v>
      </c>
      <c r="X16" s="312"/>
      <c r="Y16" s="524" t="s">
        <v>20</v>
      </c>
      <c r="Z16" s="525">
        <v>0</v>
      </c>
      <c r="AA16" s="525">
        <v>0</v>
      </c>
      <c r="AB16" s="525">
        <v>6670</v>
      </c>
      <c r="AC16" s="525">
        <v>49</v>
      </c>
      <c r="AD16" s="312"/>
      <c r="AE16" s="319"/>
      <c r="AF16" s="319"/>
      <c r="AG16" s="443"/>
      <c r="AH16" s="319"/>
      <c r="AI16" s="319"/>
      <c r="AJ16" s="319"/>
      <c r="AK16" s="319"/>
      <c r="AL16" s="319"/>
      <c r="AM16" s="319"/>
      <c r="AN16" s="319"/>
      <c r="AO16" s="319"/>
      <c r="AP16" s="319"/>
      <c r="AQ16" s="319"/>
      <c r="AR16" s="319"/>
      <c r="AS16" s="319"/>
      <c r="AT16" s="319"/>
      <c r="AU16" s="319"/>
      <c r="AV16" s="319"/>
      <c r="AW16" s="319"/>
      <c r="AX16" s="319"/>
      <c r="AY16" s="319"/>
      <c r="AZ16" s="319"/>
    </row>
    <row r="17" spans="1:52" ht="15" customHeight="1">
      <c r="A17" s="425" t="s">
        <v>5</v>
      </c>
      <c r="B17" s="426">
        <v>112</v>
      </c>
      <c r="C17" s="426">
        <v>0</v>
      </c>
      <c r="D17" s="426">
        <v>5064</v>
      </c>
      <c r="E17" s="426">
        <v>0</v>
      </c>
      <c r="F17" s="319"/>
      <c r="G17" s="454" t="s">
        <v>5</v>
      </c>
      <c r="H17" s="451">
        <v>123</v>
      </c>
      <c r="I17" s="451">
        <v>0</v>
      </c>
      <c r="J17" s="451">
        <v>5200</v>
      </c>
      <c r="K17" s="451">
        <v>0</v>
      </c>
      <c r="L17" s="319"/>
      <c r="M17" s="454" t="s">
        <v>5</v>
      </c>
      <c r="N17" s="451">
        <v>134</v>
      </c>
      <c r="O17" s="451">
        <v>0</v>
      </c>
      <c r="P17" s="451">
        <v>5293</v>
      </c>
      <c r="Q17" s="451">
        <v>0</v>
      </c>
      <c r="R17" s="312"/>
      <c r="S17" s="425" t="s">
        <v>5</v>
      </c>
      <c r="T17" s="451">
        <v>94</v>
      </c>
      <c r="U17" s="451">
        <v>0</v>
      </c>
      <c r="V17" s="451">
        <v>5190</v>
      </c>
      <c r="W17" s="451">
        <v>0</v>
      </c>
      <c r="X17" s="312"/>
      <c r="Y17" s="524" t="s">
        <v>5</v>
      </c>
      <c r="Z17" s="525">
        <v>82</v>
      </c>
      <c r="AA17" s="525">
        <v>0</v>
      </c>
      <c r="AB17" s="525">
        <v>5113</v>
      </c>
      <c r="AC17" s="525">
        <v>0</v>
      </c>
      <c r="AD17" s="312"/>
      <c r="AE17" s="319"/>
      <c r="AF17" s="319"/>
      <c r="AG17" s="443"/>
      <c r="AH17" s="319"/>
      <c r="AI17" s="319"/>
      <c r="AJ17" s="319"/>
      <c r="AK17" s="319"/>
      <c r="AL17" s="319"/>
      <c r="AM17" s="319"/>
      <c r="AN17" s="319"/>
      <c r="AO17" s="319"/>
      <c r="AP17" s="319"/>
      <c r="AQ17" s="319"/>
      <c r="AR17" s="319"/>
      <c r="AS17" s="319"/>
      <c r="AT17" s="319"/>
      <c r="AU17" s="319"/>
      <c r="AV17" s="319"/>
      <c r="AW17" s="319"/>
      <c r="AX17" s="319"/>
      <c r="AY17" s="319"/>
      <c r="AZ17" s="319"/>
    </row>
    <row r="18" spans="1:52" ht="15" customHeight="1">
      <c r="A18" s="425" t="s">
        <v>23</v>
      </c>
      <c r="B18" s="426">
        <v>0</v>
      </c>
      <c r="C18" s="426">
        <v>2305</v>
      </c>
      <c r="D18" s="426">
        <v>2183</v>
      </c>
      <c r="E18" s="426">
        <v>62</v>
      </c>
      <c r="F18" s="319"/>
      <c r="G18" s="454" t="s">
        <v>23</v>
      </c>
      <c r="H18" s="451">
        <v>0</v>
      </c>
      <c r="I18" s="451">
        <v>2960</v>
      </c>
      <c r="J18" s="451">
        <v>2144</v>
      </c>
      <c r="K18" s="451">
        <v>58</v>
      </c>
      <c r="L18" s="319"/>
      <c r="M18" s="454" t="s">
        <v>23</v>
      </c>
      <c r="N18" s="451">
        <v>0</v>
      </c>
      <c r="O18" s="451">
        <v>2675</v>
      </c>
      <c r="P18" s="451">
        <v>1886</v>
      </c>
      <c r="Q18" s="451">
        <v>32</v>
      </c>
      <c r="R18" s="312"/>
      <c r="S18" s="425" t="s">
        <v>23</v>
      </c>
      <c r="T18" s="451">
        <v>0</v>
      </c>
      <c r="U18" s="451">
        <v>2075</v>
      </c>
      <c r="V18" s="451">
        <v>1654</v>
      </c>
      <c r="W18" s="451">
        <v>27</v>
      </c>
      <c r="X18" s="312"/>
      <c r="Y18" s="524" t="s">
        <v>23</v>
      </c>
      <c r="Z18" s="525">
        <v>0</v>
      </c>
      <c r="AA18" s="525">
        <v>1241</v>
      </c>
      <c r="AB18" s="525">
        <v>1560</v>
      </c>
      <c r="AC18" s="525">
        <v>29</v>
      </c>
      <c r="AD18" s="312"/>
      <c r="AE18" s="319"/>
      <c r="AF18" s="319"/>
      <c r="AG18" s="443"/>
      <c r="AH18" s="319"/>
      <c r="AI18" s="319"/>
      <c r="AJ18" s="319"/>
      <c r="AK18" s="319"/>
      <c r="AL18" s="319"/>
      <c r="AM18" s="319"/>
      <c r="AN18" s="319"/>
      <c r="AO18" s="319"/>
      <c r="AP18" s="319"/>
      <c r="AQ18" s="319"/>
      <c r="AR18" s="319"/>
      <c r="AS18" s="319"/>
      <c r="AT18" s="319"/>
      <c r="AU18" s="319"/>
      <c r="AV18" s="319"/>
      <c r="AW18" s="319"/>
      <c r="AX18" s="319"/>
      <c r="AY18" s="319"/>
      <c r="AZ18" s="319"/>
    </row>
    <row r="19" spans="1:52" ht="15" customHeight="1">
      <c r="A19" s="425" t="s">
        <v>17</v>
      </c>
      <c r="B19" s="426">
        <v>12225</v>
      </c>
      <c r="C19" s="426">
        <v>4621</v>
      </c>
      <c r="D19" s="426">
        <v>699</v>
      </c>
      <c r="E19" s="426">
        <v>0</v>
      </c>
      <c r="F19" s="319"/>
      <c r="G19" s="454" t="s">
        <v>17</v>
      </c>
      <c r="H19" s="451">
        <v>13263</v>
      </c>
      <c r="I19" s="451">
        <v>6613</v>
      </c>
      <c r="J19" s="451">
        <v>974</v>
      </c>
      <c r="K19" s="451">
        <v>0</v>
      </c>
      <c r="L19" s="319"/>
      <c r="M19" s="454" t="s">
        <v>17</v>
      </c>
      <c r="N19" s="451">
        <v>11814</v>
      </c>
      <c r="O19" s="451">
        <v>3348</v>
      </c>
      <c r="P19" s="451">
        <v>607</v>
      </c>
      <c r="Q19" s="451">
        <v>0</v>
      </c>
      <c r="R19" s="312"/>
      <c r="S19" s="425" t="s">
        <v>17</v>
      </c>
      <c r="T19" s="451">
        <v>9610</v>
      </c>
      <c r="U19" s="451">
        <v>3470</v>
      </c>
      <c r="V19" s="451">
        <v>717</v>
      </c>
      <c r="W19" s="451">
        <v>0</v>
      </c>
      <c r="X19" s="312"/>
      <c r="Y19" s="524" t="s">
        <v>17</v>
      </c>
      <c r="Z19" s="525">
        <v>12250</v>
      </c>
      <c r="AA19" s="525">
        <v>5155</v>
      </c>
      <c r="AB19" s="525">
        <v>774</v>
      </c>
      <c r="AC19" s="525">
        <v>0</v>
      </c>
      <c r="AD19" s="312"/>
      <c r="AE19" s="319"/>
      <c r="AF19" s="319"/>
      <c r="AG19" s="443"/>
      <c r="AH19" s="319"/>
      <c r="AI19" s="319"/>
      <c r="AJ19" s="319"/>
      <c r="AK19" s="319"/>
      <c r="AL19" s="319"/>
      <c r="AM19" s="319"/>
      <c r="AN19" s="319"/>
      <c r="AO19" s="319"/>
      <c r="AP19" s="319"/>
      <c r="AQ19" s="319"/>
      <c r="AR19" s="319"/>
      <c r="AS19" s="319"/>
      <c r="AT19" s="319"/>
      <c r="AU19" s="319"/>
      <c r="AV19" s="319"/>
      <c r="AW19" s="319"/>
      <c r="AX19" s="319"/>
      <c r="AY19" s="319"/>
      <c r="AZ19" s="319"/>
    </row>
    <row r="20" spans="1:52" ht="15" customHeight="1">
      <c r="A20" s="425" t="s">
        <v>249</v>
      </c>
      <c r="B20" s="426">
        <v>0</v>
      </c>
      <c r="C20" s="426">
        <v>0</v>
      </c>
      <c r="D20" s="426">
        <v>2092</v>
      </c>
      <c r="E20" s="426">
        <v>0</v>
      </c>
      <c r="F20" s="319"/>
      <c r="G20" s="454" t="s">
        <v>249</v>
      </c>
      <c r="H20" s="451">
        <v>0</v>
      </c>
      <c r="I20" s="451">
        <v>0</v>
      </c>
      <c r="J20" s="451">
        <v>2122</v>
      </c>
      <c r="K20" s="451">
        <v>0</v>
      </c>
      <c r="L20" s="319"/>
      <c r="M20" s="454" t="s">
        <v>249</v>
      </c>
      <c r="N20" s="451">
        <v>0</v>
      </c>
      <c r="O20" s="451">
        <v>0</v>
      </c>
      <c r="P20" s="451">
        <v>2113</v>
      </c>
      <c r="Q20" s="451">
        <v>0</v>
      </c>
      <c r="R20" s="312"/>
      <c r="S20" s="425" t="s">
        <v>249</v>
      </c>
      <c r="T20" s="451">
        <v>0</v>
      </c>
      <c r="U20" s="451">
        <v>0</v>
      </c>
      <c r="V20" s="451">
        <v>2125</v>
      </c>
      <c r="W20" s="451">
        <v>0</v>
      </c>
      <c r="X20" s="312"/>
      <c r="Y20" s="524" t="s">
        <v>249</v>
      </c>
      <c r="Z20" s="525">
        <v>0</v>
      </c>
      <c r="AA20" s="525">
        <v>0</v>
      </c>
      <c r="AB20" s="525">
        <v>2192</v>
      </c>
      <c r="AC20" s="525">
        <v>0</v>
      </c>
      <c r="AD20" s="312"/>
      <c r="AE20" s="319"/>
      <c r="AF20" s="319"/>
      <c r="AG20" s="443"/>
      <c r="AH20" s="319"/>
      <c r="AI20" s="319"/>
      <c r="AJ20" s="319"/>
      <c r="AK20" s="319"/>
      <c r="AL20" s="319"/>
      <c r="AM20" s="319"/>
      <c r="AN20" s="319"/>
      <c r="AO20" s="319"/>
      <c r="AP20" s="319"/>
      <c r="AQ20" s="319"/>
      <c r="AR20" s="319"/>
      <c r="AS20" s="319"/>
      <c r="AT20" s="319"/>
      <c r="AU20" s="319"/>
      <c r="AV20" s="319"/>
      <c r="AW20" s="319"/>
      <c r="AX20" s="319"/>
      <c r="AY20" s="319"/>
      <c r="AZ20" s="319"/>
    </row>
    <row r="21" spans="1:52" ht="15" customHeight="1">
      <c r="A21" s="425" t="s">
        <v>250</v>
      </c>
      <c r="B21" s="426">
        <v>1312</v>
      </c>
      <c r="C21" s="426">
        <v>16</v>
      </c>
      <c r="D21" s="426">
        <v>0</v>
      </c>
      <c r="E21" s="426">
        <v>0</v>
      </c>
      <c r="F21" s="319"/>
      <c r="G21" s="454" t="s">
        <v>250</v>
      </c>
      <c r="H21" s="451">
        <v>1339</v>
      </c>
      <c r="I21" s="451">
        <v>17</v>
      </c>
      <c r="J21" s="451">
        <v>0</v>
      </c>
      <c r="K21" s="451">
        <v>0</v>
      </c>
      <c r="L21" s="319"/>
      <c r="M21" s="454" t="s">
        <v>250</v>
      </c>
      <c r="N21" s="451">
        <v>1340</v>
      </c>
      <c r="O21" s="451">
        <v>18</v>
      </c>
      <c r="P21" s="451">
        <v>0</v>
      </c>
      <c r="Q21" s="451">
        <v>0</v>
      </c>
      <c r="R21" s="312"/>
      <c r="S21" s="425" t="s">
        <v>250</v>
      </c>
      <c r="T21" s="451">
        <v>1427</v>
      </c>
      <c r="U21" s="451">
        <v>20</v>
      </c>
      <c r="V21" s="451">
        <v>0</v>
      </c>
      <c r="W21" s="451">
        <v>0</v>
      </c>
      <c r="X21" s="312"/>
      <c r="Y21" s="524" t="s">
        <v>250</v>
      </c>
      <c r="Z21" s="525">
        <v>1514</v>
      </c>
      <c r="AA21" s="525">
        <v>21</v>
      </c>
      <c r="AB21" s="525">
        <v>0</v>
      </c>
      <c r="AC21" s="525">
        <v>0</v>
      </c>
      <c r="AD21" s="312"/>
      <c r="AE21" s="319"/>
      <c r="AF21" s="319"/>
      <c r="AG21" s="443"/>
      <c r="AH21" s="319"/>
      <c r="AI21" s="319"/>
      <c r="AJ21" s="319"/>
      <c r="AK21" s="319"/>
      <c r="AL21" s="319"/>
      <c r="AM21" s="319"/>
      <c r="AN21" s="319"/>
      <c r="AO21" s="319"/>
      <c r="AP21" s="319"/>
      <c r="AQ21" s="319"/>
      <c r="AR21" s="319"/>
      <c r="AS21" s="319"/>
      <c r="AT21" s="319"/>
      <c r="AU21" s="319"/>
      <c r="AV21" s="319"/>
      <c r="AW21" s="319"/>
      <c r="AX21" s="319"/>
      <c r="AY21" s="319"/>
      <c r="AZ21" s="319"/>
    </row>
    <row r="22" spans="1:52" ht="15" customHeight="1">
      <c r="A22" s="425" t="s">
        <v>251</v>
      </c>
      <c r="B22" s="426">
        <v>0</v>
      </c>
      <c r="C22" s="426">
        <v>572</v>
      </c>
      <c r="D22" s="426">
        <v>0</v>
      </c>
      <c r="E22" s="426">
        <v>0</v>
      </c>
      <c r="F22" s="319"/>
      <c r="G22" s="454" t="s">
        <v>251</v>
      </c>
      <c r="H22" s="451">
        <v>0</v>
      </c>
      <c r="I22" s="451">
        <v>444</v>
      </c>
      <c r="J22" s="451">
        <v>0</v>
      </c>
      <c r="K22" s="451">
        <v>0</v>
      </c>
      <c r="L22" s="319"/>
      <c r="M22" s="454" t="s">
        <v>251</v>
      </c>
      <c r="N22" s="451">
        <v>0</v>
      </c>
      <c r="O22" s="451">
        <v>464</v>
      </c>
      <c r="P22" s="451">
        <v>0</v>
      </c>
      <c r="Q22" s="451">
        <v>0</v>
      </c>
      <c r="R22" s="312"/>
      <c r="S22" s="425" t="s">
        <v>251</v>
      </c>
      <c r="T22" s="451">
        <v>0</v>
      </c>
      <c r="U22" s="451">
        <v>518</v>
      </c>
      <c r="V22" s="451">
        <v>0</v>
      </c>
      <c r="W22" s="451">
        <v>0</v>
      </c>
      <c r="X22" s="312"/>
      <c r="Y22" s="524" t="s">
        <v>251</v>
      </c>
      <c r="Z22" s="525">
        <v>0</v>
      </c>
      <c r="AA22" s="525">
        <v>560</v>
      </c>
      <c r="AB22" s="525">
        <v>0</v>
      </c>
      <c r="AC22" s="525">
        <v>0</v>
      </c>
      <c r="AD22" s="312"/>
      <c r="AE22" s="319"/>
      <c r="AF22" s="319"/>
      <c r="AG22" s="443"/>
      <c r="AH22" s="319"/>
      <c r="AI22" s="319"/>
      <c r="AJ22" s="319"/>
      <c r="AK22" s="319"/>
      <c r="AL22" s="319"/>
      <c r="AM22" s="319"/>
      <c r="AN22" s="319"/>
      <c r="AO22" s="319"/>
      <c r="AP22" s="319"/>
      <c r="AQ22" s="319"/>
      <c r="AR22" s="319"/>
      <c r="AS22" s="319"/>
      <c r="AT22" s="319"/>
      <c r="AU22" s="319"/>
      <c r="AV22" s="319"/>
      <c r="AW22" s="319"/>
      <c r="AX22" s="319"/>
      <c r="AY22" s="319"/>
      <c r="AZ22" s="319"/>
    </row>
    <row r="23" spans="1:52" ht="15" customHeight="1">
      <c r="A23" s="425" t="s">
        <v>252</v>
      </c>
      <c r="B23" s="426">
        <v>12</v>
      </c>
      <c r="C23" s="426">
        <v>0</v>
      </c>
      <c r="D23" s="426">
        <v>4917</v>
      </c>
      <c r="E23" s="426">
        <v>0</v>
      </c>
      <c r="F23" s="319"/>
      <c r="G23" s="454" t="s">
        <v>252</v>
      </c>
      <c r="H23" s="451">
        <v>13</v>
      </c>
      <c r="I23" s="451">
        <v>0</v>
      </c>
      <c r="J23" s="451">
        <v>4957</v>
      </c>
      <c r="K23" s="451">
        <v>0</v>
      </c>
      <c r="L23" s="319"/>
      <c r="M23" s="454" t="s">
        <v>252</v>
      </c>
      <c r="N23" s="451">
        <v>15</v>
      </c>
      <c r="O23" s="451">
        <v>0</v>
      </c>
      <c r="P23" s="451">
        <v>4973</v>
      </c>
      <c r="Q23" s="451">
        <v>0</v>
      </c>
      <c r="R23" s="312"/>
      <c r="S23" s="425" t="s">
        <v>252</v>
      </c>
      <c r="T23" s="451">
        <v>16</v>
      </c>
      <c r="U23" s="451">
        <v>0</v>
      </c>
      <c r="V23" s="451">
        <v>5094</v>
      </c>
      <c r="W23" s="451">
        <v>0</v>
      </c>
      <c r="X23" s="312"/>
      <c r="Y23" s="524" t="s">
        <v>252</v>
      </c>
      <c r="Z23" s="525">
        <v>17</v>
      </c>
      <c r="AA23" s="525">
        <v>0</v>
      </c>
      <c r="AB23" s="525">
        <v>5179</v>
      </c>
      <c r="AC23" s="525">
        <v>0</v>
      </c>
      <c r="AD23" s="312"/>
      <c r="AE23" s="319"/>
      <c r="AF23" s="319"/>
      <c r="AG23" s="443"/>
      <c r="AH23" s="319"/>
      <c r="AI23" s="319"/>
      <c r="AJ23" s="319"/>
      <c r="AK23" s="319"/>
      <c r="AL23" s="319"/>
      <c r="AM23" s="319"/>
      <c r="AN23" s="319"/>
      <c r="AO23" s="319"/>
      <c r="AP23" s="319"/>
      <c r="AQ23" s="319"/>
      <c r="AR23" s="319"/>
      <c r="AS23" s="319"/>
      <c r="AT23" s="319"/>
      <c r="AU23" s="319"/>
      <c r="AV23" s="319"/>
      <c r="AW23" s="319"/>
      <c r="AX23" s="319"/>
      <c r="AY23" s="319"/>
      <c r="AZ23" s="319"/>
    </row>
    <row r="24" spans="1:52" ht="15" customHeight="1">
      <c r="A24" s="425" t="s">
        <v>253</v>
      </c>
      <c r="B24" s="426">
        <v>0</v>
      </c>
      <c r="C24" s="426">
        <v>71</v>
      </c>
      <c r="D24" s="426">
        <v>746</v>
      </c>
      <c r="E24" s="426">
        <v>30</v>
      </c>
      <c r="F24" s="319"/>
      <c r="G24" s="454" t="s">
        <v>253</v>
      </c>
      <c r="H24" s="451">
        <v>0</v>
      </c>
      <c r="I24" s="451">
        <v>108</v>
      </c>
      <c r="J24" s="451">
        <v>734</v>
      </c>
      <c r="K24" s="451">
        <v>32</v>
      </c>
      <c r="L24" s="319"/>
      <c r="M24" s="454" t="s">
        <v>253</v>
      </c>
      <c r="N24" s="451">
        <v>0</v>
      </c>
      <c r="O24" s="451">
        <v>141</v>
      </c>
      <c r="P24" s="451">
        <v>730</v>
      </c>
      <c r="Q24" s="451">
        <v>33</v>
      </c>
      <c r="R24" s="312"/>
      <c r="S24" s="425" t="s">
        <v>253</v>
      </c>
      <c r="T24" s="451">
        <v>0</v>
      </c>
      <c r="U24" s="451">
        <v>110</v>
      </c>
      <c r="V24" s="451">
        <v>747</v>
      </c>
      <c r="W24" s="451">
        <v>35</v>
      </c>
      <c r="X24" s="312"/>
      <c r="Y24" s="524" t="s">
        <v>253</v>
      </c>
      <c r="Z24" s="525">
        <v>0</v>
      </c>
      <c r="AA24" s="525">
        <v>83</v>
      </c>
      <c r="AB24" s="525">
        <v>730</v>
      </c>
      <c r="AC24" s="525">
        <v>36</v>
      </c>
      <c r="AD24" s="312"/>
      <c r="AE24" s="319"/>
      <c r="AF24" s="319"/>
      <c r="AG24" s="443"/>
      <c r="AH24" s="319"/>
      <c r="AI24" s="319"/>
      <c r="AJ24" s="319"/>
      <c r="AK24" s="319"/>
      <c r="AL24" s="319"/>
      <c r="AM24" s="319"/>
      <c r="AN24" s="319"/>
      <c r="AO24" s="319"/>
      <c r="AP24" s="319"/>
      <c r="AQ24" s="319"/>
      <c r="AR24" s="319"/>
      <c r="AS24" s="319"/>
      <c r="AT24" s="319"/>
      <c r="AU24" s="319"/>
      <c r="AV24" s="319"/>
      <c r="AW24" s="319"/>
      <c r="AX24" s="319"/>
      <c r="AY24" s="319"/>
      <c r="AZ24" s="319"/>
    </row>
    <row r="25" spans="1:52" ht="15" customHeight="1">
      <c r="A25" s="425" t="s">
        <v>254</v>
      </c>
      <c r="B25" s="426">
        <v>0</v>
      </c>
      <c r="C25" s="426">
        <v>0</v>
      </c>
      <c r="D25" s="426">
        <v>333</v>
      </c>
      <c r="E25" s="426">
        <v>0</v>
      </c>
      <c r="F25" s="319"/>
      <c r="G25" s="454" t="s">
        <v>254</v>
      </c>
      <c r="H25" s="451">
        <v>0</v>
      </c>
      <c r="I25" s="451">
        <v>0</v>
      </c>
      <c r="J25" s="451">
        <v>331</v>
      </c>
      <c r="K25" s="451">
        <v>0</v>
      </c>
      <c r="L25" s="319"/>
      <c r="M25" s="454" t="s">
        <v>254</v>
      </c>
      <c r="N25" s="451">
        <v>0</v>
      </c>
      <c r="O25" s="451">
        <v>0</v>
      </c>
      <c r="P25" s="451">
        <v>317</v>
      </c>
      <c r="Q25" s="451">
        <v>0</v>
      </c>
      <c r="R25" s="312"/>
      <c r="S25" s="425" t="s">
        <v>254</v>
      </c>
      <c r="T25" s="451">
        <v>0</v>
      </c>
      <c r="U25" s="451">
        <v>0</v>
      </c>
      <c r="V25" s="451">
        <v>324</v>
      </c>
      <c r="W25" s="451">
        <v>0</v>
      </c>
      <c r="X25" s="312"/>
      <c r="Y25" s="524" t="s">
        <v>254</v>
      </c>
      <c r="Z25" s="525">
        <v>0</v>
      </c>
      <c r="AA25" s="525">
        <v>0</v>
      </c>
      <c r="AB25" s="525">
        <v>343</v>
      </c>
      <c r="AC25" s="525">
        <v>0</v>
      </c>
      <c r="AD25" s="312"/>
      <c r="AE25" s="319"/>
      <c r="AF25" s="319"/>
      <c r="AG25" s="443"/>
      <c r="AH25" s="319"/>
      <c r="AI25" s="319"/>
      <c r="AJ25" s="319"/>
      <c r="AK25" s="319"/>
      <c r="AL25" s="319"/>
      <c r="AM25" s="319"/>
      <c r="AN25" s="319"/>
      <c r="AO25" s="319"/>
      <c r="AP25" s="319"/>
      <c r="AQ25" s="319"/>
      <c r="AR25" s="319"/>
      <c r="AS25" s="319"/>
      <c r="AT25" s="319"/>
      <c r="AU25" s="319"/>
      <c r="AV25" s="319"/>
      <c r="AW25" s="319"/>
      <c r="AX25" s="319"/>
      <c r="AY25" s="319"/>
      <c r="AZ25" s="319"/>
    </row>
    <row r="26" spans="1:52" ht="15" customHeight="1">
      <c r="A26" s="425" t="s">
        <v>255</v>
      </c>
      <c r="B26" s="426">
        <v>14</v>
      </c>
      <c r="C26" s="426">
        <v>0</v>
      </c>
      <c r="D26" s="426">
        <v>272</v>
      </c>
      <c r="E26" s="426">
        <v>0</v>
      </c>
      <c r="F26" s="319"/>
      <c r="G26" s="454" t="s">
        <v>255</v>
      </c>
      <c r="H26" s="451">
        <v>14</v>
      </c>
      <c r="I26" s="451">
        <v>0</v>
      </c>
      <c r="J26" s="451">
        <v>254</v>
      </c>
      <c r="K26" s="451">
        <v>0</v>
      </c>
      <c r="L26" s="319"/>
      <c r="M26" s="454" t="s">
        <v>255</v>
      </c>
      <c r="N26" s="451">
        <v>16</v>
      </c>
      <c r="O26" s="451">
        <v>0</v>
      </c>
      <c r="P26" s="451">
        <v>258</v>
      </c>
      <c r="Q26" s="451">
        <v>0</v>
      </c>
      <c r="R26" s="312"/>
      <c r="S26" s="425" t="s">
        <v>255</v>
      </c>
      <c r="T26" s="451">
        <v>15</v>
      </c>
      <c r="U26" s="451">
        <v>0</v>
      </c>
      <c r="V26" s="451">
        <v>342</v>
      </c>
      <c r="W26" s="451">
        <v>0</v>
      </c>
      <c r="X26" s="312"/>
      <c r="Y26" s="524" t="s">
        <v>255</v>
      </c>
      <c r="Z26" s="525">
        <v>17</v>
      </c>
      <c r="AA26" s="525">
        <v>0</v>
      </c>
      <c r="AB26" s="525">
        <v>302</v>
      </c>
      <c r="AC26" s="525">
        <v>0</v>
      </c>
      <c r="AD26" s="312"/>
      <c r="AE26" s="319"/>
      <c r="AF26" s="319"/>
      <c r="AG26" s="443"/>
      <c r="AH26" s="319"/>
      <c r="AI26" s="319"/>
      <c r="AJ26" s="319"/>
      <c r="AK26" s="319"/>
      <c r="AL26" s="319"/>
      <c r="AM26" s="319"/>
      <c r="AN26" s="319"/>
      <c r="AO26" s="319"/>
      <c r="AP26" s="319"/>
      <c r="AQ26" s="319"/>
      <c r="AR26" s="319"/>
      <c r="AS26" s="319"/>
      <c r="AT26" s="319"/>
      <c r="AU26" s="319"/>
      <c r="AV26" s="319"/>
      <c r="AW26" s="319"/>
      <c r="AX26" s="319"/>
      <c r="AY26" s="319"/>
      <c r="AZ26" s="319"/>
    </row>
    <row r="27" spans="1:52" ht="15" customHeight="1">
      <c r="A27" s="446" t="s">
        <v>256</v>
      </c>
      <c r="B27" s="447">
        <v>-3330</v>
      </c>
      <c r="C27" s="447">
        <v>-36</v>
      </c>
      <c r="D27" s="447">
        <v>66260</v>
      </c>
      <c r="E27" s="447">
        <v>8973</v>
      </c>
      <c r="F27" s="319"/>
      <c r="G27" s="455" t="s">
        <v>256</v>
      </c>
      <c r="H27" s="452">
        <v>-1992</v>
      </c>
      <c r="I27" s="452">
        <v>904</v>
      </c>
      <c r="J27" s="452">
        <v>89585</v>
      </c>
      <c r="K27" s="452">
        <v>14480</v>
      </c>
      <c r="L27" s="319"/>
      <c r="M27" s="455" t="s">
        <v>256</v>
      </c>
      <c r="N27" s="452">
        <v>-2536</v>
      </c>
      <c r="O27" s="452">
        <v>268</v>
      </c>
      <c r="P27" s="452">
        <v>84221</v>
      </c>
      <c r="Q27" s="452">
        <v>15086</v>
      </c>
      <c r="R27" s="312"/>
      <c r="S27" s="514" t="s">
        <v>256</v>
      </c>
      <c r="T27" s="452">
        <v>-5130</v>
      </c>
      <c r="U27" s="452">
        <v>-828</v>
      </c>
      <c r="V27" s="452">
        <v>53401</v>
      </c>
      <c r="W27" s="452">
        <v>8259</v>
      </c>
      <c r="X27" s="312"/>
      <c r="Y27" s="526" t="s">
        <v>256</v>
      </c>
      <c r="Z27" s="527">
        <v>-3866</v>
      </c>
      <c r="AA27" s="527">
        <v>-371</v>
      </c>
      <c r="AB27" s="527">
        <v>64452</v>
      </c>
      <c r="AC27" s="527">
        <v>10649</v>
      </c>
      <c r="AD27" s="312"/>
      <c r="AE27" s="319"/>
      <c r="AF27" s="319"/>
      <c r="AG27" s="443"/>
      <c r="AH27" s="319"/>
      <c r="AI27" s="319"/>
      <c r="AJ27" s="319"/>
      <c r="AK27" s="319"/>
      <c r="AL27" s="319"/>
      <c r="AM27" s="319"/>
      <c r="AN27" s="319"/>
      <c r="AO27" s="319"/>
      <c r="AP27" s="319"/>
      <c r="AQ27" s="319"/>
      <c r="AR27" s="319"/>
      <c r="AS27" s="319"/>
      <c r="AT27" s="319"/>
      <c r="AU27" s="319"/>
      <c r="AV27" s="319"/>
      <c r="AW27" s="319"/>
      <c r="AX27" s="319"/>
      <c r="AY27" s="319"/>
      <c r="AZ27" s="319"/>
    </row>
    <row r="28" spans="1:52" ht="15" customHeight="1">
      <c r="A28" s="446" t="s">
        <v>4</v>
      </c>
      <c r="B28" s="447">
        <v>31063</v>
      </c>
      <c r="C28" s="447">
        <v>21082</v>
      </c>
      <c r="D28" s="447">
        <v>194223</v>
      </c>
      <c r="E28" s="447">
        <v>19454</v>
      </c>
      <c r="F28" s="319"/>
      <c r="G28" s="455" t="s">
        <v>4</v>
      </c>
      <c r="H28" s="452">
        <v>34448</v>
      </c>
      <c r="I28" s="452">
        <v>27238</v>
      </c>
      <c r="J28" s="452">
        <v>222338</v>
      </c>
      <c r="K28" s="452">
        <v>25926</v>
      </c>
      <c r="L28" s="319"/>
      <c r="M28" s="455" t="s">
        <v>4</v>
      </c>
      <c r="N28" s="452">
        <v>32565</v>
      </c>
      <c r="O28" s="452">
        <v>21816</v>
      </c>
      <c r="P28" s="452">
        <v>216334</v>
      </c>
      <c r="Q28" s="452">
        <v>26527</v>
      </c>
      <c r="R28" s="312"/>
      <c r="S28" s="514" t="s">
        <v>4</v>
      </c>
      <c r="T28" s="452">
        <v>26672</v>
      </c>
      <c r="U28" s="452">
        <v>14627</v>
      </c>
      <c r="V28" s="452">
        <v>179056</v>
      </c>
      <c r="W28" s="452">
        <v>18975</v>
      </c>
      <c r="X28" s="312"/>
      <c r="Y28" s="526" t="s">
        <v>4</v>
      </c>
      <c r="Z28" s="527">
        <v>30029</v>
      </c>
      <c r="AA28" s="527">
        <v>14137</v>
      </c>
      <c r="AB28" s="527">
        <v>191284</v>
      </c>
      <c r="AC28" s="527">
        <v>21471</v>
      </c>
      <c r="AD28" s="312"/>
      <c r="AE28" s="319"/>
      <c r="AF28" s="319"/>
      <c r="AG28" s="443"/>
      <c r="AH28" s="319"/>
      <c r="AI28" s="319"/>
      <c r="AJ28" s="319"/>
      <c r="AK28" s="319"/>
      <c r="AL28" s="319"/>
      <c r="AM28" s="319"/>
      <c r="AN28" s="319"/>
      <c r="AO28" s="319"/>
      <c r="AP28" s="319"/>
      <c r="AQ28" s="319"/>
      <c r="AR28" s="319"/>
      <c r="AS28" s="319"/>
      <c r="AT28" s="319"/>
      <c r="AU28" s="319"/>
      <c r="AV28" s="319"/>
      <c r="AW28" s="319"/>
      <c r="AX28" s="319"/>
      <c r="AY28" s="319"/>
      <c r="AZ28" s="319"/>
    </row>
    <row r="29" spans="1:52" ht="30" customHeight="1">
      <c r="A29" s="339" t="s">
        <v>257</v>
      </c>
      <c r="B29" s="276">
        <f>B10+B11+B12+B13+B24+B26</f>
        <v>-3316</v>
      </c>
      <c r="C29" s="276">
        <f>C10+C11+C12+C13+C24+C26</f>
        <v>27</v>
      </c>
      <c r="D29" s="276">
        <f>D10+D11+D12+D13+D24+D26</f>
        <v>67278</v>
      </c>
      <c r="E29" s="276">
        <f>E10+E11+E12+E13+E24+E26</f>
        <v>9003</v>
      </c>
      <c r="F29" s="319"/>
      <c r="G29" s="339" t="s">
        <v>257</v>
      </c>
      <c r="H29" s="276">
        <f>H10+H11+H12+H13+H24+H26</f>
        <v>-1978</v>
      </c>
      <c r="I29" s="276">
        <f>I10+I11+I12+I13+I24+I26</f>
        <v>1011</v>
      </c>
      <c r="J29" s="276">
        <f>J10+J11+J12+J13+J24+J26</f>
        <v>90573</v>
      </c>
      <c r="K29" s="276">
        <f>K10+K11+K12+K13+K24+K26</f>
        <v>14512</v>
      </c>
      <c r="L29" s="319"/>
      <c r="M29" s="470" t="s">
        <v>257</v>
      </c>
      <c r="N29" s="471">
        <f>N10+N11+N12+N13+N24+N26</f>
        <v>-2522</v>
      </c>
      <c r="O29" s="471">
        <f>O10+O11+O12+O13+O24+O26</f>
        <v>401</v>
      </c>
      <c r="P29" s="471">
        <f>P10+P11+P12+P13+P24+P26</f>
        <v>85209</v>
      </c>
      <c r="Q29" s="471">
        <f>Q10+Q11+Q12+Q13+Q24+Q26</f>
        <v>15117</v>
      </c>
      <c r="R29" s="312"/>
      <c r="S29" s="470" t="s">
        <v>257</v>
      </c>
      <c r="T29" s="471">
        <f>T10+T11+T12+T13+T24+T26</f>
        <v>-5115</v>
      </c>
      <c r="U29" s="471">
        <f>U10+U11+U12+U13+U24+U26</f>
        <v>-718</v>
      </c>
      <c r="V29" s="471">
        <f>V10+V11+V12+V13+V24+V26</f>
        <v>54490</v>
      </c>
      <c r="W29" s="471">
        <f>W10+W11+W12+W13+W24+W26</f>
        <v>8294</v>
      </c>
      <c r="X29" s="312"/>
      <c r="Y29" s="470" t="s">
        <v>257</v>
      </c>
      <c r="Z29" s="471">
        <f>Z10+Z11+Z12+Z13+Z24+Z26</f>
        <v>-3839</v>
      </c>
      <c r="AA29" s="471">
        <f>AA10+AA11+AA12+AA13+AA24+AA26</f>
        <v>-297</v>
      </c>
      <c r="AB29" s="471">
        <f>AB10+AB11+AB12+AB13+AB24+AB26</f>
        <v>65485</v>
      </c>
      <c r="AC29" s="471">
        <f>AC10+AC11+AC12+AC13+AC24+AC26</f>
        <v>10685</v>
      </c>
      <c r="AD29" s="312"/>
      <c r="AE29" s="319"/>
      <c r="AF29" s="319"/>
      <c r="AG29" s="444"/>
      <c r="AH29" s="441"/>
      <c r="AI29" s="441"/>
      <c r="AJ29" s="441"/>
      <c r="AK29" s="319"/>
      <c r="AL29" s="319"/>
      <c r="AM29" s="319"/>
      <c r="AN29" s="319"/>
      <c r="AO29" s="319"/>
      <c r="AP29" s="319"/>
      <c r="AQ29" s="319"/>
      <c r="AR29" s="319"/>
      <c r="AS29" s="319"/>
      <c r="AT29" s="319"/>
      <c r="AU29" s="319"/>
      <c r="AV29" s="319"/>
      <c r="AW29" s="319"/>
      <c r="AX29" s="319"/>
      <c r="AY29" s="319"/>
      <c r="AZ29" s="319"/>
    </row>
    <row r="30" spans="1:52">
      <c r="A30" s="84" t="s">
        <v>569</v>
      </c>
      <c r="B30" s="202">
        <f>B29-B13</f>
        <v>-3316</v>
      </c>
      <c r="C30" s="202">
        <f>C29-C13</f>
        <v>-26</v>
      </c>
      <c r="D30" s="202">
        <f>D29-D13</f>
        <v>64732</v>
      </c>
      <c r="E30" s="202">
        <f>E29-E13</f>
        <v>9015</v>
      </c>
      <c r="F30" s="263"/>
      <c r="G30" s="84" t="s">
        <v>569</v>
      </c>
      <c r="H30" s="202">
        <f>H29-H13</f>
        <v>-1978</v>
      </c>
      <c r="I30" s="202">
        <f>I29-I13</f>
        <v>964</v>
      </c>
      <c r="J30" s="202">
        <f>J29-J13</f>
        <v>88133</v>
      </c>
      <c r="K30" s="202">
        <f>K29-K13</f>
        <v>14529</v>
      </c>
      <c r="L30" s="263"/>
      <c r="M30" s="472" t="s">
        <v>569</v>
      </c>
      <c r="N30" s="185">
        <f>N29-N13</f>
        <v>-2522</v>
      </c>
      <c r="O30" s="185">
        <f>O29-O13</f>
        <v>352</v>
      </c>
      <c r="P30" s="185">
        <f>P29-P13</f>
        <v>83486</v>
      </c>
      <c r="Q30" s="185">
        <f>Q29-Q13</f>
        <v>15131</v>
      </c>
      <c r="R30" s="473"/>
      <c r="S30" s="472" t="s">
        <v>569</v>
      </c>
      <c r="T30" s="185">
        <f>T29-T13</f>
        <v>-5115</v>
      </c>
      <c r="U30" s="185">
        <f>U29-U13</f>
        <v>-769</v>
      </c>
      <c r="V30" s="185">
        <f>V29-V13</f>
        <v>52721</v>
      </c>
      <c r="W30" s="185">
        <f>W29-W13</f>
        <v>8314</v>
      </c>
      <c r="X30" s="473"/>
      <c r="Y30" s="472" t="s">
        <v>569</v>
      </c>
      <c r="Z30" s="185">
        <f>Z29-Z13</f>
        <v>-3839</v>
      </c>
      <c r="AA30" s="185">
        <f>AA29-AA13</f>
        <v>-353</v>
      </c>
      <c r="AB30" s="185">
        <f>AB29-AB13</f>
        <v>62951</v>
      </c>
      <c r="AC30" s="185">
        <f>AC29-AC13</f>
        <v>10699</v>
      </c>
      <c r="AD30" s="473"/>
      <c r="AE30" s="263"/>
      <c r="AF30" s="263"/>
      <c r="AG30" s="263"/>
      <c r="AH30" s="441"/>
      <c r="AI30" s="441"/>
      <c r="AJ30" s="441"/>
      <c r="AK30" s="319"/>
      <c r="AL30" s="319"/>
      <c r="AM30" s="319"/>
    </row>
    <row r="31" spans="1:52" ht="25.5">
      <c r="A31" s="84" t="s">
        <v>260</v>
      </c>
      <c r="B31" s="202">
        <f>SUM(B4:B26)</f>
        <v>31061</v>
      </c>
      <c r="C31" s="202">
        <f>SUM(C4:C26)</f>
        <v>21068</v>
      </c>
      <c r="D31" s="202">
        <f>SUM(D4:D26)</f>
        <v>194221</v>
      </c>
      <c r="E31" s="202">
        <f>SUM(E4:E26)</f>
        <v>19439</v>
      </c>
      <c r="F31" s="263"/>
      <c r="G31" s="84" t="s">
        <v>260</v>
      </c>
      <c r="H31" s="202">
        <f>SUM(H4:H26)</f>
        <v>34447</v>
      </c>
      <c r="I31" s="202">
        <f>SUM(I4:I26)</f>
        <v>27229</v>
      </c>
      <c r="J31" s="202">
        <f>SUM(J4:J26)</f>
        <v>222338</v>
      </c>
      <c r="K31" s="202">
        <f>SUM(K4:K26)</f>
        <v>25919</v>
      </c>
      <c r="L31" s="263"/>
      <c r="M31" s="472" t="s">
        <v>260</v>
      </c>
      <c r="N31" s="185">
        <f>SUM(N4:N26)</f>
        <v>32563</v>
      </c>
      <c r="O31" s="185">
        <f>SUM(O4:O26)</f>
        <v>21800</v>
      </c>
      <c r="P31" s="185">
        <f>SUM(P4:P26)</f>
        <v>216337</v>
      </c>
      <c r="Q31" s="185">
        <f>SUM(Q4:Q26)</f>
        <v>26516</v>
      </c>
      <c r="R31" s="473"/>
      <c r="S31" s="472" t="s">
        <v>260</v>
      </c>
      <c r="T31" s="185">
        <f>SUM(T4:T26)</f>
        <v>26671</v>
      </c>
      <c r="U31" s="185">
        <f>SUM(U4:U26)</f>
        <v>14621</v>
      </c>
      <c r="V31" s="185">
        <f>SUM(V4:V26)</f>
        <v>179049</v>
      </c>
      <c r="W31" s="185">
        <f>SUM(W4:W26)</f>
        <v>18962</v>
      </c>
      <c r="X31" s="473"/>
      <c r="Y31" s="472" t="s">
        <v>260</v>
      </c>
      <c r="Z31" s="185">
        <f>SUM(Z4:Z26)</f>
        <v>30038</v>
      </c>
      <c r="AA31" s="185">
        <f>SUM(AA4:AA26)</f>
        <v>14122</v>
      </c>
      <c r="AB31" s="185">
        <f>SUM(AB4:AB26)</f>
        <v>191285</v>
      </c>
      <c r="AC31" s="185">
        <f>SUM(AC4:AC26)</f>
        <v>21456</v>
      </c>
      <c r="AD31" s="473"/>
      <c r="AE31" s="263"/>
      <c r="AF31" s="263"/>
      <c r="AG31" s="319"/>
      <c r="AH31" s="319"/>
      <c r="AI31" s="319"/>
      <c r="AJ31" s="263"/>
      <c r="AK31" s="319"/>
      <c r="AL31" s="319"/>
      <c r="AM31" s="319"/>
    </row>
    <row r="32" spans="1:52">
      <c r="A32" s="84" t="s">
        <v>680</v>
      </c>
      <c r="B32" s="202">
        <f>B28-B13</f>
        <v>31063</v>
      </c>
      <c r="C32" s="202">
        <f>C28-C13</f>
        <v>21029</v>
      </c>
      <c r="D32" s="202">
        <f>D28-D13</f>
        <v>191677</v>
      </c>
      <c r="E32" s="202">
        <f>E28-E13</f>
        <v>19466</v>
      </c>
      <c r="F32" s="319"/>
      <c r="G32" s="84" t="s">
        <v>680</v>
      </c>
      <c r="H32" s="202">
        <f>H28-H13</f>
        <v>34448</v>
      </c>
      <c r="I32" s="202">
        <f>I28-I13</f>
        <v>27191</v>
      </c>
      <c r="J32" s="202">
        <f>J28-J13</f>
        <v>219898</v>
      </c>
      <c r="K32" s="202">
        <f>K28-K13</f>
        <v>25943</v>
      </c>
      <c r="L32" s="319"/>
      <c r="M32" s="472" t="s">
        <v>680</v>
      </c>
      <c r="N32" s="185">
        <f>N28-N13</f>
        <v>32565</v>
      </c>
      <c r="O32" s="185">
        <f>O28-O13</f>
        <v>21767</v>
      </c>
      <c r="P32" s="185">
        <f>P28-P13</f>
        <v>214611</v>
      </c>
      <c r="Q32" s="185">
        <f>Q28-Q13</f>
        <v>26541</v>
      </c>
      <c r="R32" s="312"/>
      <c r="S32" s="472" t="s">
        <v>680</v>
      </c>
      <c r="T32" s="185">
        <f>T28-T13</f>
        <v>26672</v>
      </c>
      <c r="U32" s="185">
        <f>U28-U13</f>
        <v>14576</v>
      </c>
      <c r="V32" s="185">
        <f>V28-V13</f>
        <v>177287</v>
      </c>
      <c r="W32" s="185">
        <f>W28-W13</f>
        <v>18995</v>
      </c>
      <c r="X32" s="312"/>
      <c r="Y32" s="472" t="s">
        <v>680</v>
      </c>
      <c r="Z32" s="185">
        <f>Z28-Z13</f>
        <v>30029</v>
      </c>
      <c r="AA32" s="185">
        <f>AA28-AA13</f>
        <v>14081</v>
      </c>
      <c r="AB32" s="185">
        <f>AB28-AB13</f>
        <v>188750</v>
      </c>
      <c r="AC32" s="185">
        <f>AC28-AC13</f>
        <v>21485</v>
      </c>
      <c r="AD32" s="312"/>
      <c r="AF32" s="120"/>
      <c r="AG32" s="319"/>
      <c r="AH32" s="319"/>
      <c r="AI32" s="319"/>
      <c r="AJ32" s="319"/>
      <c r="AK32" s="319"/>
      <c r="AL32" s="263"/>
      <c r="AM32" s="319"/>
      <c r="AN32" s="319"/>
      <c r="AO32" s="319"/>
      <c r="AP32" s="319"/>
      <c r="AQ32" s="263"/>
      <c r="AR32" s="263"/>
      <c r="AS32" s="319"/>
      <c r="AT32" s="319"/>
      <c r="AU32" s="319"/>
      <c r="AV32" s="319"/>
      <c r="AW32" s="120"/>
    </row>
    <row r="33" spans="18:48">
      <c r="S33" s="312"/>
      <c r="T33" s="312"/>
      <c r="U33" s="312"/>
      <c r="V33" s="312"/>
      <c r="W33" s="312"/>
      <c r="X33" s="312"/>
      <c r="Y33" s="312"/>
      <c r="Z33" s="312"/>
      <c r="AA33" s="312"/>
      <c r="AB33" s="312"/>
      <c r="AC33" s="312"/>
      <c r="AD33" s="312"/>
      <c r="AF33" s="319"/>
      <c r="AG33" s="319"/>
      <c r="AH33" s="319"/>
      <c r="AI33" s="319"/>
      <c r="AJ33" s="319"/>
      <c r="AK33" s="319"/>
      <c r="AL33" s="319"/>
      <c r="AM33" s="143"/>
      <c r="AN33" s="143"/>
      <c r="AO33" s="143"/>
      <c r="AP33" s="143"/>
      <c r="AS33" s="143"/>
      <c r="AT33" s="143"/>
      <c r="AU33" s="143"/>
      <c r="AV33" s="143"/>
    </row>
    <row r="34" spans="18:48" customFormat="1" ht="12.75" customHeight="1">
      <c r="R34" s="319"/>
      <c r="S34" s="474"/>
      <c r="T34" s="474"/>
      <c r="U34" s="475"/>
      <c r="V34" s="476"/>
      <c r="W34" s="475"/>
      <c r="X34" s="312"/>
      <c r="Y34" s="312"/>
      <c r="Z34" s="312"/>
      <c r="AA34" s="312"/>
      <c r="AB34" s="312"/>
      <c r="AC34" s="312"/>
      <c r="AD34" s="312"/>
      <c r="AF34" s="319"/>
      <c r="AG34" s="319"/>
      <c r="AH34" s="319"/>
      <c r="AI34" s="319"/>
      <c r="AJ34" s="319"/>
      <c r="AK34" s="319"/>
      <c r="AL34" s="319"/>
      <c r="AM34" s="319"/>
    </row>
    <row r="35" spans="18:48">
      <c r="R35" s="319"/>
      <c r="S35" s="477"/>
      <c r="T35" s="478"/>
      <c r="U35" s="479"/>
      <c r="V35" s="479"/>
      <c r="W35" s="479"/>
      <c r="X35" s="312"/>
      <c r="Y35" s="312"/>
      <c r="Z35" s="312"/>
      <c r="AA35" s="312"/>
      <c r="AB35" s="312"/>
      <c r="AC35" s="312"/>
      <c r="AD35" s="312"/>
    </row>
    <row r="36" spans="18:48">
      <c r="R36" s="319"/>
      <c r="S36" s="477"/>
      <c r="T36" s="478"/>
      <c r="U36" s="479"/>
      <c r="V36" s="479"/>
    </row>
    <row r="37" spans="18:48">
      <c r="R37" s="319"/>
      <c r="S37" s="477"/>
      <c r="T37" s="478"/>
      <c r="U37" s="479"/>
      <c r="V37" s="479"/>
    </row>
    <row r="38" spans="18:48">
      <c r="R38" s="319"/>
      <c r="S38" s="477"/>
      <c r="T38" s="478"/>
      <c r="U38" s="479"/>
      <c r="V38" s="479"/>
    </row>
    <row r="39" spans="18:48">
      <c r="R39" s="319"/>
      <c r="S39" s="477"/>
      <c r="T39" s="478"/>
      <c r="U39" s="479"/>
      <c r="V39" s="479"/>
    </row>
    <row r="40" spans="18:48">
      <c r="R40" s="319"/>
      <c r="S40" s="477"/>
      <c r="T40" s="478"/>
      <c r="U40" s="479"/>
      <c r="V40" s="479"/>
    </row>
    <row r="41" spans="18:48">
      <c r="R41" s="319"/>
      <c r="S41" s="477"/>
      <c r="T41" s="478"/>
      <c r="U41" s="479"/>
      <c r="V41" s="479"/>
    </row>
    <row r="42" spans="18:48">
      <c r="R42" s="319"/>
      <c r="S42" s="477"/>
      <c r="T42" s="478"/>
      <c r="U42" s="479"/>
      <c r="V42" s="479"/>
    </row>
    <row r="43" spans="18:48">
      <c r="R43" s="319"/>
      <c r="S43" s="477"/>
      <c r="T43" s="478"/>
      <c r="U43" s="479"/>
      <c r="V43" s="479"/>
    </row>
    <row r="44" spans="18:48">
      <c r="R44" s="319"/>
      <c r="S44" s="477"/>
      <c r="T44" s="478"/>
      <c r="U44" s="479"/>
      <c r="V44" s="479"/>
    </row>
    <row r="45" spans="18:48">
      <c r="R45" s="319"/>
      <c r="S45" s="477"/>
      <c r="T45" s="478"/>
      <c r="U45" s="479"/>
      <c r="V45" s="479"/>
    </row>
    <row r="46" spans="18:48">
      <c r="R46" s="319"/>
      <c r="S46" s="477"/>
      <c r="T46" s="478"/>
      <c r="U46" s="479"/>
      <c r="V46" s="479"/>
    </row>
    <row r="47" spans="18:48">
      <c r="R47" s="319"/>
      <c r="S47" s="477"/>
      <c r="T47" s="478"/>
      <c r="U47" s="479"/>
      <c r="V47" s="479"/>
    </row>
    <row r="48" spans="18:48">
      <c r="R48" s="319"/>
      <c r="S48" s="477"/>
      <c r="T48" s="478"/>
      <c r="U48" s="479"/>
      <c r="V48" s="479"/>
    </row>
    <row r="49" spans="18:22">
      <c r="R49" s="319"/>
      <c r="S49" s="477"/>
      <c r="T49" s="478"/>
      <c r="U49" s="479"/>
      <c r="V49" s="479"/>
    </row>
    <row r="50" spans="18:22">
      <c r="R50" s="319"/>
      <c r="S50" s="477"/>
      <c r="T50" s="478"/>
      <c r="U50" s="479"/>
      <c r="V50" s="479"/>
    </row>
    <row r="51" spans="18:22">
      <c r="R51" s="319"/>
      <c r="S51" s="477"/>
      <c r="T51" s="478"/>
      <c r="U51" s="479"/>
      <c r="V51" s="479"/>
    </row>
    <row r="52" spans="18:22">
      <c r="R52" s="319"/>
      <c r="S52" s="477"/>
      <c r="T52" s="478"/>
      <c r="U52" s="479"/>
      <c r="V52" s="479"/>
    </row>
    <row r="53" spans="18:22">
      <c r="R53" s="319"/>
      <c r="S53" s="477"/>
      <c r="T53" s="478"/>
      <c r="U53" s="479"/>
      <c r="V53" s="479"/>
    </row>
    <row r="54" spans="18:22">
      <c r="R54" s="319"/>
      <c r="S54" s="477"/>
      <c r="T54" s="478"/>
      <c r="U54" s="479"/>
      <c r="V54" s="479"/>
    </row>
    <row r="55" spans="18:22">
      <c r="R55" s="319"/>
      <c r="S55" s="477"/>
      <c r="T55" s="478"/>
      <c r="U55" s="479"/>
      <c r="V55" s="479"/>
    </row>
    <row r="56" spans="18:22">
      <c r="R56" s="319"/>
      <c r="S56" s="477"/>
      <c r="T56" s="478"/>
      <c r="U56" s="479"/>
      <c r="V56" s="479"/>
    </row>
    <row r="57" spans="18:22">
      <c r="R57" s="319"/>
      <c r="S57" s="477"/>
      <c r="T57" s="478"/>
      <c r="U57" s="479"/>
      <c r="V57" s="479"/>
    </row>
    <row r="58" spans="18:22">
      <c r="R58" s="319"/>
      <c r="S58" s="480"/>
      <c r="T58" s="481"/>
      <c r="U58" s="475"/>
      <c r="V58" s="475"/>
    </row>
    <row r="59" spans="18:22">
      <c r="R59" s="319"/>
      <c r="S59" s="473"/>
      <c r="T59" s="481"/>
      <c r="U59" s="475"/>
      <c r="V59" s="475"/>
    </row>
    <row r="60" spans="18:22">
      <c r="R60" s="319"/>
      <c r="S60" s="312"/>
      <c r="T60" s="312"/>
      <c r="U60" s="312"/>
      <c r="V60" s="312"/>
    </row>
    <row r="61" spans="18:22">
      <c r="R61" s="319"/>
      <c r="S61" s="312"/>
      <c r="T61" s="312"/>
      <c r="U61" s="312"/>
      <c r="V61" s="312"/>
    </row>
    <row r="62" spans="18:22">
      <c r="S62" s="312"/>
      <c r="T62" s="312"/>
      <c r="U62" s="312"/>
      <c r="V62" s="312"/>
    </row>
    <row r="63" spans="18:22">
      <c r="S63" s="312"/>
      <c r="T63" s="312"/>
      <c r="U63" s="312"/>
      <c r="V63" s="312"/>
    </row>
    <row r="64" spans="18:22">
      <c r="S64" s="312"/>
      <c r="T64" s="312"/>
      <c r="U64" s="312"/>
      <c r="V64" s="312"/>
    </row>
    <row r="65" spans="19:22">
      <c r="S65" s="312"/>
      <c r="T65" s="312"/>
      <c r="U65" s="312"/>
      <c r="V65" s="312"/>
    </row>
    <row r="66" spans="19:22">
      <c r="S66" s="312"/>
      <c r="T66" s="312"/>
      <c r="U66" s="312"/>
      <c r="V66" s="312"/>
    </row>
    <row r="67" spans="19:22">
      <c r="S67" s="312"/>
      <c r="T67" s="312"/>
      <c r="U67" s="312"/>
      <c r="V67" s="312"/>
    </row>
    <row r="68" spans="19:22">
      <c r="S68" s="312"/>
      <c r="T68" s="312"/>
      <c r="U68" s="312"/>
      <c r="V68" s="312"/>
    </row>
    <row r="69" spans="19:22">
      <c r="S69" s="312"/>
      <c r="T69" s="312"/>
      <c r="U69" s="312"/>
      <c r="V69" s="312"/>
    </row>
  </sheetData>
  <mergeCells count="4">
    <mergeCell ref="S1:W1"/>
    <mergeCell ref="S2:S3"/>
    <mergeCell ref="Y1:AC1"/>
    <mergeCell ref="Y2:Y3"/>
  </mergeCells>
  <phoneticPr fontId="0" type="noConversion"/>
  <pageMargins left="0.75" right="0.75" top="1" bottom="1" header="0.5" footer="0.5"/>
  <pageSetup orientation="portrait" r:id="rId1"/>
  <headerFooter alignWithMargins="0">
    <oddHeader>&amp;LRRCA
Compact Accounting&amp;CGround Water Model Output&amp;RPage &amp;P of &amp;N</oddHeader>
  </headerFooter>
  <colBreaks count="2" manualBreakCount="2">
    <brk id="6" max="30" man="1"/>
    <brk id="12" max="30"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P56"/>
  <sheetViews>
    <sheetView zoomScale="86" zoomScaleNormal="86" workbookViewId="0">
      <pane xSplit="1" ySplit="5" topLeftCell="F6" activePane="bottomRight" state="frozen"/>
      <selection pane="topRight" activeCell="B1" sqref="B1"/>
      <selection pane="bottomLeft" activeCell="A6" sqref="A6"/>
      <selection pane="bottomRight" activeCell="O13" sqref="O13"/>
    </sheetView>
  </sheetViews>
  <sheetFormatPr defaultColWidth="8.85546875" defaultRowHeight="12.75"/>
  <cols>
    <col min="1" max="1" width="23" style="14" bestFit="1" customWidth="1"/>
    <col min="2" max="4" width="23" style="14" customWidth="1"/>
    <col min="5" max="5" width="21.85546875" style="14" bestFit="1" customWidth="1"/>
    <col min="6" max="6" width="18.85546875" style="14" bestFit="1" customWidth="1"/>
    <col min="7" max="7" width="19.140625" style="14" bestFit="1" customWidth="1"/>
    <col min="8" max="8" width="21.85546875" style="14" bestFit="1" customWidth="1"/>
    <col min="9" max="9" width="18.85546875" style="14" bestFit="1" customWidth="1"/>
    <col min="10" max="10" width="16.7109375" style="14" bestFit="1" customWidth="1"/>
    <col min="11" max="11" width="21.85546875" style="14" bestFit="1" customWidth="1"/>
    <col min="12" max="12" width="18.85546875" style="14" bestFit="1" customWidth="1"/>
    <col min="13" max="13" width="16.7109375" style="14" bestFit="1" customWidth="1"/>
    <col min="14" max="14" width="21.85546875" style="14" bestFit="1" customWidth="1"/>
    <col min="15" max="15" width="18.85546875" style="14" bestFit="1" customWidth="1"/>
    <col min="16" max="16" width="13.85546875" style="14" bestFit="1" customWidth="1"/>
    <col min="17" max="17" width="21.85546875" style="14" bestFit="1" customWidth="1"/>
    <col min="18" max="18" width="21.28515625" style="14" customWidth="1"/>
    <col min="19" max="19" width="25.28515625" style="14" customWidth="1"/>
    <col min="20" max="20" width="12.28515625" style="14" bestFit="1" customWidth="1"/>
    <col min="21" max="21" width="12.28515625" style="14" customWidth="1"/>
    <col min="22" max="23" width="8.85546875" style="14"/>
    <col min="24" max="24" width="12.28515625" style="14" customWidth="1"/>
    <col min="25" max="26" width="8.85546875" style="14"/>
    <col min="27" max="27" width="11.85546875" style="14" customWidth="1"/>
    <col min="28" max="16384" width="8.85546875" style="14"/>
  </cols>
  <sheetData>
    <row r="1" spans="1:16" ht="22.5">
      <c r="A1" s="562" t="s">
        <v>447</v>
      </c>
      <c r="B1" s="563"/>
      <c r="C1" s="563"/>
      <c r="D1" s="563"/>
      <c r="E1" s="564"/>
      <c r="F1" s="564"/>
      <c r="G1" s="565"/>
    </row>
    <row r="2" spans="1:16" ht="22.5">
      <c r="A2" s="236"/>
      <c r="B2" s="236"/>
      <c r="C2" s="236"/>
      <c r="D2" s="236"/>
      <c r="E2" s="237"/>
      <c r="F2" s="237"/>
      <c r="G2" s="237"/>
    </row>
    <row r="3" spans="1:16" ht="18.75">
      <c r="B3" s="507">
        <v>2017</v>
      </c>
      <c r="C3" s="508"/>
      <c r="D3" s="509"/>
      <c r="E3" s="507">
        <v>2018</v>
      </c>
      <c r="F3" s="508"/>
      <c r="G3" s="509"/>
      <c r="H3" s="507">
        <v>2019</v>
      </c>
      <c r="I3" s="508"/>
      <c r="J3" s="509"/>
      <c r="K3" s="566">
        <v>2020</v>
      </c>
      <c r="L3" s="567"/>
      <c r="M3" s="568"/>
      <c r="N3" s="566">
        <v>2021</v>
      </c>
      <c r="O3" s="567"/>
      <c r="P3" s="568"/>
    </row>
    <row r="4" spans="1:16" ht="18.75">
      <c r="A4" s="238" t="s">
        <v>433</v>
      </c>
      <c r="B4" s="482" t="s">
        <v>434</v>
      </c>
      <c r="C4" s="483" t="s">
        <v>435</v>
      </c>
      <c r="D4" s="484" t="s">
        <v>445</v>
      </c>
      <c r="E4" s="482" t="s">
        <v>434</v>
      </c>
      <c r="F4" s="483" t="s">
        <v>435</v>
      </c>
      <c r="G4" s="484" t="s">
        <v>445</v>
      </c>
      <c r="H4" s="482" t="s">
        <v>434</v>
      </c>
      <c r="I4" s="483" t="s">
        <v>435</v>
      </c>
      <c r="J4" s="484" t="s">
        <v>445</v>
      </c>
      <c r="K4" s="482" t="s">
        <v>434</v>
      </c>
      <c r="L4" s="483" t="s">
        <v>435</v>
      </c>
      <c r="M4" s="484" t="s">
        <v>445</v>
      </c>
      <c r="N4" s="482" t="s">
        <v>434</v>
      </c>
      <c r="O4" s="483" t="s">
        <v>435</v>
      </c>
      <c r="P4" s="484" t="s">
        <v>445</v>
      </c>
    </row>
    <row r="5" spans="1:16" ht="18.75">
      <c r="A5" s="238"/>
      <c r="B5" s="510" t="s">
        <v>444</v>
      </c>
      <c r="C5" s="511"/>
      <c r="D5" s="484" t="s">
        <v>446</v>
      </c>
      <c r="E5" s="510" t="s">
        <v>444</v>
      </c>
      <c r="F5" s="511"/>
      <c r="G5" s="484" t="s">
        <v>446</v>
      </c>
      <c r="H5" s="510" t="s">
        <v>444</v>
      </c>
      <c r="I5" s="511"/>
      <c r="J5" s="484" t="s">
        <v>446</v>
      </c>
      <c r="K5" s="569" t="s">
        <v>444</v>
      </c>
      <c r="L5" s="570"/>
      <c r="M5" s="484" t="s">
        <v>446</v>
      </c>
      <c r="N5" s="569" t="s">
        <v>444</v>
      </c>
      <c r="O5" s="570"/>
      <c r="P5" s="484" t="s">
        <v>446</v>
      </c>
    </row>
    <row r="6" spans="1:16" ht="18.75">
      <c r="A6" s="238" t="s">
        <v>436</v>
      </c>
      <c r="B6" s="486">
        <v>2180</v>
      </c>
      <c r="C6" s="487">
        <v>1263</v>
      </c>
      <c r="D6" s="485">
        <f>C6/B6</f>
        <v>0.57935779816513766</v>
      </c>
      <c r="E6" s="486">
        <v>2555</v>
      </c>
      <c r="F6" s="487">
        <v>1482</v>
      </c>
      <c r="G6" s="485">
        <f>F6/E6</f>
        <v>0.58003913894324854</v>
      </c>
      <c r="H6" s="496">
        <v>2582</v>
      </c>
      <c r="I6" s="497">
        <v>1193</v>
      </c>
      <c r="J6" s="485">
        <f>I6/H6</f>
        <v>0.46204492641363282</v>
      </c>
      <c r="K6" s="486">
        <v>2701</v>
      </c>
      <c r="L6" s="487">
        <v>2037</v>
      </c>
      <c r="M6" s="485">
        <f>L6/K6</f>
        <v>0.75416512402813773</v>
      </c>
      <c r="N6" s="486">
        <v>2494</v>
      </c>
      <c r="O6" s="487">
        <v>1616</v>
      </c>
      <c r="P6" s="485">
        <f>O6/N6</f>
        <v>0.64795509222133119</v>
      </c>
    </row>
    <row r="7" spans="1:16" ht="18.75">
      <c r="A7" s="238" t="s">
        <v>437</v>
      </c>
      <c r="B7" s="486">
        <v>36080</v>
      </c>
      <c r="C7" s="488">
        <v>10764</v>
      </c>
      <c r="D7" s="485">
        <f t="shared" ref="D7:D13" si="0">C7/B7</f>
        <v>0.29833702882483371</v>
      </c>
      <c r="E7" s="486">
        <v>35915</v>
      </c>
      <c r="F7" s="487">
        <v>7472</v>
      </c>
      <c r="G7" s="485">
        <f t="shared" ref="G7:G13" si="1">F7/E7</f>
        <v>0.20804677711262703</v>
      </c>
      <c r="H7" s="496">
        <v>55365</v>
      </c>
      <c r="I7" s="497">
        <v>16760</v>
      </c>
      <c r="J7" s="485">
        <f t="shared" ref="J7:J13" si="2">I7/H7</f>
        <v>0.30271832385080827</v>
      </c>
      <c r="K7" s="486">
        <v>45701</v>
      </c>
      <c r="L7" s="487">
        <v>26419</v>
      </c>
      <c r="M7" s="485">
        <f t="shared" ref="M7:M13" si="3">L7/K7</f>
        <v>0.57808363055513012</v>
      </c>
      <c r="N7" s="486">
        <v>42018</v>
      </c>
      <c r="O7" s="487">
        <v>11476</v>
      </c>
      <c r="P7" s="485">
        <f t="shared" ref="P7:P13" si="4">O7/N7</f>
        <v>0.27312104336236853</v>
      </c>
    </row>
    <row r="8" spans="1:16" ht="18.75">
      <c r="A8" s="238" t="s">
        <v>438</v>
      </c>
      <c r="B8" s="486">
        <v>4685</v>
      </c>
      <c r="C8" s="487">
        <v>2513</v>
      </c>
      <c r="D8" s="485">
        <f t="shared" si="0"/>
        <v>0.53639274279615801</v>
      </c>
      <c r="E8" s="486">
        <v>5905</v>
      </c>
      <c r="F8" s="487">
        <v>2357</v>
      </c>
      <c r="G8" s="485">
        <f t="shared" si="1"/>
        <v>0.39915325994919559</v>
      </c>
      <c r="H8" s="496">
        <v>5794</v>
      </c>
      <c r="I8" s="497">
        <v>857</v>
      </c>
      <c r="J8" s="485">
        <f t="shared" si="2"/>
        <v>0.14791163272350707</v>
      </c>
      <c r="K8" s="486">
        <v>5655</v>
      </c>
      <c r="L8" s="487">
        <v>2924</v>
      </c>
      <c r="M8" s="485">
        <f t="shared" si="3"/>
        <v>0.51706454465075158</v>
      </c>
      <c r="N8" s="486">
        <v>5150</v>
      </c>
      <c r="O8" s="487">
        <v>2452</v>
      </c>
      <c r="P8" s="485">
        <f t="shared" si="4"/>
        <v>0.4761165048543689</v>
      </c>
    </row>
    <row r="9" spans="1:16" ht="18.75">
      <c r="A9" s="238" t="s">
        <v>439</v>
      </c>
      <c r="B9" s="486">
        <v>3605</v>
      </c>
      <c r="C9" s="487">
        <v>2068</v>
      </c>
      <c r="D9" s="485">
        <f t="shared" si="0"/>
        <v>0.57364771151178917</v>
      </c>
      <c r="E9" s="486">
        <v>3660</v>
      </c>
      <c r="F9" s="487">
        <v>1395</v>
      </c>
      <c r="G9" s="485">
        <f t="shared" si="1"/>
        <v>0.38114754098360654</v>
      </c>
      <c r="H9" s="496">
        <v>3961</v>
      </c>
      <c r="I9" s="497">
        <v>950</v>
      </c>
      <c r="J9" s="485">
        <f t="shared" si="2"/>
        <v>0.23983842464024235</v>
      </c>
      <c r="K9" s="486">
        <v>4607</v>
      </c>
      <c r="L9" s="487">
        <v>3032</v>
      </c>
      <c r="M9" s="485">
        <f t="shared" si="3"/>
        <v>0.65812893423051877</v>
      </c>
      <c r="N9" s="486">
        <v>4294</v>
      </c>
      <c r="O9" s="487">
        <v>2608</v>
      </c>
      <c r="P9" s="485">
        <f t="shared" si="4"/>
        <v>0.60735910572892404</v>
      </c>
    </row>
    <row r="10" spans="1:16" ht="18.75">
      <c r="A10" s="238" t="s">
        <v>440</v>
      </c>
      <c r="B10" s="486">
        <v>10863</v>
      </c>
      <c r="C10" s="487">
        <v>3382</v>
      </c>
      <c r="D10" s="485">
        <f t="shared" si="0"/>
        <v>0.31133204455491115</v>
      </c>
      <c r="E10" s="486">
        <v>11774</v>
      </c>
      <c r="F10" s="487">
        <v>4441</v>
      </c>
      <c r="G10" s="485">
        <f t="shared" si="1"/>
        <v>0.37718702225242057</v>
      </c>
      <c r="H10" s="496">
        <v>12998</v>
      </c>
      <c r="I10" s="497">
        <v>5787</v>
      </c>
      <c r="J10" s="485">
        <f t="shared" si="2"/>
        <v>0.44522234189875365</v>
      </c>
      <c r="K10" s="486">
        <v>13665</v>
      </c>
      <c r="L10" s="487">
        <v>10172</v>
      </c>
      <c r="M10" s="485">
        <f t="shared" si="3"/>
        <v>0.74438346139773148</v>
      </c>
      <c r="N10" s="486">
        <v>12771</v>
      </c>
      <c r="O10" s="487">
        <v>8671</v>
      </c>
      <c r="P10" s="485">
        <f t="shared" si="4"/>
        <v>0.67896014407642313</v>
      </c>
    </row>
    <row r="11" spans="1:16" ht="18.75">
      <c r="A11" s="238" t="s">
        <v>441</v>
      </c>
      <c r="B11" s="486">
        <v>0</v>
      </c>
      <c r="C11" s="487">
        <v>0</v>
      </c>
      <c r="D11" s="485" t="e">
        <f t="shared" si="0"/>
        <v>#DIV/0!</v>
      </c>
      <c r="E11" s="486">
        <v>0</v>
      </c>
      <c r="F11" s="487">
        <v>0</v>
      </c>
      <c r="G11" s="485" t="e">
        <f t="shared" si="1"/>
        <v>#DIV/0!</v>
      </c>
      <c r="H11" s="496">
        <v>0</v>
      </c>
      <c r="I11" s="497">
        <v>0</v>
      </c>
      <c r="J11" s="485" t="e">
        <f t="shared" si="2"/>
        <v>#DIV/0!</v>
      </c>
      <c r="K11" s="486">
        <v>0</v>
      </c>
      <c r="L11" s="487">
        <v>0</v>
      </c>
      <c r="M11" s="485" t="e">
        <f t="shared" si="3"/>
        <v>#DIV/0!</v>
      </c>
      <c r="N11" s="486">
        <v>0</v>
      </c>
      <c r="O11" s="487">
        <v>0</v>
      </c>
      <c r="P11" s="485" t="e">
        <f t="shared" si="4"/>
        <v>#DIV/0!</v>
      </c>
    </row>
    <row r="12" spans="1:16" ht="18.75">
      <c r="A12" s="238" t="s">
        <v>442</v>
      </c>
      <c r="B12" s="486">
        <v>4917</v>
      </c>
      <c r="C12" s="488">
        <v>2203</v>
      </c>
      <c r="D12" s="485">
        <f t="shared" si="0"/>
        <v>0.44803742119178358</v>
      </c>
      <c r="E12" s="486">
        <v>5020</v>
      </c>
      <c r="F12" s="487">
        <v>1399</v>
      </c>
      <c r="G12" s="485">
        <f t="shared" si="1"/>
        <v>0.27868525896414342</v>
      </c>
      <c r="H12" s="496">
        <v>5119</v>
      </c>
      <c r="I12" s="497">
        <v>2714</v>
      </c>
      <c r="J12" s="485">
        <f t="shared" si="2"/>
        <v>0.530181676108615</v>
      </c>
      <c r="K12" s="486">
        <v>7509</v>
      </c>
      <c r="L12" s="487">
        <v>4594</v>
      </c>
      <c r="M12" s="485">
        <f t="shared" si="3"/>
        <v>0.61179917432414432</v>
      </c>
      <c r="N12" s="486">
        <v>6078</v>
      </c>
      <c r="O12" s="487">
        <v>3342</v>
      </c>
      <c r="P12" s="485">
        <f t="shared" si="4"/>
        <v>0.54985192497532087</v>
      </c>
    </row>
    <row r="13" spans="1:16" s="319" customFormat="1" ht="18.75">
      <c r="A13" s="238" t="s">
        <v>443</v>
      </c>
      <c r="B13" s="490">
        <v>9127</v>
      </c>
      <c r="C13" s="491">
        <v>4305</v>
      </c>
      <c r="D13" s="489">
        <f t="shared" si="0"/>
        <v>0.47167744056097294</v>
      </c>
      <c r="E13" s="490">
        <v>8859</v>
      </c>
      <c r="F13" s="492">
        <v>-399</v>
      </c>
      <c r="G13" s="489">
        <f t="shared" si="1"/>
        <v>-4.5038943447341689E-2</v>
      </c>
      <c r="H13" s="498">
        <v>9347</v>
      </c>
      <c r="I13" s="499">
        <v>712</v>
      </c>
      <c r="J13" s="489">
        <f t="shared" si="2"/>
        <v>7.6174173531614417E-2</v>
      </c>
      <c r="K13" s="490">
        <v>9281</v>
      </c>
      <c r="L13" s="492">
        <v>3963</v>
      </c>
      <c r="M13" s="489">
        <f t="shared" si="3"/>
        <v>0.42700140071113024</v>
      </c>
      <c r="N13" s="528">
        <v>7870</v>
      </c>
      <c r="O13" s="492">
        <v>1290</v>
      </c>
      <c r="P13" s="489">
        <f t="shared" si="4"/>
        <v>0.16391359593392629</v>
      </c>
    </row>
    <row r="14" spans="1:16">
      <c r="A14" s="239"/>
      <c r="B14" s="319"/>
      <c r="K14" s="319"/>
      <c r="L14" s="319"/>
      <c r="M14" s="319"/>
      <c r="N14" s="319"/>
      <c r="O14" s="319"/>
    </row>
    <row r="15" spans="1:16" ht="15.75">
      <c r="A15" s="101"/>
      <c r="B15" s="134"/>
      <c r="C15"/>
      <c r="D15"/>
      <c r="E15"/>
      <c r="F15"/>
      <c r="G15"/>
      <c r="H15"/>
      <c r="I15"/>
      <c r="J15"/>
      <c r="K15"/>
      <c r="L15"/>
      <c r="M15"/>
      <c r="N15"/>
      <c r="O15"/>
    </row>
    <row r="16" spans="1:16">
      <c r="C16"/>
      <c r="D16"/>
      <c r="E16"/>
      <c r="F16"/>
      <c r="G16"/>
      <c r="H16"/>
      <c r="I16"/>
      <c r="J16"/>
      <c r="K16"/>
      <c r="L16"/>
      <c r="M16"/>
      <c r="N16"/>
      <c r="O16"/>
    </row>
    <row r="19" spans="1:16" ht="18.75" customHeight="1">
      <c r="B19" s="573" t="s">
        <v>448</v>
      </c>
      <c r="C19" s="573"/>
      <c r="D19" s="573"/>
      <c r="E19" s="573"/>
      <c r="F19" s="573"/>
    </row>
    <row r="20" spans="1:16" ht="18">
      <c r="A20" s="132"/>
      <c r="B20" s="240">
        <v>2017</v>
      </c>
      <c r="C20" s="240">
        <v>2018</v>
      </c>
      <c r="D20" s="240">
        <v>2019</v>
      </c>
      <c r="E20" s="240">
        <v>2020</v>
      </c>
      <c r="F20" s="240">
        <v>2021</v>
      </c>
    </row>
    <row r="21" spans="1:16" ht="18.75">
      <c r="A21" s="241" t="s">
        <v>433</v>
      </c>
      <c r="B21" s="242" t="s">
        <v>449</v>
      </c>
      <c r="C21" s="242" t="s">
        <v>449</v>
      </c>
      <c r="D21" s="242" t="s">
        <v>449</v>
      </c>
      <c r="E21" s="242" t="s">
        <v>449</v>
      </c>
      <c r="F21" s="242" t="s">
        <v>449</v>
      </c>
    </row>
    <row r="22" spans="1:16" ht="18.75">
      <c r="A22" s="293"/>
      <c r="B22" s="292" t="s">
        <v>444</v>
      </c>
      <c r="C22" s="292" t="s">
        <v>444</v>
      </c>
      <c r="D22" s="292" t="s">
        <v>444</v>
      </c>
      <c r="E22" s="292" t="s">
        <v>444</v>
      </c>
      <c r="F22" s="292" t="s">
        <v>444</v>
      </c>
    </row>
    <row r="23" spans="1:16" ht="18.75">
      <c r="A23" s="241" t="s">
        <v>436</v>
      </c>
      <c r="B23" s="243">
        <v>-1669</v>
      </c>
      <c r="C23" s="243">
        <v>767</v>
      </c>
      <c r="D23" s="243">
        <v>424</v>
      </c>
      <c r="E23" s="517">
        <v>-1148</v>
      </c>
      <c r="F23" s="517">
        <v>-655</v>
      </c>
    </row>
    <row r="24" spans="1:16" ht="18.75">
      <c r="A24" s="241" t="s">
        <v>437</v>
      </c>
      <c r="B24" s="243">
        <v>30044</v>
      </c>
      <c r="C24" s="243">
        <v>30781</v>
      </c>
      <c r="D24" s="243">
        <v>74701</v>
      </c>
      <c r="E24" s="517">
        <v>-50098</v>
      </c>
      <c r="F24" s="517">
        <v>754</v>
      </c>
    </row>
    <row r="25" spans="1:16" ht="18.75">
      <c r="A25" s="241" t="s">
        <v>438</v>
      </c>
      <c r="B25" s="243">
        <v>-5538</v>
      </c>
      <c r="C25" s="243">
        <v>5139</v>
      </c>
      <c r="D25" s="243">
        <v>5232</v>
      </c>
      <c r="E25" s="517">
        <v>-9530</v>
      </c>
      <c r="F25" s="517">
        <v>2950</v>
      </c>
    </row>
    <row r="26" spans="1:16" ht="18.75">
      <c r="A26" s="241" t="s">
        <v>439</v>
      </c>
      <c r="B26" s="243">
        <v>957</v>
      </c>
      <c r="C26" s="243">
        <v>3993</v>
      </c>
      <c r="D26" s="243">
        <v>3001</v>
      </c>
      <c r="E26" s="517">
        <v>-4190</v>
      </c>
      <c r="F26" s="517">
        <v>-2618</v>
      </c>
      <c r="G26" s="120"/>
    </row>
    <row r="27" spans="1:16" ht="18.75">
      <c r="A27" s="241" t="s">
        <v>440</v>
      </c>
      <c r="B27" s="243">
        <v>5370</v>
      </c>
      <c r="C27" s="243">
        <v>8017</v>
      </c>
      <c r="D27" s="243">
        <v>905</v>
      </c>
      <c r="E27" s="517">
        <v>-4786</v>
      </c>
      <c r="F27" s="517">
        <v>-9291</v>
      </c>
      <c r="G27" s="456"/>
    </row>
    <row r="28" spans="1:16" ht="18.75">
      <c r="A28" s="241" t="s">
        <v>441</v>
      </c>
      <c r="B28" s="243">
        <v>0</v>
      </c>
      <c r="C28" s="243">
        <v>0</v>
      </c>
      <c r="D28" s="243">
        <v>0</v>
      </c>
      <c r="E28" s="517">
        <v>0</v>
      </c>
      <c r="F28" s="517">
        <v>0</v>
      </c>
      <c r="G28" s="456"/>
    </row>
    <row r="29" spans="1:16" ht="18.75">
      <c r="A29" s="244" t="s">
        <v>442</v>
      </c>
      <c r="B29" s="433">
        <v>340</v>
      </c>
      <c r="C29" s="433">
        <v>3191</v>
      </c>
      <c r="D29" s="433">
        <v>9259</v>
      </c>
      <c r="E29" s="518">
        <v>-4632</v>
      </c>
      <c r="F29" s="518">
        <v>-3444</v>
      </c>
      <c r="G29" s="456"/>
    </row>
    <row r="30" spans="1:16">
      <c r="A30" s="239"/>
      <c r="B30" s="319"/>
      <c r="C30" s="319"/>
      <c r="D30" s="319"/>
      <c r="E30" s="319"/>
      <c r="F30" s="319"/>
      <c r="G30" s="120"/>
      <c r="H30" s="120"/>
    </row>
    <row r="31" spans="1:16" ht="15.75">
      <c r="A31" s="101"/>
      <c r="B31" s="319"/>
      <c r="C31" s="101"/>
      <c r="D31" s="101"/>
      <c r="E31" s="319"/>
      <c r="F31" s="285"/>
      <c r="G31" s="319"/>
      <c r="H31" s="319"/>
      <c r="I31" s="319"/>
      <c r="J31" s="319"/>
      <c r="N31" s="120"/>
      <c r="O31" s="120"/>
      <c r="P31" s="120"/>
    </row>
    <row r="32" spans="1:16">
      <c r="A32" s="319"/>
      <c r="B32" s="319"/>
      <c r="C32" s="319"/>
      <c r="D32" s="319"/>
      <c r="E32" s="319"/>
      <c r="F32" s="319"/>
      <c r="G32" s="319"/>
      <c r="H32" s="319"/>
      <c r="I32" s="319"/>
      <c r="J32" s="319"/>
    </row>
    <row r="33" spans="1:13">
      <c r="A33" s="319"/>
      <c r="B33" s="319"/>
      <c r="C33" s="319"/>
      <c r="D33" s="319"/>
      <c r="E33" s="319"/>
      <c r="F33" s="319"/>
      <c r="G33" s="319"/>
      <c r="H33" s="319"/>
      <c r="I33" s="319"/>
      <c r="J33" s="319"/>
    </row>
    <row r="34" spans="1:13">
      <c r="A34" s="319"/>
      <c r="B34" s="319"/>
      <c r="C34" s="319"/>
      <c r="D34" s="319"/>
      <c r="E34" s="319"/>
      <c r="F34" s="319"/>
      <c r="G34" s="319"/>
      <c r="H34" s="319"/>
      <c r="I34" s="319"/>
      <c r="J34" s="319"/>
      <c r="K34" s="319"/>
      <c r="L34" s="319"/>
      <c r="M34" s="319"/>
    </row>
    <row r="35" spans="1:13" ht="20.25">
      <c r="A35" s="572" t="s">
        <v>453</v>
      </c>
      <c r="B35" s="572"/>
      <c r="C35" s="572"/>
      <c r="D35" s="572"/>
      <c r="E35" s="572"/>
      <c r="F35" s="245"/>
      <c r="G35" s="245"/>
      <c r="H35" s="245"/>
      <c r="I35" s="319"/>
      <c r="J35" s="319"/>
      <c r="K35" s="319"/>
      <c r="L35" s="319"/>
      <c r="M35" s="319"/>
    </row>
    <row r="36" spans="1:13" ht="13.5">
      <c r="A36" s="246"/>
      <c r="B36" s="571" t="s">
        <v>452</v>
      </c>
      <c r="C36" s="564"/>
      <c r="D36" s="564"/>
      <c r="E36" s="565"/>
      <c r="F36" s="319"/>
      <c r="G36" s="319"/>
      <c r="H36" s="319"/>
      <c r="I36" s="319"/>
      <c r="J36" s="319"/>
      <c r="K36" s="319"/>
      <c r="L36" s="319"/>
      <c r="M36" s="319"/>
    </row>
    <row r="37" spans="1:13">
      <c r="A37" s="132" t="s">
        <v>33</v>
      </c>
      <c r="B37" s="120" t="s">
        <v>161</v>
      </c>
      <c r="C37" s="120" t="s">
        <v>1</v>
      </c>
      <c r="D37" s="120" t="s">
        <v>161</v>
      </c>
      <c r="E37" s="247" t="s">
        <v>1</v>
      </c>
      <c r="F37" s="319"/>
      <c r="G37" s="319"/>
      <c r="H37" s="319"/>
      <c r="I37" s="319"/>
      <c r="J37" s="319"/>
      <c r="K37" s="319"/>
      <c r="L37" s="319"/>
      <c r="M37" s="319"/>
    </row>
    <row r="38" spans="1:13">
      <c r="A38" s="133"/>
      <c r="B38" s="248" t="s">
        <v>450</v>
      </c>
      <c r="C38" s="248" t="s">
        <v>450</v>
      </c>
      <c r="D38" s="248" t="s">
        <v>451</v>
      </c>
      <c r="E38" s="249" t="s">
        <v>451</v>
      </c>
      <c r="F38" s="133"/>
      <c r="G38" s="319"/>
      <c r="H38" s="319"/>
      <c r="I38" s="319"/>
      <c r="J38" s="319"/>
      <c r="K38" s="319"/>
      <c r="L38" s="319"/>
      <c r="M38" s="319"/>
    </row>
    <row r="39" spans="1:13">
      <c r="A39" s="87">
        <v>2017</v>
      </c>
      <c r="B39" s="495">
        <v>38784.591548472919</v>
      </c>
      <c r="C39" s="495">
        <v>26806.759204000991</v>
      </c>
      <c r="D39" s="493">
        <v>0.56600850498759026</v>
      </c>
      <c r="E39" s="494">
        <v>0.43399149501240974</v>
      </c>
      <c r="F39" s="319"/>
      <c r="G39" s="319"/>
      <c r="H39" s="319"/>
      <c r="I39" s="319"/>
      <c r="J39" s="319"/>
      <c r="K39" s="319"/>
      <c r="L39" s="319"/>
      <c r="M39" s="319"/>
    </row>
    <row r="40" spans="1:13">
      <c r="A40" s="87">
        <v>2018</v>
      </c>
      <c r="B40" s="495">
        <v>37077</v>
      </c>
      <c r="C40" s="495">
        <v>25860</v>
      </c>
      <c r="D40" s="493">
        <f>B40/(B40+C40)</f>
        <v>0.58911292244625579</v>
      </c>
      <c r="E40" s="494">
        <f>1-D40</f>
        <v>0.41088707755374421</v>
      </c>
      <c r="F40" s="319"/>
      <c r="G40" s="319"/>
      <c r="H40" s="319"/>
      <c r="I40" s="319"/>
      <c r="J40" s="319"/>
      <c r="K40" s="319"/>
      <c r="L40" s="319"/>
      <c r="M40" s="319"/>
    </row>
    <row r="41" spans="1:13">
      <c r="A41" s="87">
        <v>2019</v>
      </c>
      <c r="B41" s="501">
        <v>37221.863849490997</v>
      </c>
      <c r="C41" s="501">
        <v>26706.586401333665</v>
      </c>
      <c r="D41" s="493">
        <f>B41/(B41+C41)</f>
        <v>0.58224254934149355</v>
      </c>
      <c r="E41" s="494">
        <f>1-D41</f>
        <v>0.41775745065850645</v>
      </c>
      <c r="F41" s="319"/>
      <c r="G41" s="319"/>
      <c r="H41" s="319"/>
      <c r="I41" s="319"/>
      <c r="J41" s="319"/>
      <c r="K41" s="319"/>
      <c r="L41" s="319"/>
      <c r="M41" s="319"/>
    </row>
    <row r="42" spans="1:13">
      <c r="A42" s="87">
        <v>2020</v>
      </c>
      <c r="B42" s="495">
        <v>32827.674475489039</v>
      </c>
      <c r="C42" s="495">
        <v>32808.708010000002</v>
      </c>
      <c r="D42" s="493">
        <f>B42/(B42+C42)</f>
        <v>0.50014448134381284</v>
      </c>
      <c r="E42" s="494">
        <f>1-D42</f>
        <v>0.49985551865618716</v>
      </c>
      <c r="F42" s="319"/>
      <c r="G42" s="319"/>
      <c r="H42" s="319"/>
      <c r="I42" s="319"/>
      <c r="J42" s="319"/>
      <c r="K42" s="319"/>
      <c r="L42" s="319"/>
      <c r="M42" s="319"/>
    </row>
    <row r="43" spans="1:13">
      <c r="A43" s="87">
        <v>2021</v>
      </c>
      <c r="B43" s="495">
        <v>52212</v>
      </c>
      <c r="C43" s="495">
        <v>30809</v>
      </c>
      <c r="D43" s="493">
        <f>B43/(B43+C43)</f>
        <v>0.62890112140301846</v>
      </c>
      <c r="E43" s="494">
        <f>1-D43</f>
        <v>0.37109887859698154</v>
      </c>
      <c r="G43" s="319"/>
      <c r="H43" s="319"/>
      <c r="I43" s="319"/>
      <c r="J43" s="319"/>
      <c r="K43" s="319"/>
      <c r="L43" s="319"/>
      <c r="M43" s="319"/>
    </row>
    <row r="44" spans="1:13">
      <c r="A44"/>
      <c r="B44"/>
      <c r="C44"/>
      <c r="D44"/>
      <c r="E44"/>
      <c r="F44" s="319"/>
    </row>
    <row r="45" spans="1:13">
      <c r="A45"/>
      <c r="B45"/>
      <c r="C45"/>
      <c r="D45"/>
      <c r="E45"/>
      <c r="F45"/>
    </row>
    <row r="46" spans="1:13">
      <c r="A46"/>
      <c r="B46"/>
      <c r="C46"/>
      <c r="D46"/>
      <c r="E46"/>
      <c r="F46"/>
    </row>
    <row r="47" spans="1:13">
      <c r="A47"/>
      <c r="B47"/>
      <c r="C47"/>
      <c r="D47"/>
      <c r="E47"/>
      <c r="F47"/>
    </row>
    <row r="48" spans="1:13">
      <c r="A48"/>
      <c r="B48"/>
      <c r="C48"/>
      <c r="D48"/>
      <c r="E48"/>
      <c r="F48"/>
    </row>
    <row r="49" spans="1:6">
      <c r="A49"/>
      <c r="B49"/>
      <c r="C49"/>
      <c r="D49"/>
      <c r="E49"/>
      <c r="F49"/>
    </row>
    <row r="50" spans="1:6">
      <c r="A50"/>
      <c r="B50"/>
      <c r="C50"/>
      <c r="D50"/>
      <c r="E50"/>
      <c r="F50"/>
    </row>
    <row r="51" spans="1:6">
      <c r="A51"/>
      <c r="B51"/>
      <c r="C51"/>
      <c r="D51"/>
      <c r="E51"/>
      <c r="F51"/>
    </row>
    <row r="52" spans="1:6">
      <c r="A52"/>
      <c r="B52"/>
      <c r="C52"/>
      <c r="D52"/>
      <c r="E52"/>
      <c r="F52"/>
    </row>
    <row r="53" spans="1:6">
      <c r="A53"/>
      <c r="B53"/>
      <c r="C53"/>
      <c r="D53"/>
      <c r="E53"/>
      <c r="F53"/>
    </row>
    <row r="54" spans="1:6">
      <c r="A54"/>
      <c r="B54"/>
      <c r="C54"/>
      <c r="D54"/>
      <c r="E54"/>
      <c r="F54"/>
    </row>
    <row r="55" spans="1:6">
      <c r="A55"/>
      <c r="B55"/>
      <c r="C55"/>
      <c r="D55"/>
      <c r="E55"/>
      <c r="F55"/>
    </row>
    <row r="56" spans="1:6">
      <c r="E56" s="434"/>
    </row>
  </sheetData>
  <mergeCells count="8">
    <mergeCell ref="B36:E36"/>
    <mergeCell ref="A35:E35"/>
    <mergeCell ref="B19:F19"/>
    <mergeCell ref="A1:G1"/>
    <mergeCell ref="K3:M3"/>
    <mergeCell ref="N3:P3"/>
    <mergeCell ref="K5:L5"/>
    <mergeCell ref="N5:O5"/>
  </mergeCells>
  <phoneticPr fontId="43"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pageSetUpPr fitToPage="1"/>
  </sheetPr>
  <dimension ref="A1:J102"/>
  <sheetViews>
    <sheetView topLeftCell="A89" zoomScaleNormal="100" zoomScaleSheetLayoutView="100" workbookViewId="0">
      <selection activeCell="L89" sqref="L1:U1048576"/>
    </sheetView>
  </sheetViews>
  <sheetFormatPr defaultRowHeight="12.75"/>
  <cols>
    <col min="1" max="1" width="20" customWidth="1"/>
    <col min="2" max="10" width="11.7109375" customWidth="1"/>
  </cols>
  <sheetData>
    <row r="1" spans="1:10">
      <c r="A1" s="108" t="s">
        <v>465</v>
      </c>
    </row>
    <row r="2" spans="1:10" s="14" customFormat="1"/>
    <row r="3" spans="1:10" s="14" customFormat="1"/>
    <row r="4" spans="1:10" s="14" customFormat="1" ht="12.75" customHeight="1">
      <c r="A4" s="535" t="s">
        <v>9</v>
      </c>
      <c r="B4" s="535"/>
      <c r="C4" s="535"/>
      <c r="D4" s="535"/>
      <c r="E4" s="535"/>
      <c r="F4" s="535"/>
      <c r="G4" s="535"/>
      <c r="H4" s="535"/>
      <c r="I4" s="535"/>
      <c r="J4" s="535"/>
    </row>
    <row r="5" spans="1:10" s="14" customFormat="1" ht="12.75" customHeight="1">
      <c r="A5" s="294">
        <f>INPUT!C1</f>
        <v>2017</v>
      </c>
      <c r="B5" s="536" t="s">
        <v>10</v>
      </c>
      <c r="C5" s="536" t="s">
        <v>11</v>
      </c>
      <c r="D5" s="538" t="s">
        <v>12</v>
      </c>
      <c r="E5" s="538"/>
      <c r="F5" s="538"/>
      <c r="G5" s="538"/>
      <c r="H5" s="538" t="s">
        <v>3</v>
      </c>
      <c r="I5" s="538"/>
      <c r="J5" s="538"/>
    </row>
    <row r="6" spans="1:10" s="14" customFormat="1" ht="12.75" customHeight="1">
      <c r="A6" s="295" t="s">
        <v>7</v>
      </c>
      <c r="B6" s="537"/>
      <c r="C6" s="537"/>
      <c r="D6" s="296" t="s">
        <v>0</v>
      </c>
      <c r="E6" s="296" t="s">
        <v>13</v>
      </c>
      <c r="F6" s="296" t="s">
        <v>1</v>
      </c>
      <c r="G6" s="296" t="s">
        <v>2</v>
      </c>
      <c r="H6" s="296" t="s">
        <v>0</v>
      </c>
      <c r="I6" s="296" t="s">
        <v>13</v>
      </c>
      <c r="J6" s="296" t="s">
        <v>1</v>
      </c>
    </row>
    <row r="7" spans="1:10" s="14" customFormat="1">
      <c r="A7" s="297" t="s">
        <v>14</v>
      </c>
      <c r="B7" s="173">
        <f>ROUND('NORTH FORK'!$B$54,-1)</f>
        <v>37830</v>
      </c>
      <c r="C7" s="173">
        <f>ROUND('NORTH FORK'!$B$56,-1)</f>
        <v>37830</v>
      </c>
      <c r="D7" s="173">
        <f>ROUND('NORTH FORK'!$B$60,-1)</f>
        <v>8470</v>
      </c>
      <c r="E7" s="173">
        <f>ROUND('NORTH FORK'!$B$62,-1)</f>
        <v>0</v>
      </c>
      <c r="F7" s="173">
        <f>ROUND('NORTH FORK'!$B$64,-1)</f>
        <v>9310</v>
      </c>
      <c r="G7" s="173">
        <f>ROUND('NORTH FORK'!$B$67,-1)</f>
        <v>20050</v>
      </c>
      <c r="H7" s="173">
        <f>ROUND('NORTH FORK'!$B$29,-1)</f>
        <v>17210</v>
      </c>
      <c r="I7" s="173">
        <f>ROUND('NORTH FORK'!$B$33,-1)</f>
        <v>0</v>
      </c>
      <c r="J7" s="173">
        <f>ROUND('NORTH FORK'!$B$39,-1)</f>
        <v>4010</v>
      </c>
    </row>
    <row r="8" spans="1:10" s="14" customFormat="1">
      <c r="A8" s="297" t="s">
        <v>15</v>
      </c>
      <c r="B8" s="173">
        <f>ROUND(ARIKAREE!$B$65,-1)</f>
        <v>3010</v>
      </c>
      <c r="C8" s="173">
        <f>ROUND(ARIKAREE!$B$67,-1)</f>
        <v>3010</v>
      </c>
      <c r="D8" s="173">
        <f>+ARIKAREE!$B$71</f>
        <v>2360</v>
      </c>
      <c r="E8" s="173">
        <f>+ARIKAREE!$B$73</f>
        <v>150</v>
      </c>
      <c r="F8" s="173">
        <f>+ARIKAREE!$B$75</f>
        <v>510</v>
      </c>
      <c r="G8" s="173">
        <f>+ARIKAREE!$B$78</f>
        <v>-10</v>
      </c>
      <c r="H8" s="173">
        <f>ROUND(ARIKAREE!$B$34,-1)</f>
        <v>2110</v>
      </c>
      <c r="I8" s="173">
        <f>ROUND(ARIKAREE!$B$43,-1)</f>
        <v>170</v>
      </c>
      <c r="J8" s="173">
        <f>ROUND(ARIKAREE!$B$52,-1)</f>
        <v>80</v>
      </c>
    </row>
    <row r="9" spans="1:10" s="14" customFormat="1">
      <c r="A9" s="297" t="s">
        <v>16</v>
      </c>
      <c r="B9" s="173">
        <f>ROUND(BUFFALO!$B$56,-1)</f>
        <v>5570</v>
      </c>
      <c r="C9" s="173">
        <f>ROUND(BUFFALO!$B$58,-1)</f>
        <v>5570</v>
      </c>
      <c r="D9" s="173">
        <f>+BUFFALO!$B$62</f>
        <v>0</v>
      </c>
      <c r="E9" s="173">
        <f>+BUFFALO!$B$64</f>
        <v>0</v>
      </c>
      <c r="F9" s="173">
        <f>+BUFFALO!$B$66</f>
        <v>1840</v>
      </c>
      <c r="G9" s="173">
        <f>+BUFFALO!$B$69</f>
        <v>3730</v>
      </c>
      <c r="H9" s="173">
        <f>ROUND(BUFFALO!$B$30,-1)</f>
        <v>500</v>
      </c>
      <c r="I9" s="173">
        <f>ROUND(BUFFALO!$B$34,-1)</f>
        <v>0</v>
      </c>
      <c r="J9" s="173">
        <f>ROUND(BUFFALO!$B$43,-1)</f>
        <v>3790</v>
      </c>
    </row>
    <row r="10" spans="1:10" s="14" customFormat="1">
      <c r="A10" s="297" t="s">
        <v>5</v>
      </c>
      <c r="B10" s="173">
        <f>ROUND(ROCK!$B$48,-1)</f>
        <v>9390</v>
      </c>
      <c r="C10" s="173">
        <f>ROUND(ROCK!$B$50,-1)</f>
        <v>9390</v>
      </c>
      <c r="D10" s="173">
        <f>+ROCK!$B$54</f>
        <v>0</v>
      </c>
      <c r="E10" s="173">
        <f>+ROCK!$B$56</f>
        <v>0</v>
      </c>
      <c r="F10" s="173">
        <f>+ROCK!$B$58</f>
        <v>3760</v>
      </c>
      <c r="G10" s="173">
        <f>+ROCK!$B$61</f>
        <v>5630</v>
      </c>
      <c r="H10" s="173">
        <f>ROUND(ROCK!$B$21,-1)</f>
        <v>110</v>
      </c>
      <c r="I10" s="173">
        <f>ROUND(ROCK!$B$25,-1)</f>
        <v>0</v>
      </c>
      <c r="J10" s="173">
        <f>ROUND(ROCK!$B$34,-1)</f>
        <v>5160</v>
      </c>
    </row>
    <row r="11" spans="1:10" s="14" customFormat="1">
      <c r="A11" s="297" t="s">
        <v>17</v>
      </c>
      <c r="B11" s="173">
        <f>ROUND('SOUTH FORK'!$B$71,-1)</f>
        <v>21800</v>
      </c>
      <c r="C11" s="173">
        <f>ROUND('SOUTH FORK'!$B$73,-1)</f>
        <v>21800</v>
      </c>
      <c r="D11" s="173">
        <f>+'SOUTH FORK'!$B$77</f>
        <v>9680</v>
      </c>
      <c r="E11" s="173">
        <f>+'SOUTH FORK'!$B$79</f>
        <v>8760</v>
      </c>
      <c r="F11" s="173">
        <f>+'SOUTH FORK'!$B$81</f>
        <v>310</v>
      </c>
      <c r="G11" s="173">
        <f>+'SOUTH FORK'!$B$84</f>
        <v>3050</v>
      </c>
      <c r="H11" s="173">
        <f>ROUND('SOUTH FORK'!$B$39,-1)</f>
        <v>13980</v>
      </c>
      <c r="I11" s="173">
        <f>ROUND('SOUTH FORK'!$B$48,-1)</f>
        <v>4730</v>
      </c>
      <c r="J11" s="173">
        <f>ROUND('SOUTH FORK'!$B$57,-1)</f>
        <v>700</v>
      </c>
    </row>
    <row r="12" spans="1:10" s="14" customFormat="1">
      <c r="A12" s="297" t="s">
        <v>18</v>
      </c>
      <c r="B12" s="173">
        <f>ROUND(FRENCHMAN!$B$66,-1)</f>
        <v>108260</v>
      </c>
      <c r="C12" s="173">
        <f>ROUND(FRENCHMAN!$B$68,-1)</f>
        <v>109930</v>
      </c>
      <c r="D12" s="173">
        <f>+FRENCHMAN!$B$72</f>
        <v>0</v>
      </c>
      <c r="E12" s="173">
        <f>+FRENCHMAN!$B$74</f>
        <v>0</v>
      </c>
      <c r="F12" s="173">
        <f>+FRENCHMAN!$B$76</f>
        <v>58920</v>
      </c>
      <c r="G12" s="173">
        <f>+FRENCHMAN!$B$79</f>
        <v>51010</v>
      </c>
      <c r="H12" s="173">
        <f>ROUND(FRENCHMAN!$B$31,-1)</f>
        <v>1220</v>
      </c>
      <c r="I12" s="173">
        <f>ROUND(FRENCHMAN!$B$35,-1)</f>
        <v>0</v>
      </c>
      <c r="J12" s="173">
        <f>ROUND(FRENCHMAN!$B$49,-1)</f>
        <v>81220</v>
      </c>
    </row>
    <row r="13" spans="1:10" s="14" customFormat="1">
      <c r="A13" s="297" t="s">
        <v>19</v>
      </c>
      <c r="B13" s="173">
        <f>ROUND(DRIFTWOOD!$B$61,-1)</f>
        <v>630</v>
      </c>
      <c r="C13" s="173">
        <f>ROUND(DRIFTWOOD!$B$63,-1)</f>
        <v>630</v>
      </c>
      <c r="D13" s="173">
        <f>+DRIFTWOOD!$B$67</f>
        <v>0</v>
      </c>
      <c r="E13" s="173">
        <f>+DRIFTWOOD!$B$69</f>
        <v>40</v>
      </c>
      <c r="F13" s="173">
        <f>+DRIFTWOOD!$B$71</f>
        <v>100</v>
      </c>
      <c r="G13" s="173">
        <f>+DRIFTWOOD!$B$74</f>
        <v>490</v>
      </c>
      <c r="H13" s="173">
        <f>ROUND(DRIFTWOOD!$B$29,-1)</f>
        <v>0</v>
      </c>
      <c r="I13" s="173">
        <f>ROUND(DRIFTWOOD!$B$38,-1)</f>
        <v>10</v>
      </c>
      <c r="J13" s="173">
        <f>ROUND(DRIFTWOOD!$B$47,-1)</f>
        <v>890</v>
      </c>
    </row>
    <row r="14" spans="1:10" s="14" customFormat="1">
      <c r="A14" s="297" t="s">
        <v>20</v>
      </c>
      <c r="B14" s="173">
        <f>ROUND('RED WILLOW'!$B$59,-1)</f>
        <v>15840</v>
      </c>
      <c r="C14" s="173">
        <f>ROUND('RED WILLOW'!$B$61,-1)</f>
        <v>14880</v>
      </c>
      <c r="D14" s="173">
        <f>+'RED WILLOW'!$B$65</f>
        <v>0</v>
      </c>
      <c r="E14" s="173">
        <f>+'RED WILLOW'!$B$67</f>
        <v>0</v>
      </c>
      <c r="F14" s="173">
        <f>+'RED WILLOW'!$B$69</f>
        <v>2860</v>
      </c>
      <c r="G14" s="173">
        <f>+'RED WILLOW'!$B$72</f>
        <v>12020</v>
      </c>
      <c r="H14" s="173">
        <f>ROUND('RED WILLOW'!$B$27,-1)</f>
        <v>0</v>
      </c>
      <c r="I14" s="173">
        <f>ROUND('RED WILLOW'!$B$31,-1)</f>
        <v>0</v>
      </c>
      <c r="J14" s="173">
        <f>ROUND('RED WILLOW'!$B$42,-1)</f>
        <v>8710</v>
      </c>
    </row>
    <row r="15" spans="1:10" s="14" customFormat="1">
      <c r="A15" s="297" t="s">
        <v>21</v>
      </c>
      <c r="B15" s="173">
        <f>ROUND('MEDICINE CREEK'!$B$65,-1)</f>
        <v>37740</v>
      </c>
      <c r="C15" s="173">
        <f>ROUND('MEDICINE CREEK'!$B$67,-1)</f>
        <v>43280</v>
      </c>
      <c r="D15" s="173">
        <f>+'MEDICINE CREEK'!$B$71</f>
        <v>0</v>
      </c>
      <c r="E15" s="173">
        <f>+'MEDICINE CREEK'!$B$73</f>
        <v>0</v>
      </c>
      <c r="F15" s="173">
        <f>+'MEDICINE CREEK'!$B$75</f>
        <v>3940</v>
      </c>
      <c r="G15" s="173">
        <f>+'MEDICINE CREEK'!$B$78</f>
        <v>39340</v>
      </c>
      <c r="H15" s="173">
        <f>ROUND('MEDICINE CREEK'!$B$27,-1)</f>
        <v>0</v>
      </c>
      <c r="I15" s="173">
        <f>ROUND('MEDICINE CREEK'!$B$31,-1)</f>
        <v>0</v>
      </c>
      <c r="J15" s="173">
        <f>ROUND('MEDICINE CREEK'!$B$44,-1)</f>
        <v>21040</v>
      </c>
    </row>
    <row r="16" spans="1:10" s="14" customFormat="1">
      <c r="A16" s="297" t="s">
        <v>22</v>
      </c>
      <c r="B16" s="173">
        <f>ROUND(BEAVER!$B$78,-1)</f>
        <v>12230</v>
      </c>
      <c r="C16" s="173">
        <f>ROUND(BEAVER!$B$80,-1)</f>
        <v>12230</v>
      </c>
      <c r="D16" s="173">
        <f>+BEAVER!$B$84</f>
        <v>2450</v>
      </c>
      <c r="E16" s="173">
        <f>+BEAVER!$B$86</f>
        <v>4750</v>
      </c>
      <c r="F16" s="173">
        <f>+BEAVER!$B$88</f>
        <v>4970</v>
      </c>
      <c r="G16" s="173">
        <f>+BEAVER!$B$91</f>
        <v>60</v>
      </c>
      <c r="H16" s="173">
        <f>ROUND(BEAVER!$B$38,-1)</f>
        <v>0</v>
      </c>
      <c r="I16" s="173">
        <f>ROUND(BEAVER!$B$47,-1)</f>
        <v>6610</v>
      </c>
      <c r="J16" s="173">
        <f>ROUND(BEAVER!$B$60,-1)</f>
        <v>4540</v>
      </c>
    </row>
    <row r="17" spans="1:10" s="14" customFormat="1">
      <c r="A17" s="297" t="s">
        <v>23</v>
      </c>
      <c r="B17" s="173">
        <f>ROUND(SAPPA!$B$72,-1)</f>
        <v>11840</v>
      </c>
      <c r="C17" s="173">
        <f>ROUND(SAPPA!$B$74,-1)</f>
        <v>11840</v>
      </c>
      <c r="D17" s="173">
        <f>+SAPPA!$B$78</f>
        <v>0</v>
      </c>
      <c r="E17" s="173">
        <f>+SAPPA!$B$80</f>
        <v>4870</v>
      </c>
      <c r="F17" s="173">
        <f>+SAPPA!$B$82</f>
        <v>4870</v>
      </c>
      <c r="G17" s="173">
        <f>+SAPPA!$B$85</f>
        <v>2100</v>
      </c>
      <c r="H17" s="173">
        <f>ROUND(SAPPA!$B$30,-1)</f>
        <v>0</v>
      </c>
      <c r="I17" s="173">
        <f>ROUND(SAPPA!$B$39,-1)</f>
        <v>2530</v>
      </c>
      <c r="J17" s="173">
        <f>ROUND(SAPPA!$B$53,-1)</f>
        <v>2220</v>
      </c>
    </row>
    <row r="18" spans="1:10" s="14" customFormat="1">
      <c r="A18" s="297" t="s">
        <v>24</v>
      </c>
      <c r="B18" s="173">
        <f>ROUND('PRAIRIE DOG'!$B$70,-1)</f>
        <v>13300</v>
      </c>
      <c r="C18" s="173">
        <f>ROUND('PRAIRIE DOG'!$B$72,-1)</f>
        <v>12960</v>
      </c>
      <c r="D18" s="173">
        <f>+'PRAIRIE DOG'!$B$76</f>
        <v>0</v>
      </c>
      <c r="E18" s="173">
        <f>+'PRAIRIE DOG'!$B$78</f>
        <v>5920</v>
      </c>
      <c r="F18" s="173">
        <f>+'PRAIRIE DOG'!$B$80</f>
        <v>980</v>
      </c>
      <c r="G18" s="173">
        <f>+'PRAIRIE DOG'!$B$83</f>
        <v>6060</v>
      </c>
      <c r="H18" s="173">
        <f>ROUND('PRAIRIE DOG'!$B$31,-1)</f>
        <v>0</v>
      </c>
      <c r="I18" s="173">
        <f>ROUND('PRAIRIE DOG'!$B$42,-1)</f>
        <v>10780</v>
      </c>
      <c r="J18" s="173">
        <f>ROUND('PRAIRIE DOG'!$B$66,-1)</f>
        <v>80</v>
      </c>
    </row>
    <row r="19" spans="1:10" s="14" customFormat="1" ht="13.5" thickBot="1">
      <c r="A19" s="298" t="s">
        <v>6</v>
      </c>
      <c r="B19" s="299">
        <f>ROUND(MAINSTEM!$B$188,-1)</f>
        <v>193030</v>
      </c>
      <c r="C19" s="299">
        <f>ROUND(MAINSTEM!$B$191,-1)</f>
        <v>155380</v>
      </c>
      <c r="D19" s="299">
        <f>+MAINSTEM!$B$195</f>
        <v>0</v>
      </c>
      <c r="E19" s="299">
        <f>+MAINSTEM!$B$197</f>
        <v>79400</v>
      </c>
      <c r="F19" s="299">
        <f>+MAINSTEM!$B$199</f>
        <v>75980</v>
      </c>
      <c r="G19" s="299">
        <f>+MAINSTEM!$B$202</f>
        <v>0</v>
      </c>
      <c r="H19" s="299">
        <f>ROUND(MAINSTEM!$B$103,-1)</f>
        <v>-3320</v>
      </c>
      <c r="I19" s="299">
        <f>ROUND(MAINSTEM!$B$118,-1)</f>
        <v>37210</v>
      </c>
      <c r="J19" s="299">
        <f>ROUND(MAINSTEM!$B$141,-1)</f>
        <v>109700</v>
      </c>
    </row>
    <row r="20" spans="1:10" s="14" customFormat="1" ht="13.5" thickTop="1">
      <c r="A20" s="300" t="s">
        <v>8</v>
      </c>
      <c r="B20" s="174">
        <f t="shared" ref="B20:J20" si="0">SUM(B7:B19)</f>
        <v>470470</v>
      </c>
      <c r="C20" s="174">
        <f t="shared" si="0"/>
        <v>438730</v>
      </c>
      <c r="D20" s="174">
        <f t="shared" si="0"/>
        <v>22960</v>
      </c>
      <c r="E20" s="174">
        <f t="shared" si="0"/>
        <v>103890</v>
      </c>
      <c r="F20" s="174">
        <f t="shared" si="0"/>
        <v>168350</v>
      </c>
      <c r="G20" s="174">
        <f t="shared" si="0"/>
        <v>143530</v>
      </c>
      <c r="H20" s="174">
        <f t="shared" si="0"/>
        <v>31810</v>
      </c>
      <c r="I20" s="174">
        <f t="shared" si="0"/>
        <v>62040</v>
      </c>
      <c r="J20" s="174">
        <f t="shared" si="0"/>
        <v>242140</v>
      </c>
    </row>
    <row r="21" spans="1:10" s="14" customFormat="1" ht="24.75" customHeight="1" thickBot="1">
      <c r="A21" s="301" t="s">
        <v>25</v>
      </c>
      <c r="B21" s="299"/>
      <c r="C21" s="299">
        <f>+C19+G20</f>
        <v>298910</v>
      </c>
      <c r="D21" s="299">
        <f>+D19</f>
        <v>0</v>
      </c>
      <c r="E21" s="299">
        <f>E19+ROUND(G20*0.511,-1)</f>
        <v>152740</v>
      </c>
      <c r="F21" s="299">
        <f>F19+ROUND(G20*0.489,-1)</f>
        <v>146170</v>
      </c>
      <c r="G21" s="299"/>
      <c r="H21" s="299"/>
      <c r="I21" s="299"/>
      <c r="J21" s="299"/>
    </row>
    <row r="22" spans="1:10" s="14" customFormat="1" ht="13.5" thickTop="1">
      <c r="A22" s="300" t="s">
        <v>4</v>
      </c>
      <c r="B22" s="174">
        <f>SUM(B7:B19)</f>
        <v>470470</v>
      </c>
      <c r="C22" s="174">
        <f>SUM(C7:C19)</f>
        <v>438730</v>
      </c>
      <c r="D22" s="174">
        <f>SUM(D7:D18,D21)</f>
        <v>22960</v>
      </c>
      <c r="E22" s="174">
        <f>SUM(E7:E18,E21)</f>
        <v>177230</v>
      </c>
      <c r="F22" s="174">
        <f>SUM(F7:F18,F21)</f>
        <v>238540</v>
      </c>
      <c r="G22" s="174">
        <f>+G21</f>
        <v>0</v>
      </c>
      <c r="H22" s="174">
        <f>SUM(H7:H19)</f>
        <v>31810</v>
      </c>
      <c r="I22" s="174">
        <f>SUM(I7:I19)</f>
        <v>62040</v>
      </c>
      <c r="J22" s="174">
        <f>SUM(J7:J19)</f>
        <v>242140</v>
      </c>
    </row>
    <row r="23" spans="1:10" s="14" customFormat="1"/>
    <row r="24" spans="1:10" s="14" customFormat="1" ht="12.75" customHeight="1">
      <c r="A24" s="535" t="s">
        <v>9</v>
      </c>
      <c r="B24" s="535"/>
      <c r="C24" s="535"/>
      <c r="D24" s="535"/>
      <c r="E24" s="535"/>
      <c r="F24" s="535"/>
      <c r="G24" s="535"/>
      <c r="H24" s="535"/>
      <c r="I24" s="535"/>
      <c r="J24" s="535"/>
    </row>
    <row r="25" spans="1:10" s="14" customFormat="1" ht="12.75" customHeight="1">
      <c r="A25" s="294">
        <f>INPUT!D1</f>
        <v>2018</v>
      </c>
      <c r="B25" s="536" t="s">
        <v>10</v>
      </c>
      <c r="C25" s="536" t="s">
        <v>11</v>
      </c>
      <c r="D25" s="538" t="s">
        <v>12</v>
      </c>
      <c r="E25" s="538"/>
      <c r="F25" s="538"/>
      <c r="G25" s="538"/>
      <c r="H25" s="538" t="s">
        <v>3</v>
      </c>
      <c r="I25" s="538"/>
      <c r="J25" s="538"/>
    </row>
    <row r="26" spans="1:10" s="14" customFormat="1" ht="12.75" customHeight="1">
      <c r="A26" s="295" t="s">
        <v>7</v>
      </c>
      <c r="B26" s="537"/>
      <c r="C26" s="537"/>
      <c r="D26" s="296" t="s">
        <v>0</v>
      </c>
      <c r="E26" s="296" t="s">
        <v>13</v>
      </c>
      <c r="F26" s="296" t="s">
        <v>1</v>
      </c>
      <c r="G26" s="296" t="s">
        <v>2</v>
      </c>
      <c r="H26" s="296" t="s">
        <v>0</v>
      </c>
      <c r="I26" s="296" t="s">
        <v>13</v>
      </c>
      <c r="J26" s="296" t="s">
        <v>1</v>
      </c>
    </row>
    <row r="27" spans="1:10" s="14" customFormat="1">
      <c r="A27" s="297" t="s">
        <v>14</v>
      </c>
      <c r="B27" s="173">
        <f>ROUND('NORTH FORK'!$C$54,-1)</f>
        <v>41570</v>
      </c>
      <c r="C27" s="173">
        <f>ROUND('NORTH FORK'!$C$56,-1)</f>
        <v>41570</v>
      </c>
      <c r="D27" s="173">
        <f>ROUND('NORTH FORK'!$C$60,-1)</f>
        <v>9310</v>
      </c>
      <c r="E27" s="173">
        <f>ROUND('NORTH FORK'!$C$62,-1)</f>
        <v>0</v>
      </c>
      <c r="F27" s="173">
        <f>ROUND('NORTH FORK'!$C$64,-1)</f>
        <v>10230</v>
      </c>
      <c r="G27" s="173">
        <f>ROUND('NORTH FORK'!$C$67,-1)</f>
        <v>22030</v>
      </c>
      <c r="H27" s="173">
        <f>ROUND('NORTH FORK'!$C$29,-1)</f>
        <v>17690</v>
      </c>
      <c r="I27" s="173">
        <f>ROUND('NORTH FORK'!$C$33,-1)</f>
        <v>0</v>
      </c>
      <c r="J27" s="173">
        <f>ROUND('NORTH FORK'!$C$39,-1)</f>
        <v>3410</v>
      </c>
    </row>
    <row r="28" spans="1:10" s="14" customFormat="1">
      <c r="A28" s="297" t="s">
        <v>15</v>
      </c>
      <c r="B28" s="173">
        <f>ROUND(ARIKAREE!$C$65,-1)</f>
        <v>3760</v>
      </c>
      <c r="C28" s="173">
        <f>ROUND(ARIKAREE!$C$67,-1)</f>
        <v>3760</v>
      </c>
      <c r="D28" s="173">
        <f>+ARIKAREE!$C$71</f>
        <v>2950</v>
      </c>
      <c r="E28" s="173">
        <f>+ARIKAREE!$C$73</f>
        <v>190</v>
      </c>
      <c r="F28" s="173">
        <f>+ARIKAREE!$C$75</f>
        <v>630</v>
      </c>
      <c r="G28" s="173">
        <f>+ARIKAREE!$C$78</f>
        <v>-10</v>
      </c>
      <c r="H28" s="173">
        <f>ROUND(ARIKAREE!$C$34,-1)</f>
        <v>2640</v>
      </c>
      <c r="I28" s="173">
        <f>ROUND(ARIKAREE!$C$43,-1)</f>
        <v>190</v>
      </c>
      <c r="J28" s="173">
        <f>ROUND(ARIKAREE!$C$52,-1)</f>
        <v>110</v>
      </c>
    </row>
    <row r="29" spans="1:10" s="14" customFormat="1">
      <c r="A29" s="297" t="s">
        <v>16</v>
      </c>
      <c r="B29" s="173">
        <f>ROUND(BUFFALO!$C$56,-1)</f>
        <v>6140</v>
      </c>
      <c r="C29" s="173">
        <f>ROUND(BUFFALO!$C$58,-1)</f>
        <v>6140</v>
      </c>
      <c r="D29" s="173">
        <f>+BUFFALO!$C$62</f>
        <v>0</v>
      </c>
      <c r="E29" s="173">
        <f>+BUFFALO!$C$64</f>
        <v>0</v>
      </c>
      <c r="F29" s="173">
        <f>+BUFFALO!$C$66</f>
        <v>2030</v>
      </c>
      <c r="G29" s="173">
        <f>+BUFFALO!$C$69</f>
        <v>4110</v>
      </c>
      <c r="H29" s="173">
        <f>ROUND(BUFFALO!$C$30,-1)</f>
        <v>520</v>
      </c>
      <c r="I29" s="173">
        <f>ROUND(BUFFALO!$C$34,-1)</f>
        <v>0</v>
      </c>
      <c r="J29" s="173">
        <f>ROUND(BUFFALO!$C$43,-1)</f>
        <v>3760</v>
      </c>
    </row>
    <row r="30" spans="1:10" s="14" customFormat="1">
      <c r="A30" s="297" t="s">
        <v>5</v>
      </c>
      <c r="B30" s="173">
        <f>ROUND(ROCK!$C$48,-1)</f>
        <v>9510</v>
      </c>
      <c r="C30" s="173">
        <f>ROUND(ROCK!$C$50,-1)</f>
        <v>9510</v>
      </c>
      <c r="D30" s="173">
        <f>+ROCK!$C$54</f>
        <v>0</v>
      </c>
      <c r="E30" s="173">
        <f>+ROCK!$C$56</f>
        <v>0</v>
      </c>
      <c r="F30" s="173">
        <f>+ROCK!$C$58</f>
        <v>3800</v>
      </c>
      <c r="G30" s="173">
        <f>+ROCK!$C$61</f>
        <v>5710</v>
      </c>
      <c r="H30" s="173">
        <f>ROUND(ROCK!$C$21,-1)</f>
        <v>120</v>
      </c>
      <c r="I30" s="173">
        <f>ROUND(ROCK!$C$25,-1)</f>
        <v>0</v>
      </c>
      <c r="J30" s="173">
        <f>ROUND(ROCK!$C$34,-1)</f>
        <v>5290</v>
      </c>
    </row>
    <row r="31" spans="1:10" s="14" customFormat="1">
      <c r="A31" s="297" t="s">
        <v>17</v>
      </c>
      <c r="B31" s="173">
        <f>ROUND('SOUTH FORK'!$C$71,-1)</f>
        <v>24640</v>
      </c>
      <c r="C31" s="173">
        <f>ROUND('SOUTH FORK'!$C$73,-1)</f>
        <v>24640</v>
      </c>
      <c r="D31" s="173">
        <f>+'SOUTH FORK'!$C$77</f>
        <v>10940</v>
      </c>
      <c r="E31" s="173">
        <f>+'SOUTH FORK'!$C$79</f>
        <v>9910</v>
      </c>
      <c r="F31" s="173">
        <f>+'SOUTH FORK'!$C$81</f>
        <v>340</v>
      </c>
      <c r="G31" s="173">
        <f>+'SOUTH FORK'!$C$84</f>
        <v>3450</v>
      </c>
      <c r="H31" s="173">
        <f>ROUND('SOUTH FORK'!$C$39,-1)</f>
        <v>14960</v>
      </c>
      <c r="I31" s="173">
        <f>ROUND('SOUTH FORK'!$C$48,-1)</f>
        <v>6740</v>
      </c>
      <c r="J31" s="173">
        <f>ROUND('SOUTH FORK'!$C$57,-1)</f>
        <v>970</v>
      </c>
    </row>
    <row r="32" spans="1:10" s="14" customFormat="1">
      <c r="A32" s="297" t="s">
        <v>18</v>
      </c>
      <c r="B32" s="173">
        <f>ROUND(FRENCHMAN!$C$66,-1)</f>
        <v>114230</v>
      </c>
      <c r="C32" s="173">
        <f>ROUND(FRENCHMAN!$C$68,-1)</f>
        <v>113460</v>
      </c>
      <c r="D32" s="173">
        <f>+FRENCHMAN!$C$72</f>
        <v>0</v>
      </c>
      <c r="E32" s="173">
        <f>+FRENCHMAN!$C$74</f>
        <v>0</v>
      </c>
      <c r="F32" s="173">
        <f>+FRENCHMAN!$C$76</f>
        <v>60810</v>
      </c>
      <c r="G32" s="173">
        <f>+FRENCHMAN!$C$79</f>
        <v>52650</v>
      </c>
      <c r="H32" s="173">
        <f>ROUND(FRENCHMAN!$C$31,-1)</f>
        <v>1180</v>
      </c>
      <c r="I32" s="173">
        <f>ROUND(FRENCHMAN!$C$35,-1)</f>
        <v>0</v>
      </c>
      <c r="J32" s="173">
        <f>ROUND(FRENCHMAN!$C$49,-1)</f>
        <v>85380</v>
      </c>
    </row>
    <row r="33" spans="1:10" s="14" customFormat="1">
      <c r="A33" s="297" t="s">
        <v>19</v>
      </c>
      <c r="B33" s="173">
        <f>ROUND(DRIFTWOOD!$C$61,-1)</f>
        <v>2540</v>
      </c>
      <c r="C33" s="173">
        <f>ROUND(DRIFTWOOD!$C$63,-1)</f>
        <v>2540</v>
      </c>
      <c r="D33" s="173">
        <f>+DRIFTWOOD!$C$67</f>
        <v>0</v>
      </c>
      <c r="E33" s="173">
        <f>+DRIFTWOOD!$C$69</f>
        <v>180</v>
      </c>
      <c r="F33" s="173">
        <f>+DRIFTWOOD!$C$71</f>
        <v>420</v>
      </c>
      <c r="G33" s="173">
        <f>+DRIFTWOOD!$C$74</f>
        <v>1940</v>
      </c>
      <c r="H33" s="173">
        <f>ROUND(DRIFTWOOD!$C$29,-1)</f>
        <v>0</v>
      </c>
      <c r="I33" s="173">
        <f>ROUND(DRIFTWOOD!$C$38,-1)</f>
        <v>10</v>
      </c>
      <c r="J33" s="173">
        <f>ROUND(DRIFTWOOD!$C$47,-1)</f>
        <v>870</v>
      </c>
    </row>
    <row r="34" spans="1:10" s="14" customFormat="1">
      <c r="A34" s="297" t="s">
        <v>20</v>
      </c>
      <c r="B34" s="173">
        <f>ROUND('RED WILLOW'!$C$59,-1)</f>
        <v>19050</v>
      </c>
      <c r="C34" s="173">
        <f>ROUND('RED WILLOW'!$C$61,-1)</f>
        <v>15060</v>
      </c>
      <c r="D34" s="173">
        <f>+'RED WILLOW'!$C$65</f>
        <v>0</v>
      </c>
      <c r="E34" s="173">
        <f>+'RED WILLOW'!$C$67</f>
        <v>0</v>
      </c>
      <c r="F34" s="173">
        <f>+'RED WILLOW'!$C$69</f>
        <v>2890</v>
      </c>
      <c r="G34" s="173">
        <f>+'RED WILLOW'!$C$72</f>
        <v>12170</v>
      </c>
      <c r="H34" s="173">
        <f>ROUND('RED WILLOW'!$C$27,-1)</f>
        <v>0</v>
      </c>
      <c r="I34" s="173">
        <f>ROUND('RED WILLOW'!$C$31,-1)</f>
        <v>0</v>
      </c>
      <c r="J34" s="173">
        <f>ROUND('RED WILLOW'!$C$42,-1)</f>
        <v>9930</v>
      </c>
    </row>
    <row r="35" spans="1:10" s="14" customFormat="1">
      <c r="A35" s="297" t="s">
        <v>21</v>
      </c>
      <c r="B35" s="173">
        <f>ROUND('MEDICINE CREEK'!$C$65,-1)</f>
        <v>42910</v>
      </c>
      <c r="C35" s="173">
        <f>ROUND('MEDICINE CREEK'!$C$67,-1)</f>
        <v>37770</v>
      </c>
      <c r="D35" s="173">
        <f>+'MEDICINE CREEK'!$C$71</f>
        <v>0</v>
      </c>
      <c r="E35" s="173">
        <f>+'MEDICINE CREEK'!$C$73</f>
        <v>0</v>
      </c>
      <c r="F35" s="173">
        <f>+'MEDICINE CREEK'!$C$75</f>
        <v>3440</v>
      </c>
      <c r="G35" s="173">
        <f>+'MEDICINE CREEK'!$C$78</f>
        <v>34330</v>
      </c>
      <c r="H35" s="173">
        <f>ROUND('MEDICINE CREEK'!$C$27,-1)</f>
        <v>0</v>
      </c>
      <c r="I35" s="173">
        <f>ROUND('MEDICINE CREEK'!$C$31,-1)</f>
        <v>0</v>
      </c>
      <c r="J35" s="173">
        <f>ROUND('MEDICINE CREEK'!$C$44,-1)</f>
        <v>21560</v>
      </c>
    </row>
    <row r="36" spans="1:10" s="14" customFormat="1">
      <c r="A36" s="297" t="s">
        <v>22</v>
      </c>
      <c r="B36" s="173">
        <f>ROUND(BEAVER!$C$78,-1)</f>
        <v>12140</v>
      </c>
      <c r="C36" s="173">
        <f>ROUND(BEAVER!$C$80,-1)</f>
        <v>12140</v>
      </c>
      <c r="D36" s="173">
        <f>+BEAVER!$C$84</f>
        <v>2430</v>
      </c>
      <c r="E36" s="173">
        <f>+BEAVER!$C$86</f>
        <v>4710</v>
      </c>
      <c r="F36" s="173">
        <f>+BEAVER!$C$88</f>
        <v>4930</v>
      </c>
      <c r="G36" s="173">
        <f>+BEAVER!$C$91</f>
        <v>70</v>
      </c>
      <c r="H36" s="173">
        <f>ROUND(BEAVER!$C$38,-1)</f>
        <v>0</v>
      </c>
      <c r="I36" s="173">
        <f>ROUND(BEAVER!$C$47,-1)</f>
        <v>6760</v>
      </c>
      <c r="J36" s="173">
        <f>ROUND(BEAVER!$C$60,-1)</f>
        <v>4360</v>
      </c>
    </row>
    <row r="37" spans="1:10" s="14" customFormat="1">
      <c r="A37" s="297" t="s">
        <v>23</v>
      </c>
      <c r="B37" s="173">
        <f>ROUND(SAPPA!$C$72,-1)</f>
        <v>16830</v>
      </c>
      <c r="C37" s="173">
        <f>ROUND(SAPPA!$C$74,-1)</f>
        <v>16830</v>
      </c>
      <c r="D37" s="173">
        <f>+SAPPA!$C$78</f>
        <v>0</v>
      </c>
      <c r="E37" s="173">
        <f>+SAPPA!$C$80</f>
        <v>6920</v>
      </c>
      <c r="F37" s="173">
        <f>+SAPPA!$C$82</f>
        <v>6920</v>
      </c>
      <c r="G37" s="173">
        <f>+SAPPA!$C$85</f>
        <v>2990</v>
      </c>
      <c r="H37" s="173">
        <f>ROUND(SAPPA!$C$30,-1)</f>
        <v>0</v>
      </c>
      <c r="I37" s="173">
        <f>ROUND(SAPPA!$C$39,-1)</f>
        <v>3170</v>
      </c>
      <c r="J37" s="173">
        <f>ROUND(SAPPA!$C$53,-1)</f>
        <v>2170</v>
      </c>
    </row>
    <row r="38" spans="1:10" s="14" customFormat="1">
      <c r="A38" s="297" t="s">
        <v>24</v>
      </c>
      <c r="B38" s="173">
        <f>ROUND('PRAIRIE DOG'!$C$70,-1)</f>
        <v>19310</v>
      </c>
      <c r="C38" s="173">
        <f>ROUND('PRAIRIE DOG'!$C$72,-1)</f>
        <v>16120</v>
      </c>
      <c r="D38" s="173">
        <f>+'PRAIRIE DOG'!$C$76</f>
        <v>0</v>
      </c>
      <c r="E38" s="173">
        <f>+'PRAIRIE DOG'!$C$78</f>
        <v>7370</v>
      </c>
      <c r="F38" s="173">
        <f>+'PRAIRIE DOG'!$C$80</f>
        <v>1230</v>
      </c>
      <c r="G38" s="173">
        <f>+'PRAIRIE DOG'!$C$83</f>
        <v>7520</v>
      </c>
      <c r="H38" s="173">
        <f>ROUND('PRAIRIE DOG'!$C$31,-1)</f>
        <v>0</v>
      </c>
      <c r="I38" s="173">
        <f>ROUND('PRAIRIE DOG'!$C$42,-1)</f>
        <v>11910</v>
      </c>
      <c r="J38" s="173">
        <f>ROUND('PRAIRIE DOG'!$C$66,-1)</f>
        <v>90</v>
      </c>
    </row>
    <row r="39" spans="1:10" s="14" customFormat="1" ht="13.5" thickBot="1">
      <c r="A39" s="298" t="s">
        <v>6</v>
      </c>
      <c r="B39" s="299">
        <f>ROUND(MAINSTEM!$C$188,-1)</f>
        <v>187690</v>
      </c>
      <c r="C39" s="299">
        <f>ROUND(MAINSTEM!$C$191,-1)</f>
        <v>147550</v>
      </c>
      <c r="D39" s="299">
        <f>+MAINSTEM!$C$195</f>
        <v>0</v>
      </c>
      <c r="E39" s="299">
        <f>+MAINSTEM!$C$197</f>
        <v>75400</v>
      </c>
      <c r="F39" s="299">
        <f>+MAINSTEM!$C$199</f>
        <v>72150</v>
      </c>
      <c r="G39" s="299">
        <f>+MAINSTEM!$C$202</f>
        <v>0</v>
      </c>
      <c r="H39" s="299">
        <f>ROUND(MAINSTEM!$C$103,-1)</f>
        <v>-1980</v>
      </c>
      <c r="I39" s="299">
        <f>ROUND(MAINSTEM!$C$118,-1)</f>
        <v>22670</v>
      </c>
      <c r="J39" s="299">
        <f>ROUND(MAINSTEM!$C$141,-1)</f>
        <v>128180</v>
      </c>
    </row>
    <row r="40" spans="1:10" s="14" customFormat="1" ht="13.5" thickTop="1">
      <c r="A40" s="300" t="s">
        <v>8</v>
      </c>
      <c r="B40" s="174">
        <f t="shared" ref="B40:J40" si="1">SUM(B27:B39)</f>
        <v>500320</v>
      </c>
      <c r="C40" s="174">
        <f t="shared" si="1"/>
        <v>447090</v>
      </c>
      <c r="D40" s="174">
        <f t="shared" si="1"/>
        <v>25630</v>
      </c>
      <c r="E40" s="174">
        <f t="shared" si="1"/>
        <v>104680</v>
      </c>
      <c r="F40" s="174">
        <f t="shared" si="1"/>
        <v>169820</v>
      </c>
      <c r="G40" s="174">
        <f t="shared" si="1"/>
        <v>146960</v>
      </c>
      <c r="H40" s="174">
        <f t="shared" si="1"/>
        <v>35130</v>
      </c>
      <c r="I40" s="174">
        <f t="shared" si="1"/>
        <v>51450</v>
      </c>
      <c r="J40" s="174">
        <f t="shared" si="1"/>
        <v>266080</v>
      </c>
    </row>
    <row r="41" spans="1:10" s="14" customFormat="1" ht="24.75" thickBot="1">
      <c r="A41" s="301" t="s">
        <v>25</v>
      </c>
      <c r="B41" s="299"/>
      <c r="C41" s="299">
        <f>+C39+G40</f>
        <v>294510</v>
      </c>
      <c r="D41" s="299">
        <f>+D39</f>
        <v>0</v>
      </c>
      <c r="E41" s="299">
        <f>E39+ROUND(G40*0.511,-1)</f>
        <v>150500</v>
      </c>
      <c r="F41" s="299">
        <f>F39+ROUND(G40*0.489,-1)</f>
        <v>144010</v>
      </c>
      <c r="G41" s="299"/>
      <c r="H41" s="299"/>
      <c r="I41" s="299"/>
      <c r="J41" s="299"/>
    </row>
    <row r="42" spans="1:10" s="14" customFormat="1" ht="13.5" thickTop="1">
      <c r="A42" s="300" t="s">
        <v>4</v>
      </c>
      <c r="B42" s="174">
        <f>SUM(B27:B39)</f>
        <v>500320</v>
      </c>
      <c r="C42" s="174">
        <f>SUM(C27:C39)</f>
        <v>447090</v>
      </c>
      <c r="D42" s="174">
        <f>SUM(D27:D38,D41)</f>
        <v>25630</v>
      </c>
      <c r="E42" s="174">
        <f>SUM(E27:E38,E41)</f>
        <v>179780</v>
      </c>
      <c r="F42" s="174">
        <f>SUM(F27:F38,F41)</f>
        <v>241680</v>
      </c>
      <c r="G42" s="174">
        <f>+G41</f>
        <v>0</v>
      </c>
      <c r="H42" s="174">
        <f>SUM(H27:H39)</f>
        <v>35130</v>
      </c>
      <c r="I42" s="174">
        <f>SUM(I27:I39)</f>
        <v>51450</v>
      </c>
      <c r="J42" s="174">
        <f>SUM(J27:J39)</f>
        <v>266080</v>
      </c>
    </row>
    <row r="43" spans="1:10" s="14" customFormat="1"/>
    <row r="44" spans="1:10" s="14" customFormat="1" ht="12.75" customHeight="1">
      <c r="A44" s="535" t="s">
        <v>9</v>
      </c>
      <c r="B44" s="535"/>
      <c r="C44" s="535"/>
      <c r="D44" s="535"/>
      <c r="E44" s="535"/>
      <c r="F44" s="535"/>
      <c r="G44" s="535"/>
      <c r="H44" s="535"/>
      <c r="I44" s="535"/>
      <c r="J44" s="535"/>
    </row>
    <row r="45" spans="1:10" s="14" customFormat="1" ht="12.75" customHeight="1">
      <c r="A45" s="294">
        <f>INPUT!E1</f>
        <v>2019</v>
      </c>
      <c r="B45" s="536" t="s">
        <v>10</v>
      </c>
      <c r="C45" s="536" t="s">
        <v>11</v>
      </c>
      <c r="D45" s="538" t="s">
        <v>12</v>
      </c>
      <c r="E45" s="538"/>
      <c r="F45" s="538"/>
      <c r="G45" s="538"/>
      <c r="H45" s="538" t="s">
        <v>3</v>
      </c>
      <c r="I45" s="538"/>
      <c r="J45" s="538"/>
    </row>
    <row r="46" spans="1:10" s="14" customFormat="1" ht="12.75" customHeight="1">
      <c r="A46" s="295" t="s">
        <v>7</v>
      </c>
      <c r="B46" s="537"/>
      <c r="C46" s="537"/>
      <c r="D46" s="296" t="s">
        <v>0</v>
      </c>
      <c r="E46" s="296" t="s">
        <v>13</v>
      </c>
      <c r="F46" s="296" t="s">
        <v>1</v>
      </c>
      <c r="G46" s="296" t="s">
        <v>2</v>
      </c>
      <c r="H46" s="296" t="s">
        <v>0</v>
      </c>
      <c r="I46" s="296" t="s">
        <v>13</v>
      </c>
      <c r="J46" s="296" t="s">
        <v>1</v>
      </c>
    </row>
    <row r="47" spans="1:10" s="14" customFormat="1">
      <c r="A47" s="297" t="s">
        <v>14</v>
      </c>
      <c r="B47" s="173">
        <f>ROUND('NORTH FORK'!$D$54,-1)</f>
        <v>39410</v>
      </c>
      <c r="C47" s="173">
        <f>ROUND('NORTH FORK'!$D$56,-1)</f>
        <v>39410</v>
      </c>
      <c r="D47" s="173">
        <f>ROUND('NORTH FORK'!$D$60,-1)</f>
        <v>8830</v>
      </c>
      <c r="E47" s="173">
        <f>ROUND('NORTH FORK'!$D$62,-1)</f>
        <v>0</v>
      </c>
      <c r="F47" s="173">
        <f>ROUND('NORTH FORK'!$D$64,-1)</f>
        <v>9690</v>
      </c>
      <c r="G47" s="173">
        <f>ROUND('NORTH FORK'!$D$67,-1)</f>
        <v>20890</v>
      </c>
      <c r="H47" s="173">
        <f>ROUND('NORTH FORK'!$D$29,-1)</f>
        <v>17680</v>
      </c>
      <c r="I47" s="173">
        <f>ROUND('NORTH FORK'!$D$33,-1)</f>
        <v>0</v>
      </c>
      <c r="J47" s="173">
        <f>ROUND('NORTH FORK'!$D$39,-1)</f>
        <v>3610</v>
      </c>
    </row>
    <row r="48" spans="1:10" s="14" customFormat="1">
      <c r="A48" s="297" t="s">
        <v>15</v>
      </c>
      <c r="B48" s="173">
        <f>ROUND(ARIKAREE!$D$65,-1)</f>
        <v>3390</v>
      </c>
      <c r="C48" s="173">
        <f>ROUND(ARIKAREE!$D$67,-1)</f>
        <v>3390</v>
      </c>
      <c r="D48" s="173">
        <f>+ARIKAREE!$D$71</f>
        <v>2660</v>
      </c>
      <c r="E48" s="173">
        <f>+ARIKAREE!$D$73</f>
        <v>170</v>
      </c>
      <c r="F48" s="173">
        <f>+ARIKAREE!$D$75</f>
        <v>570</v>
      </c>
      <c r="G48" s="173">
        <f>+ARIKAREE!$D$78</f>
        <v>-10</v>
      </c>
      <c r="H48" s="173">
        <f>ROUND(ARIKAREE!$D$34,-1)</f>
        <v>2080</v>
      </c>
      <c r="I48" s="173">
        <f>ROUND(ARIKAREE!$D$43,-1)</f>
        <v>120</v>
      </c>
      <c r="J48" s="173">
        <f>ROUND(ARIKAREE!$D$52,-1)</f>
        <v>80</v>
      </c>
    </row>
    <row r="49" spans="1:10" s="14" customFormat="1">
      <c r="A49" s="297" t="s">
        <v>16</v>
      </c>
      <c r="B49" s="173">
        <f>ROUND(BUFFALO!$D$56,-1)</f>
        <v>5740</v>
      </c>
      <c r="C49" s="173">
        <f>ROUND(BUFFALO!$D$58,-1)</f>
        <v>5740</v>
      </c>
      <c r="D49" s="173">
        <f>+BUFFALO!$D$62</f>
        <v>0</v>
      </c>
      <c r="E49" s="173">
        <f>+BUFFALO!$D$64</f>
        <v>0</v>
      </c>
      <c r="F49" s="173">
        <f>+BUFFALO!$D$66</f>
        <v>1890</v>
      </c>
      <c r="G49" s="173">
        <f>+BUFFALO!$D$69</f>
        <v>3850</v>
      </c>
      <c r="H49" s="173">
        <f>ROUND(BUFFALO!$D$30,-1)</f>
        <v>540</v>
      </c>
      <c r="I49" s="173">
        <f>ROUND(BUFFALO!$D$34,-1)</f>
        <v>0</v>
      </c>
      <c r="J49" s="173">
        <f>ROUND(BUFFALO!$D$43,-1)</f>
        <v>3840</v>
      </c>
    </row>
    <row r="50" spans="1:10" s="14" customFormat="1">
      <c r="A50" s="297" t="s">
        <v>5</v>
      </c>
      <c r="B50" s="173">
        <f>ROUND(ROCK!$D$48,-1)</f>
        <v>9260</v>
      </c>
      <c r="C50" s="173">
        <f>ROUND(ROCK!$D$50,-1)</f>
        <v>9260</v>
      </c>
      <c r="D50" s="173">
        <f>+ROCK!$D$54</f>
        <v>0</v>
      </c>
      <c r="E50" s="173">
        <f>+ROCK!$D$56</f>
        <v>0</v>
      </c>
      <c r="F50" s="173">
        <f>+ROCK!$D$58</f>
        <v>3700</v>
      </c>
      <c r="G50" s="173">
        <f>+ROCK!$D$61</f>
        <v>5560</v>
      </c>
      <c r="H50" s="173">
        <f>ROUND(ROCK!$D$21,-1)</f>
        <v>130</v>
      </c>
      <c r="I50" s="173">
        <f>ROUND(ROCK!$D$25,-1)</f>
        <v>0</v>
      </c>
      <c r="J50" s="173">
        <f>ROUND(ROCK!$D$34,-1)</f>
        <v>5380</v>
      </c>
    </row>
    <row r="51" spans="1:10" s="14" customFormat="1">
      <c r="A51" s="297" t="s">
        <v>17</v>
      </c>
      <c r="B51" s="173">
        <f>ROUND('SOUTH FORK'!$D$71,-1)</f>
        <v>19620</v>
      </c>
      <c r="C51" s="173">
        <f>ROUND('SOUTH FORK'!$D$73,-1)</f>
        <v>19620</v>
      </c>
      <c r="D51" s="173">
        <f>+'SOUTH FORK'!$D$77</f>
        <v>8710</v>
      </c>
      <c r="E51" s="173">
        <f>+'SOUTH FORK'!$D$79</f>
        <v>7890</v>
      </c>
      <c r="F51" s="173">
        <f>+'SOUTH FORK'!$D$81</f>
        <v>270</v>
      </c>
      <c r="G51" s="173">
        <f>+'SOUTH FORK'!$D$84</f>
        <v>2750</v>
      </c>
      <c r="H51" s="173">
        <f>ROUND('SOUTH FORK'!$D$39,-1)</f>
        <v>13150</v>
      </c>
      <c r="I51" s="173">
        <f>ROUND('SOUTH FORK'!$D$48,-1)</f>
        <v>3470</v>
      </c>
      <c r="J51" s="173">
        <f>ROUND('SOUTH FORK'!$D$57,-1)</f>
        <v>610</v>
      </c>
    </row>
    <row r="52" spans="1:10" s="14" customFormat="1">
      <c r="A52" s="297" t="s">
        <v>18</v>
      </c>
      <c r="B52" s="173">
        <f>ROUND(FRENCHMAN!$D$66,-1)</f>
        <v>115930</v>
      </c>
      <c r="C52" s="173">
        <f>ROUND(FRENCHMAN!$D$68,-1)</f>
        <v>115510</v>
      </c>
      <c r="D52" s="173">
        <f>+FRENCHMAN!$D$72</f>
        <v>0</v>
      </c>
      <c r="E52" s="173">
        <f>+FRENCHMAN!$D$74</f>
        <v>0</v>
      </c>
      <c r="F52" s="173">
        <f>+FRENCHMAN!$D$76</f>
        <v>61910</v>
      </c>
      <c r="G52" s="173">
        <f>+FRENCHMAN!$D$79</f>
        <v>53600</v>
      </c>
      <c r="H52" s="173">
        <f>ROUND(FRENCHMAN!$D$31,-1)</f>
        <v>1680</v>
      </c>
      <c r="I52" s="173">
        <f>ROUND(FRENCHMAN!$D$35,-1)</f>
        <v>0</v>
      </c>
      <c r="J52" s="173">
        <f>ROUND(FRENCHMAN!$D$49,-1)</f>
        <v>84930</v>
      </c>
    </row>
    <row r="53" spans="1:10" s="14" customFormat="1">
      <c r="A53" s="297" t="s">
        <v>19</v>
      </c>
      <c r="B53" s="173">
        <f>ROUND(DRIFTWOOD!$D$61,-1)</f>
        <v>1480</v>
      </c>
      <c r="C53" s="173">
        <f>ROUND(DRIFTWOOD!$D$63,-1)</f>
        <v>1480</v>
      </c>
      <c r="D53" s="173">
        <f>+DRIFTWOOD!$D$67</f>
        <v>0</v>
      </c>
      <c r="E53" s="173">
        <f>+DRIFTWOOD!$D$69</f>
        <v>100</v>
      </c>
      <c r="F53" s="173">
        <f>+DRIFTWOOD!$D$71</f>
        <v>240</v>
      </c>
      <c r="G53" s="173">
        <f>+DRIFTWOOD!$D$74</f>
        <v>1140</v>
      </c>
      <c r="H53" s="173">
        <f>ROUND(DRIFTWOOD!$D$29,-1)</f>
        <v>0</v>
      </c>
      <c r="I53" s="173">
        <f>ROUND(DRIFTWOOD!$D$38,-1)</f>
        <v>10</v>
      </c>
      <c r="J53" s="173">
        <f>ROUND(DRIFTWOOD!$D$47,-1)</f>
        <v>830</v>
      </c>
    </row>
    <row r="54" spans="1:10" s="14" customFormat="1">
      <c r="A54" s="297" t="s">
        <v>20</v>
      </c>
      <c r="B54" s="173">
        <f>ROUND('RED WILLOW'!$D$59,-1)</f>
        <v>23130</v>
      </c>
      <c r="C54" s="173">
        <f>ROUND('RED WILLOW'!$D$61,-1)</f>
        <v>20130</v>
      </c>
      <c r="D54" s="173">
        <f>+'RED WILLOW'!$D$65</f>
        <v>0</v>
      </c>
      <c r="E54" s="173">
        <f>+'RED WILLOW'!$D$67</f>
        <v>0</v>
      </c>
      <c r="F54" s="173">
        <f>+'RED WILLOW'!$D$69</f>
        <v>3860</v>
      </c>
      <c r="G54" s="173">
        <f>+'RED WILLOW'!$D$72</f>
        <v>16270</v>
      </c>
      <c r="H54" s="173">
        <f>ROUND('RED WILLOW'!$D$27,-1)</f>
        <v>0</v>
      </c>
      <c r="I54" s="173">
        <f>ROUND('RED WILLOW'!$D$31,-1)</f>
        <v>0</v>
      </c>
      <c r="J54" s="173">
        <f>ROUND('RED WILLOW'!$D$42,-1)</f>
        <v>10690</v>
      </c>
    </row>
    <row r="55" spans="1:10" s="14" customFormat="1">
      <c r="A55" s="297" t="s">
        <v>21</v>
      </c>
      <c r="B55" s="173">
        <f>ROUND('MEDICINE CREEK'!$D$65,-1)</f>
        <v>65040</v>
      </c>
      <c r="C55" s="173">
        <f>ROUND('MEDICINE CREEK'!$D$67,-1)</f>
        <v>59810</v>
      </c>
      <c r="D55" s="173">
        <f>+'MEDICINE CREEK'!$D$71</f>
        <v>0</v>
      </c>
      <c r="E55" s="173">
        <f>+'MEDICINE CREEK'!$D$73</f>
        <v>0</v>
      </c>
      <c r="F55" s="173">
        <f>+'MEDICINE CREEK'!$D$75</f>
        <v>5440</v>
      </c>
      <c r="G55" s="173">
        <f>+'MEDICINE CREEK'!$D$78</f>
        <v>54370</v>
      </c>
      <c r="H55" s="173">
        <f>ROUND('MEDICINE CREEK'!$D$27,-1)</f>
        <v>0</v>
      </c>
      <c r="I55" s="173">
        <f>ROUND('MEDICINE CREEK'!$D$31,-1)</f>
        <v>0</v>
      </c>
      <c r="J55" s="173">
        <f>ROUND('MEDICINE CREEK'!$D$44,-1)</f>
        <v>21590</v>
      </c>
    </row>
    <row r="56" spans="1:10" s="14" customFormat="1">
      <c r="A56" s="297" t="s">
        <v>22</v>
      </c>
      <c r="B56" s="173">
        <f>ROUND(BEAVER!$D$78,-1)</f>
        <v>12540</v>
      </c>
      <c r="C56" s="173">
        <f>ROUND(BEAVER!$D$80,-1)</f>
        <v>12540</v>
      </c>
      <c r="D56" s="173">
        <f>+BEAVER!$D$84</f>
        <v>2510</v>
      </c>
      <c r="E56" s="173">
        <f>+BEAVER!$D$86</f>
        <v>4870</v>
      </c>
      <c r="F56" s="173">
        <f>+BEAVER!$D$88</f>
        <v>5090</v>
      </c>
      <c r="G56" s="173">
        <f>+BEAVER!$D$91</f>
        <v>70</v>
      </c>
      <c r="H56" s="173">
        <f>ROUND(BEAVER!$D$38,-1)</f>
        <v>0</v>
      </c>
      <c r="I56" s="173">
        <f>ROUND(BEAVER!$D$47,-1)</f>
        <v>6760</v>
      </c>
      <c r="J56" s="173">
        <f>ROUND(BEAVER!$D$60,-1)</f>
        <v>4150</v>
      </c>
    </row>
    <row r="57" spans="1:10" s="14" customFormat="1">
      <c r="A57" s="297" t="s">
        <v>23</v>
      </c>
      <c r="B57" s="173">
        <f>ROUND(SAPPA!$D$72,-1)</f>
        <v>46100</v>
      </c>
      <c r="C57" s="173">
        <f>ROUND(SAPPA!$D$74,-1)</f>
        <v>30110</v>
      </c>
      <c r="D57" s="173">
        <f>+SAPPA!$D$78</f>
        <v>0</v>
      </c>
      <c r="E57" s="173">
        <f>+SAPPA!$D$80</f>
        <v>12380</v>
      </c>
      <c r="F57" s="173">
        <f>+SAPPA!$D$82</f>
        <v>12380</v>
      </c>
      <c r="G57" s="173">
        <f>+SAPPA!$D$85</f>
        <v>5350</v>
      </c>
      <c r="H57" s="173">
        <f>ROUND(SAPPA!$D$30,-1)</f>
        <v>0</v>
      </c>
      <c r="I57" s="173">
        <f>ROUND(SAPPA!$D$39,-1)</f>
        <v>2950</v>
      </c>
      <c r="J57" s="173">
        <f>ROUND(SAPPA!$D$53,-1)</f>
        <v>1930</v>
      </c>
    </row>
    <row r="58" spans="1:10" s="14" customFormat="1">
      <c r="A58" s="297" t="s">
        <v>24</v>
      </c>
      <c r="B58" s="173">
        <f>ROUND('PRAIRIE DOG'!$D$70,-1)</f>
        <v>63280</v>
      </c>
      <c r="C58" s="173">
        <f>ROUND('PRAIRIE DOG'!$D$72,-1)</f>
        <v>28760</v>
      </c>
      <c r="D58" s="173">
        <f>+'PRAIRIE DOG'!$D$76</f>
        <v>0</v>
      </c>
      <c r="E58" s="173">
        <f>+'PRAIRIE DOG'!$D$78</f>
        <v>13140</v>
      </c>
      <c r="F58" s="173">
        <f>+'PRAIRIE DOG'!$D$80</f>
        <v>2190</v>
      </c>
      <c r="G58" s="173">
        <f>+'PRAIRIE DOG'!$D$83</f>
        <v>13430</v>
      </c>
      <c r="H58" s="173">
        <f>ROUND('PRAIRIE DOG'!$D$31,-1)</f>
        <v>0</v>
      </c>
      <c r="I58" s="173">
        <f>ROUND('PRAIRIE DOG'!$D$42,-1)</f>
        <v>13040</v>
      </c>
      <c r="J58" s="173">
        <f>ROUND('PRAIRIE DOG'!$D$66,-1)</f>
        <v>180</v>
      </c>
    </row>
    <row r="59" spans="1:10" s="14" customFormat="1" ht="13.5" thickBot="1">
      <c r="A59" s="298" t="s">
        <v>6</v>
      </c>
      <c r="B59" s="299">
        <f>ROUND(MAINSTEM!$D$188,-1)</f>
        <v>662620</v>
      </c>
      <c r="C59" s="299">
        <f>ROUND(MAINSTEM!$D$191,-1)</f>
        <v>399550</v>
      </c>
      <c r="D59" s="299">
        <f>+MAINSTEM!$D$195</f>
        <v>0</v>
      </c>
      <c r="E59" s="299">
        <f>+MAINSTEM!$D$197</f>
        <v>204170</v>
      </c>
      <c r="F59" s="299">
        <f>+MAINSTEM!$D$199</f>
        <v>195380</v>
      </c>
      <c r="G59" s="299">
        <f>+MAINSTEM!$D$202</f>
        <v>0</v>
      </c>
      <c r="H59" s="299">
        <f>ROUND(MAINSTEM!$D$103,-1)</f>
        <v>-2520</v>
      </c>
      <c r="I59" s="299">
        <f>ROUND(MAINSTEM!$D$118,-1)</f>
        <v>21560</v>
      </c>
      <c r="J59" s="299">
        <f>ROUND(MAINSTEM!$D$141,-1)</f>
        <v>125050</v>
      </c>
    </row>
    <row r="60" spans="1:10" s="14" customFormat="1" ht="13.5" thickTop="1">
      <c r="A60" s="300" t="s">
        <v>8</v>
      </c>
      <c r="B60" s="174">
        <f>SUM(B47:B59)</f>
        <v>1067540</v>
      </c>
      <c r="C60" s="174">
        <f t="shared" ref="C60:J60" si="2">SUM(C47:C59)</f>
        <v>745310</v>
      </c>
      <c r="D60" s="174">
        <f t="shared" si="2"/>
        <v>22710</v>
      </c>
      <c r="E60" s="174">
        <f t="shared" si="2"/>
        <v>242720</v>
      </c>
      <c r="F60" s="174">
        <f t="shared" si="2"/>
        <v>302610</v>
      </c>
      <c r="G60" s="174">
        <f t="shared" si="2"/>
        <v>177270</v>
      </c>
      <c r="H60" s="174">
        <f t="shared" si="2"/>
        <v>32740</v>
      </c>
      <c r="I60" s="174">
        <f t="shared" si="2"/>
        <v>47910</v>
      </c>
      <c r="J60" s="174">
        <f t="shared" si="2"/>
        <v>262870</v>
      </c>
    </row>
    <row r="61" spans="1:10" s="14" customFormat="1" ht="24.75" thickBot="1">
      <c r="A61" s="301" t="s">
        <v>25</v>
      </c>
      <c r="B61" s="299"/>
      <c r="C61" s="299">
        <f>+C59+G60</f>
        <v>576820</v>
      </c>
      <c r="D61" s="299">
        <f>+D59</f>
        <v>0</v>
      </c>
      <c r="E61" s="299">
        <f>E59+ROUND(G60*0.511,-1)</f>
        <v>294750</v>
      </c>
      <c r="F61" s="299">
        <f>F59+ROUND(G60*0.489,-1)</f>
        <v>282070</v>
      </c>
      <c r="G61" s="299"/>
      <c r="H61" s="299"/>
      <c r="I61" s="299"/>
      <c r="J61" s="299"/>
    </row>
    <row r="62" spans="1:10" s="14" customFormat="1" ht="13.5" thickTop="1">
      <c r="A62" s="300" t="s">
        <v>4</v>
      </c>
      <c r="B62" s="174">
        <f>SUM(B47:B59)</f>
        <v>1067540</v>
      </c>
      <c r="C62" s="174">
        <f>SUM(C47:C59)</f>
        <v>745310</v>
      </c>
      <c r="D62" s="174">
        <f>SUM(D47:D58,D61)</f>
        <v>22710</v>
      </c>
      <c r="E62" s="174">
        <f>SUM(E47:E58,E61)</f>
        <v>333300</v>
      </c>
      <c r="F62" s="174">
        <f>SUM(F47:F58,F61)</f>
        <v>389300</v>
      </c>
      <c r="G62" s="174">
        <f>+G61</f>
        <v>0</v>
      </c>
      <c r="H62" s="174">
        <f>SUM(H47:H59)</f>
        <v>32740</v>
      </c>
      <c r="I62" s="174">
        <f>SUM(I47:I59)</f>
        <v>47910</v>
      </c>
      <c r="J62" s="174">
        <f>SUM(J47:J59)</f>
        <v>262870</v>
      </c>
    </row>
    <row r="63" spans="1:10" s="14" customFormat="1"/>
    <row r="64" spans="1:10" s="14" customFormat="1" ht="12.75" customHeight="1">
      <c r="A64" s="535" t="s">
        <v>9</v>
      </c>
      <c r="B64" s="535"/>
      <c r="C64" s="535"/>
      <c r="D64" s="535"/>
      <c r="E64" s="535"/>
      <c r="F64" s="535"/>
      <c r="G64" s="535"/>
      <c r="H64" s="535"/>
      <c r="I64" s="535"/>
      <c r="J64" s="535"/>
    </row>
    <row r="65" spans="1:10" s="14" customFormat="1" ht="12.75" customHeight="1">
      <c r="A65" s="294">
        <f>INPUT!F1</f>
        <v>2020</v>
      </c>
      <c r="B65" s="536" t="s">
        <v>10</v>
      </c>
      <c r="C65" s="536" t="s">
        <v>11</v>
      </c>
      <c r="D65" s="538" t="s">
        <v>12</v>
      </c>
      <c r="E65" s="538"/>
      <c r="F65" s="538"/>
      <c r="G65" s="538"/>
      <c r="H65" s="538" t="s">
        <v>3</v>
      </c>
      <c r="I65" s="538"/>
      <c r="J65" s="538"/>
    </row>
    <row r="66" spans="1:10" s="14" customFormat="1" ht="12.75" customHeight="1">
      <c r="A66" s="424" t="s">
        <v>7</v>
      </c>
      <c r="B66" s="537"/>
      <c r="C66" s="537"/>
      <c r="D66" s="296" t="s">
        <v>0</v>
      </c>
      <c r="E66" s="296" t="s">
        <v>13</v>
      </c>
      <c r="F66" s="296" t="s">
        <v>1</v>
      </c>
      <c r="G66" s="296" t="s">
        <v>2</v>
      </c>
      <c r="H66" s="296" t="s">
        <v>0</v>
      </c>
      <c r="I66" s="296" t="s">
        <v>13</v>
      </c>
      <c r="J66" s="296" t="s">
        <v>1</v>
      </c>
    </row>
    <row r="67" spans="1:10" s="14" customFormat="1">
      <c r="A67" s="297" t="s">
        <v>14</v>
      </c>
      <c r="B67" s="173">
        <f>ROUND('NORTH FORK'!$E$54,-1)</f>
        <v>40930</v>
      </c>
      <c r="C67" s="173">
        <f>ROUND('NORTH FORK'!$E$56,-1)</f>
        <v>40930</v>
      </c>
      <c r="D67" s="173">
        <f>ROUND('NORTH FORK'!$E$60,-1)</f>
        <v>9170</v>
      </c>
      <c r="E67" s="173">
        <f>ROUND('NORTH FORK'!$E$62,-1)</f>
        <v>0</v>
      </c>
      <c r="F67" s="173">
        <f>ROUND('NORTH FORK'!$E$64,-1)</f>
        <v>10070</v>
      </c>
      <c r="G67" s="173">
        <f>ROUND('NORTH FORK'!$E$67,-1)</f>
        <v>21690</v>
      </c>
      <c r="H67" s="173">
        <f>ROUND('NORTH FORK'!$E$29,-1)</f>
        <v>17630</v>
      </c>
      <c r="I67" s="173">
        <f>ROUND('NORTH FORK'!$E$33,-1)</f>
        <v>0</v>
      </c>
      <c r="J67" s="173">
        <f>ROUND('NORTH FORK'!$E$39,-1)</f>
        <v>4420</v>
      </c>
    </row>
    <row r="68" spans="1:10" s="14" customFormat="1">
      <c r="A68" s="297" t="s">
        <v>15</v>
      </c>
      <c r="B68" s="173">
        <f>ROUND(ARIKAREE!$E$65,-1)</f>
        <v>3480</v>
      </c>
      <c r="C68" s="173">
        <f>ROUND(ARIKAREE!$E$67,-1)</f>
        <v>3480</v>
      </c>
      <c r="D68" s="173">
        <f>+ARIKAREE!$E$71</f>
        <v>2730</v>
      </c>
      <c r="E68" s="173">
        <f>+ARIKAREE!$E$73</f>
        <v>180</v>
      </c>
      <c r="F68" s="173">
        <f>+ARIKAREE!$E$75</f>
        <v>580</v>
      </c>
      <c r="G68" s="173">
        <f>+ARIKAREE!$E$78</f>
        <v>-10</v>
      </c>
      <c r="H68" s="173">
        <f>ROUND(ARIKAREE!$E$34,-1)</f>
        <v>1650</v>
      </c>
      <c r="I68" s="173">
        <f>ROUND(ARIKAREE!$E$43,-1)</f>
        <v>100</v>
      </c>
      <c r="J68" s="173">
        <f>ROUND(ARIKAREE!$E$52,-1)</f>
        <v>70</v>
      </c>
    </row>
    <row r="69" spans="1:10" s="14" customFormat="1">
      <c r="A69" s="297" t="s">
        <v>16</v>
      </c>
      <c r="B69" s="173">
        <f>ROUND(BUFFALO!$E$56,-1)</f>
        <v>6290</v>
      </c>
      <c r="C69" s="173">
        <f>ROUND(BUFFALO!$E$58,-1)</f>
        <v>6290</v>
      </c>
      <c r="D69" s="173">
        <f>+BUFFALO!$E$62</f>
        <v>0</v>
      </c>
      <c r="E69" s="173">
        <f>+BUFFALO!$E$64</f>
        <v>0</v>
      </c>
      <c r="F69" s="173">
        <f>+BUFFALO!$E$66</f>
        <v>2080</v>
      </c>
      <c r="G69" s="173">
        <f>+BUFFALO!$E$69</f>
        <v>4210</v>
      </c>
      <c r="H69" s="173">
        <f>ROUND(BUFFALO!$E$30,-1)</f>
        <v>480</v>
      </c>
      <c r="I69" s="173">
        <f>ROUND(BUFFALO!$E$34,-1)</f>
        <v>0</v>
      </c>
      <c r="J69" s="173">
        <f>ROUND(BUFFALO!$E$43,-1)</f>
        <v>3670</v>
      </c>
    </row>
    <row r="70" spans="1:10" s="14" customFormat="1">
      <c r="A70" s="297" t="s">
        <v>5</v>
      </c>
      <c r="B70" s="173">
        <f>ROUND(ROCK!$E$48,-1)</f>
        <v>9480</v>
      </c>
      <c r="C70" s="173">
        <f>ROUND(ROCK!$E$50,-1)</f>
        <v>9480</v>
      </c>
      <c r="D70" s="173">
        <f>+ROCK!$E$54</f>
        <v>0</v>
      </c>
      <c r="E70" s="173">
        <f>+ROCK!$E$56</f>
        <v>0</v>
      </c>
      <c r="F70" s="173">
        <f>+ROCK!$E$58</f>
        <v>3790</v>
      </c>
      <c r="G70" s="173">
        <f>+ROCK!$E$61</f>
        <v>5690</v>
      </c>
      <c r="H70" s="173">
        <f>ROUND(ROCK!$E$21,-1)</f>
        <v>90</v>
      </c>
      <c r="I70" s="173">
        <f>ROUND(ROCK!$E$25,-1)</f>
        <v>0</v>
      </c>
      <c r="J70" s="173">
        <f>ROUND(ROCK!$E$34,-1)</f>
        <v>5340</v>
      </c>
    </row>
    <row r="71" spans="1:10" s="14" customFormat="1">
      <c r="A71" s="297" t="s">
        <v>17</v>
      </c>
      <c r="B71" s="173">
        <f>ROUND('SOUTH FORK'!$E$71,-1)</f>
        <v>22640</v>
      </c>
      <c r="C71" s="173">
        <f>ROUND('SOUTH FORK'!$E$73,-1)</f>
        <v>22640</v>
      </c>
      <c r="D71" s="173">
        <f>+'SOUTH FORK'!$E$77</f>
        <v>10050</v>
      </c>
      <c r="E71" s="173">
        <f>+'SOUTH FORK'!$E$79</f>
        <v>9100</v>
      </c>
      <c r="F71" s="173">
        <f>+'SOUTH FORK'!$E$81</f>
        <v>320</v>
      </c>
      <c r="G71" s="173">
        <f>+'SOUTH FORK'!$E$84</f>
        <v>3170</v>
      </c>
      <c r="H71" s="173">
        <f>ROUND('SOUTH FORK'!$E$39,-1)</f>
        <v>11040</v>
      </c>
      <c r="I71" s="173">
        <f>ROUND('SOUTH FORK'!$E$48,-1)</f>
        <v>3650</v>
      </c>
      <c r="J71" s="173">
        <f>ROUND('SOUTH FORK'!$E$57,-1)</f>
        <v>720</v>
      </c>
    </row>
    <row r="72" spans="1:10" s="14" customFormat="1">
      <c r="A72" s="297" t="s">
        <v>18</v>
      </c>
      <c r="B72" s="173">
        <f>ROUND(FRENCHMAN!$E$66,-1)</f>
        <v>102180</v>
      </c>
      <c r="C72" s="173">
        <f>ROUND(FRENCHMAN!$E$68,-1)</f>
        <v>103330</v>
      </c>
      <c r="D72" s="173">
        <f>+FRENCHMAN!$E$72</f>
        <v>0</v>
      </c>
      <c r="E72" s="173">
        <f>+FRENCHMAN!$E$74</f>
        <v>0</v>
      </c>
      <c r="F72" s="173">
        <f>+FRENCHMAN!$E$76</f>
        <v>55380</v>
      </c>
      <c r="G72" s="173">
        <f>+FRENCHMAN!$E$79</f>
        <v>47950</v>
      </c>
      <c r="H72" s="173">
        <f>ROUND(FRENCHMAN!$E$31,-1)</f>
        <v>1140</v>
      </c>
      <c r="I72" s="173">
        <f>ROUND(FRENCHMAN!$E$35,-1)</f>
        <v>0</v>
      </c>
      <c r="J72" s="173">
        <f>ROUND(FRENCHMAN!$E$49,-1)</f>
        <v>82130</v>
      </c>
    </row>
    <row r="73" spans="1:10" s="14" customFormat="1">
      <c r="A73" s="297" t="s">
        <v>19</v>
      </c>
      <c r="B73" s="173">
        <f>ROUND(DRIFTWOOD!$E$61,-1)</f>
        <v>450</v>
      </c>
      <c r="C73" s="173">
        <f>ROUND(DRIFTWOOD!$E$63,-1)</f>
        <v>450</v>
      </c>
      <c r="D73" s="173">
        <f>+DRIFTWOOD!$E$67</f>
        <v>0</v>
      </c>
      <c r="E73" s="173">
        <f>+DRIFTWOOD!$E$69</f>
        <v>30</v>
      </c>
      <c r="F73" s="173">
        <f>+DRIFTWOOD!$E$71</f>
        <v>70</v>
      </c>
      <c r="G73" s="173">
        <f>+DRIFTWOOD!$E$74</f>
        <v>350</v>
      </c>
      <c r="H73" s="173">
        <f>ROUND(DRIFTWOOD!$E$29,-1)</f>
        <v>0</v>
      </c>
      <c r="I73" s="173">
        <f>ROUND(DRIFTWOOD!$E$38,-1)</f>
        <v>20</v>
      </c>
      <c r="J73" s="173">
        <f>ROUND(DRIFTWOOD!$E$47,-1)</f>
        <v>810</v>
      </c>
    </row>
    <row r="74" spans="1:10" s="14" customFormat="1">
      <c r="A74" s="297" t="s">
        <v>20</v>
      </c>
      <c r="B74" s="173">
        <f>ROUND('RED WILLOW'!$E$59,-1)</f>
        <v>16970</v>
      </c>
      <c r="C74" s="173">
        <f>ROUND('RED WILLOW'!$E$61,-1)</f>
        <v>21160</v>
      </c>
      <c r="D74" s="173">
        <f>+'RED WILLOW'!$E$65</f>
        <v>0</v>
      </c>
      <c r="E74" s="173">
        <f>+'RED WILLOW'!$E$67</f>
        <v>0</v>
      </c>
      <c r="F74" s="173">
        <f>+'RED WILLOW'!$E$69</f>
        <v>4060</v>
      </c>
      <c r="G74" s="173">
        <f>+'RED WILLOW'!$E$72</f>
        <v>17100</v>
      </c>
      <c r="H74" s="173">
        <f>ROUND('RED WILLOW'!$E$27,-1)</f>
        <v>0</v>
      </c>
      <c r="I74" s="173">
        <f>ROUND('RED WILLOW'!$E$31,-1)</f>
        <v>0</v>
      </c>
      <c r="J74" s="173">
        <f>ROUND('RED WILLOW'!$E$42,-1)</f>
        <v>9490</v>
      </c>
    </row>
    <row r="75" spans="1:10" s="14" customFormat="1">
      <c r="A75" s="297" t="s">
        <v>21</v>
      </c>
      <c r="B75" s="173">
        <f>ROUND('MEDICINE CREEK'!$E$65,-1)</f>
        <v>42950</v>
      </c>
      <c r="C75" s="173">
        <f>ROUND('MEDICINE CREEK'!$E$67,-1)</f>
        <v>52480</v>
      </c>
      <c r="D75" s="173">
        <f>+'MEDICINE CREEK'!$E$71</f>
        <v>0</v>
      </c>
      <c r="E75" s="173">
        <f>+'MEDICINE CREEK'!$E$73</f>
        <v>0</v>
      </c>
      <c r="F75" s="173">
        <f>+'MEDICINE CREEK'!$E$75</f>
        <v>4780</v>
      </c>
      <c r="G75" s="173">
        <f>+'MEDICINE CREEK'!$E$78</f>
        <v>47700</v>
      </c>
      <c r="H75" s="173">
        <f>ROUND('MEDICINE CREEK'!$E$27,-1)</f>
        <v>0</v>
      </c>
      <c r="I75" s="173">
        <f>ROUND('MEDICINE CREEK'!$E$31,-1)</f>
        <v>0</v>
      </c>
      <c r="J75" s="173">
        <f>ROUND('MEDICINE CREEK'!$E$44,-1)</f>
        <v>20390</v>
      </c>
    </row>
    <row r="76" spans="1:10" s="14" customFormat="1">
      <c r="A76" s="297" t="s">
        <v>22</v>
      </c>
      <c r="B76" s="173">
        <f>ROUND(BEAVER!$E$78,-1)</f>
        <v>11260</v>
      </c>
      <c r="C76" s="173">
        <f>ROUND(BEAVER!$E$80,-1)</f>
        <v>11260</v>
      </c>
      <c r="D76" s="173">
        <f>+BEAVER!$E$84</f>
        <v>2250</v>
      </c>
      <c r="E76" s="173">
        <f>+BEAVER!$E$86</f>
        <v>4370</v>
      </c>
      <c r="F76" s="173">
        <f>+BEAVER!$E$88</f>
        <v>4570</v>
      </c>
      <c r="G76" s="173">
        <f>+BEAVER!$E$91</f>
        <v>70</v>
      </c>
      <c r="H76" s="173">
        <f>ROUND(BEAVER!$E$38,-1)</f>
        <v>0</v>
      </c>
      <c r="I76" s="173">
        <f>ROUND(BEAVER!$E$47,-1)</f>
        <v>6430</v>
      </c>
      <c r="J76" s="173">
        <f>ROUND(BEAVER!$E$60,-1)</f>
        <v>4040</v>
      </c>
    </row>
    <row r="77" spans="1:10" s="14" customFormat="1">
      <c r="A77" s="297" t="s">
        <v>23</v>
      </c>
      <c r="B77" s="173">
        <f>ROUND(SAPPA!$E$72,-1)</f>
        <v>19630</v>
      </c>
      <c r="C77" s="173">
        <f>ROUND(SAPPA!$E$74,-1)</f>
        <v>19630</v>
      </c>
      <c r="D77" s="173">
        <f>+SAPPA!$E$78</f>
        <v>0</v>
      </c>
      <c r="E77" s="173">
        <f>+SAPPA!$E$80</f>
        <v>8070</v>
      </c>
      <c r="F77" s="173">
        <f>+SAPPA!$E$82</f>
        <v>8070</v>
      </c>
      <c r="G77" s="173">
        <f>+SAPPA!$E$85</f>
        <v>3490</v>
      </c>
      <c r="H77" s="173">
        <f>ROUND(SAPPA!$E$30,-1)</f>
        <v>0</v>
      </c>
      <c r="I77" s="173">
        <f>ROUND(SAPPA!$E$39,-1)</f>
        <v>2490</v>
      </c>
      <c r="J77" s="173">
        <f>ROUND(SAPPA!$E$53,-1)</f>
        <v>1740</v>
      </c>
    </row>
    <row r="78" spans="1:10" s="14" customFormat="1">
      <c r="A78" s="297" t="s">
        <v>24</v>
      </c>
      <c r="B78" s="173">
        <f>ROUND('PRAIRIE DOG'!$E$70,-1)</f>
        <v>14660</v>
      </c>
      <c r="C78" s="173">
        <f>ROUND('PRAIRIE DOG'!$E$72,-1)</f>
        <v>19290</v>
      </c>
      <c r="D78" s="173">
        <f>+'PRAIRIE DOG'!$E$76</f>
        <v>0</v>
      </c>
      <c r="E78" s="173">
        <f>+'PRAIRIE DOG'!$E$78</f>
        <v>8820</v>
      </c>
      <c r="F78" s="173">
        <f>+'PRAIRIE DOG'!$E$80</f>
        <v>1470</v>
      </c>
      <c r="G78" s="173">
        <f>+'PRAIRIE DOG'!$E$83</f>
        <v>9000</v>
      </c>
      <c r="H78" s="173">
        <f>ROUND('PRAIRIE DOG'!$E$31,-1)</f>
        <v>0</v>
      </c>
      <c r="I78" s="173">
        <f>ROUND('PRAIRIE DOG'!$E$42,-1)</f>
        <v>11010</v>
      </c>
      <c r="J78" s="173">
        <f>ROUND('PRAIRIE DOG'!$E$66,-1)</f>
        <v>160</v>
      </c>
    </row>
    <row r="79" spans="1:10" s="14" customFormat="1" ht="13.5" thickBot="1">
      <c r="A79" s="298" t="s">
        <v>6</v>
      </c>
      <c r="B79" s="299">
        <f>ROUND(MAINSTEM!$E$188,-1)</f>
        <v>213600</v>
      </c>
      <c r="C79" s="299">
        <f>ROUND(MAINSTEM!$E$191,-1)</f>
        <v>264600</v>
      </c>
      <c r="D79" s="299">
        <f>+MAINSTEM!$E$195</f>
        <v>0</v>
      </c>
      <c r="E79" s="299">
        <f>+MAINSTEM!$E$197</f>
        <v>135210</v>
      </c>
      <c r="F79" s="299">
        <f>+MAINSTEM!$E$199</f>
        <v>129390</v>
      </c>
      <c r="G79" s="299">
        <f>+MAINSTEM!$E$202</f>
        <v>0</v>
      </c>
      <c r="H79" s="299">
        <f>ROUND(MAINSTEM!$E$103,-1)</f>
        <v>-5120</v>
      </c>
      <c r="I79" s="299">
        <f>ROUND(MAINSTEM!$E$118,-1)</f>
        <v>30110</v>
      </c>
      <c r="J79" s="299">
        <f>ROUND(MAINSTEM!$E$141,-1)</f>
        <v>119420</v>
      </c>
    </row>
    <row r="80" spans="1:10" s="14" customFormat="1" ht="13.5" thickTop="1">
      <c r="A80" s="300" t="s">
        <v>8</v>
      </c>
      <c r="B80" s="174">
        <f>SUM(B67:B79)</f>
        <v>504520</v>
      </c>
      <c r="C80" s="174">
        <f t="shared" ref="C80:J80" si="3">SUM(C67:C79)</f>
        <v>575020</v>
      </c>
      <c r="D80" s="174">
        <f t="shared" si="3"/>
        <v>24200</v>
      </c>
      <c r="E80" s="174">
        <f t="shared" si="3"/>
        <v>165780</v>
      </c>
      <c r="F80" s="174">
        <f t="shared" si="3"/>
        <v>224630</v>
      </c>
      <c r="G80" s="174">
        <f t="shared" si="3"/>
        <v>160410</v>
      </c>
      <c r="H80" s="174">
        <f t="shared" si="3"/>
        <v>26910</v>
      </c>
      <c r="I80" s="174">
        <f t="shared" si="3"/>
        <v>53810</v>
      </c>
      <c r="J80" s="174">
        <f t="shared" si="3"/>
        <v>252400</v>
      </c>
    </row>
    <row r="81" spans="1:10" s="14" customFormat="1" ht="24.75" thickBot="1">
      <c r="A81" s="301" t="s">
        <v>25</v>
      </c>
      <c r="B81" s="299"/>
      <c r="C81" s="299">
        <f>+C79+G80</f>
        <v>425010</v>
      </c>
      <c r="D81" s="299">
        <f>+D79</f>
        <v>0</v>
      </c>
      <c r="E81" s="299">
        <f>E79+ROUND(G80*0.511,-1)</f>
        <v>217180</v>
      </c>
      <c r="F81" s="299">
        <f>F79+ROUND(G80*0.489,-1)</f>
        <v>207830</v>
      </c>
      <c r="G81" s="299"/>
      <c r="H81" s="299"/>
      <c r="I81" s="299"/>
      <c r="J81" s="299"/>
    </row>
    <row r="82" spans="1:10" s="14" customFormat="1" ht="13.5" thickTop="1">
      <c r="A82" s="300" t="s">
        <v>4</v>
      </c>
      <c r="B82" s="174">
        <f>SUM(B67:B79)</f>
        <v>504520</v>
      </c>
      <c r="C82" s="174">
        <f>SUM(C67:C79)</f>
        <v>575020</v>
      </c>
      <c r="D82" s="174">
        <f>SUM(D67:D78,D81)</f>
        <v>24200</v>
      </c>
      <c r="E82" s="174">
        <f>SUM(E67:E78,E81)</f>
        <v>247750</v>
      </c>
      <c r="F82" s="174">
        <f>SUM(F67:F78,F81)</f>
        <v>303070</v>
      </c>
      <c r="G82" s="174">
        <f>+G81</f>
        <v>0</v>
      </c>
      <c r="H82" s="174">
        <f>SUM(H67:H79)</f>
        <v>26910</v>
      </c>
      <c r="I82" s="174">
        <f>SUM(I67:I79)</f>
        <v>53810</v>
      </c>
      <c r="J82" s="174">
        <f>SUM(J67:J79)</f>
        <v>252400</v>
      </c>
    </row>
    <row r="83" spans="1:10" s="14" customFormat="1"/>
    <row r="84" spans="1:10" s="14" customFormat="1">
      <c r="A84" s="535" t="s">
        <v>9</v>
      </c>
      <c r="B84" s="535"/>
      <c r="C84" s="535"/>
      <c r="D84" s="535"/>
      <c r="E84" s="535"/>
      <c r="F84" s="535"/>
      <c r="G84" s="535"/>
      <c r="H84" s="535"/>
      <c r="I84" s="535"/>
      <c r="J84" s="535"/>
    </row>
    <row r="85" spans="1:10" s="14" customFormat="1">
      <c r="A85" s="294">
        <f>INPUT!G1</f>
        <v>2021</v>
      </c>
      <c r="B85" s="536" t="s">
        <v>10</v>
      </c>
      <c r="C85" s="536" t="s">
        <v>11</v>
      </c>
      <c r="D85" s="538" t="s">
        <v>12</v>
      </c>
      <c r="E85" s="538"/>
      <c r="F85" s="538"/>
      <c r="G85" s="538"/>
      <c r="H85" s="538" t="s">
        <v>3</v>
      </c>
      <c r="I85" s="538"/>
      <c r="J85" s="538"/>
    </row>
    <row r="86" spans="1:10" s="14" customFormat="1">
      <c r="A86" s="424" t="s">
        <v>7</v>
      </c>
      <c r="B86" s="537"/>
      <c r="C86" s="537"/>
      <c r="D86" s="296" t="s">
        <v>0</v>
      </c>
      <c r="E86" s="296" t="s">
        <v>13</v>
      </c>
      <c r="F86" s="296" t="s">
        <v>1</v>
      </c>
      <c r="G86" s="296" t="s">
        <v>2</v>
      </c>
      <c r="H86" s="296" t="s">
        <v>0</v>
      </c>
      <c r="I86" s="296" t="s">
        <v>13</v>
      </c>
      <c r="J86" s="296" t="s">
        <v>1</v>
      </c>
    </row>
    <row r="87" spans="1:10" s="14" customFormat="1">
      <c r="A87" s="297" t="s">
        <v>14</v>
      </c>
      <c r="B87" s="173">
        <f>ROUND('NORTH FORK'!$F$54,-1)</f>
        <v>41490</v>
      </c>
      <c r="C87" s="173">
        <f>ROUND('NORTH FORK'!$F$56,-1)</f>
        <v>41490</v>
      </c>
      <c r="D87" s="173">
        <f>ROUND('NORTH FORK'!$F$60,-1)</f>
        <v>9290</v>
      </c>
      <c r="E87" s="173">
        <f>ROUND('NORTH FORK'!$F$62,-1)</f>
        <v>0</v>
      </c>
      <c r="F87" s="173">
        <f>ROUND('NORTH FORK'!$F$64,-1)</f>
        <v>10210</v>
      </c>
      <c r="G87" s="173">
        <f>ROUND('NORTH FORK'!$F$67,-1)</f>
        <v>21990</v>
      </c>
      <c r="H87" s="173">
        <f>ROUND('NORTH FORK'!$F$29,-1)</f>
        <v>18120</v>
      </c>
      <c r="I87" s="173">
        <f>ROUND('NORTH FORK'!$F$33,-1)</f>
        <v>0</v>
      </c>
      <c r="J87" s="173">
        <f>ROUND('NORTH FORK'!$F$39,-1)</f>
        <v>4660</v>
      </c>
    </row>
    <row r="88" spans="1:10" s="14" customFormat="1">
      <c r="A88" s="297" t="s">
        <v>15</v>
      </c>
      <c r="B88" s="173">
        <f>ROUND(ARIKAREE!$F$65,-1)</f>
        <v>3320</v>
      </c>
      <c r="C88" s="173">
        <f>ROUND(ARIKAREE!$F$67,-1)</f>
        <v>3320</v>
      </c>
      <c r="D88" s="173">
        <f>+ARIKAREE!$F$71</f>
        <v>2610</v>
      </c>
      <c r="E88" s="173">
        <f>+ARIKAREE!$F$73</f>
        <v>170</v>
      </c>
      <c r="F88" s="173">
        <f>+ARIKAREE!$F$75</f>
        <v>560</v>
      </c>
      <c r="G88" s="173">
        <f>+ARIKAREE!$F$78</f>
        <v>-20</v>
      </c>
      <c r="H88" s="173">
        <f>ROUND(ARIKAREE!$F$34,-1)</f>
        <v>1440</v>
      </c>
      <c r="I88" s="173">
        <f>ROUND(ARIKAREE!$F$43,-1)</f>
        <v>130</v>
      </c>
      <c r="J88" s="173">
        <f>ROUND(ARIKAREE!$F$52,-1)</f>
        <v>110</v>
      </c>
    </row>
    <row r="89" spans="1:10" s="14" customFormat="1">
      <c r="A89" s="297" t="s">
        <v>16</v>
      </c>
      <c r="B89" s="173">
        <f>ROUND(BUFFALO!$F$56,-1)</f>
        <v>5660</v>
      </c>
      <c r="C89" s="173">
        <f>ROUND(BUFFALO!$F$58,-1)</f>
        <v>5660</v>
      </c>
      <c r="D89" s="173">
        <f>+BUFFALO!$F$62</f>
        <v>0</v>
      </c>
      <c r="E89" s="173">
        <f>+BUFFALO!$F$64</f>
        <v>0</v>
      </c>
      <c r="F89" s="173">
        <f>+BUFFALO!$F$66</f>
        <v>1870</v>
      </c>
      <c r="G89" s="173">
        <f>+BUFFALO!$F$69</f>
        <v>3790</v>
      </c>
      <c r="H89" s="173">
        <f>ROUND(BUFFALO!$F$30,-1)</f>
        <v>440</v>
      </c>
      <c r="I89" s="173">
        <f>ROUND(BUFFALO!$F$34,-1)</f>
        <v>0</v>
      </c>
      <c r="J89" s="173">
        <f>ROUND(BUFFALO!$F$43,-1)</f>
        <v>3640</v>
      </c>
    </row>
    <row r="90" spans="1:10" s="14" customFormat="1">
      <c r="A90" s="297" t="s">
        <v>5</v>
      </c>
      <c r="B90" s="173">
        <f>ROUND(ROCK!$F$48,-1)</f>
        <v>8900</v>
      </c>
      <c r="C90" s="173">
        <f>ROUND(ROCK!$F$50,-1)</f>
        <v>8900</v>
      </c>
      <c r="D90" s="173">
        <f>+ROCK!$F$54</f>
        <v>0</v>
      </c>
      <c r="E90" s="173">
        <f>+ROCK!$F$56</f>
        <v>0</v>
      </c>
      <c r="F90" s="173">
        <f>+ROCK!$F$58</f>
        <v>3560</v>
      </c>
      <c r="G90" s="173">
        <f>+ROCK!$F$61</f>
        <v>5340</v>
      </c>
      <c r="H90" s="173">
        <f>ROUND(ROCK!$F$21,-1)</f>
        <v>80</v>
      </c>
      <c r="I90" s="173">
        <f>ROUND(ROCK!$F$25,-1)</f>
        <v>0</v>
      </c>
      <c r="J90" s="173">
        <f>ROUND(ROCK!$F$34,-1)</f>
        <v>5240</v>
      </c>
    </row>
    <row r="91" spans="1:10" s="14" customFormat="1">
      <c r="A91" s="297" t="s">
        <v>17</v>
      </c>
      <c r="B91" s="173">
        <f>ROUND('SOUTH FORK'!$F$71,-1)</f>
        <v>20160</v>
      </c>
      <c r="C91" s="173">
        <f>ROUND('SOUTH FORK'!$F$73,-1)</f>
        <v>20160</v>
      </c>
      <c r="D91" s="173">
        <f>+'SOUTH FORK'!$F$77</f>
        <v>8950</v>
      </c>
      <c r="E91" s="173">
        <f>+'SOUTH FORK'!$F$79</f>
        <v>8100</v>
      </c>
      <c r="F91" s="173">
        <f>+'SOUTH FORK'!$F$81</f>
        <v>280</v>
      </c>
      <c r="G91" s="173">
        <f>+'SOUTH FORK'!$F$84</f>
        <v>2830</v>
      </c>
      <c r="H91" s="173">
        <f>ROUND('SOUTH FORK'!$F$39,-1)</f>
        <v>13760</v>
      </c>
      <c r="I91" s="173">
        <f>ROUND('SOUTH FORK'!$F$48,-1)</f>
        <v>5310</v>
      </c>
      <c r="J91" s="173">
        <f>ROUND('SOUTH FORK'!$F$57,-1)</f>
        <v>770</v>
      </c>
    </row>
    <row r="92" spans="1:10" s="14" customFormat="1">
      <c r="A92" s="297" t="s">
        <v>18</v>
      </c>
      <c r="B92" s="173">
        <f>ROUND(FRENCHMAN!$F$66,-1)</f>
        <v>99790</v>
      </c>
      <c r="C92" s="173">
        <f>ROUND(FRENCHMAN!$F$68,-1)</f>
        <v>100450</v>
      </c>
      <c r="D92" s="173">
        <f>+FRENCHMAN!$F$72</f>
        <v>0</v>
      </c>
      <c r="E92" s="173">
        <f>+FRENCHMAN!$F$74</f>
        <v>0</v>
      </c>
      <c r="F92" s="173">
        <f>+FRENCHMAN!$F$76</f>
        <v>53840</v>
      </c>
      <c r="G92" s="173">
        <f>+FRENCHMAN!$F$79</f>
        <v>46610</v>
      </c>
      <c r="H92" s="173">
        <f>ROUND(FRENCHMAN!$F$31,-1)</f>
        <v>200</v>
      </c>
      <c r="I92" s="173">
        <f>ROUND(FRENCHMAN!$F$35,-1)</f>
        <v>0</v>
      </c>
      <c r="J92" s="173">
        <f>ROUND(FRENCHMAN!$F$49,-1)</f>
        <v>82730</v>
      </c>
    </row>
    <row r="93" spans="1:10" s="14" customFormat="1">
      <c r="A93" s="297" t="s">
        <v>19</v>
      </c>
      <c r="B93" s="173">
        <f>ROUND(DRIFTWOOD!$F$61,-1)</f>
        <v>170</v>
      </c>
      <c r="C93" s="173">
        <f>ROUND(DRIFTWOOD!$F$63,-1)</f>
        <v>170</v>
      </c>
      <c r="D93" s="173">
        <f>+DRIFTWOOD!$F$67</f>
        <v>0</v>
      </c>
      <c r="E93" s="173">
        <f>+DRIFTWOOD!$F$69</f>
        <v>10</v>
      </c>
      <c r="F93" s="173">
        <f>+DRIFTWOOD!$F$71</f>
        <v>30</v>
      </c>
      <c r="G93" s="173">
        <f>+DRIFTWOOD!$F$74</f>
        <v>130</v>
      </c>
      <c r="H93" s="173">
        <f>ROUND(DRIFTWOOD!$F$29,-1)</f>
        <v>0</v>
      </c>
      <c r="I93" s="173">
        <f>ROUND(DRIFTWOOD!$F$38,-1)</f>
        <v>20</v>
      </c>
      <c r="J93" s="173">
        <f>ROUND(DRIFTWOOD!$F$47,-1)</f>
        <v>830</v>
      </c>
    </row>
    <row r="94" spans="1:10" s="14" customFormat="1">
      <c r="A94" s="297" t="s">
        <v>20</v>
      </c>
      <c r="B94" s="173">
        <f>ROUND('RED WILLOW'!$F$59,-1)</f>
        <v>17930</v>
      </c>
      <c r="C94" s="173">
        <f>ROUND('RED WILLOW'!$F$61,-1)</f>
        <v>20550</v>
      </c>
      <c r="D94" s="173">
        <f>+'RED WILLOW'!$F$65</f>
        <v>0</v>
      </c>
      <c r="E94" s="173">
        <f>+'RED WILLOW'!$F$67</f>
        <v>0</v>
      </c>
      <c r="F94" s="173">
        <f>+'RED WILLOW'!$F$69</f>
        <v>3950</v>
      </c>
      <c r="G94" s="173">
        <f>+'RED WILLOW'!$F$72</f>
        <v>16600</v>
      </c>
      <c r="H94" s="173">
        <f>ROUND('RED WILLOW'!$F$27,-1)</f>
        <v>0</v>
      </c>
      <c r="I94" s="173">
        <f>ROUND('RED WILLOW'!$F$31,-1)</f>
        <v>0</v>
      </c>
      <c r="J94" s="173">
        <f>ROUND('RED WILLOW'!$F$42,-1)</f>
        <v>9590</v>
      </c>
    </row>
    <row r="95" spans="1:10" s="14" customFormat="1">
      <c r="A95" s="297" t="s">
        <v>21</v>
      </c>
      <c r="B95" s="173">
        <f>ROUND('MEDICINE CREEK'!$F$65,-1)</f>
        <v>38440</v>
      </c>
      <c r="C95" s="173">
        <f>ROUND('MEDICINE CREEK'!$F$67,-1)</f>
        <v>35490</v>
      </c>
      <c r="D95" s="173">
        <f>+'MEDICINE CREEK'!$F$71</f>
        <v>0</v>
      </c>
      <c r="E95" s="173">
        <f>+'MEDICINE CREEK'!$F$73</f>
        <v>0</v>
      </c>
      <c r="F95" s="173">
        <f>+'MEDICINE CREEK'!$F$75</f>
        <v>3230</v>
      </c>
      <c r="G95" s="173">
        <f>+'MEDICINE CREEK'!$F$78</f>
        <v>32260</v>
      </c>
      <c r="H95" s="173">
        <f>ROUND('MEDICINE CREEK'!$F$27,-1)</f>
        <v>0</v>
      </c>
      <c r="I95" s="173">
        <f>ROUND('MEDICINE CREEK'!$F$31,-1)</f>
        <v>0</v>
      </c>
      <c r="J95" s="173">
        <f>ROUND('MEDICINE CREEK'!$F$44,-1)</f>
        <v>20910</v>
      </c>
    </row>
    <row r="96" spans="1:10" s="14" customFormat="1">
      <c r="A96" s="297" t="s">
        <v>22</v>
      </c>
      <c r="B96" s="173">
        <f>ROUND(BEAVER!$F$78,-1)</f>
        <v>9700</v>
      </c>
      <c r="C96" s="173">
        <f>ROUND(BEAVER!$F$80,-1)</f>
        <v>9700</v>
      </c>
      <c r="D96" s="173">
        <f>+BEAVER!$F$84</f>
        <v>1940</v>
      </c>
      <c r="E96" s="173">
        <f>+BEAVER!$F$86</f>
        <v>3760</v>
      </c>
      <c r="F96" s="173">
        <f>+BEAVER!$F$88</f>
        <v>3940</v>
      </c>
      <c r="G96" s="173">
        <f>+BEAVER!$F$91</f>
        <v>60</v>
      </c>
      <c r="H96" s="173">
        <f>ROUND(BEAVER!$F$38,-1)</f>
        <v>0</v>
      </c>
      <c r="I96" s="173">
        <f>ROUND(BEAVER!$F$47,-1)</f>
        <v>5550</v>
      </c>
      <c r="J96" s="173">
        <f>ROUND(BEAVER!$F$60,-1)</f>
        <v>3350</v>
      </c>
    </row>
    <row r="97" spans="1:10" s="14" customFormat="1">
      <c r="A97" s="297" t="s">
        <v>23</v>
      </c>
      <c r="B97" s="173">
        <f>ROUND(SAPPA!$F$72,-1)</f>
        <v>17350</v>
      </c>
      <c r="C97" s="173">
        <f>ROUND(SAPPA!$F$74,-1)</f>
        <v>17350</v>
      </c>
      <c r="D97" s="173">
        <f>+SAPPA!$F$78</f>
        <v>0</v>
      </c>
      <c r="E97" s="173">
        <f>+SAPPA!$F$80</f>
        <v>7130</v>
      </c>
      <c r="F97" s="173">
        <f>+SAPPA!$F$82</f>
        <v>7130</v>
      </c>
      <c r="G97" s="173">
        <f>+SAPPA!$F$85</f>
        <v>3090</v>
      </c>
      <c r="H97" s="173">
        <f>ROUND(SAPPA!$F$30,-1)</f>
        <v>0</v>
      </c>
      <c r="I97" s="173">
        <f>ROUND(SAPPA!$F$39,-1)</f>
        <v>1640</v>
      </c>
      <c r="J97" s="173">
        <f>ROUND(SAPPA!$F$53,-1)</f>
        <v>1610</v>
      </c>
    </row>
    <row r="98" spans="1:10">
      <c r="A98" s="297" t="s">
        <v>24</v>
      </c>
      <c r="B98" s="173">
        <f>ROUND('PRAIRIE DOG'!$F$70,-1)</f>
        <v>11200</v>
      </c>
      <c r="C98" s="173">
        <f>ROUND('PRAIRIE DOG'!$F$72,-1)</f>
        <v>14640</v>
      </c>
      <c r="D98" s="173">
        <f>+'PRAIRIE DOG'!$F$76</f>
        <v>0</v>
      </c>
      <c r="E98" s="173">
        <f>+'PRAIRIE DOG'!$F$78</f>
        <v>6690</v>
      </c>
      <c r="F98" s="173">
        <f>+'PRAIRIE DOG'!$F$80</f>
        <v>1110</v>
      </c>
      <c r="G98" s="173">
        <f>+'PRAIRIE DOG'!$F$83</f>
        <v>6840</v>
      </c>
      <c r="H98" s="173">
        <f>ROUND('PRAIRIE DOG'!$F$31,-1)</f>
        <v>0</v>
      </c>
      <c r="I98" s="173">
        <f>ROUND('PRAIRIE DOG'!$F$42,-1)</f>
        <v>8000</v>
      </c>
      <c r="J98" s="173">
        <f>ROUND('PRAIRIE DOG'!$F$66,-1)</f>
        <v>80</v>
      </c>
    </row>
    <row r="99" spans="1:10" ht="13.5" thickBot="1">
      <c r="A99" s="298" t="s">
        <v>6</v>
      </c>
      <c r="B99" s="299">
        <f>ROUND(MAINSTEM!$F$188,-1)</f>
        <v>197990</v>
      </c>
      <c r="C99" s="299">
        <f>ROUND(MAINSTEM!$F$191,-1)</f>
        <v>204980</v>
      </c>
      <c r="D99" s="299">
        <f>+MAINSTEM!$F$195</f>
        <v>0</v>
      </c>
      <c r="E99" s="299">
        <f>+MAINSTEM!$F$197</f>
        <v>104740</v>
      </c>
      <c r="F99" s="299">
        <f>+MAINSTEM!$F$199</f>
        <v>100240</v>
      </c>
      <c r="G99" s="299">
        <f>+MAINSTEM!$F$202</f>
        <v>0</v>
      </c>
      <c r="H99" s="299">
        <f>ROUND(MAINSTEM!$F$103,-1)</f>
        <v>-3840</v>
      </c>
      <c r="I99" s="299">
        <f>ROUND(MAINSTEM!$F$118,-1)</f>
        <v>36480</v>
      </c>
      <c r="J99" s="299">
        <f>ROUND(MAINSTEM!$F$141,-1)</f>
        <v>119130</v>
      </c>
    </row>
    <row r="100" spans="1:10" ht="13.5" thickTop="1">
      <c r="A100" s="300" t="s">
        <v>8</v>
      </c>
      <c r="B100" s="174">
        <f>SUM(B87:B99)</f>
        <v>472100</v>
      </c>
      <c r="C100" s="174">
        <f t="shared" ref="C100:J100" si="4">SUM(C87:C99)</f>
        <v>482860</v>
      </c>
      <c r="D100" s="174">
        <f t="shared" si="4"/>
        <v>22790</v>
      </c>
      <c r="E100" s="174">
        <f t="shared" si="4"/>
        <v>130600</v>
      </c>
      <c r="F100" s="174">
        <f t="shared" si="4"/>
        <v>189950</v>
      </c>
      <c r="G100" s="174">
        <f t="shared" si="4"/>
        <v>139520</v>
      </c>
      <c r="H100" s="174">
        <f t="shared" si="4"/>
        <v>30200</v>
      </c>
      <c r="I100" s="174">
        <f t="shared" si="4"/>
        <v>57130</v>
      </c>
      <c r="J100" s="174">
        <f t="shared" si="4"/>
        <v>252650</v>
      </c>
    </row>
    <row r="101" spans="1:10" ht="24.75" thickBot="1">
      <c r="A101" s="301" t="s">
        <v>25</v>
      </c>
      <c r="B101" s="299"/>
      <c r="C101" s="299">
        <f>+C99+G100</f>
        <v>344500</v>
      </c>
      <c r="D101" s="299">
        <f>+D99</f>
        <v>0</v>
      </c>
      <c r="E101" s="299">
        <f>E99+ROUND(G100*0.511,-1)</f>
        <v>176030</v>
      </c>
      <c r="F101" s="299">
        <f>F99+ROUND(G100*0.489,-1)</f>
        <v>168470</v>
      </c>
      <c r="G101" s="299"/>
      <c r="H101" s="299"/>
      <c r="I101" s="299"/>
      <c r="J101" s="299"/>
    </row>
    <row r="102" spans="1:10" ht="13.5" thickTop="1">
      <c r="A102" s="300" t="s">
        <v>4</v>
      </c>
      <c r="B102" s="174">
        <f>SUM(B87:B99)</f>
        <v>472100</v>
      </c>
      <c r="C102" s="174">
        <f>SUM(C87:C99)</f>
        <v>482860</v>
      </c>
      <c r="D102" s="174">
        <f>SUM(D87:D98,D101)</f>
        <v>22790</v>
      </c>
      <c r="E102" s="174">
        <f>SUM(E87:E98,E101)</f>
        <v>201890</v>
      </c>
      <c r="F102" s="174">
        <f>SUM(F87:F98,F101)</f>
        <v>258180</v>
      </c>
      <c r="G102" s="174">
        <f>+G101</f>
        <v>0</v>
      </c>
      <c r="H102" s="174">
        <f>SUM(H87:H99)</f>
        <v>30200</v>
      </c>
      <c r="I102" s="174">
        <f>SUM(I87:I99)</f>
        <v>57130</v>
      </c>
      <c r="J102" s="174">
        <f>SUM(J87:J99)</f>
        <v>252650</v>
      </c>
    </row>
  </sheetData>
  <mergeCells count="25">
    <mergeCell ref="A4:J4"/>
    <mergeCell ref="B5:B6"/>
    <mergeCell ref="C5:C6"/>
    <mergeCell ref="D5:G5"/>
    <mergeCell ref="H5:J5"/>
    <mergeCell ref="B45:B46"/>
    <mergeCell ref="C45:C46"/>
    <mergeCell ref="D45:G45"/>
    <mergeCell ref="H45:J45"/>
    <mergeCell ref="A24:J24"/>
    <mergeCell ref="B25:B26"/>
    <mergeCell ref="C25:C26"/>
    <mergeCell ref="D25:G25"/>
    <mergeCell ref="H25:J25"/>
    <mergeCell ref="A44:J44"/>
    <mergeCell ref="A64:J64"/>
    <mergeCell ref="B65:B66"/>
    <mergeCell ref="C65:C66"/>
    <mergeCell ref="D65:G65"/>
    <mergeCell ref="H65:J65"/>
    <mergeCell ref="A84:J84"/>
    <mergeCell ref="B85:B86"/>
    <mergeCell ref="C85:C86"/>
    <mergeCell ref="D85:G85"/>
    <mergeCell ref="H85:J85"/>
  </mergeCells>
  <phoneticPr fontId="0" type="noConversion"/>
  <pageMargins left="0.75" right="0.75" top="1" bottom="1" header="0.5" footer="0.5"/>
  <pageSetup paperSize="17" scale="9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FF00"/>
    <pageSetUpPr fitToPage="1"/>
  </sheetPr>
  <dimension ref="A1:J18"/>
  <sheetViews>
    <sheetView view="pageBreakPreview" zoomScaleNormal="100" zoomScaleSheetLayoutView="100" workbookViewId="0">
      <selection activeCell="L25" sqref="D23:L25"/>
    </sheetView>
  </sheetViews>
  <sheetFormatPr defaultRowHeight="12.75"/>
  <cols>
    <col min="1" max="1" width="14.5703125" customWidth="1"/>
    <col min="2" max="3" width="9.140625" style="21" customWidth="1"/>
    <col min="4" max="4" width="9.140625" style="6" customWidth="1"/>
    <col min="5" max="5" width="9.140625" style="21" customWidth="1"/>
    <col min="6" max="6" width="9.140625" style="6" customWidth="1"/>
    <col min="7" max="7" width="9.140625" style="21" customWidth="1"/>
    <col min="8" max="8" width="9.140625" style="6" customWidth="1"/>
    <col min="9" max="9" width="10.42578125" style="21" customWidth="1"/>
    <col min="10" max="10" width="9.140625" style="6" customWidth="1"/>
  </cols>
  <sheetData>
    <row r="1" spans="1:10">
      <c r="A1" s="539" t="s">
        <v>26</v>
      </c>
      <c r="B1" s="539"/>
      <c r="C1" s="539"/>
      <c r="D1" s="539"/>
      <c r="E1" s="539"/>
      <c r="F1" s="539"/>
      <c r="G1" s="539"/>
      <c r="H1" s="539"/>
      <c r="I1" s="539"/>
      <c r="J1" s="539"/>
    </row>
    <row r="2" spans="1:10" ht="36">
      <c r="A2" s="18" t="s">
        <v>7</v>
      </c>
      <c r="B2" s="20" t="s">
        <v>10</v>
      </c>
      <c r="C2" s="20" t="s">
        <v>27</v>
      </c>
      <c r="D2" s="22" t="s">
        <v>28</v>
      </c>
      <c r="E2" s="20" t="s">
        <v>29</v>
      </c>
      <c r="F2" s="22" t="s">
        <v>28</v>
      </c>
      <c r="G2" s="20" t="s">
        <v>30</v>
      </c>
      <c r="H2" s="22" t="s">
        <v>28</v>
      </c>
      <c r="I2" s="20" t="s">
        <v>2</v>
      </c>
      <c r="J2" s="22" t="s">
        <v>28</v>
      </c>
    </row>
    <row r="3" spans="1:10" ht="20.100000000000001" customHeight="1">
      <c r="A3" s="15" t="s">
        <v>14</v>
      </c>
      <c r="B3" s="170">
        <v>44700</v>
      </c>
      <c r="C3" s="170">
        <v>10000</v>
      </c>
      <c r="D3" s="23">
        <v>0.224</v>
      </c>
      <c r="E3" s="170"/>
      <c r="F3" s="23"/>
      <c r="G3" s="170">
        <v>11000</v>
      </c>
      <c r="H3" s="23">
        <v>0.246</v>
      </c>
      <c r="I3" s="170">
        <v>23700</v>
      </c>
      <c r="J3" s="23">
        <v>0.53</v>
      </c>
    </row>
    <row r="4" spans="1:10" ht="20.100000000000001" customHeight="1">
      <c r="A4" s="15" t="s">
        <v>15</v>
      </c>
      <c r="B4" s="170">
        <v>19610</v>
      </c>
      <c r="C4" s="170">
        <v>15400</v>
      </c>
      <c r="D4" s="23">
        <v>0.78500000000000003</v>
      </c>
      <c r="E4" s="170">
        <v>1000</v>
      </c>
      <c r="F4" s="23">
        <v>5.0999999999999997E-2</v>
      </c>
      <c r="G4" s="170">
        <v>3300</v>
      </c>
      <c r="H4" s="23">
        <v>0.16800000000000001</v>
      </c>
      <c r="I4" s="170">
        <v>-90</v>
      </c>
      <c r="J4" s="23">
        <v>-4.0000000000000001E-3</v>
      </c>
    </row>
    <row r="5" spans="1:10" ht="20.100000000000001" customHeight="1">
      <c r="A5" s="15" t="s">
        <v>16</v>
      </c>
      <c r="B5" s="170">
        <v>7890</v>
      </c>
      <c r="C5" s="170"/>
      <c r="D5" s="23"/>
      <c r="E5" s="170"/>
      <c r="F5" s="23"/>
      <c r="G5" s="170">
        <v>2600</v>
      </c>
      <c r="H5" s="23">
        <v>0.33</v>
      </c>
      <c r="I5" s="170">
        <v>5290</v>
      </c>
      <c r="J5" s="23">
        <v>0.67</v>
      </c>
    </row>
    <row r="6" spans="1:10" ht="20.100000000000001" customHeight="1">
      <c r="A6" s="15" t="s">
        <v>5</v>
      </c>
      <c r="B6" s="170">
        <v>11000</v>
      </c>
      <c r="C6" s="170"/>
      <c r="D6" s="23"/>
      <c r="E6" s="170"/>
      <c r="F6" s="23"/>
      <c r="G6" s="170">
        <v>4400</v>
      </c>
      <c r="H6" s="23">
        <v>0.4</v>
      </c>
      <c r="I6" s="170">
        <v>6600</v>
      </c>
      <c r="J6" s="23">
        <v>0.6</v>
      </c>
    </row>
    <row r="7" spans="1:10" ht="20.100000000000001" customHeight="1">
      <c r="A7" s="15" t="s">
        <v>17</v>
      </c>
      <c r="B7" s="170">
        <v>57200</v>
      </c>
      <c r="C7" s="170">
        <v>25400</v>
      </c>
      <c r="D7" s="23">
        <v>0.44400000000000001</v>
      </c>
      <c r="E7" s="170">
        <v>23000</v>
      </c>
      <c r="F7" s="23">
        <v>0.40200000000000002</v>
      </c>
      <c r="G7" s="170">
        <v>800</v>
      </c>
      <c r="H7" s="23">
        <v>1.4E-2</v>
      </c>
      <c r="I7" s="170">
        <v>8000</v>
      </c>
      <c r="J7" s="23">
        <v>0.14000000000000001</v>
      </c>
    </row>
    <row r="8" spans="1:10" ht="20.100000000000001" customHeight="1">
      <c r="A8" s="15" t="s">
        <v>18</v>
      </c>
      <c r="B8" s="170">
        <v>98500</v>
      </c>
      <c r="C8" s="170"/>
      <c r="D8" s="23"/>
      <c r="E8" s="170"/>
      <c r="F8" s="23"/>
      <c r="G8" s="170">
        <v>52800</v>
      </c>
      <c r="H8" s="23">
        <v>0.53600000000000003</v>
      </c>
      <c r="I8" s="170">
        <v>45700</v>
      </c>
      <c r="J8" s="23">
        <v>0.46400000000000002</v>
      </c>
    </row>
    <row r="9" spans="1:10" ht="20.100000000000001" customHeight="1">
      <c r="A9" s="15" t="s">
        <v>19</v>
      </c>
      <c r="B9" s="170">
        <v>7300</v>
      </c>
      <c r="C9" s="170"/>
      <c r="D9" s="23"/>
      <c r="E9" s="170">
        <v>500</v>
      </c>
      <c r="F9" s="23">
        <v>6.9000000000000006E-2</v>
      </c>
      <c r="G9" s="170">
        <v>1200</v>
      </c>
      <c r="H9" s="23">
        <v>0.16400000000000001</v>
      </c>
      <c r="I9" s="170">
        <v>5600</v>
      </c>
      <c r="J9" s="23">
        <v>0.76700000000000002</v>
      </c>
    </row>
    <row r="10" spans="1:10" ht="20.100000000000001" customHeight="1">
      <c r="A10" s="15" t="s">
        <v>20</v>
      </c>
      <c r="B10" s="170">
        <v>21900</v>
      </c>
      <c r="C10" s="170"/>
      <c r="D10" s="23"/>
      <c r="E10" s="170"/>
      <c r="F10" s="23"/>
      <c r="G10" s="170">
        <v>4200</v>
      </c>
      <c r="H10" s="23">
        <v>0.192</v>
      </c>
      <c r="I10" s="170">
        <v>17700</v>
      </c>
      <c r="J10" s="23">
        <v>0.80800000000000005</v>
      </c>
    </row>
    <row r="11" spans="1:10" ht="20.100000000000001" customHeight="1">
      <c r="A11" s="15" t="s">
        <v>21</v>
      </c>
      <c r="B11" s="170">
        <v>50800</v>
      </c>
      <c r="C11" s="170"/>
      <c r="D11" s="23"/>
      <c r="E11" s="170"/>
      <c r="F11" s="23"/>
      <c r="G11" s="170">
        <v>4600</v>
      </c>
      <c r="H11" s="23">
        <v>9.0999999999999998E-2</v>
      </c>
      <c r="I11" s="170">
        <v>46200</v>
      </c>
      <c r="J11" s="23">
        <v>0.90900000000000003</v>
      </c>
    </row>
    <row r="12" spans="1:10" ht="20.100000000000001" customHeight="1">
      <c r="A12" s="15" t="s">
        <v>22</v>
      </c>
      <c r="B12" s="170">
        <v>16500</v>
      </c>
      <c r="C12" s="170">
        <v>3300</v>
      </c>
      <c r="D12" s="23">
        <v>0.2</v>
      </c>
      <c r="E12" s="170">
        <v>6400</v>
      </c>
      <c r="F12" s="23">
        <v>0.38800000000000001</v>
      </c>
      <c r="G12" s="170">
        <v>6700</v>
      </c>
      <c r="H12" s="23">
        <v>0.40600000000000003</v>
      </c>
      <c r="I12" s="170">
        <v>100</v>
      </c>
      <c r="J12" s="23">
        <v>6.0000000000000001E-3</v>
      </c>
    </row>
    <row r="13" spans="1:10" ht="20.100000000000001" customHeight="1">
      <c r="A13" s="15" t="s">
        <v>23</v>
      </c>
      <c r="B13" s="170">
        <v>21400</v>
      </c>
      <c r="C13" s="170"/>
      <c r="D13" s="23"/>
      <c r="E13" s="170">
        <v>8800</v>
      </c>
      <c r="F13" s="23">
        <v>0.41099999999999998</v>
      </c>
      <c r="G13" s="170">
        <v>8800</v>
      </c>
      <c r="H13" s="23">
        <v>0.41099999999999998</v>
      </c>
      <c r="I13" s="170">
        <v>3800</v>
      </c>
      <c r="J13" s="23">
        <v>0.17799999999999999</v>
      </c>
    </row>
    <row r="14" spans="1:10" ht="20.100000000000001" customHeight="1">
      <c r="A14" s="15" t="s">
        <v>24</v>
      </c>
      <c r="B14" s="170">
        <v>27600</v>
      </c>
      <c r="C14" s="170"/>
      <c r="D14" s="23"/>
      <c r="E14" s="170">
        <v>12600</v>
      </c>
      <c r="F14" s="23">
        <v>0.45700000000000002</v>
      </c>
      <c r="G14" s="170">
        <v>2100</v>
      </c>
      <c r="H14" s="23">
        <v>7.5999999999999998E-2</v>
      </c>
      <c r="I14" s="170">
        <v>12900</v>
      </c>
      <c r="J14" s="23">
        <v>0.46700000000000003</v>
      </c>
    </row>
    <row r="15" spans="1:10" ht="30" customHeight="1">
      <c r="A15" s="19" t="s">
        <v>32</v>
      </c>
      <c r="B15" s="170">
        <v>384000</v>
      </c>
      <c r="C15" s="170"/>
      <c r="D15" s="23"/>
      <c r="E15" s="170"/>
      <c r="F15" s="23"/>
      <c r="G15" s="170"/>
      <c r="H15" s="23"/>
      <c r="I15" s="170">
        <v>175500</v>
      </c>
      <c r="J15" s="23"/>
    </row>
    <row r="16" spans="1:10" ht="20.100000000000001" customHeight="1">
      <c r="A16" s="15" t="s">
        <v>6</v>
      </c>
      <c r="B16" s="170">
        <v>94500</v>
      </c>
      <c r="C16" s="170"/>
      <c r="D16" s="23"/>
      <c r="E16" s="170"/>
      <c r="F16" s="23"/>
      <c r="G16" s="170"/>
      <c r="H16" s="23"/>
      <c r="I16" s="170"/>
      <c r="J16" s="23"/>
    </row>
    <row r="17" spans="1:10" ht="30" customHeight="1" thickBot="1">
      <c r="A17" s="17" t="s">
        <v>31</v>
      </c>
      <c r="B17" s="171">
        <v>270000</v>
      </c>
      <c r="C17" s="171"/>
      <c r="D17" s="24"/>
      <c r="E17" s="171">
        <v>138000</v>
      </c>
      <c r="F17" s="24">
        <v>0.51100000000000001</v>
      </c>
      <c r="G17" s="171">
        <v>132000</v>
      </c>
      <c r="H17" s="24">
        <v>0.48899999999999999</v>
      </c>
      <c r="I17" s="171"/>
      <c r="J17" s="24"/>
    </row>
    <row r="18" spans="1:10" ht="20.100000000000001" customHeight="1" thickTop="1">
      <c r="A18" s="16" t="s">
        <v>4</v>
      </c>
      <c r="B18" s="172">
        <v>478900</v>
      </c>
      <c r="C18" s="172">
        <v>54100</v>
      </c>
      <c r="D18" s="25"/>
      <c r="E18" s="172">
        <v>190300</v>
      </c>
      <c r="F18" s="25"/>
      <c r="G18" s="172">
        <v>234500</v>
      </c>
      <c r="H18" s="25"/>
      <c r="I18" s="172"/>
      <c r="J18" s="25"/>
    </row>
  </sheetData>
  <mergeCells count="1">
    <mergeCell ref="A1:J1"/>
  </mergeCells>
  <phoneticPr fontId="0" type="noConversion"/>
  <pageMargins left="0.75" right="0.75" top="1" bottom="1" header="0.5" footer="0.5"/>
  <pageSetup orientation="landscape" r:id="rId1"/>
  <headerFooter alignWithMargins="0">
    <oddHeader>&amp;LRRCA
Compact Accounting&amp;RPage &amp;P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FF00"/>
  </sheetPr>
  <dimension ref="A1:E36"/>
  <sheetViews>
    <sheetView zoomScale="90" zoomScaleNormal="90" workbookViewId="0">
      <selection activeCell="G17" sqref="G17"/>
    </sheetView>
  </sheetViews>
  <sheetFormatPr defaultColWidth="31.7109375" defaultRowHeight="40.5" customHeight="1"/>
  <cols>
    <col min="1" max="1" width="18.140625" style="329" customWidth="1"/>
    <col min="2" max="2" width="20.85546875" style="329" customWidth="1"/>
    <col min="3" max="4" width="21.5703125" style="329" customWidth="1"/>
    <col min="5" max="5" width="19.5703125" style="329" customWidth="1"/>
    <col min="6" max="9" width="12.28515625" style="30" customWidth="1"/>
    <col min="10" max="16384" width="31.7109375" style="30"/>
  </cols>
  <sheetData>
    <row r="1" spans="1:5" ht="12.75" customHeight="1">
      <c r="A1" s="540" t="s">
        <v>589</v>
      </c>
      <c r="B1" s="540"/>
      <c r="C1" s="540"/>
      <c r="D1" s="540"/>
      <c r="E1" s="540"/>
    </row>
    <row r="2" spans="1:5" ht="12.75">
      <c r="A2" s="349"/>
      <c r="B2" s="346" t="s">
        <v>581</v>
      </c>
      <c r="C2" s="346" t="s">
        <v>582</v>
      </c>
      <c r="D2" s="346" t="s">
        <v>583</v>
      </c>
      <c r="E2" s="346" t="s">
        <v>584</v>
      </c>
    </row>
    <row r="3" spans="1:5" ht="102">
      <c r="A3" s="84" t="s">
        <v>33</v>
      </c>
      <c r="B3" s="84" t="s">
        <v>34</v>
      </c>
      <c r="C3" s="84" t="s">
        <v>585</v>
      </c>
      <c r="D3" s="346" t="s">
        <v>586</v>
      </c>
      <c r="E3" s="346" t="s">
        <v>587</v>
      </c>
    </row>
    <row r="4" spans="1:5" ht="12.75">
      <c r="A4" s="310">
        <f>INPUT!$C$1</f>
        <v>2017</v>
      </c>
      <c r="B4" s="316">
        <f>'T1'!D22</f>
        <v>22960</v>
      </c>
      <c r="C4" s="316">
        <f>'T1'!H22</f>
        <v>31810</v>
      </c>
      <c r="D4" s="316">
        <f>RWS_CWSA!Y16</f>
        <v>11330</v>
      </c>
      <c r="E4" s="316">
        <f>+B4-C4+D4</f>
        <v>2480</v>
      </c>
    </row>
    <row r="5" spans="1:5" ht="12.75">
      <c r="A5" s="310">
        <f>INPUT!$D$1</f>
        <v>2018</v>
      </c>
      <c r="B5" s="316">
        <f>'T1'!D42</f>
        <v>25630</v>
      </c>
      <c r="C5" s="316">
        <f>'T1'!H42</f>
        <v>35130</v>
      </c>
      <c r="D5" s="316">
        <f>RWS_CWSA!Y17</f>
        <v>13578</v>
      </c>
      <c r="E5" s="316">
        <f>+B5-C5+D5</f>
        <v>4078</v>
      </c>
    </row>
    <row r="6" spans="1:5" ht="12.75">
      <c r="A6" s="310">
        <f>INPUT!$E$1</f>
        <v>2019</v>
      </c>
      <c r="B6" s="316">
        <f>'T1'!D62</f>
        <v>22710</v>
      </c>
      <c r="C6" s="316">
        <f>'T1'!H62</f>
        <v>32740</v>
      </c>
      <c r="D6" s="316">
        <f>RWS_CWSA!Y18</f>
        <v>8905</v>
      </c>
      <c r="E6" s="316">
        <f>+B6-C6+D6</f>
        <v>-1125</v>
      </c>
    </row>
    <row r="7" spans="1:5" ht="12.75">
      <c r="A7" s="310">
        <f>INPUT!$F$1</f>
        <v>2020</v>
      </c>
      <c r="B7" s="316">
        <f>'T1'!D82</f>
        <v>24200</v>
      </c>
      <c r="C7" s="316">
        <f>'T1'!H82</f>
        <v>26910</v>
      </c>
      <c r="D7" s="316">
        <f>RWS_CWSA!Y19</f>
        <v>6218</v>
      </c>
      <c r="E7" s="316">
        <f>+B7-C7+D7</f>
        <v>3508</v>
      </c>
    </row>
    <row r="8" spans="1:5" ht="13.5" thickBot="1">
      <c r="A8" s="311">
        <f>INPUT!$G$1</f>
        <v>2021</v>
      </c>
      <c r="B8" s="324">
        <f>'T1'!D102</f>
        <v>22790</v>
      </c>
      <c r="C8" s="324">
        <f>'T1'!H102</f>
        <v>30200</v>
      </c>
      <c r="D8" s="316">
        <f>RWS_CWSA!Y20</f>
        <v>9390</v>
      </c>
      <c r="E8" s="324">
        <f>+B8-C8+D8</f>
        <v>1980</v>
      </c>
    </row>
    <row r="9" spans="1:5" ht="13.5" thickTop="1">
      <c r="A9" s="436" t="s">
        <v>698</v>
      </c>
      <c r="B9" s="316">
        <f>ROUND(+AVERAGE(B4:B8),-1)</f>
        <v>23660</v>
      </c>
      <c r="C9" s="316">
        <f>ROUND(+AVERAGE(C4:C8),-1)</f>
        <v>31360</v>
      </c>
      <c r="D9" s="432">
        <f>ROUND(+AVERAGE(D4:D8),-1)</f>
        <v>9880</v>
      </c>
      <c r="E9" s="316">
        <f>ROUND(+AVERAGE(E4:E8),-1)</f>
        <v>2180</v>
      </c>
    </row>
    <row r="10" spans="1:5" ht="12.75">
      <c r="A10" s="325"/>
      <c r="B10" s="326"/>
      <c r="C10" s="326"/>
      <c r="D10" s="326"/>
      <c r="E10" s="327"/>
    </row>
    <row r="11" spans="1:5" ht="12.75" customHeight="1">
      <c r="A11" s="540" t="s">
        <v>590</v>
      </c>
      <c r="B11" s="540"/>
      <c r="C11" s="540"/>
      <c r="D11" s="540"/>
      <c r="E11" s="540"/>
    </row>
    <row r="12" spans="1:5" ht="12.75">
      <c r="A12" s="349"/>
      <c r="B12" s="346" t="s">
        <v>581</v>
      </c>
      <c r="C12" s="346" t="s">
        <v>582</v>
      </c>
      <c r="D12" s="346" t="s">
        <v>583</v>
      </c>
      <c r="E12" s="346" t="s">
        <v>584</v>
      </c>
    </row>
    <row r="13" spans="1:5" ht="89.25">
      <c r="A13" s="84" t="s">
        <v>33</v>
      </c>
      <c r="B13" s="84" t="s">
        <v>34</v>
      </c>
      <c r="C13" s="84" t="s">
        <v>585</v>
      </c>
      <c r="D13" s="346" t="s">
        <v>35</v>
      </c>
      <c r="E13" s="346" t="s">
        <v>588</v>
      </c>
    </row>
    <row r="14" spans="1:5" ht="12.75">
      <c r="A14" s="310">
        <f>INPUT!$C$1</f>
        <v>2017</v>
      </c>
      <c r="B14" s="316">
        <f>'T1'!E22</f>
        <v>177230</v>
      </c>
      <c r="C14" s="316">
        <f>'T1'!I22</f>
        <v>62040</v>
      </c>
      <c r="D14" s="316" t="s">
        <v>334</v>
      </c>
      <c r="E14" s="316">
        <f>+B14-C14</f>
        <v>115190</v>
      </c>
    </row>
    <row r="15" spans="1:5" ht="12.75">
      <c r="A15" s="310">
        <f>INPUT!$D$1</f>
        <v>2018</v>
      </c>
      <c r="B15" s="316">
        <f>'T1'!E42</f>
        <v>179780</v>
      </c>
      <c r="C15" s="316">
        <f>'T1'!I42</f>
        <v>51450</v>
      </c>
      <c r="D15" s="316" t="s">
        <v>334</v>
      </c>
      <c r="E15" s="316">
        <f>+B15-C15</f>
        <v>128330</v>
      </c>
    </row>
    <row r="16" spans="1:5" ht="12.75">
      <c r="A16" s="310">
        <f>INPUT!$E$1</f>
        <v>2019</v>
      </c>
      <c r="B16" s="316">
        <f>'T1'!E62</f>
        <v>333300</v>
      </c>
      <c r="C16" s="316">
        <f>'T1'!I62</f>
        <v>47910</v>
      </c>
      <c r="D16" s="316" t="s">
        <v>334</v>
      </c>
      <c r="E16" s="316">
        <f>+B16-C16</f>
        <v>285390</v>
      </c>
    </row>
    <row r="17" spans="1:5" ht="12.75">
      <c r="A17" s="310">
        <f>INPUT!$F$1</f>
        <v>2020</v>
      </c>
      <c r="B17" s="316">
        <f>'T1'!E82</f>
        <v>247750</v>
      </c>
      <c r="C17" s="316">
        <f>'T1'!I82</f>
        <v>53810</v>
      </c>
      <c r="D17" s="316" t="s">
        <v>334</v>
      </c>
      <c r="E17" s="316">
        <f>+B17-C17</f>
        <v>193940</v>
      </c>
    </row>
    <row r="18" spans="1:5" ht="13.5" thickBot="1">
      <c r="A18" s="311">
        <f>INPUT!$G$1</f>
        <v>2021</v>
      </c>
      <c r="B18" s="324">
        <f>'T1'!E102</f>
        <v>201890</v>
      </c>
      <c r="C18" s="324">
        <f>'T1'!I102</f>
        <v>57130</v>
      </c>
      <c r="D18" s="324" t="s">
        <v>334</v>
      </c>
      <c r="E18" s="324">
        <f>+B18-C18</f>
        <v>144760</v>
      </c>
    </row>
    <row r="19" spans="1:5" ht="13.5" thickTop="1">
      <c r="A19" s="436" t="s">
        <v>698</v>
      </c>
      <c r="B19" s="316">
        <f>ROUND(+AVERAGE(B14:B18),-1)</f>
        <v>227990</v>
      </c>
      <c r="C19" s="316">
        <f>ROUND(+AVERAGE(C14:C18),-1)</f>
        <v>54470</v>
      </c>
      <c r="D19" s="316" t="s">
        <v>334</v>
      </c>
      <c r="E19" s="316">
        <f>ROUND(+AVERAGE(E14:E18),-1)</f>
        <v>173520</v>
      </c>
    </row>
    <row r="20" spans="1:5" ht="12.75">
      <c r="A20" s="325"/>
      <c r="B20" s="326"/>
      <c r="C20" s="326"/>
      <c r="D20" s="326"/>
      <c r="E20" s="327"/>
    </row>
    <row r="21" spans="1:5" ht="12.75" customHeight="1">
      <c r="A21" s="540" t="s">
        <v>591</v>
      </c>
      <c r="B21" s="540"/>
      <c r="C21" s="540"/>
      <c r="D21" s="540"/>
      <c r="E21" s="540"/>
    </row>
    <row r="22" spans="1:5" ht="12.75">
      <c r="A22" s="349"/>
      <c r="B22" s="346" t="s">
        <v>581</v>
      </c>
      <c r="C22" s="346" t="s">
        <v>582</v>
      </c>
      <c r="D22" s="346" t="s">
        <v>583</v>
      </c>
      <c r="E22" s="346" t="s">
        <v>584</v>
      </c>
    </row>
    <row r="23" spans="1:5" ht="102">
      <c r="A23" s="84" t="s">
        <v>33</v>
      </c>
      <c r="B23" s="84" t="s">
        <v>34</v>
      </c>
      <c r="C23" s="84" t="s">
        <v>585</v>
      </c>
      <c r="D23" s="346" t="s">
        <v>592</v>
      </c>
      <c r="E23" s="346" t="s">
        <v>593</v>
      </c>
    </row>
    <row r="24" spans="1:5" ht="12.75">
      <c r="A24" s="310">
        <f>INPUT!$C$1</f>
        <v>2017</v>
      </c>
      <c r="B24" s="316">
        <f>'T1'!F22</f>
        <v>238540</v>
      </c>
      <c r="C24" s="316">
        <f>'T1'!J22</f>
        <v>242140</v>
      </c>
      <c r="D24" s="316">
        <f>GM_output!E31+RWS_CWSA!AB16</f>
        <v>39439</v>
      </c>
      <c r="E24" s="316">
        <f>+B24-(C24-D24)</f>
        <v>35839</v>
      </c>
    </row>
    <row r="25" spans="1:5" ht="12.75">
      <c r="A25" s="310">
        <f>INPUT!$D$1</f>
        <v>2018</v>
      </c>
      <c r="B25" s="316">
        <f>'T1'!F42</f>
        <v>241680</v>
      </c>
      <c r="C25" s="316">
        <f>'T1'!J42</f>
        <v>266080</v>
      </c>
      <c r="D25" s="316">
        <f>GM_output!K32+RWS_CWSA!AB17</f>
        <v>25943</v>
      </c>
      <c r="E25" s="316">
        <f>+B25-(C25-D25)</f>
        <v>1543</v>
      </c>
    </row>
    <row r="26" spans="1:5" ht="12.75">
      <c r="A26" s="310">
        <f>INPUT!$E$1</f>
        <v>2019</v>
      </c>
      <c r="B26" s="316">
        <f>'T1'!F62</f>
        <v>389300</v>
      </c>
      <c r="C26" s="316">
        <f>'T1'!J62</f>
        <v>262870</v>
      </c>
      <c r="D26" s="316">
        <f>GM_output!Q32+RWS_CWSA!AB18</f>
        <v>26541</v>
      </c>
      <c r="E26" s="316">
        <f>+B26-(C26-D26)</f>
        <v>152971</v>
      </c>
    </row>
    <row r="27" spans="1:5" ht="12.75">
      <c r="A27" s="310">
        <f>INPUT!$F$1</f>
        <v>2020</v>
      </c>
      <c r="B27" s="316">
        <f>'T1'!F82</f>
        <v>303070</v>
      </c>
      <c r="C27" s="316">
        <f>'T1'!J82</f>
        <v>252400</v>
      </c>
      <c r="D27" s="316">
        <f>GM_output!W32+RWS_CWSA!AB19</f>
        <v>18995</v>
      </c>
      <c r="E27" s="316">
        <f>+B27-(C27-D27)</f>
        <v>69665</v>
      </c>
    </row>
    <row r="28" spans="1:5" ht="13.5" thickBot="1">
      <c r="A28" s="311">
        <f>INPUT!$G$1</f>
        <v>2021</v>
      </c>
      <c r="B28" s="324">
        <f>'T1'!F102</f>
        <v>258180</v>
      </c>
      <c r="C28" s="324">
        <f>'T1'!J102</f>
        <v>252650</v>
      </c>
      <c r="D28" s="324">
        <f>GM_output!AC31+RWS_CWSA!AB20</f>
        <v>21456</v>
      </c>
      <c r="E28" s="324">
        <f>+B28-(C28-D28)</f>
        <v>26986</v>
      </c>
    </row>
    <row r="29" spans="1:5" ht="13.5" thickTop="1">
      <c r="A29" s="436" t="s">
        <v>698</v>
      </c>
      <c r="B29" s="316">
        <f>ROUND(+AVERAGE(B24:B28),-1)</f>
        <v>286150</v>
      </c>
      <c r="C29" s="316">
        <f>ROUND(+AVERAGE(C24:C28),-1)</f>
        <v>255230</v>
      </c>
      <c r="D29" s="316">
        <f>ROUND(+AVERAGE(D24:D28),-1)</f>
        <v>26470</v>
      </c>
      <c r="E29" s="316">
        <f>ROUND(+AVERAGE(E24:E28),-1)</f>
        <v>57400</v>
      </c>
    </row>
    <row r="30" spans="1:5" ht="12.75">
      <c r="A30" s="328"/>
      <c r="B30" s="326"/>
      <c r="C30" s="326"/>
      <c r="D30" s="326"/>
      <c r="E30" s="327"/>
    </row>
    <row r="31" spans="1:5" ht="12.75">
      <c r="A31" s="253"/>
      <c r="B31" s="326"/>
      <c r="C31" s="326"/>
      <c r="D31" s="326"/>
      <c r="E31" s="326"/>
    </row>
    <row r="32" spans="1:5" ht="12.75"/>
    <row r="33" ht="12.75"/>
    <row r="34" ht="12.75"/>
    <row r="35" ht="12.75"/>
    <row r="36" ht="12.75"/>
  </sheetData>
  <mergeCells count="3">
    <mergeCell ref="A1:E1"/>
    <mergeCell ref="A11:E11"/>
    <mergeCell ref="A21:E21"/>
  </mergeCells>
  <phoneticPr fontId="0" type="noConversion"/>
  <pageMargins left="0.75" right="0.75" top="1" bottom="1" header="0.5" footer="0.5"/>
  <pageSetup scale="90" fitToHeight="3" orientation="portrait" r:id="rId1"/>
  <headerFooter alignWithMargins="0">
    <oddHeader>&amp;L&amp;F&amp;RPRIVILEGED AND CONFIDENTIAL</oddHeader>
  </headerFooter>
  <rowBreaks count="2" manualBreakCount="2">
    <brk id="10" max="4" man="1"/>
    <brk id="20"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FF00"/>
    <pageSetUpPr fitToPage="1"/>
  </sheetPr>
  <dimension ref="A1:V318"/>
  <sheetViews>
    <sheetView topLeftCell="A28" zoomScaleNormal="100" workbookViewId="0">
      <selection activeCell="K42" sqref="K42"/>
    </sheetView>
  </sheetViews>
  <sheetFormatPr defaultRowHeight="12.75"/>
  <cols>
    <col min="1" max="1" width="11.28515625" customWidth="1"/>
    <col min="2" max="4" width="16.7109375" customWidth="1"/>
    <col min="5" max="5" width="18.28515625" customWidth="1"/>
    <col min="6" max="6" width="16.7109375" customWidth="1"/>
    <col min="7" max="7" width="19.42578125" customWidth="1"/>
    <col min="8" max="8" width="20.7109375" customWidth="1"/>
  </cols>
  <sheetData>
    <row r="1" spans="1:22">
      <c r="A1" s="541" t="s">
        <v>594</v>
      </c>
      <c r="B1" s="541"/>
      <c r="C1" s="541"/>
      <c r="D1" s="541"/>
      <c r="E1" s="541"/>
      <c r="F1" s="541"/>
      <c r="G1" s="541"/>
      <c r="K1" s="312"/>
      <c r="L1" s="312"/>
      <c r="M1" s="312"/>
      <c r="N1" s="312"/>
      <c r="O1" s="312"/>
      <c r="P1" s="312"/>
      <c r="Q1" s="312"/>
      <c r="R1" s="312"/>
      <c r="S1" s="312"/>
      <c r="T1" s="312"/>
      <c r="U1" s="312"/>
      <c r="V1" s="312"/>
    </row>
    <row r="2" spans="1:22" ht="16.5">
      <c r="A2" s="542" t="s">
        <v>647</v>
      </c>
      <c r="B2" s="542"/>
      <c r="C2" s="542"/>
      <c r="D2" s="542"/>
      <c r="E2" s="542"/>
      <c r="F2" s="542"/>
      <c r="G2" s="542"/>
      <c r="H2" s="380"/>
      <c r="I2" s="380"/>
      <c r="J2" s="380"/>
      <c r="K2" s="380"/>
      <c r="L2" s="380"/>
      <c r="M2" s="380"/>
      <c r="N2" s="380"/>
      <c r="O2" s="380"/>
      <c r="P2" s="380"/>
      <c r="Q2" s="380"/>
    </row>
    <row r="3" spans="1:22" s="312" customFormat="1" ht="16.5">
      <c r="A3" s="381"/>
      <c r="B3" s="381"/>
      <c r="C3" s="381"/>
      <c r="D3" s="381"/>
      <c r="E3" s="381"/>
      <c r="F3" s="381"/>
      <c r="G3" s="381"/>
      <c r="H3" s="380"/>
      <c r="I3" s="380"/>
      <c r="J3" s="380"/>
      <c r="K3" s="380"/>
      <c r="L3" s="380"/>
      <c r="M3" s="380"/>
      <c r="N3" s="380"/>
      <c r="O3" s="380"/>
      <c r="P3" s="380"/>
      <c r="Q3" s="380"/>
    </row>
    <row r="4" spans="1:22">
      <c r="A4" s="287">
        <v>2021</v>
      </c>
      <c r="B4" s="287"/>
      <c r="C4" s="287"/>
      <c r="D4" s="287"/>
      <c r="E4" s="287"/>
      <c r="F4" s="287"/>
      <c r="G4" s="287"/>
      <c r="K4" s="104" t="s">
        <v>455</v>
      </c>
    </row>
    <row r="5" spans="1:22">
      <c r="A5" s="7"/>
      <c r="B5" s="350" t="s">
        <v>336</v>
      </c>
      <c r="C5" s="350" t="s">
        <v>337</v>
      </c>
      <c r="D5" s="350" t="s">
        <v>338</v>
      </c>
      <c r="E5" s="350" t="s">
        <v>339</v>
      </c>
      <c r="F5" s="350" t="s">
        <v>340</v>
      </c>
      <c r="G5" s="350" t="s">
        <v>341</v>
      </c>
      <c r="H5" s="312"/>
    </row>
    <row r="6" spans="1:22" ht="102">
      <c r="A6" s="352" t="s">
        <v>480</v>
      </c>
      <c r="B6" s="352" t="s">
        <v>595</v>
      </c>
      <c r="C6" s="352" t="s">
        <v>620</v>
      </c>
      <c r="D6" s="352" t="s">
        <v>596</v>
      </c>
      <c r="E6" s="352" t="s">
        <v>645</v>
      </c>
      <c r="F6" s="352" t="s">
        <v>598</v>
      </c>
      <c r="G6" s="352" t="s">
        <v>646</v>
      </c>
      <c r="K6" s="103" t="s">
        <v>7</v>
      </c>
      <c r="L6" s="26" t="s">
        <v>34</v>
      </c>
      <c r="M6" s="26" t="s">
        <v>621</v>
      </c>
      <c r="N6" s="283" t="s">
        <v>619</v>
      </c>
      <c r="O6" s="26" t="s">
        <v>37</v>
      </c>
      <c r="P6" s="26" t="s">
        <v>454</v>
      </c>
      <c r="Q6" s="26" t="s">
        <v>38</v>
      </c>
    </row>
    <row r="7" spans="1:22">
      <c r="A7" s="27" t="s">
        <v>14</v>
      </c>
      <c r="B7" s="106"/>
      <c r="C7" s="106"/>
      <c r="D7" s="106"/>
      <c r="E7" s="106"/>
      <c r="F7" s="106"/>
      <c r="G7" s="106"/>
      <c r="K7" s="105" t="s">
        <v>14</v>
      </c>
      <c r="L7" s="2"/>
      <c r="M7" s="2"/>
      <c r="N7" s="2"/>
      <c r="O7" s="2"/>
      <c r="P7" s="2"/>
      <c r="Q7" s="2"/>
    </row>
    <row r="8" spans="1:22">
      <c r="A8" s="27" t="s">
        <v>15</v>
      </c>
      <c r="B8" s="106"/>
      <c r="C8" s="106"/>
      <c r="D8" s="351"/>
      <c r="E8" s="106"/>
      <c r="F8" s="106"/>
      <c r="G8" s="106"/>
      <c r="K8" s="27">
        <v>2013</v>
      </c>
      <c r="L8" s="185"/>
      <c r="M8" s="185"/>
      <c r="N8" s="379"/>
      <c r="O8" s="202"/>
      <c r="P8" s="185"/>
      <c r="Q8" s="185"/>
      <c r="R8" s="21"/>
    </row>
    <row r="9" spans="1:22">
      <c r="A9" s="27" t="s">
        <v>17</v>
      </c>
      <c r="B9" s="106"/>
      <c r="C9" s="106"/>
      <c r="D9" s="351"/>
      <c r="E9" s="106"/>
      <c r="F9" s="106"/>
      <c r="G9" s="106"/>
      <c r="K9" s="27">
        <v>2014</v>
      </c>
      <c r="L9" s="185"/>
      <c r="M9" s="185"/>
      <c r="N9" s="379"/>
      <c r="O9" s="202"/>
      <c r="P9" s="185"/>
      <c r="Q9" s="185"/>
    </row>
    <row r="10" spans="1:22">
      <c r="A10" s="27" t="s">
        <v>22</v>
      </c>
      <c r="B10" s="106"/>
      <c r="C10" s="106"/>
      <c r="D10" s="351"/>
      <c r="E10" s="106"/>
      <c r="F10" s="106"/>
      <c r="G10" s="106"/>
      <c r="K10" s="27">
        <v>2015</v>
      </c>
      <c r="L10" s="185"/>
      <c r="M10" s="185"/>
      <c r="N10" s="379"/>
      <c r="O10" s="202"/>
      <c r="P10" s="185"/>
      <c r="Q10" s="185"/>
    </row>
    <row r="11" spans="1:22">
      <c r="K11" s="27">
        <v>2016</v>
      </c>
      <c r="L11" s="185"/>
      <c r="M11" s="185"/>
      <c r="N11" s="379"/>
      <c r="O11" s="202"/>
      <c r="P11" s="185"/>
      <c r="Q11" s="185"/>
    </row>
    <row r="12" spans="1:22">
      <c r="A12" s="541" t="s">
        <v>39</v>
      </c>
      <c r="B12" s="541"/>
      <c r="C12" s="541"/>
      <c r="D12" s="541"/>
      <c r="E12" s="541"/>
      <c r="F12" s="541"/>
      <c r="G12" s="541"/>
      <c r="K12" s="27">
        <v>2017</v>
      </c>
      <c r="L12" s="185"/>
      <c r="M12" s="185"/>
      <c r="N12" s="379"/>
      <c r="O12" s="202"/>
      <c r="P12" s="185"/>
      <c r="Q12" s="185"/>
    </row>
    <row r="13" spans="1:22">
      <c r="A13" s="306"/>
      <c r="B13" s="307"/>
      <c r="C13" s="307"/>
      <c r="D13" s="307"/>
      <c r="E13" s="308"/>
      <c r="F13" s="307"/>
      <c r="G13" s="307"/>
      <c r="H13" s="307"/>
      <c r="K13" s="302"/>
      <c r="L13" s="303"/>
      <c r="M13" s="303"/>
      <c r="N13" s="303"/>
      <c r="O13" s="303"/>
      <c r="P13" s="303"/>
      <c r="Q13" s="303"/>
    </row>
    <row r="14" spans="1:22">
      <c r="A14" s="291">
        <v>2021</v>
      </c>
      <c r="B14" s="291"/>
      <c r="C14" s="291"/>
      <c r="D14" s="291"/>
      <c r="E14" s="291"/>
      <c r="F14" s="291"/>
      <c r="G14" s="291"/>
      <c r="K14" s="304" t="s">
        <v>15</v>
      </c>
      <c r="L14" s="152"/>
      <c r="M14" s="152"/>
      <c r="N14" s="152"/>
      <c r="O14" s="152"/>
      <c r="P14" s="152"/>
      <c r="Q14" s="152"/>
    </row>
    <row r="15" spans="1:22">
      <c r="A15" s="7"/>
      <c r="B15" s="350" t="s">
        <v>336</v>
      </c>
      <c r="C15" s="350" t="s">
        <v>337</v>
      </c>
      <c r="D15" s="350" t="s">
        <v>338</v>
      </c>
      <c r="E15" s="350" t="s">
        <v>339</v>
      </c>
      <c r="F15" s="350" t="s">
        <v>340</v>
      </c>
      <c r="G15" s="350" t="s">
        <v>341</v>
      </c>
      <c r="H15" s="350" t="s">
        <v>342</v>
      </c>
      <c r="K15" s="313">
        <v>2013</v>
      </c>
      <c r="L15" s="185"/>
      <c r="M15" s="185"/>
      <c r="N15" s="179"/>
      <c r="O15" s="185"/>
      <c r="P15" s="185"/>
      <c r="Q15" s="185"/>
    </row>
    <row r="16" spans="1:22" ht="76.5">
      <c r="A16" s="352" t="s">
        <v>480</v>
      </c>
      <c r="B16" s="352" t="s">
        <v>599</v>
      </c>
      <c r="C16" s="352" t="s">
        <v>620</v>
      </c>
      <c r="D16" s="353" t="s">
        <v>642</v>
      </c>
      <c r="E16" s="352" t="s">
        <v>600</v>
      </c>
      <c r="F16" s="352" t="s">
        <v>602</v>
      </c>
      <c r="G16" s="352" t="s">
        <v>622</v>
      </c>
      <c r="H16" s="352" t="s">
        <v>601</v>
      </c>
      <c r="K16" s="313">
        <v>2014</v>
      </c>
      <c r="L16" s="185"/>
      <c r="M16" s="185"/>
      <c r="N16" s="179"/>
      <c r="O16" s="185"/>
      <c r="P16" s="185"/>
      <c r="Q16" s="185"/>
    </row>
    <row r="17" spans="1:18">
      <c r="A17" s="27" t="s">
        <v>15</v>
      </c>
      <c r="B17" s="106">
        <f>AVERAGE(L42:L46)</f>
        <v>172</v>
      </c>
      <c r="C17" s="106">
        <f>AVERAGE(M42:M46)</f>
        <v>-12</v>
      </c>
      <c r="D17" s="106">
        <f>AVERAGE(N42:N46)</f>
        <v>678</v>
      </c>
      <c r="E17" s="318" t="s">
        <v>597</v>
      </c>
      <c r="F17" s="106">
        <f>AVERAGE(P42:P46)</f>
        <v>838</v>
      </c>
      <c r="G17" s="106">
        <f>AVERAGE(Q42:Q46)</f>
        <v>142</v>
      </c>
      <c r="H17" s="106">
        <f>AVERAGE(R42:R46)</f>
        <v>696</v>
      </c>
      <c r="K17" s="313">
        <v>2015</v>
      </c>
      <c r="L17" s="185"/>
      <c r="M17" s="185"/>
      <c r="N17" s="179"/>
      <c r="O17" s="185"/>
      <c r="P17" s="185"/>
      <c r="Q17" s="185"/>
    </row>
    <row r="18" spans="1:18">
      <c r="A18" s="27" t="s">
        <v>17</v>
      </c>
      <c r="B18" s="106">
        <f>AVERAGE(L49:L53)</f>
        <v>8752</v>
      </c>
      <c r="C18" s="106">
        <f t="shared" ref="C18:H18" si="0">AVERAGE(M49:M53)</f>
        <v>3050</v>
      </c>
      <c r="D18" s="106">
        <f t="shared" si="0"/>
        <v>0</v>
      </c>
      <c r="E18" s="318" t="s">
        <v>597</v>
      </c>
      <c r="F18" s="106">
        <f t="shared" si="0"/>
        <v>11802</v>
      </c>
      <c r="G18" s="106">
        <f t="shared" si="0"/>
        <v>4780</v>
      </c>
      <c r="H18" s="106">
        <f t="shared" si="0"/>
        <v>7022</v>
      </c>
      <c r="K18" s="313">
        <v>2016</v>
      </c>
      <c r="L18" s="185"/>
      <c r="M18" s="185"/>
      <c r="N18" s="179"/>
      <c r="O18" s="185"/>
      <c r="P18" s="185"/>
      <c r="Q18" s="185"/>
    </row>
    <row r="19" spans="1:18">
      <c r="A19" s="27" t="s">
        <v>19</v>
      </c>
      <c r="B19" s="106">
        <f>AVERAGE(L56:L60)</f>
        <v>72</v>
      </c>
      <c r="C19" s="106">
        <f t="shared" ref="C19:H19" si="1">AVERAGE(M56:M60)</f>
        <v>810</v>
      </c>
      <c r="D19" s="106">
        <f t="shared" si="1"/>
        <v>0</v>
      </c>
      <c r="E19" s="318" t="s">
        <v>597</v>
      </c>
      <c r="F19" s="106">
        <f t="shared" si="1"/>
        <v>882</v>
      </c>
      <c r="G19" s="106">
        <f t="shared" si="1"/>
        <v>14</v>
      </c>
      <c r="H19" s="106">
        <f t="shared" si="1"/>
        <v>868</v>
      </c>
      <c r="K19" s="313">
        <v>2017</v>
      </c>
      <c r="L19" s="185"/>
      <c r="M19" s="185"/>
      <c r="N19" s="179"/>
      <c r="O19" s="185"/>
      <c r="P19" s="185"/>
      <c r="Q19" s="185"/>
    </row>
    <row r="20" spans="1:18">
      <c r="A20" s="27" t="s">
        <v>22</v>
      </c>
      <c r="B20" s="106">
        <f>AVERAGE(L63:L67)</f>
        <v>4492</v>
      </c>
      <c r="C20" s="106">
        <f t="shared" ref="C20:H20" si="2">AVERAGE(M63:M67)</f>
        <v>66</v>
      </c>
      <c r="D20" s="106">
        <f t="shared" si="2"/>
        <v>2316</v>
      </c>
      <c r="E20" s="318" t="s">
        <v>597</v>
      </c>
      <c r="F20" s="106">
        <f t="shared" si="2"/>
        <v>6874</v>
      </c>
      <c r="G20" s="106">
        <f t="shared" si="2"/>
        <v>6422</v>
      </c>
      <c r="H20" s="106">
        <f t="shared" si="2"/>
        <v>452</v>
      </c>
      <c r="K20" s="302"/>
      <c r="L20" s="303"/>
      <c r="M20" s="303"/>
      <c r="N20" s="303"/>
      <c r="O20" s="303"/>
      <c r="P20" s="303"/>
      <c r="Q20" s="303"/>
    </row>
    <row r="21" spans="1:18">
      <c r="A21" s="27" t="s">
        <v>23</v>
      </c>
      <c r="B21" s="106">
        <f>AVERAGE(L70:L74)</f>
        <v>7874</v>
      </c>
      <c r="C21" s="106">
        <f t="shared" ref="C21:H21" si="3">AVERAGE(M70:M74)</f>
        <v>3404</v>
      </c>
      <c r="D21" s="106">
        <f t="shared" si="3"/>
        <v>0</v>
      </c>
      <c r="E21" s="318" t="s">
        <v>597</v>
      </c>
      <c r="F21" s="106">
        <f t="shared" si="3"/>
        <v>11278</v>
      </c>
      <c r="G21" s="106">
        <f t="shared" si="3"/>
        <v>2556</v>
      </c>
      <c r="H21" s="106">
        <f t="shared" si="3"/>
        <v>8722</v>
      </c>
      <c r="K21" s="304" t="s">
        <v>17</v>
      </c>
      <c r="L21" s="152"/>
      <c r="M21" s="152"/>
      <c r="N21" s="152"/>
      <c r="O21" s="152"/>
      <c r="P21" s="152"/>
      <c r="Q21" s="152"/>
      <c r="R21" s="21"/>
    </row>
    <row r="22" spans="1:18">
      <c r="A22" s="27" t="s">
        <v>24</v>
      </c>
      <c r="B22" s="106">
        <f>AVERAGE(L77:L81)</f>
        <v>8388</v>
      </c>
      <c r="C22" s="106">
        <f t="shared" ref="C22:H22" si="4">AVERAGE(M77:M81)</f>
        <v>8570</v>
      </c>
      <c r="D22" s="106">
        <f t="shared" si="4"/>
        <v>0</v>
      </c>
      <c r="E22" s="318" t="s">
        <v>597</v>
      </c>
      <c r="F22" s="106">
        <f t="shared" si="4"/>
        <v>16958</v>
      </c>
      <c r="G22" s="106">
        <f t="shared" si="4"/>
        <v>10948</v>
      </c>
      <c r="H22" s="106">
        <f t="shared" si="4"/>
        <v>6010</v>
      </c>
      <c r="K22" s="313">
        <v>2013</v>
      </c>
      <c r="L22" s="185"/>
      <c r="M22" s="185"/>
      <c r="N22" s="320"/>
      <c r="O22" s="185"/>
      <c r="P22" s="185"/>
      <c r="Q22" s="185"/>
      <c r="R22" s="21"/>
    </row>
    <row r="23" spans="1:18">
      <c r="A23" s="306"/>
      <c r="B23" s="307"/>
      <c r="C23" s="307"/>
      <c r="D23" s="307"/>
      <c r="E23" s="308"/>
      <c r="F23" s="307"/>
      <c r="G23" s="307"/>
      <c r="H23" s="307"/>
      <c r="K23" s="313">
        <v>2014</v>
      </c>
      <c r="L23" s="185"/>
      <c r="M23" s="185"/>
      <c r="N23" s="320"/>
      <c r="O23" s="185"/>
      <c r="P23" s="185"/>
      <c r="Q23" s="185"/>
      <c r="R23" s="21"/>
    </row>
    <row r="24" spans="1:18">
      <c r="A24" s="306"/>
      <c r="B24" s="307"/>
      <c r="C24" s="307"/>
      <c r="D24" s="307"/>
      <c r="E24" s="308"/>
      <c r="F24" s="307"/>
      <c r="G24" s="307"/>
      <c r="H24" s="307"/>
      <c r="K24" s="313">
        <v>2015</v>
      </c>
      <c r="L24" s="185"/>
      <c r="M24" s="185"/>
      <c r="N24" s="320"/>
      <c r="O24" s="185"/>
      <c r="P24" s="185"/>
      <c r="Q24" s="185"/>
      <c r="R24" s="21"/>
    </row>
    <row r="25" spans="1:18">
      <c r="B25" s="102"/>
      <c r="C25" s="102"/>
      <c r="D25" s="102"/>
      <c r="E25" s="102"/>
      <c r="F25" s="102"/>
      <c r="G25" s="102"/>
      <c r="H25" s="102"/>
      <c r="K25" s="313">
        <v>2016</v>
      </c>
      <c r="L25" s="185"/>
      <c r="M25" s="185"/>
      <c r="N25" s="320"/>
      <c r="O25" s="185"/>
      <c r="P25" s="185"/>
      <c r="Q25" s="185"/>
      <c r="R25" s="21"/>
    </row>
    <row r="26" spans="1:18">
      <c r="B26" s="102"/>
      <c r="C26" s="102"/>
      <c r="D26" s="102"/>
      <c r="E26" s="102"/>
      <c r="F26" s="102"/>
      <c r="G26" s="102"/>
      <c r="H26" s="102"/>
      <c r="K26" s="313">
        <v>2017</v>
      </c>
      <c r="L26" s="185"/>
      <c r="M26" s="185"/>
      <c r="N26" s="320"/>
      <c r="O26" s="185"/>
      <c r="P26" s="185"/>
      <c r="Q26" s="185"/>
      <c r="R26" s="21"/>
    </row>
    <row r="27" spans="1:18">
      <c r="B27" s="102"/>
      <c r="C27" s="102"/>
      <c r="D27" s="102"/>
      <c r="E27" s="102"/>
      <c r="F27" s="102"/>
      <c r="G27" s="102"/>
      <c r="H27" s="102"/>
      <c r="L27" s="102"/>
      <c r="M27" s="102"/>
      <c r="N27" s="102"/>
      <c r="O27" s="102"/>
      <c r="P27" s="102"/>
      <c r="Q27" s="102"/>
    </row>
    <row r="28" spans="1:18">
      <c r="B28" s="102"/>
      <c r="C28" s="102"/>
      <c r="D28" s="102"/>
      <c r="E28" s="102"/>
      <c r="F28" s="102"/>
      <c r="G28" s="102"/>
      <c r="H28" s="102"/>
      <c r="K28" s="3" t="s">
        <v>22</v>
      </c>
      <c r="L28" s="102"/>
      <c r="M28" s="102"/>
      <c r="N28" s="102"/>
      <c r="O28" s="102"/>
      <c r="P28" s="102"/>
      <c r="Q28" s="102"/>
    </row>
    <row r="29" spans="1:18">
      <c r="B29" s="102"/>
      <c r="C29" s="102"/>
      <c r="D29" s="102"/>
      <c r="E29" s="102"/>
      <c r="F29" s="102"/>
      <c r="G29" s="102"/>
      <c r="H29" s="102"/>
      <c r="K29" s="313">
        <v>2013</v>
      </c>
      <c r="L29" s="185"/>
      <c r="M29" s="185"/>
      <c r="N29" s="320"/>
      <c r="O29" s="185"/>
      <c r="P29" s="185"/>
      <c r="Q29" s="185"/>
    </row>
    <row r="30" spans="1:18">
      <c r="B30" s="102"/>
      <c r="C30" s="102"/>
      <c r="D30" s="102"/>
      <c r="E30" s="102"/>
      <c r="F30" s="102"/>
      <c r="G30" s="102"/>
      <c r="H30" s="102"/>
      <c r="K30" s="313">
        <v>2014</v>
      </c>
      <c r="L30" s="185"/>
      <c r="M30" s="185"/>
      <c r="N30" s="363"/>
      <c r="O30" s="185"/>
      <c r="P30" s="185"/>
      <c r="Q30" s="185"/>
    </row>
    <row r="31" spans="1:18">
      <c r="K31" s="313">
        <v>2015</v>
      </c>
      <c r="L31" s="185"/>
      <c r="M31" s="185"/>
      <c r="N31" s="363"/>
      <c r="O31" s="185"/>
      <c r="P31" s="185"/>
      <c r="Q31" s="185"/>
    </row>
    <row r="32" spans="1:18">
      <c r="K32" s="313">
        <v>2016</v>
      </c>
      <c r="L32" s="185"/>
      <c r="M32" s="185"/>
      <c r="N32" s="320"/>
      <c r="O32" s="185"/>
      <c r="P32" s="185"/>
      <c r="Q32" s="185"/>
    </row>
    <row r="33" spans="11:18">
      <c r="K33" s="313">
        <v>2017</v>
      </c>
      <c r="L33" s="185"/>
      <c r="M33" s="185"/>
      <c r="N33" s="363"/>
      <c r="O33" s="185"/>
      <c r="P33" s="185"/>
      <c r="Q33" s="185"/>
    </row>
    <row r="34" spans="11:18">
      <c r="R34" s="21"/>
    </row>
    <row r="38" spans="11:18">
      <c r="K38" s="104" t="s">
        <v>456</v>
      </c>
    </row>
    <row r="39" spans="11:18" ht="63.75">
      <c r="K39" s="26" t="s">
        <v>7</v>
      </c>
      <c r="L39" s="26" t="s">
        <v>34</v>
      </c>
      <c r="M39" s="26" t="s">
        <v>621</v>
      </c>
      <c r="N39" s="96" t="s">
        <v>457</v>
      </c>
      <c r="O39" s="26" t="s">
        <v>35</v>
      </c>
      <c r="P39" s="26" t="s">
        <v>458</v>
      </c>
      <c r="Q39" s="26" t="s">
        <v>3</v>
      </c>
      <c r="R39" s="26" t="s">
        <v>38</v>
      </c>
    </row>
    <row r="41" spans="11:18">
      <c r="K41" s="305" t="s">
        <v>15</v>
      </c>
    </row>
    <row r="42" spans="11:18">
      <c r="K42" s="313">
        <v>2017</v>
      </c>
      <c r="L42" s="185">
        <f>'T1'!E8</f>
        <v>150</v>
      </c>
      <c r="M42" s="185">
        <f>'T1'!G8</f>
        <v>-10</v>
      </c>
      <c r="N42" s="185">
        <f>MAX(0,'T1'!D8-'T1'!H8)</f>
        <v>250</v>
      </c>
      <c r="O42" s="179" t="s">
        <v>597</v>
      </c>
      <c r="P42" s="185">
        <f>SUM(L42:N42)</f>
        <v>390</v>
      </c>
      <c r="Q42" s="185">
        <f>'T1'!I8</f>
        <v>170</v>
      </c>
      <c r="R42" s="185">
        <f>P42-Q42</f>
        <v>220</v>
      </c>
    </row>
    <row r="43" spans="11:18">
      <c r="K43" s="313">
        <f>K42+1</f>
        <v>2018</v>
      </c>
      <c r="L43" s="185">
        <f>'T1'!E28</f>
        <v>190</v>
      </c>
      <c r="M43" s="185">
        <f>'T1'!G28</f>
        <v>-10</v>
      </c>
      <c r="N43" s="185">
        <f>MAX(0,'T1'!D28-'T1'!H28)</f>
        <v>310</v>
      </c>
      <c r="O43" s="179" t="s">
        <v>597</v>
      </c>
      <c r="P43" s="185">
        <f>SUM(L43:N43)</f>
        <v>490</v>
      </c>
      <c r="Q43" s="185">
        <f>'T1'!I28</f>
        <v>190</v>
      </c>
      <c r="R43" s="185">
        <f>P43-Q43</f>
        <v>300</v>
      </c>
    </row>
    <row r="44" spans="11:18">
      <c r="K44" s="313">
        <f t="shared" ref="K44:K46" si="5">K43+1</f>
        <v>2019</v>
      </c>
      <c r="L44" s="185">
        <f>'T1'!E48</f>
        <v>170</v>
      </c>
      <c r="M44" s="185">
        <f>'T1'!G48</f>
        <v>-10</v>
      </c>
      <c r="N44" s="185">
        <f>MAX(0,'T1'!D48-'T1'!H48)</f>
        <v>580</v>
      </c>
      <c r="O44" s="179" t="s">
        <v>597</v>
      </c>
      <c r="P44" s="185">
        <f>SUM(L44:N44)</f>
        <v>740</v>
      </c>
      <c r="Q44" s="185">
        <f>'T1'!I48</f>
        <v>120</v>
      </c>
      <c r="R44" s="185">
        <f>P44-Q44</f>
        <v>620</v>
      </c>
    </row>
    <row r="45" spans="11:18">
      <c r="K45" s="313">
        <f t="shared" si="5"/>
        <v>2020</v>
      </c>
      <c r="L45" s="185">
        <f>'T1'!E68</f>
        <v>180</v>
      </c>
      <c r="M45" s="185">
        <f>'T1'!G68</f>
        <v>-10</v>
      </c>
      <c r="N45" s="185">
        <f>MAX(0,'T1'!D68-'T1'!H68)</f>
        <v>1080</v>
      </c>
      <c r="O45" s="179" t="s">
        <v>597</v>
      </c>
      <c r="P45" s="185">
        <f>SUM(L45:N45)</f>
        <v>1250</v>
      </c>
      <c r="Q45" s="185">
        <f>'T1'!I68</f>
        <v>100</v>
      </c>
      <c r="R45" s="185">
        <f>P45-Q45</f>
        <v>1150</v>
      </c>
    </row>
    <row r="46" spans="11:18">
      <c r="K46" s="313">
        <f t="shared" si="5"/>
        <v>2021</v>
      </c>
      <c r="L46" s="185">
        <f>'T1'!E88</f>
        <v>170</v>
      </c>
      <c r="M46" s="185">
        <f>'T1'!G88</f>
        <v>-20</v>
      </c>
      <c r="N46" s="185">
        <f>MAX(0,'T1'!D88-'T1'!H88)</f>
        <v>1170</v>
      </c>
      <c r="O46" s="179" t="s">
        <v>597</v>
      </c>
      <c r="P46" s="185">
        <f>SUM(L46:N46)</f>
        <v>1320</v>
      </c>
      <c r="Q46" s="185">
        <f>'T1'!I88</f>
        <v>130</v>
      </c>
      <c r="R46" s="185">
        <f>P46-Q46</f>
        <v>1190</v>
      </c>
    </row>
    <row r="47" spans="11:18">
      <c r="K47" s="28"/>
      <c r="L47" s="102"/>
      <c r="M47" s="102"/>
      <c r="N47" s="102"/>
      <c r="O47" s="102"/>
      <c r="P47" s="102"/>
      <c r="Q47" s="102"/>
      <c r="R47" s="102"/>
    </row>
    <row r="48" spans="11:18">
      <c r="K48" s="305" t="s">
        <v>17</v>
      </c>
      <c r="L48" s="102"/>
      <c r="M48" s="102"/>
      <c r="N48" s="102"/>
      <c r="O48" s="102"/>
      <c r="P48" s="102"/>
      <c r="Q48" s="102"/>
      <c r="R48" s="102"/>
    </row>
    <row r="49" spans="9:18">
      <c r="K49" s="313">
        <f>K42</f>
        <v>2017</v>
      </c>
      <c r="L49" s="185">
        <f>'T1'!E11</f>
        <v>8760</v>
      </c>
      <c r="M49" s="185">
        <f>'T1'!G11</f>
        <v>3050</v>
      </c>
      <c r="N49" s="185">
        <f>MAX(0,'T1'!D11-'T1'!H11)</f>
        <v>0</v>
      </c>
      <c r="O49" s="179" t="s">
        <v>597</v>
      </c>
      <c r="P49" s="185">
        <f>SUM(L49:N49)</f>
        <v>11810</v>
      </c>
      <c r="Q49" s="185">
        <f>'T1'!I11</f>
        <v>4730</v>
      </c>
      <c r="R49" s="185">
        <f>P49-Q49</f>
        <v>7080</v>
      </c>
    </row>
    <row r="50" spans="9:18">
      <c r="K50" s="313">
        <f t="shared" ref="K50:K53" si="6">K43</f>
        <v>2018</v>
      </c>
      <c r="L50" s="185">
        <f>'T1'!E31</f>
        <v>9910</v>
      </c>
      <c r="M50" s="185">
        <f>'T1'!G31</f>
        <v>3450</v>
      </c>
      <c r="N50" s="185">
        <f>MAX(0,'T1'!D31-'T1'!H31)</f>
        <v>0</v>
      </c>
      <c r="O50" s="179" t="s">
        <v>597</v>
      </c>
      <c r="P50" s="185">
        <f>SUM(L50:N50)</f>
        <v>13360</v>
      </c>
      <c r="Q50" s="185">
        <f>'T1'!I31</f>
        <v>6740</v>
      </c>
      <c r="R50" s="185">
        <f>P50-Q50</f>
        <v>6620</v>
      </c>
    </row>
    <row r="51" spans="9:18">
      <c r="K51" s="313">
        <f t="shared" si="6"/>
        <v>2019</v>
      </c>
      <c r="L51" s="185">
        <f>'T1'!E51</f>
        <v>7890</v>
      </c>
      <c r="M51" s="185">
        <f>'T1'!G51</f>
        <v>2750</v>
      </c>
      <c r="N51" s="185">
        <f>MAX(0,'T1'!D51-'T1'!H51)</f>
        <v>0</v>
      </c>
      <c r="O51" s="179" t="s">
        <v>597</v>
      </c>
      <c r="P51" s="185">
        <f>SUM(L51:N51)</f>
        <v>10640</v>
      </c>
      <c r="Q51" s="185">
        <f>'T1'!I51</f>
        <v>3470</v>
      </c>
      <c r="R51" s="185">
        <f>P51-Q51</f>
        <v>7170</v>
      </c>
    </row>
    <row r="52" spans="9:18">
      <c r="K52" s="313">
        <f t="shared" si="6"/>
        <v>2020</v>
      </c>
      <c r="L52" s="185">
        <f>'T1'!E71</f>
        <v>9100</v>
      </c>
      <c r="M52" s="185">
        <f>'T1'!G71</f>
        <v>3170</v>
      </c>
      <c r="N52" s="185">
        <f>MAX(0,'T1'!D71-'T1'!H71)</f>
        <v>0</v>
      </c>
      <c r="O52" s="179" t="s">
        <v>597</v>
      </c>
      <c r="P52" s="185">
        <f>SUM(L52:N52)</f>
        <v>12270</v>
      </c>
      <c r="Q52" s="185">
        <f>'T1'!I71</f>
        <v>3650</v>
      </c>
      <c r="R52" s="185">
        <f>P52-Q52</f>
        <v>8620</v>
      </c>
    </row>
    <row r="53" spans="9:18">
      <c r="K53" s="313">
        <f t="shared" si="6"/>
        <v>2021</v>
      </c>
      <c r="L53" s="185">
        <f>'T1'!E91</f>
        <v>8100</v>
      </c>
      <c r="M53" s="185">
        <f>'T1'!G91</f>
        <v>2830</v>
      </c>
      <c r="N53" s="185">
        <f>MAX(0,'T1'!D91-'T1'!H91)</f>
        <v>0</v>
      </c>
      <c r="O53" s="179" t="s">
        <v>597</v>
      </c>
      <c r="P53" s="185">
        <f>SUM(L53:N53)</f>
        <v>10930</v>
      </c>
      <c r="Q53" s="185">
        <f>'T1'!I91</f>
        <v>5310</v>
      </c>
      <c r="R53" s="185">
        <f>P53-Q53</f>
        <v>5620</v>
      </c>
    </row>
    <row r="54" spans="9:18">
      <c r="I54" s="312"/>
      <c r="K54" s="28"/>
      <c r="L54" s="102"/>
      <c r="M54" s="102"/>
      <c r="N54" s="102"/>
      <c r="O54" s="102"/>
      <c r="P54" s="102"/>
      <c r="Q54" s="102"/>
      <c r="R54" s="102"/>
    </row>
    <row r="55" spans="9:18">
      <c r="K55" s="305" t="s">
        <v>19</v>
      </c>
      <c r="L55" s="102"/>
      <c r="M55" s="102"/>
      <c r="N55" s="102"/>
      <c r="O55" s="102"/>
      <c r="P55" s="102"/>
      <c r="Q55" s="102"/>
      <c r="R55" s="102"/>
    </row>
    <row r="56" spans="9:18">
      <c r="K56" s="313">
        <f>K49</f>
        <v>2017</v>
      </c>
      <c r="L56" s="185">
        <f>'T1'!E13</f>
        <v>40</v>
      </c>
      <c r="M56" s="185">
        <f>'T1'!G13</f>
        <v>490</v>
      </c>
      <c r="N56" s="185">
        <f>MAX(0,'T1'!D13-'T1'!H13)</f>
        <v>0</v>
      </c>
      <c r="O56" s="179" t="s">
        <v>597</v>
      </c>
      <c r="P56" s="185">
        <f>SUM(L56:N56)</f>
        <v>530</v>
      </c>
      <c r="Q56" s="185">
        <f>'T1'!I13</f>
        <v>10</v>
      </c>
      <c r="R56" s="185">
        <f>P56-Q56</f>
        <v>520</v>
      </c>
    </row>
    <row r="57" spans="9:18">
      <c r="K57" s="313">
        <f t="shared" ref="K57:K60" si="7">K50</f>
        <v>2018</v>
      </c>
      <c r="L57" s="185">
        <f>'T1'!E33</f>
        <v>180</v>
      </c>
      <c r="M57" s="185">
        <f>'T1'!G33</f>
        <v>1940</v>
      </c>
      <c r="N57" s="185">
        <f>MAX(0,'T1'!D33-'T1'!H33)</f>
        <v>0</v>
      </c>
      <c r="O57" s="179" t="s">
        <v>597</v>
      </c>
      <c r="P57" s="185">
        <f>SUM(L57:N57)</f>
        <v>2120</v>
      </c>
      <c r="Q57" s="185">
        <f>'T1'!I33</f>
        <v>10</v>
      </c>
      <c r="R57" s="185">
        <f>P57-Q57</f>
        <v>2110</v>
      </c>
    </row>
    <row r="58" spans="9:18">
      <c r="K58" s="313">
        <f t="shared" si="7"/>
        <v>2019</v>
      </c>
      <c r="L58" s="185">
        <f>'T1'!E53</f>
        <v>100</v>
      </c>
      <c r="M58" s="185">
        <f>'T1'!G53</f>
        <v>1140</v>
      </c>
      <c r="N58" s="185">
        <f>MAX(0,'T1'!D53-'T1'!H53)</f>
        <v>0</v>
      </c>
      <c r="O58" s="179" t="s">
        <v>597</v>
      </c>
      <c r="P58" s="185">
        <f>SUM(L58:N58)</f>
        <v>1240</v>
      </c>
      <c r="Q58" s="185">
        <f>'T1'!I53</f>
        <v>10</v>
      </c>
      <c r="R58" s="185">
        <f>P58-Q58</f>
        <v>1230</v>
      </c>
    </row>
    <row r="59" spans="9:18">
      <c r="K59" s="313">
        <f t="shared" si="7"/>
        <v>2020</v>
      </c>
      <c r="L59" s="185">
        <f>'T1'!E73</f>
        <v>30</v>
      </c>
      <c r="M59" s="185">
        <f>'T1'!G73</f>
        <v>350</v>
      </c>
      <c r="N59" s="185">
        <f>MAX(0,'T1'!D73-'T1'!H73)</f>
        <v>0</v>
      </c>
      <c r="O59" s="179" t="s">
        <v>597</v>
      </c>
      <c r="P59" s="185">
        <f>SUM(L59:N59)</f>
        <v>380</v>
      </c>
      <c r="Q59" s="185">
        <f>'T1'!I73</f>
        <v>20</v>
      </c>
      <c r="R59" s="185">
        <f>P59-Q59</f>
        <v>360</v>
      </c>
    </row>
    <row r="60" spans="9:18">
      <c r="K60" s="313">
        <f t="shared" si="7"/>
        <v>2021</v>
      </c>
      <c r="L60" s="185">
        <f>'T1'!E93</f>
        <v>10</v>
      </c>
      <c r="M60" s="185">
        <f>'T1'!G93</f>
        <v>130</v>
      </c>
      <c r="N60" s="185">
        <f>MAX(0,'T1'!D93-'T1'!H93)</f>
        <v>0</v>
      </c>
      <c r="O60" s="179" t="s">
        <v>597</v>
      </c>
      <c r="P60" s="185">
        <f>SUM(L60:N60)</f>
        <v>140</v>
      </c>
      <c r="Q60" s="185">
        <f>'T1'!I93</f>
        <v>20</v>
      </c>
      <c r="R60" s="185">
        <f>P60-Q60</f>
        <v>120</v>
      </c>
    </row>
    <row r="61" spans="9:18">
      <c r="K61" s="28"/>
      <c r="L61" s="102"/>
      <c r="M61" s="102"/>
      <c r="N61" s="102"/>
      <c r="O61" s="102"/>
      <c r="P61" s="102"/>
      <c r="Q61" s="102"/>
      <c r="R61" s="102"/>
    </row>
    <row r="62" spans="9:18">
      <c r="K62" s="305" t="s">
        <v>22</v>
      </c>
      <c r="L62" s="102"/>
      <c r="M62" s="102"/>
      <c r="N62" s="102"/>
      <c r="O62" s="102"/>
      <c r="P62" s="102"/>
      <c r="Q62" s="102"/>
      <c r="R62" s="102"/>
    </row>
    <row r="63" spans="9:18">
      <c r="K63" s="313">
        <f>K56</f>
        <v>2017</v>
      </c>
      <c r="L63" s="185">
        <f>'T1'!E16</f>
        <v>4750</v>
      </c>
      <c r="M63" s="185">
        <f>'T1'!G16</f>
        <v>60</v>
      </c>
      <c r="N63" s="185">
        <f>MAX(0,'T1'!D16-'T1'!H16)</f>
        <v>2450</v>
      </c>
      <c r="O63" s="179" t="s">
        <v>597</v>
      </c>
      <c r="P63" s="185">
        <f>SUM(L63:N63)</f>
        <v>7260</v>
      </c>
      <c r="Q63" s="185">
        <f>'T1'!I16</f>
        <v>6610</v>
      </c>
      <c r="R63" s="185">
        <f>P63-Q63</f>
        <v>650</v>
      </c>
    </row>
    <row r="64" spans="9:18">
      <c r="K64" s="313">
        <f t="shared" ref="K64:K67" si="8">K57</f>
        <v>2018</v>
      </c>
      <c r="L64" s="185">
        <f>'T1'!E36</f>
        <v>4710</v>
      </c>
      <c r="M64" s="185">
        <f>'T1'!G36</f>
        <v>70</v>
      </c>
      <c r="N64" s="185">
        <f>MAX(0,'T1'!D36-'T1'!H36)</f>
        <v>2430</v>
      </c>
      <c r="O64" s="179" t="s">
        <v>597</v>
      </c>
      <c r="P64" s="185">
        <f>SUM(L64:N64)</f>
        <v>7210</v>
      </c>
      <c r="Q64" s="185">
        <f>'T1'!I36</f>
        <v>6760</v>
      </c>
      <c r="R64" s="185">
        <f>P64-Q64</f>
        <v>450</v>
      </c>
    </row>
    <row r="65" spans="9:18">
      <c r="K65" s="313">
        <f t="shared" si="8"/>
        <v>2019</v>
      </c>
      <c r="L65" s="185">
        <f>'T1'!E56</f>
        <v>4870</v>
      </c>
      <c r="M65" s="185">
        <f>'T1'!G56</f>
        <v>70</v>
      </c>
      <c r="N65" s="185">
        <f>MAX(0,'T1'!D56-'T1'!H56)</f>
        <v>2510</v>
      </c>
      <c r="O65" s="179" t="s">
        <v>597</v>
      </c>
      <c r="P65" s="185">
        <f>SUM(L65:N65)</f>
        <v>7450</v>
      </c>
      <c r="Q65" s="185">
        <f>'T1'!I56</f>
        <v>6760</v>
      </c>
      <c r="R65" s="185">
        <f>P65-Q65</f>
        <v>690</v>
      </c>
    </row>
    <row r="66" spans="9:18">
      <c r="K66" s="313">
        <f t="shared" si="8"/>
        <v>2020</v>
      </c>
      <c r="L66" s="185">
        <f>'T1'!E76</f>
        <v>4370</v>
      </c>
      <c r="M66" s="185">
        <f>'T1'!G76</f>
        <v>70</v>
      </c>
      <c r="N66" s="185">
        <f>MAX(0,'T1'!D76-'T1'!H76)</f>
        <v>2250</v>
      </c>
      <c r="O66" s="179" t="s">
        <v>597</v>
      </c>
      <c r="P66" s="185">
        <f>SUM(L66:N66)</f>
        <v>6690</v>
      </c>
      <c r="Q66" s="185">
        <f>'T1'!I76</f>
        <v>6430</v>
      </c>
      <c r="R66" s="185">
        <f>P66-Q66</f>
        <v>260</v>
      </c>
    </row>
    <row r="67" spans="9:18">
      <c r="K67" s="313">
        <f t="shared" si="8"/>
        <v>2021</v>
      </c>
      <c r="L67" s="185">
        <f>'T1'!E96</f>
        <v>3760</v>
      </c>
      <c r="M67" s="185">
        <f>'T1'!G96</f>
        <v>60</v>
      </c>
      <c r="N67" s="185">
        <f>MAX(0,'T1'!D96-'T1'!H56)</f>
        <v>1940</v>
      </c>
      <c r="O67" s="179" t="s">
        <v>597</v>
      </c>
      <c r="P67" s="185">
        <f>SUM(L67:N67)</f>
        <v>5760</v>
      </c>
      <c r="Q67" s="185">
        <f>'T1'!I96</f>
        <v>5550</v>
      </c>
      <c r="R67" s="185">
        <f>P67-Q67</f>
        <v>210</v>
      </c>
    </row>
    <row r="68" spans="9:18">
      <c r="K68" s="28"/>
      <c r="L68" s="102"/>
      <c r="M68" s="102"/>
      <c r="N68" s="102"/>
      <c r="O68" s="102"/>
      <c r="P68" s="102"/>
      <c r="Q68" s="102"/>
      <c r="R68" s="102"/>
    </row>
    <row r="69" spans="9:18">
      <c r="K69" s="305" t="s">
        <v>23</v>
      </c>
      <c r="L69" s="102"/>
      <c r="M69" s="102"/>
      <c r="N69" s="102"/>
      <c r="O69" s="102"/>
      <c r="P69" s="102"/>
      <c r="Q69" s="102"/>
      <c r="R69" s="102"/>
    </row>
    <row r="70" spans="9:18">
      <c r="I70" s="312"/>
      <c r="K70" s="313">
        <f>K63</f>
        <v>2017</v>
      </c>
      <c r="L70" s="185">
        <f>'T1'!E17</f>
        <v>4870</v>
      </c>
      <c r="M70" s="185">
        <f>'T1'!G17</f>
        <v>2100</v>
      </c>
      <c r="N70" s="185">
        <f>MAX(0,'T1'!D17-'T1'!H17)</f>
        <v>0</v>
      </c>
      <c r="O70" s="179" t="s">
        <v>597</v>
      </c>
      <c r="P70" s="185">
        <f>SUM(L70:N70)</f>
        <v>6970</v>
      </c>
      <c r="Q70" s="185">
        <f>'T1'!I17</f>
        <v>2530</v>
      </c>
      <c r="R70" s="185">
        <f>P70-Q70</f>
        <v>4440</v>
      </c>
    </row>
    <row r="71" spans="9:18">
      <c r="K71" s="313">
        <f t="shared" ref="K71:K74" si="9">K64</f>
        <v>2018</v>
      </c>
      <c r="L71" s="185">
        <f>'T1'!E37</f>
        <v>6920</v>
      </c>
      <c r="M71" s="185">
        <f>'T1'!G37</f>
        <v>2990</v>
      </c>
      <c r="N71" s="185">
        <f>MAX(0,'T1'!D37-'T1'!H37)</f>
        <v>0</v>
      </c>
      <c r="O71" s="179" t="s">
        <v>597</v>
      </c>
      <c r="P71" s="185">
        <f>SUM(L71:N71)</f>
        <v>9910</v>
      </c>
      <c r="Q71" s="185">
        <f>'T1'!I37</f>
        <v>3170</v>
      </c>
      <c r="R71" s="185">
        <f>P71-Q71</f>
        <v>6740</v>
      </c>
    </row>
    <row r="72" spans="9:18">
      <c r="K72" s="313">
        <f t="shared" si="9"/>
        <v>2019</v>
      </c>
      <c r="L72" s="185">
        <f>'T1'!E57</f>
        <v>12380</v>
      </c>
      <c r="M72" s="185">
        <f>'T1'!G57</f>
        <v>5350</v>
      </c>
      <c r="N72" s="185">
        <f>MAX(0,'T1'!D57-'T1'!H57)</f>
        <v>0</v>
      </c>
      <c r="O72" s="179" t="s">
        <v>597</v>
      </c>
      <c r="P72" s="185">
        <f>SUM(L72:N72)</f>
        <v>17730</v>
      </c>
      <c r="Q72" s="185">
        <f>'T1'!I57</f>
        <v>2950</v>
      </c>
      <c r="R72" s="185">
        <f>P72-Q72</f>
        <v>14780</v>
      </c>
    </row>
    <row r="73" spans="9:18">
      <c r="K73" s="313">
        <f t="shared" si="9"/>
        <v>2020</v>
      </c>
      <c r="L73" s="185">
        <f>'T1'!E77</f>
        <v>8070</v>
      </c>
      <c r="M73" s="185">
        <f>'T1'!G77</f>
        <v>3490</v>
      </c>
      <c r="N73" s="185">
        <f>MAX(0,'T1'!D77-'T1'!H77)</f>
        <v>0</v>
      </c>
      <c r="O73" s="179" t="s">
        <v>597</v>
      </c>
      <c r="P73" s="185">
        <f>SUM(L73:N73)</f>
        <v>11560</v>
      </c>
      <c r="Q73" s="185">
        <f>'T1'!I77</f>
        <v>2490</v>
      </c>
      <c r="R73" s="185">
        <f>P73-Q73</f>
        <v>9070</v>
      </c>
    </row>
    <row r="74" spans="9:18">
      <c r="K74" s="313">
        <f t="shared" si="9"/>
        <v>2021</v>
      </c>
      <c r="L74" s="185">
        <f>'T1'!E97</f>
        <v>7130</v>
      </c>
      <c r="M74" s="185">
        <f>'T1'!G97</f>
        <v>3090</v>
      </c>
      <c r="N74" s="185">
        <f>MAX(0,'T1'!D97-'T1'!H97)</f>
        <v>0</v>
      </c>
      <c r="O74" s="179" t="s">
        <v>597</v>
      </c>
      <c r="P74" s="185">
        <f>SUM(L74:N74)</f>
        <v>10220</v>
      </c>
      <c r="Q74" s="185">
        <f>'T1'!I97</f>
        <v>1640</v>
      </c>
      <c r="R74" s="185">
        <f>P74-Q74</f>
        <v>8580</v>
      </c>
    </row>
    <row r="75" spans="9:18">
      <c r="L75" s="102"/>
      <c r="M75" s="102"/>
      <c r="N75" s="102"/>
      <c r="O75" s="102"/>
      <c r="P75" s="102"/>
      <c r="Q75" s="102"/>
      <c r="R75" s="102"/>
    </row>
    <row r="76" spans="9:18">
      <c r="K76" s="305" t="s">
        <v>24</v>
      </c>
      <c r="L76" s="102"/>
      <c r="M76" s="102"/>
      <c r="N76" s="102"/>
      <c r="O76" s="102"/>
      <c r="P76" s="102"/>
      <c r="Q76" s="102"/>
      <c r="R76" s="102"/>
    </row>
    <row r="77" spans="9:18">
      <c r="K77" s="313">
        <f>K70</f>
        <v>2017</v>
      </c>
      <c r="L77" s="185">
        <f>'T1'!E18</f>
        <v>5920</v>
      </c>
      <c r="M77" s="185">
        <f>'T1'!G18</f>
        <v>6060</v>
      </c>
      <c r="N77" s="185">
        <f>MAX(0,'T1'!D18-'T1'!H18)</f>
        <v>0</v>
      </c>
      <c r="O77" s="179" t="s">
        <v>597</v>
      </c>
      <c r="P77" s="185">
        <f>SUM(L77:N77)</f>
        <v>11980</v>
      </c>
      <c r="Q77" s="185">
        <f>'T1'!I18</f>
        <v>10780</v>
      </c>
      <c r="R77" s="185">
        <f>P77-Q77</f>
        <v>1200</v>
      </c>
    </row>
    <row r="78" spans="9:18">
      <c r="K78" s="313">
        <f t="shared" ref="K78:K81" si="10">K71</f>
        <v>2018</v>
      </c>
      <c r="L78" s="185">
        <f>'T1'!E38</f>
        <v>7370</v>
      </c>
      <c r="M78" s="185">
        <f>'T1'!G38</f>
        <v>7520</v>
      </c>
      <c r="N78" s="185">
        <f>MAX(0,'T1'!D38-'T1'!H38)</f>
        <v>0</v>
      </c>
      <c r="O78" s="179" t="s">
        <v>597</v>
      </c>
      <c r="P78" s="185">
        <f>SUM(L78:N78)</f>
        <v>14890</v>
      </c>
      <c r="Q78" s="185">
        <f>'T1'!I38</f>
        <v>11910</v>
      </c>
      <c r="R78" s="185">
        <f>P78-Q78</f>
        <v>2980</v>
      </c>
    </row>
    <row r="79" spans="9:18">
      <c r="I79" s="312"/>
      <c r="K79" s="313">
        <f t="shared" si="10"/>
        <v>2019</v>
      </c>
      <c r="L79" s="185">
        <f>'T1'!E58</f>
        <v>13140</v>
      </c>
      <c r="M79" s="185">
        <f>'T1'!G58</f>
        <v>13430</v>
      </c>
      <c r="N79" s="185">
        <f>MAX(0,'T1'!D58-'T1'!H58)</f>
        <v>0</v>
      </c>
      <c r="O79" s="179" t="s">
        <v>597</v>
      </c>
      <c r="P79" s="185">
        <f>SUM(L79:N79)</f>
        <v>26570</v>
      </c>
      <c r="Q79" s="185">
        <f>'T1'!I58</f>
        <v>13040</v>
      </c>
      <c r="R79" s="185">
        <f>P79-Q79</f>
        <v>13530</v>
      </c>
    </row>
    <row r="80" spans="9:18">
      <c r="K80" s="313">
        <f t="shared" si="10"/>
        <v>2020</v>
      </c>
      <c r="L80" s="185">
        <f>'T1'!E78</f>
        <v>8820</v>
      </c>
      <c r="M80" s="185">
        <f>'T1'!G78</f>
        <v>9000</v>
      </c>
      <c r="N80" s="185">
        <f>MAX(0,'T1'!D78-'T1'!H78)</f>
        <v>0</v>
      </c>
      <c r="O80" s="179" t="s">
        <v>597</v>
      </c>
      <c r="P80" s="185">
        <f>SUM(L80:N80)</f>
        <v>17820</v>
      </c>
      <c r="Q80" s="185">
        <f>'T1'!I78</f>
        <v>11010</v>
      </c>
      <c r="R80" s="185">
        <f>P80-Q80</f>
        <v>6810</v>
      </c>
    </row>
    <row r="81" spans="11:18">
      <c r="K81" s="313">
        <f t="shared" si="10"/>
        <v>2021</v>
      </c>
      <c r="L81" s="185">
        <f>'T1'!E98</f>
        <v>6690</v>
      </c>
      <c r="M81" s="185">
        <f>'T1'!G98</f>
        <v>6840</v>
      </c>
      <c r="N81" s="185">
        <f>MAX(0,'T1'!D98-'T1'!H98)</f>
        <v>0</v>
      </c>
      <c r="O81" s="179" t="s">
        <v>597</v>
      </c>
      <c r="P81" s="185">
        <f>SUM(L81:N81)</f>
        <v>13530</v>
      </c>
      <c r="Q81" s="185">
        <f>'T1'!I98</f>
        <v>8000</v>
      </c>
      <c r="R81" s="185">
        <f>P81-Q81</f>
        <v>5530</v>
      </c>
    </row>
    <row r="82" spans="11:18">
      <c r="L82" s="102"/>
      <c r="M82" s="102"/>
      <c r="N82" s="102"/>
      <c r="O82" s="102"/>
      <c r="P82" s="102"/>
      <c r="Q82" s="102"/>
      <c r="R82" s="102"/>
    </row>
    <row r="83" spans="11:18">
      <c r="L83" s="102"/>
      <c r="M83" s="102"/>
      <c r="N83" s="102"/>
      <c r="O83" s="102"/>
      <c r="P83" s="102"/>
      <c r="Q83" s="102"/>
      <c r="R83" s="102"/>
    </row>
    <row r="84" spans="11:18">
      <c r="L84" s="102"/>
      <c r="M84" s="102"/>
      <c r="N84" s="102"/>
      <c r="O84" s="102"/>
      <c r="P84" s="102"/>
      <c r="Q84" s="102"/>
      <c r="R84" s="102"/>
    </row>
    <row r="85" spans="11:18">
      <c r="L85" s="102"/>
      <c r="M85" s="102"/>
      <c r="N85" s="102"/>
      <c r="O85" s="102"/>
      <c r="P85" s="102"/>
      <c r="Q85" s="102"/>
      <c r="R85" s="102"/>
    </row>
    <row r="86" spans="11:18">
      <c r="L86" s="102"/>
      <c r="M86" s="102"/>
      <c r="N86" s="102"/>
      <c r="O86" s="102"/>
      <c r="P86" s="102"/>
      <c r="Q86" s="102"/>
      <c r="R86" s="102"/>
    </row>
    <row r="87" spans="11:18">
      <c r="L87" s="102"/>
      <c r="M87" s="102"/>
      <c r="N87" s="102"/>
      <c r="O87" s="102"/>
      <c r="P87" s="102"/>
      <c r="Q87" s="102"/>
      <c r="R87" s="102"/>
    </row>
    <row r="88" spans="11:18" ht="54.75" customHeight="1"/>
    <row r="97" ht="54" customHeight="1"/>
    <row r="189" spans="2:8">
      <c r="B189" s="102"/>
      <c r="C189" s="102"/>
      <c r="D189" s="102"/>
      <c r="E189" s="102"/>
      <c r="F189" s="102"/>
      <c r="G189" s="102"/>
      <c r="H189" s="102"/>
    </row>
    <row r="222" spans="10:10">
      <c r="J222" s="21"/>
    </row>
    <row r="223" spans="10:10">
      <c r="J223" s="21"/>
    </row>
    <row r="224" spans="10:10">
      <c r="J224" s="21"/>
    </row>
    <row r="225" spans="9:10">
      <c r="J225" s="21"/>
    </row>
    <row r="226" spans="9:10">
      <c r="J226" s="21"/>
    </row>
    <row r="227" spans="9:10">
      <c r="J227" s="21"/>
    </row>
    <row r="228" spans="9:10">
      <c r="J228" s="21"/>
    </row>
    <row r="229" spans="9:10">
      <c r="I229" s="102"/>
      <c r="J229" s="21"/>
    </row>
    <row r="230" spans="9:10">
      <c r="I230" s="102"/>
      <c r="J230" s="21"/>
    </row>
    <row r="231" spans="9:10">
      <c r="I231" s="102"/>
      <c r="J231" s="21"/>
    </row>
    <row r="232" spans="9:10">
      <c r="I232" s="102"/>
    </row>
    <row r="233" spans="9:10">
      <c r="I233" s="102"/>
    </row>
    <row r="234" spans="9:10">
      <c r="I234" s="102"/>
    </row>
    <row r="235" spans="9:10">
      <c r="I235" s="102"/>
    </row>
    <row r="236" spans="9:10">
      <c r="I236" s="102"/>
    </row>
    <row r="237" spans="9:10">
      <c r="I237" s="102"/>
    </row>
    <row r="238" spans="9:10">
      <c r="I238" s="102"/>
    </row>
    <row r="239" spans="9:10">
      <c r="I239" s="102"/>
    </row>
    <row r="240" spans="9:10">
      <c r="I240" s="102"/>
    </row>
    <row r="241" spans="9:9">
      <c r="I241" s="102"/>
    </row>
    <row r="242" spans="9:9">
      <c r="I242" s="102"/>
    </row>
    <row r="243" spans="9:9">
      <c r="I243" s="102"/>
    </row>
    <row r="244" spans="9:9">
      <c r="I244" s="102"/>
    </row>
    <row r="245" spans="9:9">
      <c r="I245" s="102"/>
    </row>
    <row r="246" spans="9:9">
      <c r="I246" s="102"/>
    </row>
    <row r="247" spans="9:9">
      <c r="I247" s="102"/>
    </row>
    <row r="248" spans="9:9">
      <c r="I248" s="102"/>
    </row>
    <row r="249" spans="9:9">
      <c r="I249" s="102"/>
    </row>
    <row r="250" spans="9:9">
      <c r="I250" s="102"/>
    </row>
    <row r="251" spans="9:9">
      <c r="I251" s="102"/>
    </row>
    <row r="252" spans="9:9">
      <c r="I252" s="102"/>
    </row>
    <row r="253" spans="9:9">
      <c r="I253" s="102"/>
    </row>
    <row r="254" spans="9:9">
      <c r="I254" s="102"/>
    </row>
    <row r="255" spans="9:9">
      <c r="I255" s="102"/>
    </row>
    <row r="256" spans="9:9">
      <c r="I256" s="102"/>
    </row>
    <row r="257" spans="9:9">
      <c r="I257" s="102"/>
    </row>
    <row r="258" spans="9:9">
      <c r="I258" s="102"/>
    </row>
    <row r="259" spans="9:9">
      <c r="I259" s="102"/>
    </row>
    <row r="260" spans="9:9">
      <c r="I260" s="102"/>
    </row>
    <row r="261" spans="9:9">
      <c r="I261" s="102"/>
    </row>
    <row r="262" spans="9:9">
      <c r="I262" s="102"/>
    </row>
    <row r="263" spans="9:9">
      <c r="I263" s="102"/>
    </row>
    <row r="264" spans="9:9">
      <c r="I264" s="102"/>
    </row>
    <row r="265" spans="9:9">
      <c r="I265" s="102"/>
    </row>
    <row r="266" spans="9:9">
      <c r="I266" s="102"/>
    </row>
    <row r="267" spans="9:9">
      <c r="I267" s="102"/>
    </row>
    <row r="268" spans="9:9">
      <c r="I268" s="102"/>
    </row>
    <row r="269" spans="9:9">
      <c r="I269" s="102"/>
    </row>
    <row r="270" spans="9:9">
      <c r="I270" s="102"/>
    </row>
    <row r="271" spans="9:9">
      <c r="I271" s="102"/>
    </row>
    <row r="272" spans="9:9">
      <c r="I272" s="102"/>
    </row>
    <row r="273" spans="9:9">
      <c r="I273" s="102"/>
    </row>
    <row r="274" spans="9:9">
      <c r="I274" s="102"/>
    </row>
    <row r="275" spans="9:9">
      <c r="I275" s="102"/>
    </row>
    <row r="276" spans="9:9">
      <c r="I276" s="102"/>
    </row>
    <row r="277" spans="9:9">
      <c r="I277" s="102"/>
    </row>
    <row r="278" spans="9:9">
      <c r="I278" s="102"/>
    </row>
    <row r="279" spans="9:9">
      <c r="I279" s="102"/>
    </row>
    <row r="280" spans="9:9">
      <c r="I280" s="102"/>
    </row>
    <row r="281" spans="9:9">
      <c r="I281" s="102"/>
    </row>
    <row r="282" spans="9:9">
      <c r="I282" s="102"/>
    </row>
    <row r="283" spans="9:9">
      <c r="I283" s="102"/>
    </row>
    <row r="284" spans="9:9">
      <c r="I284" s="102"/>
    </row>
    <row r="285" spans="9:9">
      <c r="I285" s="102"/>
    </row>
    <row r="286" spans="9:9">
      <c r="I286" s="102"/>
    </row>
    <row r="287" spans="9:9">
      <c r="I287" s="102"/>
    </row>
    <row r="288" spans="9:9">
      <c r="I288" s="102"/>
    </row>
    <row r="289" spans="9:9">
      <c r="I289" s="102"/>
    </row>
    <row r="290" spans="9:9">
      <c r="I290" s="102"/>
    </row>
    <row r="291" spans="9:9">
      <c r="I291" s="102"/>
    </row>
    <row r="292" spans="9:9">
      <c r="I292" s="102"/>
    </row>
    <row r="293" spans="9:9">
      <c r="I293" s="102"/>
    </row>
    <row r="294" spans="9:9">
      <c r="I294" s="102"/>
    </row>
    <row r="295" spans="9:9">
      <c r="I295" s="102"/>
    </row>
    <row r="296" spans="9:9">
      <c r="I296" s="102"/>
    </row>
    <row r="297" spans="9:9">
      <c r="I297" s="102"/>
    </row>
    <row r="298" spans="9:9">
      <c r="I298" s="102"/>
    </row>
    <row r="299" spans="9:9">
      <c r="I299" s="102"/>
    </row>
    <row r="300" spans="9:9">
      <c r="I300" s="102"/>
    </row>
    <row r="301" spans="9:9">
      <c r="I301" s="102"/>
    </row>
    <row r="302" spans="9:9">
      <c r="I302" s="102"/>
    </row>
    <row r="303" spans="9:9">
      <c r="I303" s="102"/>
    </row>
    <row r="304" spans="9:9">
      <c r="I304" s="102"/>
    </row>
    <row r="305" spans="9:9">
      <c r="I305" s="102"/>
    </row>
    <row r="306" spans="9:9">
      <c r="I306" s="102"/>
    </row>
    <row r="307" spans="9:9">
      <c r="I307" s="102"/>
    </row>
    <row r="308" spans="9:9">
      <c r="I308" s="102"/>
    </row>
    <row r="309" spans="9:9">
      <c r="I309" s="102"/>
    </row>
    <row r="310" spans="9:9">
      <c r="I310" s="102"/>
    </row>
    <row r="311" spans="9:9">
      <c r="I311" s="102"/>
    </row>
    <row r="312" spans="9:9">
      <c r="I312" s="102"/>
    </row>
    <row r="313" spans="9:9">
      <c r="I313" s="102"/>
    </row>
    <row r="314" spans="9:9">
      <c r="I314" s="102"/>
    </row>
    <row r="315" spans="9:9">
      <c r="I315" s="102"/>
    </row>
    <row r="316" spans="9:9">
      <c r="I316" s="102"/>
    </row>
    <row r="317" spans="9:9">
      <c r="I317" s="102"/>
    </row>
    <row r="318" spans="9:9">
      <c r="I318" s="102"/>
    </row>
  </sheetData>
  <mergeCells count="3">
    <mergeCell ref="A1:G1"/>
    <mergeCell ref="A12:G12"/>
    <mergeCell ref="A2:G2"/>
  </mergeCells>
  <phoneticPr fontId="0" type="noConversion"/>
  <pageMargins left="0.75" right="0.75" top="1" bottom="1" header="0.5" footer="0.5"/>
  <pageSetup scale="66" fitToHeight="0" orientation="portrait" r:id="rId1"/>
  <headerFooter alignWithMargins="0">
    <oddHeader>&amp;LRRCA 
Compact Accounting&amp;RPage &amp;P of &amp;N</oddHeader>
  </headerFooter>
  <rowBreaks count="1" manualBreakCount="1">
    <brk id="11"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FF00"/>
    <pageSetUpPr fitToPage="1"/>
  </sheetPr>
  <dimension ref="A1:Q28"/>
  <sheetViews>
    <sheetView zoomScaleNormal="100" zoomScaleSheetLayoutView="100" workbookViewId="0">
      <selection activeCell="J4" sqref="J4:Q9"/>
    </sheetView>
  </sheetViews>
  <sheetFormatPr defaultRowHeight="12.75"/>
  <cols>
    <col min="1" max="1" width="18.28515625" customWidth="1"/>
    <col min="2" max="4" width="18.28515625" style="312" customWidth="1"/>
    <col min="5" max="8" width="20.7109375" customWidth="1"/>
  </cols>
  <sheetData>
    <row r="1" spans="1:17">
      <c r="A1" s="543" t="s">
        <v>40</v>
      </c>
      <c r="B1" s="543"/>
      <c r="C1" s="543"/>
      <c r="D1" s="543"/>
      <c r="E1" s="543"/>
      <c r="F1" s="543"/>
      <c r="G1" s="543"/>
      <c r="H1" s="543"/>
    </row>
    <row r="2" spans="1:17" s="312" customFormat="1">
      <c r="A2" s="354"/>
      <c r="B2" s="345" t="s">
        <v>581</v>
      </c>
      <c r="C2" s="345" t="s">
        <v>582</v>
      </c>
      <c r="D2" s="345" t="s">
        <v>583</v>
      </c>
      <c r="E2" s="345" t="s">
        <v>584</v>
      </c>
      <c r="F2" s="345" t="s">
        <v>603</v>
      </c>
      <c r="G2" s="345" t="s">
        <v>604</v>
      </c>
      <c r="H2" s="345" t="s">
        <v>605</v>
      </c>
    </row>
    <row r="3" spans="1:17" ht="103.5" customHeight="1">
      <c r="A3" s="84" t="s">
        <v>33</v>
      </c>
      <c r="B3" s="346" t="s">
        <v>606</v>
      </c>
      <c r="C3" s="346" t="s">
        <v>607</v>
      </c>
      <c r="D3" s="346" t="s">
        <v>608</v>
      </c>
      <c r="E3" s="346" t="s">
        <v>609</v>
      </c>
      <c r="F3" s="346" t="s">
        <v>610</v>
      </c>
      <c r="G3" s="346" t="s">
        <v>611</v>
      </c>
      <c r="H3" s="346" t="s">
        <v>612</v>
      </c>
    </row>
    <row r="4" spans="1:17" ht="19.5" customHeight="1">
      <c r="A4" s="310">
        <f>INPUT!$C$1</f>
        <v>2017</v>
      </c>
      <c r="B4" s="355" t="s">
        <v>613</v>
      </c>
      <c r="C4" s="316">
        <f>'T1'!D22</f>
        <v>22960</v>
      </c>
      <c r="D4" s="175">
        <f>IF(ISNA(MATCH(A4,$A$17:$A$27,0)),0,LOOKUP(A4,$A$17:$A$27,$C$17:$C$27))</f>
        <v>0</v>
      </c>
      <c r="E4" s="314">
        <f>C4-D4</f>
        <v>22960</v>
      </c>
      <c r="F4" s="175">
        <f>'T1'!H22-'T1'!H16</f>
        <v>31810</v>
      </c>
      <c r="G4" s="309">
        <f>RWS_CWSA!Y16</f>
        <v>11330</v>
      </c>
      <c r="H4" s="175">
        <f>+E4-F4+G4</f>
        <v>2480</v>
      </c>
      <c r="J4" s="102"/>
      <c r="K4" s="102"/>
      <c r="L4" s="102"/>
      <c r="M4" s="102"/>
      <c r="N4" s="102"/>
      <c r="O4" s="102"/>
      <c r="P4" s="102"/>
      <c r="Q4" s="102"/>
    </row>
    <row r="5" spans="1:17" ht="19.5" customHeight="1">
      <c r="A5" s="310">
        <f>INPUT!$D$1</f>
        <v>2018</v>
      </c>
      <c r="B5" s="355" t="s">
        <v>614</v>
      </c>
      <c r="C5" s="316">
        <f>'T1'!D42</f>
        <v>25630</v>
      </c>
      <c r="D5" s="175">
        <f>IF(ISNA(MATCH(A5,$A$17:$A$27,0)),0,LOOKUP(A5,$A$17:$A$27,$C$17:$C$27))</f>
        <v>1852</v>
      </c>
      <c r="E5" s="314">
        <f>C5-D5</f>
        <v>23778</v>
      </c>
      <c r="F5" s="175">
        <f>'T1'!H42-'T1'!H36</f>
        <v>35130</v>
      </c>
      <c r="G5" s="309">
        <f>RWS_CWSA!Y17</f>
        <v>13578</v>
      </c>
      <c r="H5" s="175">
        <f>+E5-F5+G5</f>
        <v>2226</v>
      </c>
      <c r="J5" s="102"/>
      <c r="K5" s="102"/>
      <c r="L5" s="102"/>
      <c r="M5" s="102"/>
      <c r="N5" s="102"/>
      <c r="O5" s="102"/>
    </row>
    <row r="6" spans="1:17" ht="19.5" customHeight="1">
      <c r="A6" s="310">
        <f>INPUT!$E$1</f>
        <v>2019</v>
      </c>
      <c r="B6" s="355" t="s">
        <v>613</v>
      </c>
      <c r="C6" s="316">
        <f>'T1'!D62</f>
        <v>22710</v>
      </c>
      <c r="D6" s="175">
        <f>IF(ISNA(MATCH(A6,$A$17:$A$27,0)),0,LOOKUP(A6,$A$17:$A$27,$C$17:$C$27))</f>
        <v>0</v>
      </c>
      <c r="E6" s="314">
        <f>C6-D6</f>
        <v>22710</v>
      </c>
      <c r="F6" s="175">
        <f>'T1'!H62-'T1'!H56</f>
        <v>32740</v>
      </c>
      <c r="G6" s="309">
        <f>RWS_CWSA!Y18</f>
        <v>8905</v>
      </c>
      <c r="H6" s="175">
        <f>+E6-F6+G6</f>
        <v>-1125</v>
      </c>
      <c r="J6" s="102"/>
      <c r="K6" s="102"/>
      <c r="L6" s="102"/>
      <c r="M6" s="102"/>
      <c r="N6" s="102"/>
      <c r="O6" s="102"/>
    </row>
    <row r="7" spans="1:17" ht="19.5" customHeight="1" thickBot="1">
      <c r="A7" s="310">
        <f>INPUT!$F$1</f>
        <v>2020</v>
      </c>
      <c r="B7" s="356" t="s">
        <v>614</v>
      </c>
      <c r="C7" s="316">
        <f>'T1'!D82</f>
        <v>24200</v>
      </c>
      <c r="D7" s="175">
        <f>IF(ISNA(MATCH(A7,$A$17:$A$27,0)),0,LOOKUP(A7,$A$17:$A$27,$C$17:$C$27))</f>
        <v>0</v>
      </c>
      <c r="E7" s="314">
        <f>C7-D7</f>
        <v>24200</v>
      </c>
      <c r="F7" s="175">
        <f>'T1'!H82-'T1'!H76</f>
        <v>26910</v>
      </c>
      <c r="G7" s="309">
        <f>RWS_CWSA!Y19</f>
        <v>6218</v>
      </c>
      <c r="H7" s="175">
        <f>+E7-F7+G7</f>
        <v>3508</v>
      </c>
      <c r="J7" s="102"/>
      <c r="K7" s="102"/>
      <c r="L7" s="102"/>
      <c r="M7" s="102"/>
      <c r="N7" s="102"/>
      <c r="O7" s="102"/>
    </row>
    <row r="8" spans="1:17" ht="19.5" customHeight="1" thickTop="1" thickBot="1">
      <c r="A8" s="311">
        <f>INPUT!$G$1</f>
        <v>2021</v>
      </c>
      <c r="B8" s="356" t="s">
        <v>614</v>
      </c>
      <c r="C8" s="324">
        <f>'T1'!D102</f>
        <v>22790</v>
      </c>
      <c r="D8" s="324">
        <f>IF(ISNA(MATCH(A8,$A$17:$A$27,0)),0,LOOKUP(A8,$A$17:$A$27,$C$17:$C$27))</f>
        <v>0</v>
      </c>
      <c r="E8" s="348">
        <f>C8-D8</f>
        <v>22790</v>
      </c>
      <c r="F8" s="177">
        <f>'T1'!H102-'T1'!H96</f>
        <v>30200</v>
      </c>
      <c r="G8" s="309">
        <f>RWS_CWSA!Y20</f>
        <v>9390</v>
      </c>
      <c r="H8" s="177">
        <f>+E8-F8+G8</f>
        <v>1980</v>
      </c>
      <c r="J8" s="102"/>
      <c r="K8" s="102"/>
      <c r="L8" s="102"/>
      <c r="M8" s="102"/>
      <c r="N8" s="102"/>
      <c r="O8" s="102"/>
    </row>
    <row r="9" spans="1:17" s="30" customFormat="1" ht="19.5" customHeight="1" thickTop="1">
      <c r="A9" s="355" t="s">
        <v>698</v>
      </c>
      <c r="B9" s="355" t="s">
        <v>613</v>
      </c>
      <c r="C9" s="316">
        <f t="shared" ref="C9:H9" si="0">ROUND(+AVERAGE(C4:C8),-1)</f>
        <v>23660</v>
      </c>
      <c r="D9" s="316">
        <f t="shared" si="0"/>
        <v>370</v>
      </c>
      <c r="E9" s="316">
        <f t="shared" si="0"/>
        <v>23290</v>
      </c>
      <c r="F9" s="316">
        <f t="shared" si="0"/>
        <v>31360</v>
      </c>
      <c r="G9" s="432">
        <f t="shared" si="0"/>
        <v>9880</v>
      </c>
      <c r="H9" s="316">
        <f t="shared" si="0"/>
        <v>1810</v>
      </c>
      <c r="J9" s="102"/>
      <c r="K9" s="102"/>
      <c r="L9" s="102"/>
      <c r="M9" s="102"/>
      <c r="N9" s="102"/>
      <c r="O9" s="102"/>
    </row>
    <row r="10" spans="1:17">
      <c r="A10" s="306"/>
      <c r="B10" s="306"/>
      <c r="C10" s="306"/>
      <c r="D10" s="306"/>
    </row>
    <row r="14" spans="1:17">
      <c r="A14" s="3" t="s">
        <v>615</v>
      </c>
    </row>
    <row r="15" spans="1:17" ht="51">
      <c r="A15" s="357" t="s">
        <v>616</v>
      </c>
      <c r="B15" s="357" t="s">
        <v>617</v>
      </c>
      <c r="C15" s="357" t="s">
        <v>618</v>
      </c>
    </row>
    <row r="16" spans="1:17">
      <c r="A16" s="2"/>
      <c r="B16" s="46" t="s">
        <v>581</v>
      </c>
      <c r="C16" s="358" t="s">
        <v>582</v>
      </c>
    </row>
    <row r="17" spans="1:3" ht="18.75" customHeight="1">
      <c r="A17" s="288">
        <v>2002</v>
      </c>
      <c r="B17" s="359">
        <v>770</v>
      </c>
      <c r="C17" s="362" t="s">
        <v>597</v>
      </c>
    </row>
    <row r="18" spans="1:3" ht="18.75" customHeight="1">
      <c r="A18" s="288">
        <v>2003</v>
      </c>
      <c r="B18" s="179">
        <v>260</v>
      </c>
      <c r="C18" s="360" t="s">
        <v>597</v>
      </c>
    </row>
    <row r="19" spans="1:3" ht="18.75" customHeight="1">
      <c r="A19" s="288">
        <v>2004</v>
      </c>
      <c r="B19" s="179">
        <v>360</v>
      </c>
      <c r="C19" s="360" t="s">
        <v>597</v>
      </c>
    </row>
    <row r="20" spans="1:3" ht="18.75" customHeight="1">
      <c r="A20" s="288">
        <v>2005</v>
      </c>
      <c r="B20" s="179">
        <v>910</v>
      </c>
      <c r="C20" s="360" t="s">
        <v>597</v>
      </c>
    </row>
    <row r="21" spans="1:3" s="312" customFormat="1" ht="18.75" customHeight="1">
      <c r="A21" s="288">
        <v>2006</v>
      </c>
      <c r="B21" s="179">
        <v>1420</v>
      </c>
      <c r="C21" s="360" t="s">
        <v>597</v>
      </c>
    </row>
    <row r="22" spans="1:3" s="312" customFormat="1" ht="18.75" customHeight="1">
      <c r="A22" s="288">
        <v>2007</v>
      </c>
      <c r="B22" s="179">
        <v>2320</v>
      </c>
      <c r="C22" s="361">
        <f t="shared" ref="C22:C27" si="1">AVERAGE(B17:B21)</f>
        <v>744</v>
      </c>
    </row>
    <row r="23" spans="1:3" s="312" customFormat="1" ht="18.75" customHeight="1">
      <c r="A23" s="288">
        <v>2013</v>
      </c>
      <c r="B23" s="179">
        <v>1130</v>
      </c>
      <c r="C23" s="361">
        <f t="shared" si="1"/>
        <v>1054</v>
      </c>
    </row>
    <row r="24" spans="1:3" s="312" customFormat="1" ht="18.75" customHeight="1">
      <c r="A24" s="288">
        <v>2014</v>
      </c>
      <c r="B24" s="179">
        <v>1250</v>
      </c>
      <c r="C24" s="361">
        <f t="shared" si="1"/>
        <v>1228</v>
      </c>
    </row>
    <row r="25" spans="1:3" s="312" customFormat="1" ht="18.75" customHeight="1">
      <c r="A25" s="288">
        <v>2015</v>
      </c>
      <c r="B25" s="179">
        <v>2130</v>
      </c>
      <c r="C25" s="361">
        <f t="shared" si="1"/>
        <v>1406</v>
      </c>
    </row>
    <row r="26" spans="1:3" s="312" customFormat="1" ht="18.75" customHeight="1">
      <c r="A26" s="288">
        <v>2016</v>
      </c>
      <c r="B26" s="179">
        <v>2430</v>
      </c>
      <c r="C26" s="361">
        <f t="shared" si="1"/>
        <v>1650</v>
      </c>
    </row>
    <row r="27" spans="1:3" s="312" customFormat="1" ht="18.75" customHeight="1">
      <c r="A27" s="288">
        <v>2018</v>
      </c>
      <c r="B27" s="453">
        <f>'T1'!D76</f>
        <v>2250</v>
      </c>
      <c r="C27" s="453">
        <f t="shared" si="1"/>
        <v>1852</v>
      </c>
    </row>
    <row r="28" spans="1:3" s="312" customFormat="1" ht="18.75" customHeight="1">
      <c r="A28"/>
    </row>
  </sheetData>
  <mergeCells count="1">
    <mergeCell ref="A1:H1"/>
  </mergeCells>
  <phoneticPr fontId="0" type="noConversion"/>
  <pageMargins left="0.75" right="0.75" top="1" bottom="1" header="0.5" footer="0.5"/>
  <pageSetup scale="79" fitToHeight="2" orientation="landscape" r:id="rId1"/>
  <headerFooter alignWithMargins="0">
    <oddHeader>&amp;LRRCA 
Compact Accounting&amp;RPage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00"/>
  </sheetPr>
  <dimension ref="A1:P16"/>
  <sheetViews>
    <sheetView topLeftCell="A4" zoomScale="90" zoomScaleNormal="90" workbookViewId="0">
      <selection activeCell="A17" sqref="A17"/>
    </sheetView>
  </sheetViews>
  <sheetFormatPr defaultRowHeight="12.75"/>
  <cols>
    <col min="1" max="1" width="15.7109375" style="319" customWidth="1"/>
    <col min="2" max="3" width="14.140625" style="319" customWidth="1"/>
    <col min="4" max="4" width="17.7109375" style="319" customWidth="1"/>
    <col min="5" max="5" width="14.140625" style="319" customWidth="1"/>
    <col min="6" max="7" width="11.5703125" style="319" customWidth="1"/>
    <col min="8" max="8" width="23.85546875" style="319" customWidth="1"/>
  </cols>
  <sheetData>
    <row r="1" spans="1:16">
      <c r="A1" s="543" t="s">
        <v>41</v>
      </c>
      <c r="B1" s="543"/>
      <c r="C1" s="543"/>
      <c r="D1" s="543"/>
      <c r="E1" s="543"/>
      <c r="F1" s="543"/>
      <c r="G1" s="543"/>
    </row>
    <row r="2" spans="1:16" s="312" customFormat="1">
      <c r="A2" s="342" t="s">
        <v>161</v>
      </c>
      <c r="B2" s="342"/>
      <c r="C2" s="342"/>
      <c r="D2" s="342"/>
      <c r="E2" s="342"/>
      <c r="F2" s="342"/>
      <c r="G2" s="342"/>
      <c r="H2" s="319"/>
    </row>
    <row r="3" spans="1:16" s="312" customFormat="1" ht="76.5">
      <c r="A3" s="345" t="s">
        <v>33</v>
      </c>
      <c r="B3" s="547" t="s">
        <v>34</v>
      </c>
      <c r="C3" s="548"/>
      <c r="D3" s="548"/>
      <c r="E3" s="549"/>
      <c r="F3" s="346" t="s">
        <v>3</v>
      </c>
      <c r="G3" s="346" t="s">
        <v>35</v>
      </c>
      <c r="H3" s="347" t="s">
        <v>570</v>
      </c>
    </row>
    <row r="4" spans="1:16" s="312" customFormat="1">
      <c r="A4" s="345" t="s">
        <v>571</v>
      </c>
      <c r="B4" s="345">
        <v>1</v>
      </c>
      <c r="C4" s="345">
        <v>2</v>
      </c>
      <c r="D4" s="345">
        <v>3</v>
      </c>
      <c r="E4" s="345">
        <v>4</v>
      </c>
      <c r="F4" s="345">
        <v>5</v>
      </c>
      <c r="G4" s="345">
        <v>6</v>
      </c>
      <c r="H4" s="345">
        <v>7</v>
      </c>
    </row>
    <row r="5" spans="1:16" s="312" customFormat="1" ht="38.25">
      <c r="A5" s="345"/>
      <c r="B5" s="346" t="s">
        <v>572</v>
      </c>
      <c r="C5" s="346" t="s">
        <v>623</v>
      </c>
      <c r="D5" s="346" t="s">
        <v>573</v>
      </c>
      <c r="E5" s="346" t="s">
        <v>574</v>
      </c>
      <c r="F5" s="346"/>
      <c r="G5" s="346"/>
      <c r="H5" s="346" t="s">
        <v>575</v>
      </c>
    </row>
    <row r="6" spans="1:16" ht="20.100000000000001" customHeight="1">
      <c r="A6" s="310">
        <f>INPUT!$F$1</f>
        <v>2020</v>
      </c>
      <c r="B6" s="175">
        <f>SUM('T1'!E67:E78)</f>
        <v>30570</v>
      </c>
      <c r="C6" s="175">
        <f>0.511*('T1'!G68+'T1'!G71+'T1'!G73+'T1'!G76+'T1'!G77+'T1'!G78)</f>
        <v>8211.77</v>
      </c>
      <c r="D6" s="175">
        <f>(MAX(0,'T1'!D68-'T1'!H68)+MAX(0,'T1'!D71-'T1'!H71)+MAX(0,'T1'!D76-'T1'!H76))*0.511</f>
        <v>1701.63</v>
      </c>
      <c r="E6" s="250">
        <f>B6+C6+D6</f>
        <v>40483.4</v>
      </c>
      <c r="F6" s="175">
        <f>SUM('T1'!I67:I78)</f>
        <v>23700</v>
      </c>
      <c r="G6" s="309" t="s">
        <v>597</v>
      </c>
      <c r="H6" s="175">
        <f>+E6-(F6)</f>
        <v>16783.400000000001</v>
      </c>
      <c r="J6" s="102"/>
      <c r="K6" s="102"/>
      <c r="L6" s="102"/>
      <c r="M6" s="102"/>
      <c r="N6" s="102"/>
      <c r="O6" s="102"/>
      <c r="P6" s="102"/>
    </row>
    <row r="7" spans="1:16" ht="20.100000000000001" customHeight="1" thickBot="1">
      <c r="A7" s="311">
        <f>INPUT!$G$1</f>
        <v>2021</v>
      </c>
      <c r="B7" s="177">
        <f>SUM('T1'!E87:E98)</f>
        <v>25860</v>
      </c>
      <c r="C7" s="177">
        <f>0.511*('T1'!G88+'T1'!G91+'T1'!G93+'T1'!G96+'T1'!G97+'T1'!G98)</f>
        <v>6607.2300000000005</v>
      </c>
      <c r="D7" s="177">
        <f>(MAX(0,'T1'!D88-'T1'!H88)+MAX(0,'T1'!D91-'T1'!H91)+MAX(0,'T1'!D96-'T1'!H96))*0.511</f>
        <v>1589.21</v>
      </c>
      <c r="E7" s="331">
        <f>B7+C7+D7</f>
        <v>34056.44</v>
      </c>
      <c r="F7" s="177">
        <f>SUM('T1'!I87:I98)</f>
        <v>20650</v>
      </c>
      <c r="G7" s="330" t="s">
        <v>597</v>
      </c>
      <c r="H7" s="177">
        <f>+E7-(F7)</f>
        <v>13406.440000000002</v>
      </c>
      <c r="J7" s="102"/>
      <c r="K7" s="102"/>
      <c r="L7" s="102"/>
      <c r="M7" s="102"/>
      <c r="N7" s="102"/>
      <c r="O7" s="102"/>
      <c r="P7" s="102"/>
    </row>
    <row r="8" spans="1:16" ht="20.100000000000001" customHeight="1" thickTop="1">
      <c r="A8" s="355" t="s">
        <v>695</v>
      </c>
      <c r="B8" s="175">
        <f>AVERAGE(B6:B7)</f>
        <v>28215</v>
      </c>
      <c r="C8" s="175">
        <f>AVERAGE(C6:C7)</f>
        <v>7409.5</v>
      </c>
      <c r="D8" s="175">
        <f>AVERAGE(D6:D7)</f>
        <v>1645.42</v>
      </c>
      <c r="E8" s="175">
        <f>AVERAGE(E6:E7)</f>
        <v>37269.919999999998</v>
      </c>
      <c r="F8" s="175">
        <f>AVERAGE(F6:F7)</f>
        <v>22175</v>
      </c>
      <c r="G8" s="175" t="s">
        <v>597</v>
      </c>
      <c r="H8" s="175">
        <f>AVERAGE(H6:H7)</f>
        <v>15094.920000000002</v>
      </c>
      <c r="J8" s="102"/>
      <c r="K8" s="102"/>
      <c r="L8" s="102"/>
      <c r="M8" s="102"/>
      <c r="N8" s="102"/>
      <c r="O8" s="102"/>
      <c r="P8" s="102"/>
    </row>
    <row r="9" spans="1:16">
      <c r="J9" s="102"/>
      <c r="K9" s="102"/>
      <c r="L9" s="102"/>
      <c r="M9" s="102"/>
      <c r="N9" s="102"/>
      <c r="O9" s="102"/>
      <c r="P9" s="102"/>
    </row>
    <row r="10" spans="1:16">
      <c r="A10" s="543" t="s">
        <v>430</v>
      </c>
      <c r="B10" s="543"/>
      <c r="C10" s="543"/>
      <c r="D10" s="543"/>
      <c r="E10" s="543"/>
      <c r="F10" s="543"/>
      <c r="G10" s="543"/>
      <c r="J10" s="102"/>
      <c r="K10" s="102"/>
      <c r="L10" s="102"/>
      <c r="M10" s="102"/>
      <c r="N10" s="102"/>
      <c r="O10" s="102"/>
      <c r="P10" s="102"/>
    </row>
    <row r="11" spans="1:16" ht="12.75" customHeight="1">
      <c r="A11" s="286"/>
      <c r="B11" s="544" t="s">
        <v>34</v>
      </c>
      <c r="C11" s="544"/>
      <c r="D11" s="544"/>
      <c r="E11" s="545" t="s">
        <v>3</v>
      </c>
      <c r="F11" s="546" t="s">
        <v>565</v>
      </c>
      <c r="G11" s="546" t="s">
        <v>566</v>
      </c>
      <c r="J11" s="102"/>
      <c r="K11" s="102"/>
      <c r="L11" s="102"/>
      <c r="M11" s="102"/>
      <c r="N11" s="102"/>
      <c r="O11" s="102"/>
      <c r="P11" s="102"/>
    </row>
    <row r="12" spans="1:16" ht="39.75" customHeight="1">
      <c r="A12" s="323" t="s">
        <v>33</v>
      </c>
      <c r="B12" s="323" t="s">
        <v>42</v>
      </c>
      <c r="C12" s="323" t="s">
        <v>624</v>
      </c>
      <c r="D12" s="323" t="s">
        <v>4</v>
      </c>
      <c r="E12" s="545"/>
      <c r="F12" s="545"/>
      <c r="G12" s="546"/>
      <c r="J12" s="102"/>
      <c r="K12" s="102"/>
      <c r="L12" s="102"/>
      <c r="M12" s="102"/>
      <c r="N12" s="102"/>
      <c r="O12" s="102"/>
      <c r="P12" s="102"/>
    </row>
    <row r="13" spans="1:16" ht="20.100000000000001" customHeight="1">
      <c r="A13" s="310">
        <f>INPUT!$E$1</f>
        <v>2019</v>
      </c>
      <c r="B13" s="175">
        <f>SUM('T1'!F47:F58)</f>
        <v>107230</v>
      </c>
      <c r="C13" s="175">
        <f>0.489*SUM('T1'!G47:G58)</f>
        <v>86685.03</v>
      </c>
      <c r="D13" s="175">
        <f>+B13+C13</f>
        <v>193915.03</v>
      </c>
      <c r="E13" s="175">
        <f>SUM('T1'!J47:J58)</f>
        <v>137820</v>
      </c>
      <c r="F13" s="175">
        <f>GM_output!Q28-GM_output!Q27+RWS_CWSA!AB18</f>
        <v>11441</v>
      </c>
      <c r="G13" s="175">
        <f>+D13-(E13-F13)</f>
        <v>67536.03</v>
      </c>
      <c r="J13" s="102"/>
      <c r="K13" s="102"/>
      <c r="L13" s="102"/>
      <c r="M13" s="102"/>
      <c r="N13" s="102"/>
      <c r="O13" s="102"/>
      <c r="P13" s="102"/>
    </row>
    <row r="14" spans="1:16" ht="20.100000000000001" customHeight="1">
      <c r="A14" s="310">
        <f>INPUT!$F$1</f>
        <v>2020</v>
      </c>
      <c r="B14" s="175">
        <f>SUM('T1'!F67:F78)</f>
        <v>95240</v>
      </c>
      <c r="C14" s="175">
        <f>0.489*SUM('T1'!G67:G78)</f>
        <v>78440.490000000005</v>
      </c>
      <c r="D14" s="175">
        <f>+B14+C14</f>
        <v>173680.49</v>
      </c>
      <c r="E14" s="175">
        <f>SUM('T1'!J67:J78)</f>
        <v>132980</v>
      </c>
      <c r="F14" s="175">
        <f>GM_output!W28-GM_output!W27+RWS_CWSA!AB19</f>
        <v>10716</v>
      </c>
      <c r="G14" s="175">
        <f>+D14-(E14-F14)</f>
        <v>51416.489999999991</v>
      </c>
      <c r="J14" s="102"/>
      <c r="K14" s="102"/>
      <c r="L14" s="102"/>
      <c r="M14" s="102"/>
      <c r="N14" s="102"/>
      <c r="O14" s="102"/>
      <c r="P14" s="102"/>
    </row>
    <row r="15" spans="1:16" ht="20.100000000000001" customHeight="1" thickBot="1">
      <c r="A15" s="311">
        <f>INPUT!$G$1</f>
        <v>2021</v>
      </c>
      <c r="B15" s="177">
        <f>SUM('T1'!F87:F98)</f>
        <v>89710</v>
      </c>
      <c r="C15" s="177">
        <f>0.489*SUM('T1'!G87:G98)</f>
        <v>68225.279999999999</v>
      </c>
      <c r="D15" s="177">
        <f>+B15+C15</f>
        <v>157935.28</v>
      </c>
      <c r="E15" s="177">
        <f>SUM('T1'!J87:J98)</f>
        <v>133520</v>
      </c>
      <c r="F15" s="177">
        <f>GM_output!AC28-GM_output!AC27+RWS_CWSA!AB20</f>
        <v>10822</v>
      </c>
      <c r="G15" s="177">
        <f>+D15-(E15-F15)</f>
        <v>35237.279999999999</v>
      </c>
      <c r="J15" s="102"/>
      <c r="K15" s="102"/>
      <c r="L15" s="102"/>
      <c r="M15" s="102"/>
      <c r="N15" s="102"/>
      <c r="O15" s="102"/>
      <c r="P15" s="102"/>
    </row>
    <row r="16" spans="1:16" ht="20.100000000000001" customHeight="1" thickTop="1">
      <c r="A16" s="355" t="s">
        <v>695</v>
      </c>
      <c r="B16" s="175">
        <f t="shared" ref="B16:G16" si="0">AVERAGE(B14:B15)</f>
        <v>92475</v>
      </c>
      <c r="C16" s="175">
        <f t="shared" si="0"/>
        <v>73332.885000000009</v>
      </c>
      <c r="D16" s="175">
        <f t="shared" si="0"/>
        <v>165807.88500000001</v>
      </c>
      <c r="E16" s="175">
        <f t="shared" si="0"/>
        <v>133250</v>
      </c>
      <c r="F16" s="175">
        <f t="shared" si="0"/>
        <v>10769</v>
      </c>
      <c r="G16" s="175">
        <f t="shared" si="0"/>
        <v>43326.884999999995</v>
      </c>
      <c r="J16" s="102"/>
      <c r="K16" s="102"/>
      <c r="L16" s="102"/>
      <c r="M16" s="102"/>
      <c r="N16" s="102"/>
      <c r="O16" s="102"/>
      <c r="P16" s="102"/>
    </row>
  </sheetData>
  <mergeCells count="7">
    <mergeCell ref="A1:G1"/>
    <mergeCell ref="A10:G10"/>
    <mergeCell ref="B11:D11"/>
    <mergeCell ref="E11:E12"/>
    <mergeCell ref="F11:F12"/>
    <mergeCell ref="G11:G12"/>
    <mergeCell ref="B3:E3"/>
  </mergeCells>
  <phoneticPr fontId="0" type="noConversion"/>
  <pageMargins left="0.75" right="0.75" top="1" bottom="1" header="0.5" footer="0.5"/>
  <pageSetup scale="92" fitToHeight="2" orientation="landscape" r:id="rId1"/>
  <headerFooter alignWithMargins="0">
    <oddHeader>&amp;LRRCA 
Compact Accounting&amp;RPage &amp;P of &amp;N</oddHeader>
  </headerFooter>
  <rowBreaks count="1" manualBreakCount="1">
    <brk id="9"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FF00"/>
  </sheetPr>
  <dimension ref="A1:U20"/>
  <sheetViews>
    <sheetView zoomScale="80" zoomScaleNormal="80" workbookViewId="0">
      <selection activeCell="G30" sqref="G30"/>
    </sheetView>
  </sheetViews>
  <sheetFormatPr defaultRowHeight="12.75"/>
  <cols>
    <col min="1" max="1" width="14.7109375" style="319" customWidth="1"/>
    <col min="2" max="2" width="16.7109375" style="319" customWidth="1"/>
    <col min="3" max="3" width="18.140625" style="319" customWidth="1"/>
    <col min="4" max="5" width="14.42578125" style="319" customWidth="1"/>
    <col min="6" max="8" width="12.7109375" style="319" customWidth="1"/>
    <col min="9" max="9" width="15.7109375" style="319" customWidth="1"/>
    <col min="10" max="10" width="26" style="319" customWidth="1"/>
    <col min="11" max="11" width="16" style="319" customWidth="1"/>
  </cols>
  <sheetData>
    <row r="1" spans="1:21">
      <c r="A1" s="543" t="s">
        <v>49</v>
      </c>
      <c r="B1" s="543"/>
      <c r="C1" s="543"/>
      <c r="D1" s="543"/>
      <c r="E1" s="543"/>
      <c r="F1" s="543"/>
      <c r="G1" s="543"/>
      <c r="H1" s="543"/>
      <c r="I1" s="543"/>
      <c r="J1" s="543"/>
    </row>
    <row r="2" spans="1:21" ht="76.5">
      <c r="A2" s="343" t="s">
        <v>33</v>
      </c>
      <c r="B2" s="544" t="s">
        <v>34</v>
      </c>
      <c r="C2" s="544"/>
      <c r="D2" s="544"/>
      <c r="E2" s="544"/>
      <c r="F2" s="544" t="s">
        <v>3</v>
      </c>
      <c r="G2" s="544"/>
      <c r="H2" s="544"/>
      <c r="I2" s="347" t="s">
        <v>577</v>
      </c>
      <c r="J2" s="347" t="s">
        <v>578</v>
      </c>
    </row>
    <row r="3" spans="1:21">
      <c r="A3" s="48" t="s">
        <v>571</v>
      </c>
      <c r="B3" s="48" t="s">
        <v>336</v>
      </c>
      <c r="C3" s="48" t="s">
        <v>337</v>
      </c>
      <c r="D3" s="48" t="s">
        <v>338</v>
      </c>
      <c r="E3" s="48" t="s">
        <v>339</v>
      </c>
      <c r="F3" s="48" t="s">
        <v>340</v>
      </c>
      <c r="G3" s="48" t="s">
        <v>341</v>
      </c>
      <c r="H3" s="48" t="s">
        <v>342</v>
      </c>
      <c r="I3" s="48" t="s">
        <v>343</v>
      </c>
      <c r="J3" s="48" t="s">
        <v>344</v>
      </c>
    </row>
    <row r="4" spans="1:21" s="312" customFormat="1" ht="68.25" customHeight="1">
      <c r="A4" s="343"/>
      <c r="B4" s="343" t="s">
        <v>43</v>
      </c>
      <c r="C4" s="343" t="s">
        <v>44</v>
      </c>
      <c r="D4" s="344" t="s">
        <v>45</v>
      </c>
      <c r="E4" s="344" t="s">
        <v>576</v>
      </c>
      <c r="F4" s="343" t="s">
        <v>46</v>
      </c>
      <c r="G4" s="343" t="s">
        <v>47</v>
      </c>
      <c r="H4" s="343" t="s">
        <v>48</v>
      </c>
      <c r="I4" s="344" t="s">
        <v>579</v>
      </c>
      <c r="J4" s="344" t="s">
        <v>580</v>
      </c>
      <c r="K4" s="319"/>
    </row>
    <row r="5" spans="1:21" ht="20.100000000000001" customHeight="1">
      <c r="A5" s="310">
        <f>INPUT!$F$1</f>
        <v>2020</v>
      </c>
      <c r="B5" s="175">
        <f>'T1'!F82</f>
        <v>303070</v>
      </c>
      <c r="C5" s="175">
        <f>Attachment6!R7</f>
        <v>17776.852135898665</v>
      </c>
      <c r="D5" s="175">
        <f>+B5-C5</f>
        <v>285293.14786410134</v>
      </c>
      <c r="E5" s="175">
        <f>(MAX(0,'T1'!D67-'T1'!H67)+MAX(0,'T1'!D68-'T1'!H68)+MAX(0,'T1'!D71-'T1'!H71)+MAX(0,'T1'!D76-'T1'!H76))*0.489</f>
        <v>1628.37</v>
      </c>
      <c r="F5" s="175">
        <f>'T1'!J82</f>
        <v>252400</v>
      </c>
      <c r="G5" s="175">
        <f>Attachment6!J7</f>
        <v>2266.3791281943909</v>
      </c>
      <c r="H5" s="175">
        <f>+F5-G5</f>
        <v>250133.62087180562</v>
      </c>
      <c r="I5" s="175">
        <f>GM_output!W32+RWS_CWSA!AB19</f>
        <v>18995</v>
      </c>
      <c r="J5" s="175">
        <f>+D5+E5-(H5-I5)</f>
        <v>55782.896992295719</v>
      </c>
      <c r="L5" s="102"/>
      <c r="M5" s="102"/>
      <c r="N5" s="102"/>
      <c r="O5" s="102"/>
      <c r="P5" s="102"/>
      <c r="Q5" s="102"/>
      <c r="R5" s="102"/>
      <c r="S5" s="102"/>
      <c r="T5" s="102"/>
      <c r="U5" s="102"/>
    </row>
    <row r="6" spans="1:21" ht="20.100000000000001" customHeight="1" thickBot="1">
      <c r="A6" s="311">
        <f>INPUT!$G$1</f>
        <v>2021</v>
      </c>
      <c r="B6" s="177">
        <f>'T1'!F102</f>
        <v>258180</v>
      </c>
      <c r="C6" s="177">
        <f>Attachment6!R8</f>
        <v>6503.1599523120012</v>
      </c>
      <c r="D6" s="177">
        <f>+B6-C6</f>
        <v>251676.84004768799</v>
      </c>
      <c r="E6" s="177">
        <f>(MAX(0,'T1'!D87-'T1'!H87)+MAX(0,'T1'!D88-'T1'!H88)+MAX(0,'T1'!D91-'T1'!H91)+MAX(0,'T1'!D96-'T1'!H96))*0.489</f>
        <v>1520.79</v>
      </c>
      <c r="F6" s="177">
        <f>'T1'!J102</f>
        <v>252650</v>
      </c>
      <c r="G6" s="175">
        <f>Attachment6!J8</f>
        <v>3083.75</v>
      </c>
      <c r="H6" s="177">
        <f>+F6-G6</f>
        <v>249566.25</v>
      </c>
      <c r="I6" s="175">
        <f>GM_output!AC32+RWS_CWSA!AB20</f>
        <v>21485</v>
      </c>
      <c r="J6" s="177">
        <f>+D6+E6-(H6-I6)</f>
        <v>25116.380047687999</v>
      </c>
      <c r="L6" s="102"/>
      <c r="M6" s="102"/>
      <c r="N6" s="102"/>
      <c r="O6" s="102"/>
      <c r="P6" s="102"/>
      <c r="Q6" s="102"/>
      <c r="R6" s="102"/>
      <c r="S6" s="102"/>
      <c r="T6" s="102"/>
      <c r="U6" s="102"/>
    </row>
    <row r="7" spans="1:21" ht="20.100000000000001" customHeight="1" thickTop="1">
      <c r="A7" s="355" t="s">
        <v>695</v>
      </c>
      <c r="B7" s="175">
        <f t="shared" ref="B7:I7" si="0">ROUND(AVERAGE(B5:B6),-1)</f>
        <v>280630</v>
      </c>
      <c r="C7" s="175">
        <f t="shared" si="0"/>
        <v>12140</v>
      </c>
      <c r="D7" s="175">
        <f t="shared" si="0"/>
        <v>268480</v>
      </c>
      <c r="E7" s="175">
        <f t="shared" si="0"/>
        <v>1570</v>
      </c>
      <c r="F7" s="175">
        <f t="shared" si="0"/>
        <v>252530</v>
      </c>
      <c r="G7" s="175">
        <f t="shared" si="0"/>
        <v>2680</v>
      </c>
      <c r="H7" s="175">
        <f t="shared" si="0"/>
        <v>249850</v>
      </c>
      <c r="I7" s="175">
        <f t="shared" si="0"/>
        <v>20240</v>
      </c>
      <c r="J7" s="175">
        <f>ROUND(AVERAGE(J5:J6),-1)</f>
        <v>40450</v>
      </c>
      <c r="K7" s="262"/>
      <c r="L7" s="102"/>
      <c r="M7" s="102"/>
      <c r="N7" s="102"/>
      <c r="O7" s="102"/>
      <c r="P7" s="102"/>
      <c r="Q7" s="102"/>
      <c r="R7" s="102"/>
      <c r="S7" s="102"/>
      <c r="T7" s="102"/>
      <c r="U7" s="102"/>
    </row>
    <row r="8" spans="1:21">
      <c r="L8" s="102"/>
      <c r="M8" s="102"/>
      <c r="N8" s="102"/>
      <c r="O8" s="102"/>
      <c r="P8" s="102"/>
      <c r="Q8" s="102"/>
      <c r="R8" s="102"/>
      <c r="S8" s="102"/>
      <c r="T8" s="102"/>
      <c r="U8" s="102"/>
    </row>
    <row r="9" spans="1:21">
      <c r="A9" s="543" t="s">
        <v>431</v>
      </c>
      <c r="B9" s="543"/>
      <c r="C9" s="543"/>
      <c r="D9" s="543"/>
      <c r="E9" s="543"/>
      <c r="F9" s="543"/>
      <c r="G9" s="543"/>
      <c r="H9" s="543"/>
      <c r="I9" s="543"/>
      <c r="J9" s="543"/>
      <c r="L9" s="102"/>
      <c r="M9" s="102"/>
      <c r="N9" s="102"/>
      <c r="O9" s="102"/>
      <c r="P9" s="102"/>
      <c r="Q9" s="102"/>
      <c r="R9" s="102"/>
      <c r="S9" s="102"/>
      <c r="T9" s="102"/>
      <c r="U9" s="102"/>
    </row>
    <row r="10" spans="1:21" ht="12.75" customHeight="1">
      <c r="A10" s="343" t="s">
        <v>33</v>
      </c>
      <c r="B10" s="544" t="s">
        <v>34</v>
      </c>
      <c r="C10" s="544"/>
      <c r="D10" s="544"/>
      <c r="E10" s="544"/>
      <c r="F10" s="544" t="s">
        <v>3</v>
      </c>
      <c r="G10" s="544"/>
      <c r="H10" s="544"/>
      <c r="I10" s="347" t="s">
        <v>577</v>
      </c>
      <c r="J10" s="347" t="s">
        <v>578</v>
      </c>
      <c r="L10" s="102"/>
      <c r="M10" s="102"/>
      <c r="N10" s="102"/>
      <c r="O10" s="102"/>
      <c r="P10" s="102"/>
      <c r="Q10" s="102"/>
      <c r="R10" s="102"/>
      <c r="S10" s="102"/>
      <c r="T10" s="102"/>
      <c r="U10" s="102"/>
    </row>
    <row r="11" spans="1:21">
      <c r="A11" s="48" t="s">
        <v>571</v>
      </c>
      <c r="B11" s="48" t="s">
        <v>336</v>
      </c>
      <c r="C11" s="48" t="s">
        <v>337</v>
      </c>
      <c r="D11" s="48" t="s">
        <v>338</v>
      </c>
      <c r="E11" s="48" t="s">
        <v>339</v>
      </c>
      <c r="F11" s="48" t="s">
        <v>340</v>
      </c>
      <c r="G11" s="48" t="s">
        <v>341</v>
      </c>
      <c r="H11" s="48" t="s">
        <v>342</v>
      </c>
      <c r="I11" s="48" t="s">
        <v>343</v>
      </c>
      <c r="J11" s="48" t="s">
        <v>344</v>
      </c>
      <c r="L11" s="102"/>
      <c r="M11" s="102"/>
      <c r="N11" s="102"/>
      <c r="O11" s="102"/>
      <c r="P11" s="102"/>
      <c r="Q11" s="102"/>
      <c r="R11" s="102"/>
      <c r="S11" s="102"/>
      <c r="T11" s="102"/>
      <c r="U11" s="102"/>
    </row>
    <row r="12" spans="1:21" s="312" customFormat="1" ht="40.5" customHeight="1">
      <c r="A12" s="343"/>
      <c r="B12" s="343" t="s">
        <v>43</v>
      </c>
      <c r="C12" s="343" t="s">
        <v>44</v>
      </c>
      <c r="D12" s="344" t="s">
        <v>45</v>
      </c>
      <c r="E12" s="344" t="s">
        <v>576</v>
      </c>
      <c r="F12" s="343" t="s">
        <v>46</v>
      </c>
      <c r="G12" s="343" t="s">
        <v>47</v>
      </c>
      <c r="H12" s="343" t="s">
        <v>48</v>
      </c>
      <c r="I12" s="344" t="s">
        <v>579</v>
      </c>
      <c r="J12" s="344" t="s">
        <v>580</v>
      </c>
      <c r="K12" s="319"/>
      <c r="L12" s="102"/>
      <c r="M12" s="102"/>
      <c r="N12" s="102"/>
      <c r="O12" s="102"/>
      <c r="P12" s="102"/>
      <c r="Q12" s="102"/>
      <c r="R12" s="102"/>
      <c r="S12" s="102"/>
      <c r="T12" s="102"/>
      <c r="U12" s="102"/>
    </row>
    <row r="13" spans="1:21" ht="20.100000000000001" customHeight="1">
      <c r="A13" s="310">
        <f>INPUT!$E$1</f>
        <v>2019</v>
      </c>
      <c r="B13" s="175">
        <f>'T1'!F62</f>
        <v>389300</v>
      </c>
      <c r="C13" s="175">
        <f>Attachment6!R6</f>
        <v>56293.563539760005</v>
      </c>
      <c r="D13" s="175">
        <f>B13-C13</f>
        <v>333006.43646023999</v>
      </c>
      <c r="E13" s="175">
        <f>MAX(0,'T1'!D47-'T1'!H47)+(MAX(0,'T1'!D48-'T1'!H48)+MAX(0,'T1'!D51-'T1'!H51)+MAX(0,'T1'!D56-'T1'!H56))*0.489</f>
        <v>1511.01</v>
      </c>
      <c r="F13" s="175">
        <f>'T1'!J62</f>
        <v>262870</v>
      </c>
      <c r="G13" s="175">
        <f>Attachment6!J6</f>
        <v>1780</v>
      </c>
      <c r="H13" s="175">
        <f>F13-G13</f>
        <v>261090</v>
      </c>
      <c r="I13" s="175">
        <f>GM_output!Q32+RWS_CWSA!AB18</f>
        <v>26541</v>
      </c>
      <c r="J13" s="175">
        <f>+D13+E13-(H13-I13)</f>
        <v>99968.446460239997</v>
      </c>
      <c r="L13" s="102"/>
      <c r="M13" s="102"/>
      <c r="N13" s="102"/>
      <c r="O13" s="102"/>
      <c r="P13" s="102"/>
      <c r="Q13" s="102"/>
      <c r="R13" s="102"/>
      <c r="S13" s="102"/>
      <c r="T13" s="102"/>
      <c r="U13" s="102"/>
    </row>
    <row r="14" spans="1:21" ht="20.100000000000001" customHeight="1">
      <c r="A14" s="310">
        <f>INPUT!$F$1</f>
        <v>2020</v>
      </c>
      <c r="B14" s="175">
        <f>'T1'!F82</f>
        <v>303070</v>
      </c>
      <c r="C14" s="175">
        <f>Attachment6!R7</f>
        <v>17776.852135898665</v>
      </c>
      <c r="D14" s="175">
        <f>B14-C14</f>
        <v>285293.14786410134</v>
      </c>
      <c r="E14" s="175">
        <f>(MAX(0,'T1'!D67-'T1'!H67)+MAX(0,'T1'!D68-'T1'!H68)+MAX(0,'T1'!D71-'T1'!H71)+MAX(0,'T1'!D76-'T1'!H76))*0.489</f>
        <v>1628.37</v>
      </c>
      <c r="F14" s="175">
        <f>'T1'!J82</f>
        <v>252400</v>
      </c>
      <c r="G14" s="175">
        <f>Attachment6!J7</f>
        <v>2266.3791281943909</v>
      </c>
      <c r="H14" s="175">
        <f>F14-G14</f>
        <v>250133.62087180562</v>
      </c>
      <c r="I14" s="175">
        <f>GM_output!W32+RWS_CWSA!AB19</f>
        <v>18995</v>
      </c>
      <c r="J14" s="175">
        <f>+D14+E14-(H14-I14)</f>
        <v>55782.896992295719</v>
      </c>
      <c r="L14" s="102"/>
      <c r="M14" s="102"/>
      <c r="N14" s="102"/>
      <c r="O14" s="102"/>
      <c r="P14" s="102"/>
      <c r="Q14" s="102"/>
      <c r="R14" s="102"/>
      <c r="S14" s="102"/>
      <c r="T14" s="102"/>
      <c r="U14" s="102"/>
    </row>
    <row r="15" spans="1:21" ht="20.100000000000001" customHeight="1" thickBot="1">
      <c r="A15" s="311">
        <f>INPUT!$G$1</f>
        <v>2021</v>
      </c>
      <c r="B15" s="177">
        <f>'T1'!F102</f>
        <v>258180</v>
      </c>
      <c r="C15" s="177">
        <f>Attachment6!R8</f>
        <v>6503.1599523120012</v>
      </c>
      <c r="D15" s="175">
        <f>B15-C15</f>
        <v>251676.84004768799</v>
      </c>
      <c r="E15" s="177">
        <f>(MAX(0,'T1'!D87-'T1'!H87)+MAX(0,'T1'!D88-'T1'!H88)+MAX(0,'T1'!D91-'T1'!H91)+MAX(0,'T1'!D96-'T1'!H96))*0.489</f>
        <v>1520.79</v>
      </c>
      <c r="F15" s="177">
        <f>'T1'!J102</f>
        <v>252650</v>
      </c>
      <c r="G15" s="175">
        <f>Attachment6!J8</f>
        <v>3083.75</v>
      </c>
      <c r="H15" s="175">
        <f>F15-G15</f>
        <v>249566.25</v>
      </c>
      <c r="I15" s="177">
        <f>GM_output!AC32+RWS_CWSA!AB20</f>
        <v>21485</v>
      </c>
      <c r="J15" s="177">
        <f>+D15+E15-(H15-I15)</f>
        <v>25116.380047687999</v>
      </c>
      <c r="L15" s="102"/>
      <c r="M15" s="102"/>
      <c r="N15" s="102"/>
      <c r="O15" s="102"/>
      <c r="P15" s="102"/>
      <c r="Q15" s="102"/>
      <c r="R15" s="102"/>
      <c r="S15" s="102"/>
      <c r="T15" s="102"/>
      <c r="U15" s="102"/>
    </row>
    <row r="16" spans="1:21" ht="20.100000000000001" customHeight="1" thickTop="1">
      <c r="A16" s="355" t="s">
        <v>696</v>
      </c>
      <c r="B16" s="175">
        <f>ROUND(AVERAGE(B13:B15),-1)</f>
        <v>316850</v>
      </c>
      <c r="C16" s="175">
        <f t="shared" ref="C16:I16" si="1">ROUND(AVERAGE(C13:C15),-1)</f>
        <v>26860</v>
      </c>
      <c r="D16" s="175">
        <f t="shared" si="1"/>
        <v>289990</v>
      </c>
      <c r="E16" s="332">
        <f t="shared" si="1"/>
        <v>1550</v>
      </c>
      <c r="F16" s="175">
        <f t="shared" si="1"/>
        <v>255970</v>
      </c>
      <c r="G16" s="175">
        <f t="shared" si="1"/>
        <v>2380</v>
      </c>
      <c r="H16" s="175">
        <f t="shared" si="1"/>
        <v>253600</v>
      </c>
      <c r="I16" s="175">
        <f t="shared" si="1"/>
        <v>22340</v>
      </c>
      <c r="J16" s="175">
        <f>ROUND(AVERAGE(J13:J15),-1)</f>
        <v>60290</v>
      </c>
      <c r="L16" s="102"/>
      <c r="M16" s="102"/>
      <c r="N16" s="102"/>
      <c r="O16" s="102"/>
      <c r="P16" s="102"/>
      <c r="Q16" s="102"/>
      <c r="R16" s="102"/>
      <c r="S16" s="102"/>
      <c r="T16" s="102"/>
      <c r="U16" s="102"/>
    </row>
    <row r="17" spans="4:12">
      <c r="L17" s="102"/>
    </row>
    <row r="20" spans="4:12" ht="15">
      <c r="D20" s="333"/>
      <c r="E20" s="333"/>
    </row>
  </sheetData>
  <mergeCells count="6">
    <mergeCell ref="F10:H10"/>
    <mergeCell ref="A1:J1"/>
    <mergeCell ref="F2:H2"/>
    <mergeCell ref="A9:J9"/>
    <mergeCell ref="B2:E2"/>
    <mergeCell ref="B10:E10"/>
  </mergeCells>
  <phoneticPr fontId="0" type="noConversion"/>
  <pageMargins left="0.75" right="0.75" top="1" bottom="1" header="0.5" footer="0.5"/>
  <pageSetup scale="91" fitToHeight="2" orientation="landscape" r:id="rId1"/>
  <headerFooter alignWithMargins="0">
    <oddHeader>&amp;L&amp;F&amp;RPRIVILEGED AND CONFIDENTIAL</oddHeader>
  </headerFooter>
  <rowBreaks count="1" manualBreakCount="1">
    <brk id="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55</vt:i4>
      </vt:variant>
    </vt:vector>
  </HeadingPairs>
  <TitlesOfParts>
    <vt:vector size="84" baseType="lpstr">
      <vt:lpstr>RWS_CWSA</vt:lpstr>
      <vt:lpstr>INPUT</vt:lpstr>
      <vt:lpstr>T1</vt:lpstr>
      <vt:lpstr>T2</vt:lpstr>
      <vt:lpstr>T3 A,B,C</vt:lpstr>
      <vt:lpstr>T4 A,B</vt:lpstr>
      <vt:lpstr>T5A,F</vt:lpstr>
      <vt:lpstr>T5 B,E</vt:lpstr>
      <vt:lpstr>T5 C,D</vt:lpstr>
      <vt:lpstr>Attachment1</vt:lpstr>
      <vt:lpstr>Attachment6</vt:lpstr>
      <vt:lpstr>Attachment7</vt:lpstr>
      <vt:lpstr>FLOOD</vt:lpstr>
      <vt:lpstr>NORTH FORK</vt:lpstr>
      <vt:lpstr>ARIKAREE</vt:lpstr>
      <vt:lpstr>BUFFALO</vt:lpstr>
      <vt:lpstr>ROCK</vt:lpstr>
      <vt:lpstr>SOUTH FORK</vt:lpstr>
      <vt:lpstr>FRENCHMAN</vt:lpstr>
      <vt:lpstr>DRIFTWOOD</vt:lpstr>
      <vt:lpstr>RED WILLOW</vt:lpstr>
      <vt:lpstr>MEDICINE CREEK</vt:lpstr>
      <vt:lpstr>BEAVER</vt:lpstr>
      <vt:lpstr>SAPPA</vt:lpstr>
      <vt:lpstr>PRAIRIE DOG</vt:lpstr>
      <vt:lpstr>MAINSTEM</vt:lpstr>
      <vt:lpstr>CourtlandAvLove</vt:lpstr>
      <vt:lpstr>GM_output</vt:lpstr>
      <vt:lpstr>Fed_Reservoir</vt:lpstr>
      <vt:lpstr>RWS_CWSA!_ftn1</vt:lpstr>
      <vt:lpstr>RWS_CWSA!_ftnref1</vt:lpstr>
      <vt:lpstr>CanalCUPercent1</vt:lpstr>
      <vt:lpstr>CanalCUPercent2</vt:lpstr>
      <vt:lpstr>CanalCUPercent3</vt:lpstr>
      <vt:lpstr>CanalCUPercent4</vt:lpstr>
      <vt:lpstr>CanalCUPercent5</vt:lpstr>
      <vt:lpstr>MI_CUPercent1</vt:lpstr>
      <vt:lpstr>MI_CUPercent2</vt:lpstr>
      <vt:lpstr>MI_CUPercent3</vt:lpstr>
      <vt:lpstr>MI_CUPercent4</vt:lpstr>
      <vt:lpstr>MI_CUPercent5</vt:lpstr>
      <vt:lpstr>ARIKAREE!Print_Area</vt:lpstr>
      <vt:lpstr>Attachment1!Print_Area</vt:lpstr>
      <vt:lpstr>Attachment7!Print_Area</vt:lpstr>
      <vt:lpstr>BEAVER!Print_Area</vt:lpstr>
      <vt:lpstr>BUFFALO!Print_Area</vt:lpstr>
      <vt:lpstr>DRIFTWOOD!Print_Area</vt:lpstr>
      <vt:lpstr>FRENCHMAN!Print_Area</vt:lpstr>
      <vt:lpstr>GM_output!Print_Area</vt:lpstr>
      <vt:lpstr>INPUT!Print_Area</vt:lpstr>
      <vt:lpstr>MAINSTEM!Print_Area</vt:lpstr>
      <vt:lpstr>'MEDICINE CREEK'!Print_Area</vt:lpstr>
      <vt:lpstr>'NORTH FORK'!Print_Area</vt:lpstr>
      <vt:lpstr>'PRAIRIE DOG'!Print_Area</vt:lpstr>
      <vt:lpstr>'RED WILLOW'!Print_Area</vt:lpstr>
      <vt:lpstr>ROCK!Print_Area</vt:lpstr>
      <vt:lpstr>SAPPA!Print_Area</vt:lpstr>
      <vt:lpstr>'SOUTH FORK'!Print_Area</vt:lpstr>
      <vt:lpstr>'T1'!Print_Area</vt:lpstr>
      <vt:lpstr>'T2'!Print_Area</vt:lpstr>
      <vt:lpstr>'T3 A,B,C'!Print_Area</vt:lpstr>
      <vt:lpstr>'T4 A,B'!Print_Area</vt:lpstr>
      <vt:lpstr>'T5 B,E'!Print_Area</vt:lpstr>
      <vt:lpstr>'T5 C,D'!Print_Area</vt:lpstr>
      <vt:lpstr>'T5A,F'!Print_Area</vt:lpstr>
      <vt:lpstr>ARIKAREE!Print_Titles</vt:lpstr>
      <vt:lpstr>BEAVER!Print_Titles</vt:lpstr>
      <vt:lpstr>BUFFALO!Print_Titles</vt:lpstr>
      <vt:lpstr>DRIFTWOOD!Print_Titles</vt:lpstr>
      <vt:lpstr>FRENCHMAN!Print_Titles</vt:lpstr>
      <vt:lpstr>INPUT!Print_Titles</vt:lpstr>
      <vt:lpstr>MAINSTEM!Print_Titles</vt:lpstr>
      <vt:lpstr>'MEDICINE CREEK'!Print_Titles</vt:lpstr>
      <vt:lpstr>'NORTH FORK'!Print_Titles</vt:lpstr>
      <vt:lpstr>'PRAIRIE DOG'!Print_Titles</vt:lpstr>
      <vt:lpstr>'RED WILLOW'!Print_Titles</vt:lpstr>
      <vt:lpstr>ROCK!Print_Titles</vt:lpstr>
      <vt:lpstr>SAPPA!Print_Titles</vt:lpstr>
      <vt:lpstr>'SOUTH FORK'!Print_Titles</vt:lpstr>
      <vt:lpstr>PumperCUPercent1</vt:lpstr>
      <vt:lpstr>PumperCUPercent2</vt:lpstr>
      <vt:lpstr>PumperCUPercent3</vt:lpstr>
      <vt:lpstr>PumperCUPercent4</vt:lpstr>
      <vt:lpstr>PumperCUPercent5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Republican River Compact Administration Accounting Program</dc:title>
  <dc:creator>Nebraska Department Natural Resources</dc:creator>
  <cp:lastModifiedBy>Principia</cp:lastModifiedBy>
  <cp:lastPrinted>2018-05-03T14:48:01Z</cp:lastPrinted>
  <dcterms:created xsi:type="dcterms:W3CDTF">2002-10-16T14:29:03Z</dcterms:created>
  <dcterms:modified xsi:type="dcterms:W3CDTF">2022-08-30T03:44:21Z</dcterms:modified>
</cp:coreProperties>
</file>