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7540" windowHeight="14640" tabRatio="807" activeTab="1"/>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CourtlandAvLove!$L$20:$L$230</definedName>
    <definedName name="_xlnm._FilterDatabase" localSheetId="1" hidden="1">INPUT!$A$1:$A$277</definedName>
    <definedName name="_ftn1" localSheetId="0">RWS_CWSA!$A$22</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'T1'!$A$1:$J$62</definedName>
    <definedName name="_xlnm.Print_Area" localSheetId="3">'T2'!$A$1:$J$18</definedName>
    <definedName name="_xlnm.Print_Area" localSheetId="4">'T3 A,B,C'!$A$1:$E$29</definedName>
    <definedName name="_xlnm.Print_Area" localSheetId="5">'T4 A,B'!$A$1:$H$22</definedName>
    <definedName name="_xlnm.Print_Area" localSheetId="7">'T5 B,E'!$A$1:$H$16</definedName>
    <definedName name="_xlnm.Print_Area" localSheetId="8">'T5 C,D'!$A$1:$J$16</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0" i="41" l="1"/>
  <c r="F67" i="39" l="1"/>
  <c r="G66" i="41" l="1"/>
  <c r="G212" i="41" l="1"/>
  <c r="G217" i="41" l="1"/>
  <c r="G219" i="41"/>
  <c r="Z29" i="57" l="1"/>
  <c r="Z30" i="57" s="1"/>
  <c r="AA29" i="57"/>
  <c r="AA30" i="57" s="1"/>
  <c r="AB29" i="57"/>
  <c r="AB30" i="57" s="1"/>
  <c r="AC29" i="57"/>
  <c r="AC30" i="57" s="1"/>
  <c r="Z31" i="57"/>
  <c r="AA31" i="57"/>
  <c r="AB31" i="57"/>
  <c r="AC31" i="57"/>
  <c r="Z32" i="57" l="1"/>
  <c r="AA32" i="57"/>
  <c r="AB32" i="57"/>
  <c r="AC32" i="57"/>
  <c r="W32" i="57" l="1"/>
  <c r="V32" i="57"/>
  <c r="U32" i="57"/>
  <c r="T32" i="57"/>
  <c r="W31" i="57"/>
  <c r="V31" i="57"/>
  <c r="U31" i="57"/>
  <c r="T31" i="57"/>
  <c r="W29" i="57"/>
  <c r="W30" i="57" s="1"/>
  <c r="V29" i="57"/>
  <c r="V30" i="57" s="1"/>
  <c r="U29" i="57"/>
  <c r="U30" i="57" s="1"/>
  <c r="T29" i="57"/>
  <c r="T30" i="57" s="1"/>
  <c r="F212" i="41"/>
  <c r="B9" i="29" l="1"/>
  <c r="E259" i="41"/>
  <c r="E257" i="41"/>
  <c r="E255" i="41"/>
  <c r="E253" i="41"/>
  <c r="E251" i="41"/>
  <c r="E249" i="41"/>
  <c r="E245" i="41"/>
  <c r="E243" i="41"/>
  <c r="E240" i="41"/>
  <c r="E239" i="41"/>
  <c r="C239" i="41"/>
  <c r="D239" i="41"/>
  <c r="F239" i="41"/>
  <c r="C240" i="41"/>
  <c r="D240" i="41"/>
  <c r="F240" i="41"/>
  <c r="C241" i="41"/>
  <c r="C242" i="41"/>
  <c r="D242" i="41"/>
  <c r="E242" i="41"/>
  <c r="F242" i="41"/>
  <c r="C243" i="41"/>
  <c r="D243" i="41"/>
  <c r="F243" i="41"/>
  <c r="C245" i="41"/>
  <c r="D245" i="41"/>
  <c r="F245" i="41"/>
  <c r="C246" i="41"/>
  <c r="D246" i="41"/>
  <c r="C247" i="41"/>
  <c r="D247" i="41"/>
  <c r="E247" i="41"/>
  <c r="F247" i="41"/>
  <c r="C249" i="41"/>
  <c r="D249" i="41"/>
  <c r="F249" i="41"/>
  <c r="C251" i="41"/>
  <c r="D251" i="41"/>
  <c r="F251" i="41"/>
  <c r="C253" i="41"/>
  <c r="D253" i="41"/>
  <c r="F253" i="41"/>
  <c r="C255" i="41"/>
  <c r="D255" i="41"/>
  <c r="F255" i="41"/>
  <c r="C257" i="41"/>
  <c r="D257" i="41"/>
  <c r="F257" i="41"/>
  <c r="C259" i="41"/>
  <c r="D259" i="41"/>
  <c r="F259" i="41"/>
  <c r="D41" i="63"/>
  <c r="D40" i="63"/>
  <c r="D42" i="63"/>
  <c r="E42" i="63" s="1"/>
  <c r="E41" i="63"/>
  <c r="E40" i="63"/>
  <c r="M13" i="63"/>
  <c r="J13" i="63"/>
  <c r="G13" i="63"/>
  <c r="D13" i="63"/>
  <c r="M12" i="63"/>
  <c r="J12" i="63"/>
  <c r="G12" i="63"/>
  <c r="D12" i="63"/>
  <c r="M11" i="63"/>
  <c r="J11" i="63"/>
  <c r="G11" i="63"/>
  <c r="D11" i="63"/>
  <c r="M10" i="63"/>
  <c r="J10" i="63"/>
  <c r="G10" i="63"/>
  <c r="D10" i="63"/>
  <c r="M9" i="63"/>
  <c r="J9" i="63"/>
  <c r="G9" i="63"/>
  <c r="D9" i="63"/>
  <c r="M8" i="63"/>
  <c r="J8" i="63"/>
  <c r="G8" i="63"/>
  <c r="D8" i="63"/>
  <c r="M7" i="63"/>
  <c r="J7" i="63"/>
  <c r="G7" i="63"/>
  <c r="D7" i="63"/>
  <c r="M6" i="63"/>
  <c r="J6" i="63"/>
  <c r="G6" i="63"/>
  <c r="D6" i="63"/>
  <c r="Q32" i="57" l="1"/>
  <c r="P32" i="57"/>
  <c r="O32" i="57"/>
  <c r="N32" i="57"/>
  <c r="K32" i="57"/>
  <c r="J32" i="57"/>
  <c r="I32" i="57"/>
  <c r="H32" i="57"/>
  <c r="E32" i="57"/>
  <c r="D32" i="57"/>
  <c r="C32" i="57"/>
  <c r="B32" i="57"/>
  <c r="Q31" i="57"/>
  <c r="P31" i="57"/>
  <c r="O31" i="57"/>
  <c r="N31" i="57"/>
  <c r="K31" i="57"/>
  <c r="J31" i="57"/>
  <c r="I31" i="57"/>
  <c r="H31" i="57"/>
  <c r="E31" i="57"/>
  <c r="D24" i="54" s="1"/>
  <c r="D31" i="57"/>
  <c r="C31" i="57"/>
  <c r="B31" i="57"/>
  <c r="Q29" i="57"/>
  <c r="Q30" i="57" s="1"/>
  <c r="P29" i="57"/>
  <c r="P30" i="57" s="1"/>
  <c r="O29" i="57"/>
  <c r="O30" i="57" s="1"/>
  <c r="N29" i="57"/>
  <c r="N30" i="57" s="1"/>
  <c r="K29" i="57"/>
  <c r="K30" i="57" s="1"/>
  <c r="J29" i="57"/>
  <c r="J30" i="57" s="1"/>
  <c r="I29" i="57"/>
  <c r="I30" i="57" s="1"/>
  <c r="H29" i="57"/>
  <c r="H30" i="57" s="1"/>
  <c r="E29" i="57"/>
  <c r="E30" i="57" s="1"/>
  <c r="D29" i="57"/>
  <c r="D30" i="57" s="1"/>
  <c r="C29" i="57"/>
  <c r="C30" i="57" s="1"/>
  <c r="B29" i="57"/>
  <c r="B30" i="57" s="1"/>
  <c r="C9" i="35"/>
  <c r="D9" i="35"/>
  <c r="E9" i="35"/>
  <c r="F9" i="35"/>
  <c r="C9" i="29"/>
  <c r="D9" i="29"/>
  <c r="E9" i="29"/>
  <c r="F9" i="29"/>
  <c r="B9" i="27"/>
  <c r="C9" i="27"/>
  <c r="D9" i="27"/>
  <c r="E9" i="27"/>
  <c r="F9" i="27"/>
  <c r="H158" i="61"/>
  <c r="D158" i="61"/>
  <c r="F158" i="61" s="1"/>
  <c r="I158" i="61" s="1"/>
  <c r="K158" i="61" s="1"/>
  <c r="L158" i="61" s="1"/>
  <c r="H157" i="61"/>
  <c r="D157" i="61"/>
  <c r="F157" i="61" s="1"/>
  <c r="I157" i="61" s="1"/>
  <c r="K157" i="61" s="1"/>
  <c r="L157" i="61" s="1"/>
  <c r="H156" i="61"/>
  <c r="D156" i="61"/>
  <c r="F156" i="61" s="1"/>
  <c r="I156" i="61" s="1"/>
  <c r="K156" i="61" s="1"/>
  <c r="L156" i="61" s="1"/>
  <c r="L155" i="61"/>
  <c r="H155" i="61"/>
  <c r="D155" i="61"/>
  <c r="F155" i="61" s="1"/>
  <c r="I155" i="61" s="1"/>
  <c r="K155" i="61" s="1"/>
  <c r="H154" i="61"/>
  <c r="D154" i="61"/>
  <c r="F154" i="61" s="1"/>
  <c r="I154" i="61" s="1"/>
  <c r="K154" i="61" s="1"/>
  <c r="H153" i="61"/>
  <c r="D153" i="61"/>
  <c r="F153" i="61" s="1"/>
  <c r="L152" i="61"/>
  <c r="H152" i="61"/>
  <c r="D152" i="61"/>
  <c r="F152" i="61" s="1"/>
  <c r="I152" i="61" s="1"/>
  <c r="K152" i="61" s="1"/>
  <c r="H151" i="61"/>
  <c r="D151" i="61"/>
  <c r="F151" i="61" s="1"/>
  <c r="I151" i="61" s="1"/>
  <c r="K151" i="61" s="1"/>
  <c r="L150" i="61"/>
  <c r="H150" i="61"/>
  <c r="D150" i="61"/>
  <c r="F150" i="61" s="1"/>
  <c r="I150" i="61" s="1"/>
  <c r="K150" i="61" s="1"/>
  <c r="H149" i="61"/>
  <c r="D149" i="61"/>
  <c r="F149" i="61" s="1"/>
  <c r="I149" i="61" s="1"/>
  <c r="K149" i="61" s="1"/>
  <c r="L148" i="61"/>
  <c r="H148" i="61"/>
  <c r="D148" i="61"/>
  <c r="F148" i="61" s="1"/>
  <c r="I148" i="61" s="1"/>
  <c r="K148" i="61" s="1"/>
  <c r="H147" i="61"/>
  <c r="D147" i="61"/>
  <c r="F147" i="61" s="1"/>
  <c r="I147" i="61" s="1"/>
  <c r="K147" i="61" s="1"/>
  <c r="H146" i="61"/>
  <c r="D146" i="61"/>
  <c r="F146" i="61" s="1"/>
  <c r="I146" i="61" s="1"/>
  <c r="K146" i="61" s="1"/>
  <c r="L146" i="61" s="1"/>
  <c r="H145" i="61"/>
  <c r="D145" i="61"/>
  <c r="F145" i="61" s="1"/>
  <c r="L144" i="61"/>
  <c r="H144" i="61"/>
  <c r="D144" i="61"/>
  <c r="F144" i="61" s="1"/>
  <c r="I144" i="61" s="1"/>
  <c r="K144" i="61" s="1"/>
  <c r="H143" i="61"/>
  <c r="D143" i="61"/>
  <c r="F143" i="61" s="1"/>
  <c r="L142" i="61"/>
  <c r="H142" i="61"/>
  <c r="D142" i="61"/>
  <c r="F142" i="61" s="1"/>
  <c r="I142" i="61" s="1"/>
  <c r="K142" i="61" s="1"/>
  <c r="H141" i="61"/>
  <c r="D141" i="61"/>
  <c r="F141" i="61" s="1"/>
  <c r="I141" i="61" s="1"/>
  <c r="K141" i="61" s="1"/>
  <c r="L140" i="61"/>
  <c r="H140" i="61"/>
  <c r="D140" i="61"/>
  <c r="F140" i="61" s="1"/>
  <c r="I140" i="61" s="1"/>
  <c r="K140" i="61" s="1"/>
  <c r="H139" i="61"/>
  <c r="D139" i="61"/>
  <c r="F139" i="61" s="1"/>
  <c r="I139" i="61" s="1"/>
  <c r="K139" i="61" s="1"/>
  <c r="L138" i="61"/>
  <c r="H138" i="61"/>
  <c r="D138" i="61"/>
  <c r="F138" i="61" s="1"/>
  <c r="I138" i="61" s="1"/>
  <c r="K138" i="61" s="1"/>
  <c r="L137" i="61"/>
  <c r="H137" i="61"/>
  <c r="D137" i="61"/>
  <c r="F137" i="61" s="1"/>
  <c r="I137" i="61" s="1"/>
  <c r="K137" i="61" s="1"/>
  <c r="H136" i="61"/>
  <c r="D136" i="61"/>
  <c r="F136" i="61" s="1"/>
  <c r="H135" i="61"/>
  <c r="D135" i="61"/>
  <c r="F135" i="61" s="1"/>
  <c r="I135" i="61" s="1"/>
  <c r="K135" i="61" s="1"/>
  <c r="H118" i="61"/>
  <c r="D118" i="61"/>
  <c r="F118" i="61" s="1"/>
  <c r="I118" i="61" s="1"/>
  <c r="K118" i="61" s="1"/>
  <c r="L118" i="61" s="1"/>
  <c r="H117" i="61"/>
  <c r="D117" i="61"/>
  <c r="F117" i="61" s="1"/>
  <c r="H116" i="61"/>
  <c r="D116" i="61"/>
  <c r="F116" i="61" s="1"/>
  <c r="H115" i="61"/>
  <c r="D115" i="61"/>
  <c r="F115" i="61" s="1"/>
  <c r="I115" i="61" s="1"/>
  <c r="K115" i="61" s="1"/>
  <c r="L115" i="61" s="1"/>
  <c r="H114" i="61"/>
  <c r="D114" i="61"/>
  <c r="F114" i="61" s="1"/>
  <c r="H113" i="61"/>
  <c r="D113" i="61"/>
  <c r="F113" i="61" s="1"/>
  <c r="I113" i="61" s="1"/>
  <c r="K113" i="61" s="1"/>
  <c r="L113" i="61" s="1"/>
  <c r="E248" i="41" s="1"/>
  <c r="L112" i="61"/>
  <c r="H112" i="61"/>
  <c r="D112" i="61"/>
  <c r="F112" i="61" s="1"/>
  <c r="I112" i="61" s="1"/>
  <c r="K112" i="61" s="1"/>
  <c r="H111" i="61"/>
  <c r="D111" i="61"/>
  <c r="F111" i="61" s="1"/>
  <c r="I111" i="61" s="1"/>
  <c r="K111" i="61" s="1"/>
  <c r="L110" i="61"/>
  <c r="H110" i="61"/>
  <c r="D110" i="61"/>
  <c r="F110" i="61" s="1"/>
  <c r="I110" i="61" s="1"/>
  <c r="K110" i="61" s="1"/>
  <c r="H109" i="61"/>
  <c r="D109" i="61"/>
  <c r="F109" i="61" s="1"/>
  <c r="I109" i="61" s="1"/>
  <c r="K109" i="61" s="1"/>
  <c r="H108" i="61"/>
  <c r="D108" i="61"/>
  <c r="F108" i="61" s="1"/>
  <c r="I108" i="61" s="1"/>
  <c r="K108" i="61" s="1"/>
  <c r="L108" i="61" s="1"/>
  <c r="H107" i="61"/>
  <c r="D107" i="61"/>
  <c r="F107" i="61" s="1"/>
  <c r="I107" i="61" s="1"/>
  <c r="K107" i="61" s="1"/>
  <c r="L106" i="61"/>
  <c r="H106" i="61"/>
  <c r="D106" i="61"/>
  <c r="F106" i="61" s="1"/>
  <c r="I106" i="61" s="1"/>
  <c r="K106" i="61" s="1"/>
  <c r="H105" i="61"/>
  <c r="D105" i="61"/>
  <c r="F105" i="61" s="1"/>
  <c r="I105" i="61" s="1"/>
  <c r="K105" i="61" s="1"/>
  <c r="H104" i="61"/>
  <c r="D104" i="61"/>
  <c r="F104" i="61" s="1"/>
  <c r="I104" i="61" s="1"/>
  <c r="K104" i="61" s="1"/>
  <c r="L104" i="61" s="1"/>
  <c r="H103" i="61"/>
  <c r="D103" i="61"/>
  <c r="F103" i="61" s="1"/>
  <c r="H102" i="61"/>
  <c r="D102" i="61"/>
  <c r="F102" i="61" s="1"/>
  <c r="H101" i="61"/>
  <c r="D101" i="61"/>
  <c r="F101" i="61" s="1"/>
  <c r="I101" i="61" s="1"/>
  <c r="K101" i="61" s="1"/>
  <c r="L100" i="61"/>
  <c r="H100" i="61"/>
  <c r="D100" i="61"/>
  <c r="F100" i="61" s="1"/>
  <c r="H99" i="61"/>
  <c r="D99" i="61"/>
  <c r="F99" i="61" s="1"/>
  <c r="I99" i="61" s="1"/>
  <c r="K99" i="61" s="1"/>
  <c r="L98" i="61"/>
  <c r="H98" i="61"/>
  <c r="D98" i="61"/>
  <c r="F98" i="61" s="1"/>
  <c r="L97" i="61"/>
  <c r="H97" i="61"/>
  <c r="D97" i="61"/>
  <c r="F97" i="61" s="1"/>
  <c r="I97" i="61" s="1"/>
  <c r="K97" i="61" s="1"/>
  <c r="H96" i="61"/>
  <c r="D96" i="61"/>
  <c r="F96" i="61" s="1"/>
  <c r="H95" i="61"/>
  <c r="D95" i="61"/>
  <c r="F95" i="61" s="1"/>
  <c r="H78" i="61"/>
  <c r="D78" i="61"/>
  <c r="F78" i="61" s="1"/>
  <c r="I78" i="61" s="1"/>
  <c r="K78" i="61" s="1"/>
  <c r="L78" i="61" s="1"/>
  <c r="H77" i="61"/>
  <c r="D77" i="61"/>
  <c r="F77" i="61" s="1"/>
  <c r="I77" i="61" s="1"/>
  <c r="K77" i="61" s="1"/>
  <c r="L77" i="61" s="1"/>
  <c r="H76" i="61"/>
  <c r="D76" i="61"/>
  <c r="F76" i="61" s="1"/>
  <c r="I76" i="61" s="1"/>
  <c r="K76" i="61" s="1"/>
  <c r="L76" i="61" s="1"/>
  <c r="L75" i="61"/>
  <c r="H75" i="61"/>
  <c r="D75" i="61"/>
  <c r="F75" i="61" s="1"/>
  <c r="I75" i="61" s="1"/>
  <c r="K75" i="61" s="1"/>
  <c r="H74" i="61"/>
  <c r="D74" i="61"/>
  <c r="F74" i="61" s="1"/>
  <c r="I74" i="61" s="1"/>
  <c r="K74" i="61" s="1"/>
  <c r="L73" i="61"/>
  <c r="D248" i="41" s="1"/>
  <c r="H73" i="61"/>
  <c r="D73" i="61"/>
  <c r="F73" i="61" s="1"/>
  <c r="I73" i="61" s="1"/>
  <c r="K73" i="61" s="1"/>
  <c r="L72" i="61"/>
  <c r="H72" i="61"/>
  <c r="D72" i="61"/>
  <c r="F72" i="61" s="1"/>
  <c r="H71" i="61"/>
  <c r="D71" i="61"/>
  <c r="F71" i="61" s="1"/>
  <c r="L70" i="61"/>
  <c r="H70" i="61"/>
  <c r="D70" i="61"/>
  <c r="F70" i="61" s="1"/>
  <c r="H69" i="61"/>
  <c r="D69" i="61"/>
  <c r="F69" i="61" s="1"/>
  <c r="I69" i="61" s="1"/>
  <c r="K69" i="61" s="1"/>
  <c r="L68" i="61"/>
  <c r="H68" i="61"/>
  <c r="D68" i="61"/>
  <c r="F68" i="61" s="1"/>
  <c r="I68" i="61" s="1"/>
  <c r="K68" i="61" s="1"/>
  <c r="H67" i="61"/>
  <c r="D67" i="61"/>
  <c r="F67" i="61" s="1"/>
  <c r="L66" i="61"/>
  <c r="H66" i="61"/>
  <c r="D66" i="61"/>
  <c r="F66" i="61" s="1"/>
  <c r="I66" i="61" s="1"/>
  <c r="K66" i="61" s="1"/>
  <c r="H65" i="61"/>
  <c r="D65" i="61"/>
  <c r="F65" i="61" s="1"/>
  <c r="L64" i="61"/>
  <c r="H64" i="61"/>
  <c r="D64" i="61"/>
  <c r="F64" i="61" s="1"/>
  <c r="I64" i="61" s="1"/>
  <c r="K64" i="61" s="1"/>
  <c r="H63" i="61"/>
  <c r="D63" i="61"/>
  <c r="F63" i="61" s="1"/>
  <c r="I63" i="61" s="1"/>
  <c r="K63" i="61" s="1"/>
  <c r="L62" i="61"/>
  <c r="H62" i="61"/>
  <c r="D62" i="61"/>
  <c r="F62" i="61" s="1"/>
  <c r="I62" i="61" s="1"/>
  <c r="K62" i="61" s="1"/>
  <c r="L61" i="61"/>
  <c r="H61" i="61"/>
  <c r="D61" i="61"/>
  <c r="F61" i="61" s="1"/>
  <c r="I61" i="61" s="1"/>
  <c r="K61" i="61" s="1"/>
  <c r="L60" i="61"/>
  <c r="H60" i="61"/>
  <c r="D60" i="61"/>
  <c r="F60" i="61" s="1"/>
  <c r="I60" i="61" s="1"/>
  <c r="K60" i="61" s="1"/>
  <c r="H59" i="61"/>
  <c r="D59" i="61"/>
  <c r="F59" i="61" s="1"/>
  <c r="I59" i="61" s="1"/>
  <c r="K59" i="61" s="1"/>
  <c r="L58" i="61"/>
  <c r="H58" i="61"/>
  <c r="D58" i="61"/>
  <c r="F58" i="61" s="1"/>
  <c r="L57" i="61"/>
  <c r="H57" i="61"/>
  <c r="D57" i="61"/>
  <c r="F57" i="61" s="1"/>
  <c r="I57" i="61" s="1"/>
  <c r="K57" i="61" s="1"/>
  <c r="L56" i="61"/>
  <c r="H56" i="61"/>
  <c r="D56" i="61"/>
  <c r="F56" i="61" s="1"/>
  <c r="I56" i="61" s="1"/>
  <c r="K56" i="61" s="1"/>
  <c r="H55" i="61"/>
  <c r="D55" i="61"/>
  <c r="F55" i="61" s="1"/>
  <c r="I55" i="61" s="1"/>
  <c r="K55" i="61" s="1"/>
  <c r="H38" i="61"/>
  <c r="D38" i="61"/>
  <c r="F38" i="61" s="1"/>
  <c r="I38" i="61" s="1"/>
  <c r="K38" i="61" s="1"/>
  <c r="L38" i="61" s="1"/>
  <c r="H37" i="61"/>
  <c r="D37" i="61"/>
  <c r="F37" i="61" s="1"/>
  <c r="H36" i="61"/>
  <c r="D36" i="61"/>
  <c r="F36" i="61" s="1"/>
  <c r="L35" i="61"/>
  <c r="H35" i="61"/>
  <c r="D35" i="61"/>
  <c r="F35" i="61" s="1"/>
  <c r="H34" i="61"/>
  <c r="D34" i="61"/>
  <c r="F34" i="61" s="1"/>
  <c r="I34" i="61" s="1"/>
  <c r="K34" i="61" s="1"/>
  <c r="H33" i="61"/>
  <c r="D33" i="61"/>
  <c r="F33" i="61" s="1"/>
  <c r="I33" i="61" s="1"/>
  <c r="K33" i="61" s="1"/>
  <c r="L33" i="61" s="1"/>
  <c r="C248" i="41" s="1"/>
  <c r="L32" i="61"/>
  <c r="H32" i="61"/>
  <c r="D32" i="61"/>
  <c r="F32" i="61" s="1"/>
  <c r="H31" i="61"/>
  <c r="D31" i="61"/>
  <c r="F31" i="61" s="1"/>
  <c r="L30" i="61"/>
  <c r="H30" i="61"/>
  <c r="D30" i="61"/>
  <c r="F30" i="61" s="1"/>
  <c r="H29" i="61"/>
  <c r="D29" i="61"/>
  <c r="F29" i="61" s="1"/>
  <c r="I29" i="61" s="1"/>
  <c r="K29" i="61" s="1"/>
  <c r="L28" i="61"/>
  <c r="H28" i="61"/>
  <c r="D28" i="61"/>
  <c r="F28" i="61" s="1"/>
  <c r="I28" i="61" s="1"/>
  <c r="K28" i="61" s="1"/>
  <c r="H27" i="61"/>
  <c r="D27" i="61"/>
  <c r="F27" i="61" s="1"/>
  <c r="L26" i="61"/>
  <c r="H26" i="61"/>
  <c r="D26" i="61"/>
  <c r="F26" i="61" s="1"/>
  <c r="I26" i="61" s="1"/>
  <c r="K26" i="61" s="1"/>
  <c r="H25" i="61"/>
  <c r="D25" i="61"/>
  <c r="F25" i="61" s="1"/>
  <c r="L24" i="61"/>
  <c r="H24" i="61"/>
  <c r="D24" i="61"/>
  <c r="F24" i="61" s="1"/>
  <c r="I24" i="61" s="1"/>
  <c r="K24" i="61" s="1"/>
  <c r="H23" i="61"/>
  <c r="D23" i="61"/>
  <c r="F23" i="61" s="1"/>
  <c r="I23" i="61" s="1"/>
  <c r="K23" i="61" s="1"/>
  <c r="L22" i="61"/>
  <c r="H22" i="61"/>
  <c r="D22" i="61"/>
  <c r="F22" i="61" s="1"/>
  <c r="I22" i="61" s="1"/>
  <c r="K22" i="61" s="1"/>
  <c r="L21" i="61"/>
  <c r="H21" i="61"/>
  <c r="D21" i="61"/>
  <c r="F21" i="61" s="1"/>
  <c r="I21" i="61" s="1"/>
  <c r="K21" i="61" s="1"/>
  <c r="L20" i="61"/>
  <c r="H20" i="61"/>
  <c r="D20" i="61"/>
  <c r="F20" i="61" s="1"/>
  <c r="I20" i="61" s="1"/>
  <c r="K20" i="61" s="1"/>
  <c r="H19" i="61"/>
  <c r="D19" i="61"/>
  <c r="F19" i="61" s="1"/>
  <c r="I19" i="61" s="1"/>
  <c r="K19" i="61" s="1"/>
  <c r="L18" i="61"/>
  <c r="H18" i="61"/>
  <c r="D18" i="61"/>
  <c r="F18" i="61" s="1"/>
  <c r="L17" i="61"/>
  <c r="H17" i="61"/>
  <c r="D17" i="61"/>
  <c r="F17" i="61" s="1"/>
  <c r="I17" i="61" s="1"/>
  <c r="K17" i="61" s="1"/>
  <c r="L16" i="61"/>
  <c r="H16" i="61"/>
  <c r="D16" i="61"/>
  <c r="F16" i="61" s="1"/>
  <c r="I16" i="61" s="1"/>
  <c r="K16" i="61" s="1"/>
  <c r="L15" i="61"/>
  <c r="H15" i="61"/>
  <c r="D15" i="61"/>
  <c r="F15" i="61" s="1"/>
  <c r="I15" i="61" s="1"/>
  <c r="K15" i="61" s="1"/>
  <c r="AB19" i="69"/>
  <c r="G20" i="69"/>
  <c r="R20" i="69"/>
  <c r="Y20" i="69"/>
  <c r="AB20" i="69"/>
  <c r="E212" i="41"/>
  <c r="D154" i="41"/>
  <c r="D84" i="41"/>
  <c r="E84" i="41" s="1"/>
  <c r="F84" i="41" s="1"/>
  <c r="L99" i="61" l="1"/>
  <c r="L55" i="61"/>
  <c r="D241" i="41"/>
  <c r="L105" i="61"/>
  <c r="E252" i="41"/>
  <c r="L34" i="61"/>
  <c r="C260" i="41"/>
  <c r="L69" i="61"/>
  <c r="D256" i="41"/>
  <c r="I95" i="61"/>
  <c r="K95" i="61" s="1"/>
  <c r="I100" i="61"/>
  <c r="K100" i="61" s="1"/>
  <c r="E244" i="41" s="1"/>
  <c r="I116" i="61"/>
  <c r="K116" i="61" s="1"/>
  <c r="L116" i="61" s="1"/>
  <c r="F14" i="47"/>
  <c r="D27" i="54"/>
  <c r="I14" i="46"/>
  <c r="I5" i="46"/>
  <c r="L19" i="61"/>
  <c r="C244" i="41"/>
  <c r="L74" i="61"/>
  <c r="D260" i="41"/>
  <c r="L111" i="61"/>
  <c r="E258" i="41"/>
  <c r="L29" i="61"/>
  <c r="I25" i="61"/>
  <c r="K25" i="61" s="1"/>
  <c r="I30" i="61"/>
  <c r="K30" i="61" s="1"/>
  <c r="C256" i="41" s="1"/>
  <c r="I35" i="61"/>
  <c r="K35" i="61" s="1"/>
  <c r="I65" i="61"/>
  <c r="K65" i="61" s="1"/>
  <c r="I70" i="61"/>
  <c r="K70" i="61" s="1"/>
  <c r="I96" i="61"/>
  <c r="K96" i="61" s="1"/>
  <c r="L96" i="61" s="1"/>
  <c r="I117" i="61"/>
  <c r="K117" i="61" s="1"/>
  <c r="L117" i="61" s="1"/>
  <c r="I143" i="61"/>
  <c r="K143" i="61" s="1"/>
  <c r="F250" i="41" s="1"/>
  <c r="I153" i="61"/>
  <c r="K153" i="61" s="1"/>
  <c r="L153" i="61" s="1"/>
  <c r="F248" i="41" s="1"/>
  <c r="L107" i="61"/>
  <c r="E254" i="41"/>
  <c r="L63" i="61"/>
  <c r="D250" i="41"/>
  <c r="D28" i="54"/>
  <c r="F15" i="47"/>
  <c r="I15" i="46"/>
  <c r="I6" i="46"/>
  <c r="I31" i="61"/>
  <c r="K31" i="61" s="1"/>
  <c r="I36" i="61"/>
  <c r="K36" i="61" s="1"/>
  <c r="L36" i="61" s="1"/>
  <c r="I71" i="61"/>
  <c r="K71" i="61" s="1"/>
  <c r="I102" i="61"/>
  <c r="K102" i="61" s="1"/>
  <c r="L102" i="61" s="1"/>
  <c r="L23" i="61"/>
  <c r="C250" i="41"/>
  <c r="L59" i="61"/>
  <c r="D244" i="41"/>
  <c r="L101" i="61"/>
  <c r="I18" i="61"/>
  <c r="K18" i="61" s="1"/>
  <c r="I27" i="61"/>
  <c r="K27" i="61" s="1"/>
  <c r="I32" i="61"/>
  <c r="K32" i="61" s="1"/>
  <c r="I37" i="61"/>
  <c r="K37" i="61" s="1"/>
  <c r="L37" i="61" s="1"/>
  <c r="I58" i="61"/>
  <c r="K58" i="61" s="1"/>
  <c r="I67" i="61"/>
  <c r="K67" i="61" s="1"/>
  <c r="I72" i="61"/>
  <c r="K72" i="61" s="1"/>
  <c r="I98" i="61"/>
  <c r="K98" i="61" s="1"/>
  <c r="I103" i="61"/>
  <c r="K103" i="61" s="1"/>
  <c r="I145" i="61"/>
  <c r="K145" i="61" s="1"/>
  <c r="L145" i="61" s="1"/>
  <c r="L109" i="61"/>
  <c r="E256" i="41"/>
  <c r="I114" i="61"/>
  <c r="K114" i="61" s="1"/>
  <c r="I136" i="61"/>
  <c r="K136" i="61" s="1"/>
  <c r="L136" i="61" s="1"/>
  <c r="L151" i="61"/>
  <c r="F258" i="41"/>
  <c r="L143" i="61"/>
  <c r="L141" i="61"/>
  <c r="F246" i="41"/>
  <c r="L147" i="61"/>
  <c r="F254" i="41"/>
  <c r="L139" i="61"/>
  <c r="F244" i="41"/>
  <c r="L149" i="61"/>
  <c r="F256" i="41"/>
  <c r="L154" i="61"/>
  <c r="F260" i="41"/>
  <c r="L135" i="61"/>
  <c r="F252" i="41"/>
  <c r="D8" i="54"/>
  <c r="G8" i="48"/>
  <c r="L95" i="61" l="1"/>
  <c r="E241" i="41"/>
  <c r="L31" i="61"/>
  <c r="C258" i="41"/>
  <c r="L71" i="61"/>
  <c r="D258" i="41"/>
  <c r="L114" i="61"/>
  <c r="E260" i="41"/>
  <c r="E246" i="41"/>
  <c r="L65" i="61"/>
  <c r="D252" i="41"/>
  <c r="L67" i="61"/>
  <c r="D254" i="41"/>
  <c r="L27" i="61"/>
  <c r="C254" i="41"/>
  <c r="L103" i="61"/>
  <c r="E250" i="41"/>
  <c r="L25" i="61"/>
  <c r="C252" i="41"/>
  <c r="F241" i="41"/>
  <c r="G229" i="41"/>
  <c r="G227" i="41"/>
  <c r="G226" i="41"/>
  <c r="G225" i="41"/>
  <c r="G224" i="41"/>
  <c r="G223" i="41"/>
  <c r="G222" i="41"/>
  <c r="G221" i="41"/>
  <c r="G220" i="41"/>
  <c r="G218" i="41"/>
  <c r="G216" i="41"/>
  <c r="G215" i="41"/>
  <c r="F216" i="41" l="1"/>
  <c r="G239" i="41" l="1"/>
  <c r="G240" i="41"/>
  <c r="G243" i="41"/>
  <c r="G245" i="41"/>
  <c r="G247" i="41"/>
  <c r="G249" i="41"/>
  <c r="G251" i="41"/>
  <c r="G253" i="41"/>
  <c r="G255" i="41"/>
  <c r="G257" i="41"/>
  <c r="G259" i="41"/>
  <c r="G60" i="41" l="1"/>
  <c r="G58" i="41"/>
  <c r="G57" i="41"/>
  <c r="G56" i="41"/>
  <c r="G55" i="41"/>
  <c r="G54" i="41"/>
  <c r="G53" i="41"/>
  <c r="G52" i="41"/>
  <c r="G51" i="41"/>
  <c r="G50" i="41"/>
  <c r="G49" i="41"/>
  <c r="G48" i="41"/>
  <c r="G47" i="41"/>
  <c r="G44" i="41"/>
  <c r="G42"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267" i="41"/>
  <c r="K49" i="50" l="1"/>
  <c r="K56" i="50" s="1"/>
  <c r="K63" i="50" s="1"/>
  <c r="K70" i="50" s="1"/>
  <c r="K77" i="50" s="1"/>
  <c r="K43" i="50"/>
  <c r="K44" i="50" s="1"/>
  <c r="K50" i="50" l="1"/>
  <c r="K57" i="50" s="1"/>
  <c r="K64" i="50" s="1"/>
  <c r="K71" i="50" s="1"/>
  <c r="K78" i="50" s="1"/>
  <c r="K45" i="50"/>
  <c r="K51" i="50"/>
  <c r="K58" i="50" s="1"/>
  <c r="K65" i="50" s="1"/>
  <c r="K72" i="50" s="1"/>
  <c r="K79" i="50" s="1"/>
  <c r="P13" i="63"/>
  <c r="P12" i="63"/>
  <c r="P11" i="63"/>
  <c r="P10" i="63"/>
  <c r="P9" i="63"/>
  <c r="P8" i="63"/>
  <c r="P7" i="63"/>
  <c r="P6" i="63"/>
  <c r="G59" i="41"/>
  <c r="G61" i="41" s="1"/>
  <c r="G43" i="41"/>
  <c r="G41" i="41"/>
  <c r="G40" i="41"/>
  <c r="K46" i="50" l="1"/>
  <c r="K53" i="50" s="1"/>
  <c r="K60" i="50" s="1"/>
  <c r="K67" i="50" s="1"/>
  <c r="K74" i="50" s="1"/>
  <c r="K81" i="50" s="1"/>
  <c r="K52" i="50"/>
  <c r="K59" i="50" s="1"/>
  <c r="K66" i="50" s="1"/>
  <c r="K73" i="50" s="1"/>
  <c r="K80" i="50" s="1"/>
  <c r="D43" i="63"/>
  <c r="E43" i="63" s="1"/>
  <c r="G262" i="41" l="1"/>
  <c r="Y19" i="69"/>
  <c r="G19" i="69"/>
  <c r="G7" i="48" l="1"/>
  <c r="D7" i="54"/>
  <c r="F235" i="41"/>
  <c r="G235" i="41"/>
  <c r="C26" i="48" l="1"/>
  <c r="C27" i="48"/>
  <c r="M15" i="64" l="1"/>
  <c r="L15" i="64"/>
  <c r="K15" i="64"/>
  <c r="M10" i="64"/>
  <c r="L10" i="64"/>
  <c r="K10" i="64"/>
  <c r="J10" i="64"/>
  <c r="I10" i="64"/>
  <c r="M7" i="64"/>
  <c r="L7" i="64"/>
  <c r="K7" i="64"/>
  <c r="J7" i="64"/>
  <c r="I7" i="64"/>
  <c r="AB18" i="69" l="1"/>
  <c r="Y18" i="69"/>
  <c r="R18" i="69"/>
  <c r="G18" i="69"/>
  <c r="F13" i="47" l="1"/>
  <c r="I13" i="46"/>
  <c r="D26" i="54"/>
  <c r="G6" i="48"/>
  <c r="D6" i="54"/>
  <c r="H198" i="61"/>
  <c r="D198" i="61"/>
  <c r="F198" i="61" s="1"/>
  <c r="I198" i="61" s="1"/>
  <c r="K198" i="61" s="1"/>
  <c r="L198" i="61" s="1"/>
  <c r="H197" i="61"/>
  <c r="D197" i="61"/>
  <c r="F197" i="61" s="1"/>
  <c r="I197" i="61" s="1"/>
  <c r="K197" i="61" s="1"/>
  <c r="L197" i="61" s="1"/>
  <c r="G269" i="41" s="1"/>
  <c r="H196" i="61"/>
  <c r="D196" i="61"/>
  <c r="F196" i="61" s="1"/>
  <c r="H195" i="61"/>
  <c r="D195" i="61"/>
  <c r="F195" i="61" s="1"/>
  <c r="H194" i="61"/>
  <c r="D194" i="61"/>
  <c r="F194" i="61" s="1"/>
  <c r="H193" i="61"/>
  <c r="D193" i="61"/>
  <c r="F193" i="61" s="1"/>
  <c r="L192" i="61"/>
  <c r="H192" i="61"/>
  <c r="D192" i="61"/>
  <c r="F192" i="61" s="1"/>
  <c r="H191" i="61"/>
  <c r="D191" i="61"/>
  <c r="F191" i="61" s="1"/>
  <c r="L190" i="61"/>
  <c r="H190" i="61"/>
  <c r="D190" i="61"/>
  <c r="F190" i="61" s="1"/>
  <c r="H189" i="61"/>
  <c r="D189" i="61"/>
  <c r="F189" i="61" s="1"/>
  <c r="H188" i="61"/>
  <c r="D188" i="61"/>
  <c r="F188" i="61" s="1"/>
  <c r="I188" i="61" s="1"/>
  <c r="K188" i="61" s="1"/>
  <c r="L188" i="61" s="1"/>
  <c r="H187" i="61"/>
  <c r="D187" i="61"/>
  <c r="F187" i="61" s="1"/>
  <c r="I187" i="61" s="1"/>
  <c r="K187" i="61" s="1"/>
  <c r="H186" i="61"/>
  <c r="D186" i="61"/>
  <c r="F186" i="61" s="1"/>
  <c r="H185" i="61"/>
  <c r="D185" i="61"/>
  <c r="F185" i="61" s="1"/>
  <c r="H184" i="61"/>
  <c r="D184" i="61"/>
  <c r="F184" i="61" s="1"/>
  <c r="H183" i="61"/>
  <c r="D183" i="61"/>
  <c r="F183" i="61" s="1"/>
  <c r="H182" i="61"/>
  <c r="D182" i="61"/>
  <c r="F182" i="61" s="1"/>
  <c r="H181" i="61"/>
  <c r="D181" i="61"/>
  <c r="F181" i="61" s="1"/>
  <c r="H180" i="61"/>
  <c r="D180" i="61"/>
  <c r="F180" i="61" s="1"/>
  <c r="I180" i="61" s="1"/>
  <c r="K180" i="61" s="1"/>
  <c r="L180" i="61" s="1"/>
  <c r="H179" i="61"/>
  <c r="D179" i="61"/>
  <c r="F179" i="61" s="1"/>
  <c r="H178" i="61"/>
  <c r="D178" i="61"/>
  <c r="F178" i="61" s="1"/>
  <c r="H177" i="61"/>
  <c r="D177" i="61"/>
  <c r="F177" i="61" s="1"/>
  <c r="H176" i="61"/>
  <c r="D176" i="61"/>
  <c r="F176" i="61" s="1"/>
  <c r="H175" i="61"/>
  <c r="D175" i="61"/>
  <c r="F175" i="61" s="1"/>
  <c r="I177" i="61" l="1"/>
  <c r="K177" i="61" s="1"/>
  <c r="I186" i="61"/>
  <c r="K186" i="61" s="1"/>
  <c r="L186" i="61" s="1"/>
  <c r="I178" i="61"/>
  <c r="K178" i="61" s="1"/>
  <c r="L178" i="61" s="1"/>
  <c r="I184" i="61"/>
  <c r="K184" i="61" s="1"/>
  <c r="L184" i="61" s="1"/>
  <c r="I190" i="61"/>
  <c r="K190" i="61" s="1"/>
  <c r="I195" i="61"/>
  <c r="K195" i="61" s="1"/>
  <c r="L195" i="61" s="1"/>
  <c r="I179" i="61"/>
  <c r="K179" i="61" s="1"/>
  <c r="G244" i="41" s="1"/>
  <c r="I196" i="61"/>
  <c r="K196" i="61" s="1"/>
  <c r="L196" i="61" s="1"/>
  <c r="G264" i="41" s="1"/>
  <c r="L177" i="61"/>
  <c r="G242" i="41"/>
  <c r="I194" i="61"/>
  <c r="K194" i="61" s="1"/>
  <c r="G260" i="41" s="1"/>
  <c r="G254" i="41"/>
  <c r="I183" i="61"/>
  <c r="K183" i="61" s="1"/>
  <c r="L194" i="61"/>
  <c r="L187" i="61"/>
  <c r="I175" i="61"/>
  <c r="K175" i="61" s="1"/>
  <c r="I192" i="61"/>
  <c r="K192" i="61" s="1"/>
  <c r="I176" i="61"/>
  <c r="K176" i="61" s="1"/>
  <c r="L176" i="61" s="1"/>
  <c r="I182" i="61"/>
  <c r="K182" i="61" s="1"/>
  <c r="L182" i="61" s="1"/>
  <c r="I193" i="61"/>
  <c r="K193" i="61" s="1"/>
  <c r="L193" i="61" s="1"/>
  <c r="G248" i="41" s="1"/>
  <c r="I191" i="61"/>
  <c r="K191" i="61" s="1"/>
  <c r="I189" i="61"/>
  <c r="K189" i="61" s="1"/>
  <c r="G256" i="41" s="1"/>
  <c r="I185" i="61"/>
  <c r="K185" i="61" s="1"/>
  <c r="I181" i="61"/>
  <c r="K181" i="61" s="1"/>
  <c r="G252" i="41" l="1"/>
  <c r="L179" i="61"/>
  <c r="G258" i="41"/>
  <c r="G241" i="41"/>
  <c r="L183" i="61"/>
  <c r="G250" i="41"/>
  <c r="G246" i="41"/>
  <c r="L185" i="61"/>
  <c r="L175" i="61"/>
  <c r="L181" i="61"/>
  <c r="L189" i="61"/>
  <c r="L191" i="61"/>
  <c r="AA16" i="69" l="1"/>
  <c r="J15" i="64" l="1"/>
  <c r="B9" i="35"/>
  <c r="I15" i="64" s="1"/>
  <c r="C227" i="41"/>
  <c r="D227" i="41"/>
  <c r="AB17" i="69"/>
  <c r="D25" i="54" s="1"/>
  <c r="G17" i="69"/>
  <c r="R17" i="69"/>
  <c r="Y17" i="69"/>
  <c r="G5" i="48" l="1"/>
  <c r="D5" i="54"/>
  <c r="AB15" i="69"/>
  <c r="F227" i="41" l="1"/>
  <c r="E227" i="41" l="1"/>
  <c r="F215" i="41"/>
  <c r="F217" i="41"/>
  <c r="F218" i="41"/>
  <c r="F219" i="41"/>
  <c r="F220" i="41"/>
  <c r="F221" i="41"/>
  <c r="F222" i="41"/>
  <c r="F223" i="41"/>
  <c r="F224" i="41"/>
  <c r="F225" i="41"/>
  <c r="F226" i="41"/>
  <c r="F229" i="41"/>
  <c r="C22" i="48" l="1"/>
  <c r="C23" i="48"/>
  <c r="AB14" i="69"/>
  <c r="G102" i="58" l="1"/>
  <c r="G82" i="58"/>
  <c r="D8" i="55" l="1"/>
  <c r="D7" i="55"/>
  <c r="C8" i="55"/>
  <c r="C7" i="55"/>
  <c r="L8" i="64"/>
  <c r="M8" i="64"/>
  <c r="L9" i="64"/>
  <c r="M9" i="64"/>
  <c r="L11" i="64"/>
  <c r="M11" i="64"/>
  <c r="L12" i="64"/>
  <c r="M12" i="64"/>
  <c r="L13" i="64"/>
  <c r="M13" i="64"/>
  <c r="L14" i="64"/>
  <c r="M14" i="64"/>
  <c r="L16" i="64"/>
  <c r="M16" i="64"/>
  <c r="L17" i="64"/>
  <c r="M17" i="64"/>
  <c r="L18" i="64"/>
  <c r="M18" i="64"/>
  <c r="E7" i="64"/>
  <c r="E36" i="64" s="1"/>
  <c r="L36" i="64" s="1"/>
  <c r="F7" i="64"/>
  <c r="E8" i="64"/>
  <c r="F8" i="64"/>
  <c r="E9" i="64"/>
  <c r="F9" i="64"/>
  <c r="E10" i="64"/>
  <c r="F10" i="64"/>
  <c r="E11" i="64"/>
  <c r="F11" i="64"/>
  <c r="E12" i="64"/>
  <c r="F12" i="64"/>
  <c r="E13" i="64"/>
  <c r="F13" i="64"/>
  <c r="E14" i="64"/>
  <c r="F14" i="64"/>
  <c r="E15" i="64"/>
  <c r="F15" i="64"/>
  <c r="E16" i="64"/>
  <c r="F16" i="64"/>
  <c r="E17" i="64"/>
  <c r="F17" i="64"/>
  <c r="E18" i="64"/>
  <c r="F18" i="64"/>
  <c r="E30" i="39"/>
  <c r="E149" i="39" s="1"/>
  <c r="F30" i="39"/>
  <c r="F149" i="39" s="1"/>
  <c r="E31" i="39"/>
  <c r="E32" i="39"/>
  <c r="E151" i="39" s="1"/>
  <c r="F32" i="39"/>
  <c r="F151" i="39" s="1"/>
  <c r="E33" i="39"/>
  <c r="E152" i="39" s="1"/>
  <c r="F33" i="39"/>
  <c r="F152" i="39" s="1"/>
  <c r="E34" i="39"/>
  <c r="E153" i="39" s="1"/>
  <c r="F34" i="39"/>
  <c r="F153" i="39" s="1"/>
  <c r="E35" i="39"/>
  <c r="E154" i="39" s="1"/>
  <c r="F35" i="39"/>
  <c r="F154" i="39" s="1"/>
  <c r="E36" i="39"/>
  <c r="E155" i="39" s="1"/>
  <c r="F36" i="39"/>
  <c r="F155" i="39" s="1"/>
  <c r="E37" i="39"/>
  <c r="E156" i="39" s="1"/>
  <c r="F37" i="39"/>
  <c r="F156" i="39" s="1"/>
  <c r="E38" i="39"/>
  <c r="E157" i="39" s="1"/>
  <c r="F38" i="39"/>
  <c r="F157" i="39" s="1"/>
  <c r="E39" i="39"/>
  <c r="E158" i="39" s="1"/>
  <c r="F39" i="39"/>
  <c r="F158" i="39" s="1"/>
  <c r="E40" i="39"/>
  <c r="E159" i="39" s="1"/>
  <c r="F40" i="39"/>
  <c r="F159" i="39" s="1"/>
  <c r="E41" i="39"/>
  <c r="E160" i="39" s="1"/>
  <c r="F41" i="39"/>
  <c r="F160" i="39" s="1"/>
  <c r="E48" i="39"/>
  <c r="F48" i="39"/>
  <c r="E50" i="39"/>
  <c r="E110" i="39" s="1"/>
  <c r="F50" i="39"/>
  <c r="F110" i="39" s="1"/>
  <c r="E67" i="39"/>
  <c r="E71" i="39"/>
  <c r="E130" i="39" s="1"/>
  <c r="E183" i="39" s="1"/>
  <c r="F71" i="39"/>
  <c r="F130" i="39" s="1"/>
  <c r="F183" i="39" s="1"/>
  <c r="E76" i="39"/>
  <c r="E178" i="39" s="1"/>
  <c r="F76" i="39"/>
  <c r="F178" i="39" s="1"/>
  <c r="E78" i="39"/>
  <c r="E112" i="39" s="1"/>
  <c r="F78" i="39"/>
  <c r="F112" i="39" s="1"/>
  <c r="E79" i="39"/>
  <c r="E113" i="39" s="1"/>
  <c r="M36" i="55" s="1"/>
  <c r="F79" i="39"/>
  <c r="F113" i="39" s="1"/>
  <c r="N36" i="55" s="1"/>
  <c r="E80" i="39"/>
  <c r="E114" i="39" s="1"/>
  <c r="M37" i="55" s="1"/>
  <c r="F80" i="39"/>
  <c r="F114" i="39" s="1"/>
  <c r="N37" i="55" s="1"/>
  <c r="E81" i="39"/>
  <c r="E115" i="39" s="1"/>
  <c r="F81" i="39"/>
  <c r="F115" i="39" s="1"/>
  <c r="E83" i="39"/>
  <c r="E131" i="39" s="1"/>
  <c r="F83" i="39"/>
  <c r="F131" i="39" s="1"/>
  <c r="E84" i="39"/>
  <c r="E132" i="39" s="1"/>
  <c r="F84" i="39"/>
  <c r="F132" i="39" s="1"/>
  <c r="E85" i="39"/>
  <c r="E133" i="39" s="1"/>
  <c r="F85" i="39"/>
  <c r="F133" i="39" s="1"/>
  <c r="E86" i="39"/>
  <c r="F86" i="39"/>
  <c r="E87" i="39"/>
  <c r="F87" i="39"/>
  <c r="E150"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F13" i="37"/>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33" i="37"/>
  <c r="F33" i="37"/>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E34" i="35" s="1"/>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64" i="35"/>
  <c r="F64" i="35"/>
  <c r="E70" i="35"/>
  <c r="F70" i="35"/>
  <c r="E72" i="35"/>
  <c r="F72" i="35"/>
  <c r="E74" i="35"/>
  <c r="F74" i="35"/>
  <c r="E77" i="35"/>
  <c r="F77" i="35"/>
  <c r="E14" i="34"/>
  <c r="E50" i="34" s="1"/>
  <c r="F14" i="34"/>
  <c r="F50" i="34" s="1"/>
  <c r="E18" i="34"/>
  <c r="F18" i="34"/>
  <c r="F35" i="34" s="1"/>
  <c r="E19" i="34"/>
  <c r="E36" i="34" s="1"/>
  <c r="F19" i="34"/>
  <c r="F36" i="34" s="1"/>
  <c r="E20" i="34"/>
  <c r="E37" i="34" s="1"/>
  <c r="F20" i="34"/>
  <c r="F37" i="34" s="1"/>
  <c r="E21" i="34"/>
  <c r="E39" i="34" s="1"/>
  <c r="F21" i="34"/>
  <c r="F39" i="34" s="1"/>
  <c r="E35" i="34"/>
  <c r="E64" i="34"/>
  <c r="F64" i="34"/>
  <c r="E66" i="34"/>
  <c r="F66" i="34"/>
  <c r="E68" i="34"/>
  <c r="F68" i="34"/>
  <c r="E71" i="34"/>
  <c r="F71" i="34"/>
  <c r="E14" i="33"/>
  <c r="E55" i="33" s="1"/>
  <c r="F14" i="33"/>
  <c r="F55" i="33" s="1"/>
  <c r="E15" i="33"/>
  <c r="E32" i="33" s="1"/>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66" i="33"/>
  <c r="F66" i="33"/>
  <c r="E68" i="33"/>
  <c r="F68" i="33"/>
  <c r="E70" i="33"/>
  <c r="F70" i="33"/>
  <c r="E73" i="33"/>
  <c r="F73" i="33"/>
  <c r="E15" i="32"/>
  <c r="F15" i="32"/>
  <c r="F57" i="32" s="1"/>
  <c r="E18" i="32"/>
  <c r="F18" i="32"/>
  <c r="F38" i="32" s="1"/>
  <c r="E19" i="32"/>
  <c r="F19" i="32"/>
  <c r="F39" i="32" s="1"/>
  <c r="F64" i="32" s="1"/>
  <c r="E22" i="32"/>
  <c r="F22" i="32"/>
  <c r="F42" i="32" s="1"/>
  <c r="E23" i="32"/>
  <c r="F23" i="32"/>
  <c r="F43" i="32" s="1"/>
  <c r="E24" i="32"/>
  <c r="F24" i="32"/>
  <c r="F44" i="32" s="1"/>
  <c r="E25" i="32"/>
  <c r="F25" i="32"/>
  <c r="F46" i="32" s="1"/>
  <c r="E71" i="32"/>
  <c r="F71" i="32"/>
  <c r="E73" i="32"/>
  <c r="F73" i="32"/>
  <c r="E75" i="32"/>
  <c r="F75" i="32"/>
  <c r="E78" i="32"/>
  <c r="F78" i="32"/>
  <c r="E11" i="31"/>
  <c r="E65" i="31" s="1"/>
  <c r="F11" i="31"/>
  <c r="F65" i="31" s="1"/>
  <c r="E14" i="31"/>
  <c r="E31" i="31" s="1"/>
  <c r="F14" i="31"/>
  <c r="F31" i="31" s="1"/>
  <c r="E15" i="31"/>
  <c r="E32" i="31" s="1"/>
  <c r="F15" i="31"/>
  <c r="E16" i="31"/>
  <c r="E33" i="31" s="1"/>
  <c r="F16" i="31"/>
  <c r="F33" i="31" s="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F32" i="31"/>
  <c r="E76" i="31"/>
  <c r="F76" i="31"/>
  <c r="E78" i="31"/>
  <c r="F78" i="31"/>
  <c r="E80" i="31"/>
  <c r="F80" i="31"/>
  <c r="E83" i="31"/>
  <c r="F83" i="31"/>
  <c r="E11" i="29"/>
  <c r="E42" i="29" s="1"/>
  <c r="F11" i="29"/>
  <c r="F42" i="29" s="1"/>
  <c r="E12" i="29"/>
  <c r="E28" i="29" s="1"/>
  <c r="F12" i="29"/>
  <c r="F28" i="29" s="1"/>
  <c r="E13" i="29"/>
  <c r="E29" i="29" s="1"/>
  <c r="F13" i="29"/>
  <c r="F29" i="29" s="1"/>
  <c r="E14" i="29"/>
  <c r="E30" i="29" s="1"/>
  <c r="F14" i="29"/>
  <c r="F30" i="29" s="1"/>
  <c r="E15" i="29"/>
  <c r="E31" i="29" s="1"/>
  <c r="F15" i="29"/>
  <c r="F31" i="29" s="1"/>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E29" i="40" s="1"/>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E12" i="27"/>
  <c r="E22" i="27" s="1"/>
  <c r="F12" i="27"/>
  <c r="F22" i="27" s="1"/>
  <c r="E13" i="27"/>
  <c r="E23" i="27" s="1"/>
  <c r="F13" i="27"/>
  <c r="F23" i="27" s="1"/>
  <c r="E14" i="27"/>
  <c r="E24" i="27" s="1"/>
  <c r="F14" i="27"/>
  <c r="F24" i="27" s="1"/>
  <c r="E15" i="27"/>
  <c r="E25" i="27" s="1"/>
  <c r="F15" i="27"/>
  <c r="F25" i="27" s="1"/>
  <c r="E16" i="27"/>
  <c r="E36" i="27" s="1"/>
  <c r="E37" i="27" s="1"/>
  <c r="F16" i="27"/>
  <c r="F36" i="27" s="1"/>
  <c r="F37" i="27" s="1"/>
  <c r="E17" i="27"/>
  <c r="E26" i="27" s="1"/>
  <c r="F17" i="27"/>
  <c r="F26" i="27" s="1"/>
  <c r="E53" i="27"/>
  <c r="F53" i="27"/>
  <c r="E59" i="27"/>
  <c r="F59" i="27"/>
  <c r="E61" i="27"/>
  <c r="F61" i="27"/>
  <c r="E63" i="27"/>
  <c r="F63" i="27"/>
  <c r="E66" i="27"/>
  <c r="F66" i="27"/>
  <c r="M26" i="55"/>
  <c r="M29" i="55" s="1"/>
  <c r="N26" i="55"/>
  <c r="M27" i="55"/>
  <c r="M30" i="55" s="1"/>
  <c r="N27" i="55"/>
  <c r="N30" i="55" s="1"/>
  <c r="M28" i="55"/>
  <c r="N28" i="55"/>
  <c r="F138" i="39" l="1"/>
  <c r="E40" i="64"/>
  <c r="L40" i="64" s="1"/>
  <c r="E44" i="64"/>
  <c r="L44" i="64" s="1"/>
  <c r="E39" i="32"/>
  <c r="E64" i="32" s="1"/>
  <c r="E38" i="32"/>
  <c r="E57" i="32"/>
  <c r="F42" i="35"/>
  <c r="F51" i="37"/>
  <c r="F58" i="36"/>
  <c r="E43" i="32"/>
  <c r="E42" i="32"/>
  <c r="E46" i="32"/>
  <c r="E44" i="32"/>
  <c r="E138" i="39"/>
  <c r="E46" i="64"/>
  <c r="L46" i="64" s="1"/>
  <c r="F43" i="64"/>
  <c r="M43" i="64" s="1"/>
  <c r="F39" i="64"/>
  <c r="M39" i="64" s="1"/>
  <c r="E24" i="64"/>
  <c r="L24" i="64" s="1"/>
  <c r="F46" i="64"/>
  <c r="M46" i="64" s="1"/>
  <c r="F42" i="64"/>
  <c r="M42" i="64" s="1"/>
  <c r="F38" i="64"/>
  <c r="M38" i="64" s="1"/>
  <c r="E42" i="64"/>
  <c r="L42" i="64" s="1"/>
  <c r="E38" i="64"/>
  <c r="L38" i="64" s="1"/>
  <c r="E41" i="64"/>
  <c r="L41" i="64" s="1"/>
  <c r="F56" i="37"/>
  <c r="F172" i="39" s="1"/>
  <c r="E63" i="36"/>
  <c r="E64" i="36" s="1"/>
  <c r="E45" i="64"/>
  <c r="L45" i="64" s="1"/>
  <c r="F45" i="64"/>
  <c r="M45" i="64" s="1"/>
  <c r="F48" i="27"/>
  <c r="F32" i="29"/>
  <c r="F37" i="29" s="1"/>
  <c r="E29" i="64"/>
  <c r="L29" i="64" s="1"/>
  <c r="E25" i="64"/>
  <c r="L25" i="64" s="1"/>
  <c r="E37" i="64"/>
  <c r="L37" i="64" s="1"/>
  <c r="E56" i="37"/>
  <c r="E57" i="37" s="1"/>
  <c r="E70" i="37" s="1"/>
  <c r="F41" i="28"/>
  <c r="E49" i="38"/>
  <c r="F55" i="31"/>
  <c r="F46" i="31"/>
  <c r="E55" i="31"/>
  <c r="E46" i="31"/>
  <c r="E36" i="33"/>
  <c r="E45" i="36"/>
  <c r="E43" i="64"/>
  <c r="L43" i="64" s="1"/>
  <c r="E39" i="64"/>
  <c r="L39" i="64" s="1"/>
  <c r="E28" i="64"/>
  <c r="L28" i="64" s="1"/>
  <c r="F37" i="37"/>
  <c r="N29" i="55"/>
  <c r="E58" i="36"/>
  <c r="F49" i="38"/>
  <c r="F41" i="64"/>
  <c r="M41" i="64" s="1"/>
  <c r="F29" i="64"/>
  <c r="M29" i="64" s="1"/>
  <c r="F37" i="64"/>
  <c r="M37" i="64" s="1"/>
  <c r="F25" i="64"/>
  <c r="M25" i="64" s="1"/>
  <c r="F32" i="40"/>
  <c r="F50" i="40"/>
  <c r="F52" i="35"/>
  <c r="E50" i="40"/>
  <c r="F44" i="64"/>
  <c r="M44" i="64" s="1"/>
  <c r="F28" i="64"/>
  <c r="M28" i="64" s="1"/>
  <c r="F24" i="64"/>
  <c r="M24" i="64" s="1"/>
  <c r="E52" i="35"/>
  <c r="E51" i="37"/>
  <c r="E37" i="37"/>
  <c r="F31" i="64"/>
  <c r="M31" i="64" s="1"/>
  <c r="F27" i="64"/>
  <c r="M27" i="64" s="1"/>
  <c r="F40" i="64"/>
  <c r="M40" i="64" s="1"/>
  <c r="F36" i="64"/>
  <c r="M36" i="64" s="1"/>
  <c r="F45" i="36"/>
  <c r="F36" i="36"/>
  <c r="F63" i="36"/>
  <c r="F171" i="39" s="1"/>
  <c r="E31" i="64"/>
  <c r="L31" i="64" s="1"/>
  <c r="E27" i="64"/>
  <c r="L27" i="64" s="1"/>
  <c r="F28" i="28"/>
  <c r="E36" i="36"/>
  <c r="F30" i="64"/>
  <c r="M30" i="64" s="1"/>
  <c r="F26" i="64"/>
  <c r="M26" i="64" s="1"/>
  <c r="E30" i="64"/>
  <c r="L30" i="64" s="1"/>
  <c r="E26" i="64"/>
  <c r="L26" i="64" s="1"/>
  <c r="E41" i="28"/>
  <c r="F36" i="33"/>
  <c r="F45" i="33"/>
  <c r="F54" i="38"/>
  <c r="F173" i="39" s="1"/>
  <c r="F19" i="64"/>
  <c r="F20" i="64" s="1"/>
  <c r="E45" i="33"/>
  <c r="E54" i="38"/>
  <c r="E173" i="39" s="1"/>
  <c r="E19" i="64"/>
  <c r="E20" i="64" s="1"/>
  <c r="L19" i="64"/>
  <c r="E42" i="35"/>
  <c r="E32" i="29"/>
  <c r="E28" i="28"/>
  <c r="F41" i="40"/>
  <c r="E32" i="40"/>
  <c r="E41" i="40"/>
  <c r="F27" i="27"/>
  <c r="E27" i="27"/>
  <c r="E48" i="27"/>
  <c r="E49" i="39"/>
  <c r="E175" i="39" s="1"/>
  <c r="F53" i="39"/>
  <c r="G277" i="41"/>
  <c r="F70" i="39" s="1"/>
  <c r="F277" i="41"/>
  <c r="E70" i="39" s="1"/>
  <c r="G276" i="41"/>
  <c r="F69" i="39" s="1"/>
  <c r="F276" i="41"/>
  <c r="E69" i="39" s="1"/>
  <c r="F271" i="41"/>
  <c r="E66" i="39" s="1"/>
  <c r="F270" i="41"/>
  <c r="E65" i="39" s="1"/>
  <c r="F268" i="41"/>
  <c r="E64" i="39" s="1"/>
  <c r="F267" i="41"/>
  <c r="E63" i="39" s="1"/>
  <c r="F266" i="41"/>
  <c r="E62" i="39" s="1"/>
  <c r="F265" i="41"/>
  <c r="E61" i="39" s="1"/>
  <c r="F263" i="41"/>
  <c r="E60" i="39" s="1"/>
  <c r="F262" i="41"/>
  <c r="F59" i="39"/>
  <c r="N17" i="55" s="1"/>
  <c r="F56" i="39"/>
  <c r="E56" i="39"/>
  <c r="F55" i="39"/>
  <c r="E55" i="39"/>
  <c r="F54" i="39"/>
  <c r="E54" i="39"/>
  <c r="E53" i="39"/>
  <c r="F52" i="39"/>
  <c r="E52" i="39"/>
  <c r="F17" i="38"/>
  <c r="E17" i="38"/>
  <c r="F47" i="39"/>
  <c r="F43" i="39"/>
  <c r="F135" i="39" s="1"/>
  <c r="F15" i="38"/>
  <c r="F38" i="38" s="1"/>
  <c r="F16" i="32"/>
  <c r="F45" i="32" s="1"/>
  <c r="F12" i="31"/>
  <c r="F36" i="31" s="1"/>
  <c r="F37" i="31" s="1"/>
  <c r="E43" i="39"/>
  <c r="E135" i="39" s="1"/>
  <c r="E15" i="38"/>
  <c r="E38" i="38" s="1"/>
  <c r="E16" i="32"/>
  <c r="E12" i="31"/>
  <c r="E36" i="31" s="1"/>
  <c r="E37" i="31" s="1"/>
  <c r="E13" i="31"/>
  <c r="E69" i="31" s="1"/>
  <c r="E17" i="32"/>
  <c r="E16" i="34"/>
  <c r="E55" i="34" s="1"/>
  <c r="E13" i="35"/>
  <c r="E61" i="35" s="1"/>
  <c r="E16" i="38"/>
  <c r="E68" i="38" s="1"/>
  <c r="E44" i="39"/>
  <c r="E176" i="39" s="1"/>
  <c r="F5" i="38"/>
  <c r="F69" i="38" s="1"/>
  <c r="F5" i="37"/>
  <c r="F71" i="37" s="1"/>
  <c r="F5" i="36"/>
  <c r="F77" i="36" s="1"/>
  <c r="F5" i="35"/>
  <c r="F63" i="35" s="1"/>
  <c r="F5" i="34"/>
  <c r="F58" i="34" s="1"/>
  <c r="F5" i="33"/>
  <c r="F60" i="33" s="1"/>
  <c r="F5" i="32"/>
  <c r="F65" i="32" s="1"/>
  <c r="F5" i="31"/>
  <c r="F70" i="31" s="1"/>
  <c r="F5" i="29"/>
  <c r="F46" i="29" s="1"/>
  <c r="F5" i="28"/>
  <c r="F55" i="28" s="1"/>
  <c r="F5" i="40"/>
  <c r="F64" i="40" s="1"/>
  <c r="F5" i="27"/>
  <c r="F52" i="27" s="1"/>
  <c r="F60" i="41"/>
  <c r="F59" i="41"/>
  <c r="E5" i="39" s="1"/>
  <c r="E187" i="39" s="1"/>
  <c r="F58" i="41"/>
  <c r="E5" i="38" s="1"/>
  <c r="E69" i="38" s="1"/>
  <c r="F57" i="41"/>
  <c r="E5" i="37" s="1"/>
  <c r="E71" i="37" s="1"/>
  <c r="F56" i="41"/>
  <c r="E5" i="36" s="1"/>
  <c r="E77" i="36" s="1"/>
  <c r="F55" i="41"/>
  <c r="E5" i="35" s="1"/>
  <c r="E63" i="35" s="1"/>
  <c r="F54" i="41"/>
  <c r="E5" i="34" s="1"/>
  <c r="E58" i="34" s="1"/>
  <c r="F53" i="41"/>
  <c r="E5" i="33" s="1"/>
  <c r="E60" i="33" s="1"/>
  <c r="F52" i="41"/>
  <c r="E5" i="32" s="1"/>
  <c r="F51" i="41"/>
  <c r="E5" i="31" s="1"/>
  <c r="E70" i="31" s="1"/>
  <c r="F50" i="41"/>
  <c r="E5" i="29" s="1"/>
  <c r="E46" i="29" s="1"/>
  <c r="F49" i="41"/>
  <c r="E5" i="28" s="1"/>
  <c r="E55" i="28" s="1"/>
  <c r="F48" i="41"/>
  <c r="F47" i="41"/>
  <c r="E5" i="27" s="1"/>
  <c r="E52" i="27" s="1"/>
  <c r="E47" i="41"/>
  <c r="F6" i="35"/>
  <c r="F26" i="35" s="1"/>
  <c r="F27" i="35" s="1"/>
  <c r="F6" i="34"/>
  <c r="F26" i="34" s="1"/>
  <c r="F27" i="34" s="1"/>
  <c r="F8" i="40"/>
  <c r="F51" i="40" s="1"/>
  <c r="F8" i="41"/>
  <c r="E7" i="40" s="1"/>
  <c r="E42" i="40" s="1"/>
  <c r="F10" i="39"/>
  <c r="N31" i="55" s="1"/>
  <c r="F44" i="41"/>
  <c r="E10" i="39" s="1"/>
  <c r="M31" i="55" s="1"/>
  <c r="J7" i="55" s="1"/>
  <c r="F43" i="41"/>
  <c r="E9" i="39" s="1"/>
  <c r="F8" i="39"/>
  <c r="N38" i="55" s="1"/>
  <c r="K8" i="55" s="1"/>
  <c r="F42" i="41"/>
  <c r="E8" i="39" s="1"/>
  <c r="M38" i="55" s="1"/>
  <c r="K7" i="55" s="1"/>
  <c r="F41" i="41"/>
  <c r="E7" i="39" s="1"/>
  <c r="F40" i="41"/>
  <c r="E6" i="39" s="1"/>
  <c r="E102" i="39" s="1"/>
  <c r="E103" i="39" s="1"/>
  <c r="F8" i="38"/>
  <c r="F50" i="38" s="1"/>
  <c r="F39" i="41"/>
  <c r="E8" i="38" s="1"/>
  <c r="E50" i="38" s="1"/>
  <c r="F7" i="38"/>
  <c r="F41" i="38" s="1"/>
  <c r="F38" i="41"/>
  <c r="E7" i="38" s="1"/>
  <c r="E41" i="38" s="1"/>
  <c r="F6" i="38"/>
  <c r="F30" i="38" s="1"/>
  <c r="F31" i="38" s="1"/>
  <c r="F37" i="41"/>
  <c r="E6" i="38" s="1"/>
  <c r="E30" i="38" s="1"/>
  <c r="F8" i="37"/>
  <c r="F52" i="37" s="1"/>
  <c r="F36" i="41"/>
  <c r="E8" i="37" s="1"/>
  <c r="E52" i="37" s="1"/>
  <c r="F7" i="37"/>
  <c r="F38" i="37" s="1"/>
  <c r="F35" i="41"/>
  <c r="E7" i="37" s="1"/>
  <c r="E38" i="37" s="1"/>
  <c r="F6" i="37"/>
  <c r="F29" i="37" s="1"/>
  <c r="F34" i="41"/>
  <c r="E6" i="37" s="1"/>
  <c r="E29" i="37" s="1"/>
  <c r="E30" i="37" s="1"/>
  <c r="F8" i="36"/>
  <c r="F59" i="36" s="1"/>
  <c r="F33" i="41"/>
  <c r="E8" i="36" s="1"/>
  <c r="E59" i="36" s="1"/>
  <c r="F7" i="36"/>
  <c r="F46" i="36" s="1"/>
  <c r="F32" i="41"/>
  <c r="E7" i="36" s="1"/>
  <c r="E46" i="36" s="1"/>
  <c r="F6" i="36"/>
  <c r="F37" i="36" s="1"/>
  <c r="F31" i="41"/>
  <c r="E6" i="36" s="1"/>
  <c r="E37" i="36" s="1"/>
  <c r="F8" i="35"/>
  <c r="F43" i="35" s="1"/>
  <c r="F30" i="41"/>
  <c r="E8" i="35" s="1"/>
  <c r="E43" i="35" s="1"/>
  <c r="F7" i="35"/>
  <c r="F30" i="35" s="1"/>
  <c r="F31" i="35" s="1"/>
  <c r="F29" i="41"/>
  <c r="E7" i="35" s="1"/>
  <c r="E30" i="35" s="1"/>
  <c r="E31" i="35" s="1"/>
  <c r="F28" i="41"/>
  <c r="E6" i="35" s="1"/>
  <c r="E26" i="35" s="1"/>
  <c r="E27" i="35" s="1"/>
  <c r="F8" i="34"/>
  <c r="F41" i="34" s="1"/>
  <c r="F27" i="41"/>
  <c r="E8" i="34" s="1"/>
  <c r="E41" i="34" s="1"/>
  <c r="F7" i="34"/>
  <c r="F30" i="34" s="1"/>
  <c r="F31" i="34" s="1"/>
  <c r="F26" i="41"/>
  <c r="E7" i="34" s="1"/>
  <c r="E30" i="34" s="1"/>
  <c r="E31" i="34" s="1"/>
  <c r="F25" i="41"/>
  <c r="E6" i="34" s="1"/>
  <c r="E26" i="34" s="1"/>
  <c r="E27" i="34" s="1"/>
  <c r="F8" i="33"/>
  <c r="F46" i="33" s="1"/>
  <c r="F24" i="41"/>
  <c r="E8" i="33" s="1"/>
  <c r="E46" i="33" s="1"/>
  <c r="F7" i="33"/>
  <c r="F37" i="33" s="1"/>
  <c r="F23" i="41"/>
  <c r="E7" i="33" s="1"/>
  <c r="E37" i="33" s="1"/>
  <c r="F6" i="33"/>
  <c r="F28" i="33" s="1"/>
  <c r="F29" i="33" s="1"/>
  <c r="F22" i="41"/>
  <c r="E6" i="33" s="1"/>
  <c r="E28" i="33" s="1"/>
  <c r="E29" i="33" s="1"/>
  <c r="F8" i="32"/>
  <c r="F48" i="32" s="1"/>
  <c r="F21" i="41"/>
  <c r="E8" i="32" s="1"/>
  <c r="F7" i="32"/>
  <c r="F34" i="32" s="1"/>
  <c r="F35" i="32" s="1"/>
  <c r="F20" i="41"/>
  <c r="E7" i="32" s="1"/>
  <c r="F6" i="32"/>
  <c r="F30" i="32" s="1"/>
  <c r="F19" i="41"/>
  <c r="E6" i="32" s="1"/>
  <c r="F8" i="31"/>
  <c r="F56" i="31" s="1"/>
  <c r="F18" i="41"/>
  <c r="E8" i="31" s="1"/>
  <c r="E56" i="31" s="1"/>
  <c r="F7" i="31"/>
  <c r="F47" i="31" s="1"/>
  <c r="F17" i="41"/>
  <c r="E7" i="31" s="1"/>
  <c r="E47" i="31" s="1"/>
  <c r="F6" i="31"/>
  <c r="F38" i="31" s="1"/>
  <c r="F16" i="41"/>
  <c r="E6" i="31" s="1"/>
  <c r="E38" i="31" s="1"/>
  <c r="F8" i="29"/>
  <c r="F33" i="29" s="1"/>
  <c r="F15" i="41"/>
  <c r="E8" i="29" s="1"/>
  <c r="E33" i="29" s="1"/>
  <c r="F7" i="29"/>
  <c r="F24" i="29" s="1"/>
  <c r="F25" i="29" s="1"/>
  <c r="F14" i="41"/>
  <c r="E7" i="29" s="1"/>
  <c r="E24" i="29" s="1"/>
  <c r="E25" i="29" s="1"/>
  <c r="F6" i="29"/>
  <c r="F20" i="29" s="1"/>
  <c r="F21" i="29" s="1"/>
  <c r="F13" i="41"/>
  <c r="E6" i="29" s="1"/>
  <c r="E20" i="29" s="1"/>
  <c r="E21" i="29" s="1"/>
  <c r="F8" i="28"/>
  <c r="F42" i="28" s="1"/>
  <c r="F12" i="41"/>
  <c r="E8" i="28" s="1"/>
  <c r="E42" i="28" s="1"/>
  <c r="F7" i="28"/>
  <c r="F33" i="28" s="1"/>
  <c r="F34" i="28" s="1"/>
  <c r="F11" i="41"/>
  <c r="E7" i="28" s="1"/>
  <c r="E33" i="28" s="1"/>
  <c r="E34" i="28" s="1"/>
  <c r="F6" i="28"/>
  <c r="F29" i="28" s="1"/>
  <c r="F10" i="41"/>
  <c r="E6" i="28" s="1"/>
  <c r="E29" i="28" s="1"/>
  <c r="F9" i="41"/>
  <c r="E8" i="40" s="1"/>
  <c r="E51" i="40" s="1"/>
  <c r="F7" i="40"/>
  <c r="F42" i="40" s="1"/>
  <c r="F6" i="40"/>
  <c r="F33" i="40" s="1"/>
  <c r="F7" i="41"/>
  <c r="E6" i="40" s="1"/>
  <c r="E33" i="40" s="1"/>
  <c r="F8" i="27"/>
  <c r="F38" i="27" s="1"/>
  <c r="F39" i="27" s="1"/>
  <c r="F6" i="41"/>
  <c r="E8" i="27" s="1"/>
  <c r="E38" i="27" s="1"/>
  <c r="E39" i="27" s="1"/>
  <c r="F7" i="27"/>
  <c r="F32" i="27" s="1"/>
  <c r="F33" i="27" s="1"/>
  <c r="F5" i="41"/>
  <c r="E7" i="27" s="1"/>
  <c r="E32" i="27" s="1"/>
  <c r="E33" i="27" s="1"/>
  <c r="F6" i="27"/>
  <c r="F28" i="27" s="1"/>
  <c r="F4" i="41"/>
  <c r="E6" i="27" s="1"/>
  <c r="E28" i="27" s="1"/>
  <c r="C4" i="41"/>
  <c r="F5" i="39"/>
  <c r="F187" i="39" s="1"/>
  <c r="F9" i="39"/>
  <c r="F7" i="39"/>
  <c r="F6" i="39"/>
  <c r="F102" i="39" s="1"/>
  <c r="F103" i="39" s="1"/>
  <c r="E92" i="39" l="1"/>
  <c r="E93" i="39"/>
  <c r="E94" i="39"/>
  <c r="G271" i="41"/>
  <c r="F66" i="39" s="1"/>
  <c r="E57" i="31"/>
  <c r="E68" i="31" s="1"/>
  <c r="E45" i="32"/>
  <c r="E48" i="32"/>
  <c r="E30" i="32"/>
  <c r="E65" i="32"/>
  <c r="E34" i="32"/>
  <c r="F47" i="36"/>
  <c r="I96" i="58" s="1"/>
  <c r="E63" i="32"/>
  <c r="F13" i="31"/>
  <c r="F69" i="31" s="1"/>
  <c r="F16" i="38"/>
  <c r="F68" i="38" s="1"/>
  <c r="F44" i="39"/>
  <c r="F176" i="39" s="1"/>
  <c r="F16" i="34"/>
  <c r="F55" i="34" s="1"/>
  <c r="F13" i="35"/>
  <c r="F61" i="35" s="1"/>
  <c r="F49" i="39"/>
  <c r="F175" i="39" s="1"/>
  <c r="F17" i="32"/>
  <c r="F63" i="32" s="1"/>
  <c r="F63" i="39"/>
  <c r="N18" i="55" s="1"/>
  <c r="F67" i="38"/>
  <c r="F57" i="37"/>
  <c r="F70" i="37" s="1"/>
  <c r="E38" i="33"/>
  <c r="E58" i="33" s="1"/>
  <c r="E48" i="31"/>
  <c r="E67" i="31" s="1"/>
  <c r="F43" i="28"/>
  <c r="F54" i="28" s="1"/>
  <c r="E47" i="36"/>
  <c r="E74" i="36" s="1"/>
  <c r="F46" i="28"/>
  <c r="F38" i="33"/>
  <c r="F58" i="33" s="1"/>
  <c r="F53" i="37"/>
  <c r="J97" i="58" s="1"/>
  <c r="E67" i="36"/>
  <c r="E38" i="29"/>
  <c r="E76" i="36"/>
  <c r="E171" i="39"/>
  <c r="F60" i="37"/>
  <c r="F50" i="33"/>
  <c r="E51" i="38"/>
  <c r="E66" i="38" s="1"/>
  <c r="J78" i="58" s="1"/>
  <c r="L47" i="64"/>
  <c r="E50" i="33"/>
  <c r="E172" i="39"/>
  <c r="F46" i="34"/>
  <c r="F56" i="40"/>
  <c r="E47" i="39"/>
  <c r="E56" i="40"/>
  <c r="E61" i="31"/>
  <c r="F117" i="39"/>
  <c r="F43" i="27"/>
  <c r="F61" i="31"/>
  <c r="F64" i="36"/>
  <c r="E95" i="39"/>
  <c r="E96" i="39" s="1"/>
  <c r="E60" i="37"/>
  <c r="E43" i="28"/>
  <c r="E54" i="28" s="1"/>
  <c r="F57" i="31"/>
  <c r="F68" i="31" s="1"/>
  <c r="F68" i="36"/>
  <c r="F11" i="39"/>
  <c r="F140" i="39" s="1"/>
  <c r="F34" i="29"/>
  <c r="F45" i="29" s="1"/>
  <c r="E117" i="39"/>
  <c r="F95" i="39"/>
  <c r="F96" i="39" s="1"/>
  <c r="F76" i="36"/>
  <c r="E43" i="27"/>
  <c r="F55" i="38"/>
  <c r="E11" i="39"/>
  <c r="E140" i="39" s="1"/>
  <c r="J8" i="55"/>
  <c r="L8" i="55" s="1"/>
  <c r="E60" i="31"/>
  <c r="E39" i="31"/>
  <c r="F39" i="31"/>
  <c r="F60" i="31"/>
  <c r="F58" i="35"/>
  <c r="I95" i="58"/>
  <c r="F51" i="27"/>
  <c r="J87" i="58"/>
  <c r="G5" i="46"/>
  <c r="G14" i="46"/>
  <c r="L7" i="55"/>
  <c r="F44" i="29"/>
  <c r="I90" i="58"/>
  <c r="F46" i="39"/>
  <c r="F134" i="39" s="1"/>
  <c r="F168" i="39" s="1"/>
  <c r="F12" i="35"/>
  <c r="F62" i="35" s="1"/>
  <c r="E50" i="27"/>
  <c r="I67" i="58"/>
  <c r="I70" i="58"/>
  <c r="E44" i="29"/>
  <c r="H73" i="58"/>
  <c r="E57" i="33"/>
  <c r="I94" i="58"/>
  <c r="F53" i="34"/>
  <c r="E68" i="36"/>
  <c r="E12" i="32"/>
  <c r="E16" i="39"/>
  <c r="E46" i="28"/>
  <c r="E48" i="35"/>
  <c r="E39" i="37"/>
  <c r="E47" i="33"/>
  <c r="L32" i="64"/>
  <c r="E53" i="37"/>
  <c r="F48" i="31"/>
  <c r="F50" i="27"/>
  <c r="I87" i="58"/>
  <c r="F47" i="28"/>
  <c r="H93" i="58"/>
  <c r="F57" i="33"/>
  <c r="E46" i="34"/>
  <c r="F59" i="38"/>
  <c r="E74" i="39"/>
  <c r="E20" i="32"/>
  <c r="F12" i="32"/>
  <c r="F16" i="39"/>
  <c r="F17" i="39"/>
  <c r="F11" i="34"/>
  <c r="E57" i="39"/>
  <c r="F7" i="55"/>
  <c r="F60" i="36"/>
  <c r="E67" i="38"/>
  <c r="F38" i="36"/>
  <c r="E53" i="35"/>
  <c r="E60" i="35" s="1"/>
  <c r="E170" i="39"/>
  <c r="F53" i="35"/>
  <c r="F60" i="35" s="1"/>
  <c r="F170" i="39"/>
  <c r="I74" i="58"/>
  <c r="E53" i="34"/>
  <c r="I69" i="58"/>
  <c r="E53" i="28"/>
  <c r="H79" i="58"/>
  <c r="E162" i="39"/>
  <c r="F61" i="41"/>
  <c r="E5" i="40"/>
  <c r="E64" i="40" s="1"/>
  <c r="F74" i="39"/>
  <c r="F20" i="32"/>
  <c r="E18" i="33"/>
  <c r="E72" i="39"/>
  <c r="F8" i="55"/>
  <c r="F57" i="39"/>
  <c r="E8" i="55"/>
  <c r="E59" i="39"/>
  <c r="E7" i="55"/>
  <c r="E91" i="39"/>
  <c r="E184" i="39"/>
  <c r="M18" i="55"/>
  <c r="E43" i="40"/>
  <c r="E30" i="28"/>
  <c r="F38" i="29"/>
  <c r="F39" i="29" s="1"/>
  <c r="E51" i="33"/>
  <c r="E55" i="38"/>
  <c r="F52" i="40"/>
  <c r="F51" i="38"/>
  <c r="F66" i="38" s="1"/>
  <c r="J98" i="58" s="1"/>
  <c r="F39" i="37"/>
  <c r="H99" i="58"/>
  <c r="F162" i="39"/>
  <c r="E51" i="27"/>
  <c r="J67" i="58"/>
  <c r="E52" i="40"/>
  <c r="I89" i="58"/>
  <c r="F53" i="28"/>
  <c r="F53" i="32"/>
  <c r="F31" i="32"/>
  <c r="H75" i="58"/>
  <c r="E57" i="35"/>
  <c r="E75" i="39"/>
  <c r="E21" i="32"/>
  <c r="F18" i="33"/>
  <c r="F72" i="39"/>
  <c r="F51" i="33"/>
  <c r="F48" i="35"/>
  <c r="M47" i="64"/>
  <c r="F43" i="29"/>
  <c r="H90" i="58"/>
  <c r="F73" i="39"/>
  <c r="F17" i="34"/>
  <c r="E47" i="28"/>
  <c r="E58" i="35"/>
  <c r="I75" i="58"/>
  <c r="E59" i="38"/>
  <c r="E31" i="38"/>
  <c r="F75" i="39"/>
  <c r="F21" i="32"/>
  <c r="F43" i="40"/>
  <c r="F47" i="33"/>
  <c r="E38" i="36"/>
  <c r="E60" i="36"/>
  <c r="E46" i="39"/>
  <c r="E134" i="39" s="1"/>
  <c r="E168" i="39" s="1"/>
  <c r="E12" i="35"/>
  <c r="E62" i="35" s="1"/>
  <c r="I92" i="58"/>
  <c r="F61" i="32"/>
  <c r="F64" i="38"/>
  <c r="H98" i="58"/>
  <c r="F52" i="34"/>
  <c r="H94" i="58"/>
  <c r="F34" i="40"/>
  <c r="E61" i="37"/>
  <c r="F30" i="28"/>
  <c r="F61" i="37"/>
  <c r="F30" i="37"/>
  <c r="E43" i="29"/>
  <c r="H70" i="58"/>
  <c r="E52" i="34"/>
  <c r="H74" i="58"/>
  <c r="E67" i="37"/>
  <c r="H77" i="58"/>
  <c r="H95" i="58"/>
  <c r="F57" i="35"/>
  <c r="E15" i="34"/>
  <c r="E45" i="39"/>
  <c r="E136" i="39" s="1"/>
  <c r="E167" i="39" s="1"/>
  <c r="F45" i="39"/>
  <c r="F136" i="39" s="1"/>
  <c r="F167" i="39" s="1"/>
  <c r="F15" i="34"/>
  <c r="E73" i="39"/>
  <c r="E17" i="34"/>
  <c r="M32" i="64"/>
  <c r="F67" i="36"/>
  <c r="E47" i="35"/>
  <c r="E44" i="35"/>
  <c r="F47" i="35"/>
  <c r="F44" i="35"/>
  <c r="E34" i="29"/>
  <c r="E37" i="29"/>
  <c r="E34" i="40"/>
  <c r="E55" i="40"/>
  <c r="F55" i="40"/>
  <c r="E29" i="27"/>
  <c r="E42" i="27"/>
  <c r="F29" i="27"/>
  <c r="F42" i="27"/>
  <c r="F24" i="39"/>
  <c r="F264" i="41"/>
  <c r="E24" i="39" s="1"/>
  <c r="E121" i="39" s="1"/>
  <c r="F269" i="41"/>
  <c r="E25" i="39" s="1"/>
  <c r="E108" i="39" s="1"/>
  <c r="F15" i="39"/>
  <c r="F21" i="39"/>
  <c r="F124" i="39" s="1"/>
  <c r="G273" i="41"/>
  <c r="F26" i="39" s="1"/>
  <c r="F111" i="39" s="1"/>
  <c r="F18" i="39"/>
  <c r="F127" i="39" s="1"/>
  <c r="F25" i="39"/>
  <c r="F20" i="39"/>
  <c r="F125" i="39" s="1"/>
  <c r="F273" i="41"/>
  <c r="E26" i="39" s="1"/>
  <c r="E111" i="39" s="1"/>
  <c r="F22" i="39"/>
  <c r="F123" i="39" s="1"/>
  <c r="F14" i="39"/>
  <c r="F23" i="39"/>
  <c r="F19" i="39"/>
  <c r="F126" i="39" s="1"/>
  <c r="F11" i="38"/>
  <c r="F34" i="38" s="1"/>
  <c r="F40" i="38" s="1"/>
  <c r="G1" i="41"/>
  <c r="Y16" i="69"/>
  <c r="R16" i="69"/>
  <c r="G16" i="69"/>
  <c r="Y15" i="69"/>
  <c r="R15" i="69"/>
  <c r="G15" i="69"/>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Y6" i="69"/>
  <c r="R6" i="69"/>
  <c r="K6" i="69"/>
  <c r="G6" i="69"/>
  <c r="Q67" i="50" l="1"/>
  <c r="D4" i="54"/>
  <c r="G4" i="48"/>
  <c r="J71" i="58"/>
  <c r="M20" i="55"/>
  <c r="M17" i="55"/>
  <c r="E107" i="39"/>
  <c r="E109" i="39"/>
  <c r="A15" i="46"/>
  <c r="A8" i="55"/>
  <c r="A6" i="46"/>
  <c r="E57" i="40"/>
  <c r="E15" i="39"/>
  <c r="E11" i="38"/>
  <c r="E34" i="38" s="1"/>
  <c r="E40" i="38" s="1"/>
  <c r="E11" i="33"/>
  <c r="E56" i="33" s="1"/>
  <c r="E53" i="32"/>
  <c r="F74" i="36"/>
  <c r="E44" i="27"/>
  <c r="A85" i="58"/>
  <c r="F1" i="39"/>
  <c r="F1" i="31"/>
  <c r="F1" i="36"/>
  <c r="F1" i="40"/>
  <c r="F1" i="34"/>
  <c r="F1" i="33"/>
  <c r="F1" i="37"/>
  <c r="F1" i="28"/>
  <c r="F1" i="32"/>
  <c r="F1" i="35"/>
  <c r="F1" i="38"/>
  <c r="F1" i="29"/>
  <c r="F1" i="27"/>
  <c r="E35" i="32"/>
  <c r="E31" i="32"/>
  <c r="F52" i="33"/>
  <c r="F48" i="28"/>
  <c r="I71" i="58"/>
  <c r="Q52" i="50" s="1"/>
  <c r="F62" i="37"/>
  <c r="F91" i="39"/>
  <c r="F185" i="39" s="1"/>
  <c r="F184" i="39"/>
  <c r="J89" i="58"/>
  <c r="F11" i="32"/>
  <c r="F40" i="32" s="1"/>
  <c r="F69" i="37"/>
  <c r="E52" i="33"/>
  <c r="I93" i="58"/>
  <c r="I73" i="58"/>
  <c r="F62" i="31"/>
  <c r="F145" i="39"/>
  <c r="F1" i="41"/>
  <c r="A7" i="47"/>
  <c r="A15" i="47"/>
  <c r="F180" i="39"/>
  <c r="H7" i="69"/>
  <c r="K7" i="69" s="1"/>
  <c r="L7" i="69" s="1"/>
  <c r="E39" i="29"/>
  <c r="I76" i="58"/>
  <c r="E180" i="39"/>
  <c r="E69" i="36"/>
  <c r="F44" i="27"/>
  <c r="L51" i="64"/>
  <c r="F42" i="38"/>
  <c r="F65" i="38" s="1"/>
  <c r="F70" i="38" s="1"/>
  <c r="F58" i="38"/>
  <c r="F60" i="38" s="1"/>
  <c r="F11" i="33"/>
  <c r="F56" i="33" s="1"/>
  <c r="E62" i="31"/>
  <c r="F181" i="39"/>
  <c r="E97" i="39"/>
  <c r="E98" i="39" s="1"/>
  <c r="E137" i="39" s="1"/>
  <c r="F69" i="36"/>
  <c r="F57" i="40"/>
  <c r="F122" i="39"/>
  <c r="N21" i="55" s="1"/>
  <c r="H8" i="55" s="1"/>
  <c r="E62" i="37"/>
  <c r="J91" i="58"/>
  <c r="H15" i="69"/>
  <c r="K15" i="69" s="1"/>
  <c r="L15" i="69" s="1"/>
  <c r="G6" i="46"/>
  <c r="G15" i="46"/>
  <c r="J90" i="58"/>
  <c r="J69" i="58"/>
  <c r="M51" i="64"/>
  <c r="E145" i="39"/>
  <c r="F49" i="35"/>
  <c r="E49" i="35"/>
  <c r="F48" i="29"/>
  <c r="B90" i="58" s="1"/>
  <c r="F97" i="39"/>
  <c r="F59" i="35"/>
  <c r="F65" i="35" s="1"/>
  <c r="B95" i="58" s="1"/>
  <c r="J95" i="58"/>
  <c r="E56" i="34"/>
  <c r="E38" i="34"/>
  <c r="F59" i="33"/>
  <c r="J93" i="58"/>
  <c r="H78" i="58"/>
  <c r="E64" i="38"/>
  <c r="F34" i="34"/>
  <c r="F57" i="34"/>
  <c r="F51" i="34"/>
  <c r="H92" i="58"/>
  <c r="F60" i="32"/>
  <c r="E62" i="40"/>
  <c r="I68" i="58"/>
  <c r="E69" i="37"/>
  <c r="J77" i="58"/>
  <c r="F67" i="31"/>
  <c r="I91" i="58"/>
  <c r="F49" i="27"/>
  <c r="H87" i="58"/>
  <c r="E61" i="40"/>
  <c r="H68" i="58"/>
  <c r="F62" i="40"/>
  <c r="I88" i="58"/>
  <c r="F129" i="39"/>
  <c r="F166" i="39" s="1"/>
  <c r="F182" i="39"/>
  <c r="F68" i="37"/>
  <c r="I97" i="58"/>
  <c r="E66" i="31"/>
  <c r="E71" i="31" s="1"/>
  <c r="H71" i="58"/>
  <c r="E59" i="35"/>
  <c r="E65" i="35" s="1"/>
  <c r="J75" i="58"/>
  <c r="H97" i="58"/>
  <c r="F67" i="37"/>
  <c r="F128" i="39"/>
  <c r="E59" i="33"/>
  <c r="J73" i="58"/>
  <c r="E49" i="27"/>
  <c r="E54" i="27" s="1"/>
  <c r="H67" i="58"/>
  <c r="F63" i="40"/>
  <c r="J88" i="58"/>
  <c r="E185" i="39"/>
  <c r="M14" i="55"/>
  <c r="E68" i="37"/>
  <c r="I77" i="58"/>
  <c r="E73" i="36"/>
  <c r="H76" i="58"/>
  <c r="F52" i="28"/>
  <c r="F56" i="28" s="1"/>
  <c r="H89" i="58"/>
  <c r="E41" i="32"/>
  <c r="E59" i="32"/>
  <c r="E63" i="40"/>
  <c r="J68" i="58"/>
  <c r="F179" i="39"/>
  <c r="F73" i="36"/>
  <c r="H96" i="58"/>
  <c r="E52" i="28"/>
  <c r="E56" i="28" s="1"/>
  <c r="H69" i="58"/>
  <c r="F38" i="34"/>
  <c r="F56" i="34"/>
  <c r="E48" i="28"/>
  <c r="A8" i="48"/>
  <c r="D8" i="48" s="1"/>
  <c r="A28" i="54"/>
  <c r="A18" i="54"/>
  <c r="A8" i="54"/>
  <c r="M6" i="64"/>
  <c r="M35" i="64"/>
  <c r="F6" i="64"/>
  <c r="F35" i="64"/>
  <c r="M23" i="64"/>
  <c r="F56" i="64"/>
  <c r="F23" i="64"/>
  <c r="M50" i="64"/>
  <c r="E45" i="29"/>
  <c r="E48" i="29" s="1"/>
  <c r="B70" i="58" s="1"/>
  <c r="J70" i="58"/>
  <c r="F61" i="40"/>
  <c r="H88" i="58"/>
  <c r="E75" i="36"/>
  <c r="J76" i="58"/>
  <c r="F41" i="32"/>
  <c r="F59" i="32"/>
  <c r="F75" i="36"/>
  <c r="J96" i="58"/>
  <c r="F66" i="31"/>
  <c r="H91" i="58"/>
  <c r="H8" i="69"/>
  <c r="K8" i="69" s="1"/>
  <c r="T11" i="69"/>
  <c r="H12" i="69"/>
  <c r="K12" i="69" s="1"/>
  <c r="L12" i="69" s="1"/>
  <c r="U11" i="69"/>
  <c r="V11" i="69"/>
  <c r="C6" i="69"/>
  <c r="S14" i="69"/>
  <c r="T14" i="69"/>
  <c r="U14" i="69"/>
  <c r="V14" i="69"/>
  <c r="Q46" i="50" l="1"/>
  <c r="Q53" i="50"/>
  <c r="Q60" i="50"/>
  <c r="Q74" i="50"/>
  <c r="F65" i="40"/>
  <c r="M15" i="55"/>
  <c r="E179" i="39"/>
  <c r="G263" i="41"/>
  <c r="F60" i="39" s="1"/>
  <c r="A27" i="54"/>
  <c r="A14" i="46"/>
  <c r="A5" i="46"/>
  <c r="A7" i="55"/>
  <c r="N35" i="55"/>
  <c r="N25" i="55"/>
  <c r="N13" i="55"/>
  <c r="E14" i="39"/>
  <c r="E58" i="38"/>
  <c r="E60" i="38" s="1"/>
  <c r="E42" i="38"/>
  <c r="E65" i="38" s="1"/>
  <c r="E70" i="38" s="1"/>
  <c r="E23" i="39"/>
  <c r="E22" i="39"/>
  <c r="E19" i="39"/>
  <c r="E21" i="39"/>
  <c r="E17" i="39"/>
  <c r="E11" i="34"/>
  <c r="E20" i="39"/>
  <c r="E18" i="39"/>
  <c r="E11" i="32"/>
  <c r="L6" i="64"/>
  <c r="L50" i="64"/>
  <c r="A7" i="54"/>
  <c r="E66" i="64"/>
  <c r="E28" i="36" s="1"/>
  <c r="E79" i="36" s="1"/>
  <c r="L35" i="64"/>
  <c r="E64" i="64"/>
  <c r="E22" i="34" s="1"/>
  <c r="E60" i="34" s="1"/>
  <c r="E68" i="64"/>
  <c r="E26" i="38" s="1"/>
  <c r="E71" i="38" s="1"/>
  <c r="E67" i="64"/>
  <c r="E25" i="37" s="1"/>
  <c r="E73" i="37" s="1"/>
  <c r="A65" i="58"/>
  <c r="E1" i="36"/>
  <c r="E1" i="40"/>
  <c r="E1" i="27"/>
  <c r="E1" i="39"/>
  <c r="E1" i="31"/>
  <c r="E1" i="34"/>
  <c r="E1" i="29"/>
  <c r="E1" i="37"/>
  <c r="E1" i="28"/>
  <c r="E1" i="32"/>
  <c r="E1" i="35"/>
  <c r="E1" i="33"/>
  <c r="E1" i="38"/>
  <c r="E62" i="64"/>
  <c r="E26" i="32" s="1"/>
  <c r="E58" i="64"/>
  <c r="E24" i="40" s="1"/>
  <c r="E66" i="40" s="1"/>
  <c r="E57" i="64"/>
  <c r="E18" i="27" s="1"/>
  <c r="E55" i="27" s="1"/>
  <c r="E56" i="27" s="1"/>
  <c r="E60" i="32"/>
  <c r="H72" i="58"/>
  <c r="H80" i="58" s="1"/>
  <c r="I72" i="58"/>
  <c r="E61" i="32"/>
  <c r="Q59" i="50"/>
  <c r="Q66" i="50"/>
  <c r="N14" i="55"/>
  <c r="E60" i="64"/>
  <c r="E16" i="29" s="1"/>
  <c r="E49" i="29" s="1"/>
  <c r="E50" i="29" s="1"/>
  <c r="C70" i="58" s="1"/>
  <c r="E63" i="64"/>
  <c r="E24" i="33" s="1"/>
  <c r="E62" i="33" s="1"/>
  <c r="E65" i="64"/>
  <c r="E22" i="35" s="1"/>
  <c r="E66" i="35" s="1"/>
  <c r="E67" i="35" s="1"/>
  <c r="C75" i="58" s="1"/>
  <c r="E59" i="64"/>
  <c r="E20" i="28" s="1"/>
  <c r="E57" i="28" s="1"/>
  <c r="E58" i="28" s="1"/>
  <c r="E61" i="64"/>
  <c r="E27" i="31" s="1"/>
  <c r="E72" i="31" s="1"/>
  <c r="E73" i="31" s="1"/>
  <c r="E23" i="64"/>
  <c r="A17" i="54"/>
  <c r="E56" i="64"/>
  <c r="A7" i="48"/>
  <c r="D7" i="48" s="1"/>
  <c r="L23" i="64"/>
  <c r="E1" i="41"/>
  <c r="E35" i="64"/>
  <c r="E6" i="64"/>
  <c r="F58" i="32"/>
  <c r="A14" i="47"/>
  <c r="A6" i="47"/>
  <c r="E106" i="39"/>
  <c r="E116" i="39" s="1"/>
  <c r="I98" i="58"/>
  <c r="Q45" i="50"/>
  <c r="Q73" i="50"/>
  <c r="F61" i="33"/>
  <c r="B93" i="58" s="1"/>
  <c r="F71" i="31"/>
  <c r="B91" i="58" s="1"/>
  <c r="H16" i="69"/>
  <c r="K16" i="69" s="1"/>
  <c r="H17" i="69" s="1"/>
  <c r="K17" i="69" s="1"/>
  <c r="E72" i="37"/>
  <c r="E61" i="33"/>
  <c r="B73" i="58" s="1"/>
  <c r="B75" i="58"/>
  <c r="F72" i="37"/>
  <c r="B97" i="58" s="1"/>
  <c r="F98" i="39"/>
  <c r="F137" i="39" s="1"/>
  <c r="F106" i="39"/>
  <c r="F78" i="36"/>
  <c r="F47" i="32"/>
  <c r="G7" i="55"/>
  <c r="E78" i="36"/>
  <c r="B71" i="58"/>
  <c r="B67" i="58"/>
  <c r="B98" i="58"/>
  <c r="E65" i="40"/>
  <c r="F40" i="34"/>
  <c r="H100" i="58"/>
  <c r="B69" i="58"/>
  <c r="H102" i="58"/>
  <c r="B89" i="58"/>
  <c r="H9" i="69"/>
  <c r="K9" i="69" s="1"/>
  <c r="L9" i="69" s="1"/>
  <c r="L8" i="69"/>
  <c r="M6" i="69"/>
  <c r="AC6" i="69"/>
  <c r="C14" i="69"/>
  <c r="M14" i="69" s="1"/>
  <c r="C11" i="69"/>
  <c r="Q81" i="50" l="1"/>
  <c r="F121" i="39"/>
  <c r="N20" i="55" s="1"/>
  <c r="N15" i="55" s="1"/>
  <c r="G8" i="55" s="1"/>
  <c r="I8" i="55" s="1"/>
  <c r="M8" i="55" s="1"/>
  <c r="N8" i="55" s="1"/>
  <c r="S8" i="55" s="1"/>
  <c r="E118" i="39"/>
  <c r="E127" i="39"/>
  <c r="E123" i="39"/>
  <c r="E181" i="39"/>
  <c r="E122" i="39"/>
  <c r="E124" i="39"/>
  <c r="E125" i="39"/>
  <c r="E126" i="39"/>
  <c r="G265" i="41"/>
  <c r="F61" i="39" s="1"/>
  <c r="F92" i="39" s="1"/>
  <c r="G268" i="41"/>
  <c r="F64" i="39" s="1"/>
  <c r="F108" i="39" s="1"/>
  <c r="D1" i="41"/>
  <c r="A5" i="55" s="1"/>
  <c r="A13" i="46"/>
  <c r="A6" i="55"/>
  <c r="E128" i="39"/>
  <c r="M13" i="55"/>
  <c r="M25" i="55"/>
  <c r="M35" i="55"/>
  <c r="H18" i="69"/>
  <c r="K18" i="69" s="1"/>
  <c r="L17" i="69"/>
  <c r="C190" i="39" s="1"/>
  <c r="I78" i="58"/>
  <c r="E57" i="34"/>
  <c r="E51" i="34"/>
  <c r="E34" i="34"/>
  <c r="E40" i="34" s="1"/>
  <c r="E42" i="34" s="1"/>
  <c r="J74" i="58" s="1"/>
  <c r="E129" i="39"/>
  <c r="E182" i="39"/>
  <c r="E58" i="32"/>
  <c r="E40" i="32"/>
  <c r="E69" i="64"/>
  <c r="E72" i="38"/>
  <c r="C78" i="58" s="1"/>
  <c r="E74" i="37"/>
  <c r="C77" i="58" s="1"/>
  <c r="A6" i="48"/>
  <c r="H82" i="58"/>
  <c r="C7" i="54" s="1"/>
  <c r="E67" i="32"/>
  <c r="D1" i="33"/>
  <c r="D1" i="36"/>
  <c r="D1" i="40"/>
  <c r="D1" i="38"/>
  <c r="D1" i="29"/>
  <c r="D1" i="39"/>
  <c r="D1" i="31"/>
  <c r="D1" i="34"/>
  <c r="D1" i="28"/>
  <c r="D1" i="37"/>
  <c r="D1" i="32"/>
  <c r="D1" i="27"/>
  <c r="D1" i="35"/>
  <c r="F139" i="39"/>
  <c r="E163" i="39"/>
  <c r="E71" i="35"/>
  <c r="D75" i="58" s="1"/>
  <c r="E73" i="35"/>
  <c r="E75" i="58" s="1"/>
  <c r="E75" i="35"/>
  <c r="F75" i="58" s="1"/>
  <c r="A13" i="47"/>
  <c r="A45" i="58"/>
  <c r="A6" i="54"/>
  <c r="A26" i="54"/>
  <c r="A16" i="54"/>
  <c r="F7" i="47"/>
  <c r="L16" i="69"/>
  <c r="B190" i="39" s="1"/>
  <c r="E63" i="33"/>
  <c r="E69" i="33" s="1"/>
  <c r="E73" i="58" s="1"/>
  <c r="B77" i="58"/>
  <c r="B78" i="58"/>
  <c r="E56" i="29"/>
  <c r="E70" i="58" s="1"/>
  <c r="E58" i="29"/>
  <c r="F70" i="58" s="1"/>
  <c r="E54" i="29"/>
  <c r="D70" i="58" s="1"/>
  <c r="C67" i="58"/>
  <c r="E60" i="27"/>
  <c r="E64" i="27"/>
  <c r="F67" i="58" s="1"/>
  <c r="E62" i="27"/>
  <c r="E67" i="58" s="1"/>
  <c r="F42" i="34"/>
  <c r="F45" i="34"/>
  <c r="F47" i="34" s="1"/>
  <c r="B88" i="58"/>
  <c r="E67" i="40"/>
  <c r="B68" i="58"/>
  <c r="F49" i="32"/>
  <c r="F52" i="32"/>
  <c r="F54" i="32" s="1"/>
  <c r="B96" i="58"/>
  <c r="C69" i="58"/>
  <c r="E64" i="28"/>
  <c r="E69" i="58" s="1"/>
  <c r="E62" i="28"/>
  <c r="E66" i="28"/>
  <c r="F69" i="58" s="1"/>
  <c r="E80" i="36"/>
  <c r="B76" i="58"/>
  <c r="F8" i="48"/>
  <c r="C8" i="54"/>
  <c r="C71" i="58"/>
  <c r="E79" i="31"/>
  <c r="E71" i="58" s="1"/>
  <c r="E81" i="31"/>
  <c r="F71" i="58" s="1"/>
  <c r="E77" i="31"/>
  <c r="M11" i="69"/>
  <c r="AC11" i="69"/>
  <c r="B15" i="69"/>
  <c r="P14" i="69"/>
  <c r="P6" i="69"/>
  <c r="Q7" i="69" s="1"/>
  <c r="B7" i="69"/>
  <c r="C1" i="32" l="1"/>
  <c r="C1" i="27"/>
  <c r="C1" i="37"/>
  <c r="C1" i="36"/>
  <c r="A5" i="54"/>
  <c r="C1" i="33"/>
  <c r="C1" i="29"/>
  <c r="C1" i="28"/>
  <c r="A5" i="48"/>
  <c r="D5" i="48" s="1"/>
  <c r="C1" i="41"/>
  <c r="A4" i="55" s="1"/>
  <c r="C1" i="38"/>
  <c r="C1" i="35"/>
  <c r="A25" i="54"/>
  <c r="A15" i="54"/>
  <c r="A25" i="58"/>
  <c r="F141" i="39"/>
  <c r="F164" i="39" s="1"/>
  <c r="I79" i="58"/>
  <c r="E166" i="39"/>
  <c r="M21" i="55"/>
  <c r="H7" i="55" s="1"/>
  <c r="I7" i="55" s="1"/>
  <c r="M7" i="55" s="1"/>
  <c r="N7" i="55" s="1"/>
  <c r="S7" i="55" s="1"/>
  <c r="Q80" i="50"/>
  <c r="C1" i="34"/>
  <c r="C1" i="31"/>
  <c r="C1" i="39"/>
  <c r="C1" i="40"/>
  <c r="F6" i="47"/>
  <c r="G266" i="41"/>
  <c r="F62" i="39" s="1"/>
  <c r="F93" i="39" s="1"/>
  <c r="F163" i="39" s="1"/>
  <c r="G270" i="41"/>
  <c r="F65" i="39" s="1"/>
  <c r="F94" i="39" s="1"/>
  <c r="F109" i="39" s="1"/>
  <c r="E54" i="34"/>
  <c r="E59" i="34" s="1"/>
  <c r="B74" i="58" s="1"/>
  <c r="L18" i="69"/>
  <c r="D190" i="39" s="1"/>
  <c r="H19" i="69"/>
  <c r="K19" i="69" s="1"/>
  <c r="L19" i="69" s="1"/>
  <c r="L35" i="55"/>
  <c r="L25" i="55"/>
  <c r="L13" i="55"/>
  <c r="R8" i="55"/>
  <c r="C6" i="46" s="1"/>
  <c r="E80" i="37"/>
  <c r="E77" i="58" s="1"/>
  <c r="E78" i="37"/>
  <c r="D77" i="58" s="1"/>
  <c r="E82" i="37"/>
  <c r="F77" i="58" s="1"/>
  <c r="E45" i="34"/>
  <c r="E47" i="34" s="1"/>
  <c r="E47" i="32"/>
  <c r="E78" i="38"/>
  <c r="E78" i="58" s="1"/>
  <c r="E80" i="38"/>
  <c r="F78" i="58" s="1"/>
  <c r="E76" i="38"/>
  <c r="D78" i="58" s="1"/>
  <c r="E139" i="39"/>
  <c r="F7" i="48"/>
  <c r="E76" i="35"/>
  <c r="E78" i="35"/>
  <c r="G75" i="58" s="1"/>
  <c r="E71" i="33"/>
  <c r="F73" i="58" s="1"/>
  <c r="E67" i="33"/>
  <c r="D73" i="58" s="1"/>
  <c r="C73" i="58"/>
  <c r="L59" i="50"/>
  <c r="L52" i="50"/>
  <c r="E59" i="29"/>
  <c r="E61" i="29"/>
  <c r="G70" i="58" s="1"/>
  <c r="E67" i="27"/>
  <c r="G67" i="58" s="1"/>
  <c r="D69" i="58"/>
  <c r="E69" i="28"/>
  <c r="G69" i="58" s="1"/>
  <c r="E67" i="28"/>
  <c r="C68" i="58"/>
  <c r="E75" i="40"/>
  <c r="F68" i="58" s="1"/>
  <c r="E73" i="40"/>
  <c r="E68" i="58" s="1"/>
  <c r="E71" i="40"/>
  <c r="F54" i="34"/>
  <c r="F59" i="34" s="1"/>
  <c r="J94" i="58"/>
  <c r="E84" i="31"/>
  <c r="G71" i="58" s="1"/>
  <c r="C76" i="58"/>
  <c r="E86" i="36"/>
  <c r="E76" i="58" s="1"/>
  <c r="E84" i="36"/>
  <c r="E88" i="36"/>
  <c r="F76" i="58" s="1"/>
  <c r="F62" i="32"/>
  <c r="F66" i="32" s="1"/>
  <c r="J92" i="58"/>
  <c r="D67" i="58"/>
  <c r="E65" i="27"/>
  <c r="D71" i="58"/>
  <c r="E82" i="31"/>
  <c r="S7" i="69"/>
  <c r="S15" i="69"/>
  <c r="V15" i="69"/>
  <c r="T15" i="69"/>
  <c r="U15" i="69"/>
  <c r="B12" i="69"/>
  <c r="P11" i="69"/>
  <c r="A24" i="54" l="1"/>
  <c r="B1" i="37"/>
  <c r="B1" i="27"/>
  <c r="A14" i="54"/>
  <c r="B1" i="35"/>
  <c r="B1" i="31"/>
  <c r="B1" i="28"/>
  <c r="A5" i="58"/>
  <c r="B1" i="40"/>
  <c r="B1" i="36"/>
  <c r="A4" i="54"/>
  <c r="A4" i="48"/>
  <c r="D4" i="48" s="1"/>
  <c r="B1" i="33"/>
  <c r="B1" i="29"/>
  <c r="B1" i="34"/>
  <c r="B1" i="39"/>
  <c r="B1" i="32"/>
  <c r="B1" i="38"/>
  <c r="J99" i="58"/>
  <c r="E190" i="39"/>
  <c r="H20" i="69"/>
  <c r="L73" i="50"/>
  <c r="I82" i="58"/>
  <c r="C17" i="54" s="1"/>
  <c r="R7" i="55"/>
  <c r="C5" i="46" s="1"/>
  <c r="I80" i="58"/>
  <c r="L80" i="50"/>
  <c r="E61" i="34"/>
  <c r="E65" i="34" s="1"/>
  <c r="E85" i="37"/>
  <c r="G77" i="58" s="1"/>
  <c r="F107" i="39"/>
  <c r="F116" i="39" s="1"/>
  <c r="C15" i="46"/>
  <c r="E83" i="37"/>
  <c r="E83" i="38"/>
  <c r="G78" i="58" s="1"/>
  <c r="E141" i="39"/>
  <c r="E144" i="39"/>
  <c r="E81" i="38"/>
  <c r="E52" i="32"/>
  <c r="E49" i="32"/>
  <c r="E74" i="33"/>
  <c r="G73" i="58" s="1"/>
  <c r="E72" i="33"/>
  <c r="L66" i="50"/>
  <c r="L45" i="50"/>
  <c r="N52" i="50"/>
  <c r="N73" i="50"/>
  <c r="M52" i="50"/>
  <c r="N80" i="50"/>
  <c r="N59" i="50"/>
  <c r="E78" i="40"/>
  <c r="G68" i="58" s="1"/>
  <c r="D76" i="58"/>
  <c r="E89" i="36"/>
  <c r="E15" i="47"/>
  <c r="D68" i="58"/>
  <c r="E76" i="40"/>
  <c r="B92" i="58"/>
  <c r="E91" i="36"/>
  <c r="G76" i="58" s="1"/>
  <c r="B94" i="58"/>
  <c r="C15" i="69"/>
  <c r="M15" i="69" s="1"/>
  <c r="C7" i="69"/>
  <c r="T12" i="69"/>
  <c r="S12" i="69"/>
  <c r="U12" i="69"/>
  <c r="V12" i="69"/>
  <c r="C14" i="46" l="1"/>
  <c r="J100" i="58"/>
  <c r="K20" i="69"/>
  <c r="L20" i="69" s="1"/>
  <c r="F190" i="39" s="1"/>
  <c r="J102" i="58"/>
  <c r="F144" i="39"/>
  <c r="F146" i="39" s="1"/>
  <c r="B27" i="48"/>
  <c r="C74" i="58"/>
  <c r="M73" i="50"/>
  <c r="E146" i="39"/>
  <c r="M80" i="50"/>
  <c r="E67" i="34"/>
  <c r="E74" i="58" s="1"/>
  <c r="E69" i="34"/>
  <c r="F74" i="58" s="1"/>
  <c r="F118" i="39"/>
  <c r="I99" i="58" s="1"/>
  <c r="E62" i="32"/>
  <c r="J72" i="58"/>
  <c r="E54" i="32"/>
  <c r="J79" i="58"/>
  <c r="E164" i="39"/>
  <c r="M59" i="50"/>
  <c r="M66" i="50"/>
  <c r="M45" i="50"/>
  <c r="N66" i="50"/>
  <c r="D74" i="58"/>
  <c r="C6" i="47"/>
  <c r="N45" i="50"/>
  <c r="D6" i="47"/>
  <c r="E5" i="46"/>
  <c r="E14" i="46"/>
  <c r="AC7" i="69"/>
  <c r="M7" i="69"/>
  <c r="B16" i="69"/>
  <c r="P15" i="69"/>
  <c r="C12" i="69"/>
  <c r="F6" i="46" l="1"/>
  <c r="I102" i="58"/>
  <c r="F15" i="46"/>
  <c r="H15" i="46" s="1"/>
  <c r="C28" i="54"/>
  <c r="E72" i="34"/>
  <c r="G74" i="58" s="1"/>
  <c r="E188" i="39"/>
  <c r="E70" i="34"/>
  <c r="I100" i="58"/>
  <c r="J80" i="58"/>
  <c r="J82" i="58"/>
  <c r="E14" i="47"/>
  <c r="E66" i="32"/>
  <c r="M12" i="69"/>
  <c r="P12" i="69" s="1"/>
  <c r="AC12" i="69"/>
  <c r="AC13" i="69" s="1"/>
  <c r="Q16" i="69"/>
  <c r="S16" i="69"/>
  <c r="T16" i="69"/>
  <c r="V16" i="69"/>
  <c r="U16" i="69"/>
  <c r="P7" i="69"/>
  <c r="Q8" i="69" s="1"/>
  <c r="B8" i="69"/>
  <c r="C18" i="54" l="1"/>
  <c r="B79" i="58"/>
  <c r="B72" i="58"/>
  <c r="E68" i="32"/>
  <c r="F5" i="46"/>
  <c r="C27" i="54"/>
  <c r="F14" i="46"/>
  <c r="H14" i="46" s="1"/>
  <c r="C16" i="69"/>
  <c r="M16" i="69" s="1"/>
  <c r="S8" i="69"/>
  <c r="T8" i="69"/>
  <c r="Q15" i="69"/>
  <c r="P16" i="69" l="1"/>
  <c r="Q17" i="69" s="1"/>
  <c r="B17" i="69"/>
  <c r="C72" i="58"/>
  <c r="E72" i="32"/>
  <c r="E76" i="32"/>
  <c r="E74" i="32"/>
  <c r="B82" i="58"/>
  <c r="B80" i="58"/>
  <c r="C8" i="69"/>
  <c r="S17" i="69" l="1"/>
  <c r="V17" i="69"/>
  <c r="U17" i="69"/>
  <c r="T17" i="69"/>
  <c r="E72" i="58"/>
  <c r="F72" i="58"/>
  <c r="D72" i="58"/>
  <c r="E77" i="32"/>
  <c r="E79" i="32"/>
  <c r="M8" i="69"/>
  <c r="AC8" i="69"/>
  <c r="B14" i="47" l="1"/>
  <c r="B6" i="47"/>
  <c r="C17" i="69"/>
  <c r="M17" i="69" s="1"/>
  <c r="G72" i="58"/>
  <c r="P8" i="69"/>
  <c r="Q9" i="69" s="1"/>
  <c r="B9" i="69"/>
  <c r="C14" i="47" l="1"/>
  <c r="P17" i="69"/>
  <c r="Q18" i="69" s="1"/>
  <c r="B18" i="69"/>
  <c r="S9" i="69"/>
  <c r="U9" i="69"/>
  <c r="T9" i="69"/>
  <c r="S18" i="69" l="1"/>
  <c r="V18" i="69"/>
  <c r="T18" i="69"/>
  <c r="U18" i="69"/>
  <c r="C9" i="69"/>
  <c r="C18" i="69" l="1"/>
  <c r="M18" i="69" s="1"/>
  <c r="AC9" i="69"/>
  <c r="M9" i="69"/>
  <c r="P9" i="69" s="1"/>
  <c r="P18" i="69" l="1"/>
  <c r="B19" i="69"/>
  <c r="Q11" i="69"/>
  <c r="Q12" i="69"/>
  <c r="Q14" i="69"/>
  <c r="Q19" i="69" l="1"/>
  <c r="R19" i="69" s="1"/>
  <c r="C19" i="69" s="1"/>
  <c r="M19" i="69" s="1"/>
  <c r="S19" i="69"/>
  <c r="U19" i="69"/>
  <c r="V19" i="69"/>
  <c r="T19" i="69"/>
  <c r="D4" i="4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B8" i="29" s="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P19" i="69" l="1"/>
  <c r="Q20" i="69" s="1"/>
  <c r="B20" i="69"/>
  <c r="B53" i="27"/>
  <c r="C53" i="27"/>
  <c r="V20" i="69" l="1"/>
  <c r="U20" i="69"/>
  <c r="T20" i="69"/>
  <c r="S20" i="69"/>
  <c r="B8" i="64"/>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C20" i="69" l="1"/>
  <c r="M20" i="69" s="1"/>
  <c r="P20" i="69" s="1"/>
  <c r="B36" i="64"/>
  <c r="I36" i="64" s="1"/>
  <c r="B24" i="64"/>
  <c r="C36" i="64"/>
  <c r="J36" i="64" s="1"/>
  <c r="B37" i="64"/>
  <c r="I37" i="64" s="1"/>
  <c r="C37" i="64"/>
  <c r="J37" i="64" s="1"/>
  <c r="B38" i="64"/>
  <c r="I38" i="64" s="1"/>
  <c r="C38" i="64"/>
  <c r="J38" i="64" s="1"/>
  <c r="B39" i="64"/>
  <c r="I39" i="64" s="1"/>
  <c r="C39" i="64"/>
  <c r="J39" i="64" s="1"/>
  <c r="B40" i="64"/>
  <c r="I40" i="64" s="1"/>
  <c r="C40" i="64"/>
  <c r="J40" i="64" s="1"/>
  <c r="B41" i="64"/>
  <c r="I41" i="64" s="1"/>
  <c r="C41" i="64"/>
  <c r="J41" i="64" s="1"/>
  <c r="B42" i="64"/>
  <c r="I42" i="64" s="1"/>
  <c r="C42" i="64"/>
  <c r="J42" i="64" s="1"/>
  <c r="B43" i="64"/>
  <c r="I43" i="64" s="1"/>
  <c r="C43" i="64"/>
  <c r="J43" i="64" s="1"/>
  <c r="B44" i="64"/>
  <c r="I44" i="64" s="1"/>
  <c r="C44" i="64"/>
  <c r="J44" i="64" s="1"/>
  <c r="B45" i="64"/>
  <c r="I45" i="64" s="1"/>
  <c r="C45" i="64"/>
  <c r="J45" i="64" s="1"/>
  <c r="B46" i="64"/>
  <c r="I46" i="64" s="1"/>
  <c r="C46" i="64"/>
  <c r="J46" i="64" s="1"/>
  <c r="D36" i="64"/>
  <c r="D24" i="64"/>
  <c r="K24" i="64" s="1"/>
  <c r="I8" i="64"/>
  <c r="J8" i="64"/>
  <c r="I9" i="64"/>
  <c r="J9" i="64"/>
  <c r="I11" i="64"/>
  <c r="J11" i="64"/>
  <c r="I12" i="64"/>
  <c r="J12" i="64"/>
  <c r="I13" i="64"/>
  <c r="J13" i="64"/>
  <c r="I14" i="64"/>
  <c r="J14" i="64"/>
  <c r="I16" i="64"/>
  <c r="J16" i="64"/>
  <c r="I17" i="64"/>
  <c r="J17" i="64"/>
  <c r="I18" i="64"/>
  <c r="J18" i="64"/>
  <c r="I24"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I50" i="64"/>
  <c r="J50" i="64"/>
  <c r="K50" i="64"/>
  <c r="I35" i="64"/>
  <c r="J35" i="64"/>
  <c r="K35" i="64"/>
  <c r="B35" i="64"/>
  <c r="C35" i="64"/>
  <c r="D35" i="64"/>
  <c r="I23" i="64"/>
  <c r="J23" i="64"/>
  <c r="K23" i="64"/>
  <c r="B23" i="64"/>
  <c r="C23" i="64"/>
  <c r="D23" i="64"/>
  <c r="I6" i="64"/>
  <c r="J6" i="64"/>
  <c r="K6" i="64"/>
  <c r="B6" i="64"/>
  <c r="C6" i="64"/>
  <c r="D6" i="64"/>
  <c r="J19" i="64" l="1"/>
  <c r="I19" i="64"/>
  <c r="I32" i="64"/>
  <c r="J47" i="64"/>
  <c r="I47" i="64"/>
  <c r="J32" i="64"/>
  <c r="J51" i="64" l="1"/>
  <c r="C69" i="64" s="1"/>
  <c r="I51" i="64"/>
  <c r="B69" i="64" s="1"/>
  <c r="B48" i="39"/>
  <c r="C48" i="39"/>
  <c r="D48" i="39"/>
  <c r="A48" i="39"/>
  <c r="C63" i="64" l="1"/>
  <c r="C60" i="64"/>
  <c r="C59" i="64"/>
  <c r="C58" i="64"/>
  <c r="C57" i="64"/>
  <c r="B62" i="64"/>
  <c r="C61" i="64"/>
  <c r="C68" i="64"/>
  <c r="C67" i="64"/>
  <c r="C66" i="64"/>
  <c r="C65" i="64"/>
  <c r="C64" i="64"/>
  <c r="B58" i="64"/>
  <c r="B59" i="64"/>
  <c r="B65" i="64"/>
  <c r="C62" i="64"/>
  <c r="B63" i="64"/>
  <c r="B68" i="64"/>
  <c r="B57" i="64"/>
  <c r="B67" i="64"/>
  <c r="B60" i="64"/>
  <c r="B64" i="64"/>
  <c r="B61" i="64"/>
  <c r="B66" i="64"/>
  <c r="D269" i="41" l="1"/>
  <c r="C273" i="41"/>
  <c r="C269" i="41"/>
  <c r="D273" i="41"/>
  <c r="D264" i="41"/>
  <c r="C264" i="41"/>
  <c r="C21" i="39" l="1"/>
  <c r="B19" i="39"/>
  <c r="B21" i="39"/>
  <c r="B22" i="39"/>
  <c r="B23" i="39"/>
  <c r="C13" i="31"/>
  <c r="C69" i="31" s="1"/>
  <c r="C16" i="34"/>
  <c r="C55" i="34" s="1"/>
  <c r="D49" i="39"/>
  <c r="D175" i="39" s="1"/>
  <c r="C49" i="39"/>
  <c r="C175" i="39" s="1"/>
  <c r="D41" i="41"/>
  <c r="C43" i="41"/>
  <c r="B9" i="39" s="1"/>
  <c r="C41" i="41"/>
  <c r="B7" i="39" s="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J37" i="55"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B37" i="55"/>
  <c r="L28" i="55"/>
  <c r="K28" i="55"/>
  <c r="J28" i="55"/>
  <c r="L27" i="55"/>
  <c r="L30" i="55" s="1"/>
  <c r="K27" i="55"/>
  <c r="K30" i="55" s="1"/>
  <c r="J27" i="55"/>
  <c r="J30" i="55" s="1"/>
  <c r="B27" i="55"/>
  <c r="L26" i="55"/>
  <c r="K26" i="55"/>
  <c r="J26" i="55"/>
  <c r="B26" i="55"/>
  <c r="B21" i="55"/>
  <c r="B20" i="55"/>
  <c r="B14" i="55"/>
  <c r="D6" i="55"/>
  <c r="C6" i="55"/>
  <c r="D5" i="55"/>
  <c r="C5" i="55"/>
  <c r="D4" i="55"/>
  <c r="C4" i="55"/>
  <c r="G62" i="58"/>
  <c r="G42" i="58"/>
  <c r="G22" i="58"/>
  <c r="D70" i="39"/>
  <c r="C70" i="39"/>
  <c r="B70" i="39"/>
  <c r="D69" i="39"/>
  <c r="C69" i="39"/>
  <c r="B69" i="39"/>
  <c r="C26" i="39"/>
  <c r="B26" i="39"/>
  <c r="D66" i="39"/>
  <c r="C66" i="39"/>
  <c r="B66" i="39"/>
  <c r="C25" i="39"/>
  <c r="B25" i="39"/>
  <c r="D63" i="39"/>
  <c r="C63" i="39"/>
  <c r="B63" i="39"/>
  <c r="C24" i="39"/>
  <c r="B24" i="39"/>
  <c r="C23" i="39"/>
  <c r="C22" i="39"/>
  <c r="D56" i="39"/>
  <c r="C56" i="39"/>
  <c r="B56" i="39"/>
  <c r="D55" i="39"/>
  <c r="C55" i="39"/>
  <c r="B55" i="39"/>
  <c r="C20" i="39"/>
  <c r="B20" i="39"/>
  <c r="D54" i="39"/>
  <c r="C54" i="39"/>
  <c r="B54" i="39"/>
  <c r="C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D8" i="39"/>
  <c r="L38" i="55" s="1"/>
  <c r="C8" i="39"/>
  <c r="K38" i="55" s="1"/>
  <c r="B8" i="39"/>
  <c r="J38" i="55" s="1"/>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33" i="29"/>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D110" i="39" l="1"/>
  <c r="J35" i="55"/>
  <c r="J25" i="55"/>
  <c r="K35" i="55"/>
  <c r="K25" i="55"/>
  <c r="D114" i="39"/>
  <c r="L37" i="55" s="1"/>
  <c r="D41" i="40"/>
  <c r="D43" i="40" s="1"/>
  <c r="B18" i="55"/>
  <c r="B113" i="39"/>
  <c r="J36" i="55" s="1"/>
  <c r="K4" i="55" s="1"/>
  <c r="D32" i="40"/>
  <c r="D34" i="40" s="1"/>
  <c r="D50" i="40"/>
  <c r="D52" i="40" s="1"/>
  <c r="C113" i="39"/>
  <c r="K36" i="55" s="1"/>
  <c r="D113" i="39"/>
  <c r="L36" i="55" s="1"/>
  <c r="C114" i="39"/>
  <c r="K37" i="55" s="1"/>
  <c r="J29" i="55"/>
  <c r="J4" i="55" s="1"/>
  <c r="L29" i="55"/>
  <c r="J6" i="55"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A50" i="37"/>
  <c r="A49" i="40"/>
  <c r="C95" i="39"/>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K46" i="64" s="1"/>
  <c r="D26" i="64"/>
  <c r="K26" i="64" s="1"/>
  <c r="D30" i="64"/>
  <c r="K30" i="64" s="1"/>
  <c r="B27" i="27"/>
  <c r="B29" i="27" s="1"/>
  <c r="C55" i="31"/>
  <c r="C57" i="31" s="1"/>
  <c r="D28" i="64"/>
  <c r="K28" i="64" s="1"/>
  <c r="D44" i="64"/>
  <c r="K44" i="64" s="1"/>
  <c r="D55" i="31"/>
  <c r="D57" i="31" s="1"/>
  <c r="D48" i="27"/>
  <c r="D46" i="31"/>
  <c r="D48" i="31" s="1"/>
  <c r="D32" i="29"/>
  <c r="D37" i="29" s="1"/>
  <c r="C56" i="40"/>
  <c r="B61" i="31"/>
  <c r="C68" i="36"/>
  <c r="B126" i="39"/>
  <c r="C32" i="40"/>
  <c r="C34" i="40" s="1"/>
  <c r="B52" i="35"/>
  <c r="B170" i="39" s="1"/>
  <c r="B138" i="39"/>
  <c r="I14" i="58"/>
  <c r="D38" i="64"/>
  <c r="K38" i="64" s="1"/>
  <c r="B46" i="31"/>
  <c r="B48" i="31" s="1"/>
  <c r="C58" i="36"/>
  <c r="C60" i="36" s="1"/>
  <c r="B37" i="37"/>
  <c r="B39" i="37" s="1"/>
  <c r="C56" i="37"/>
  <c r="C57" i="37" s="1"/>
  <c r="C70" i="37" s="1"/>
  <c r="B47" i="28"/>
  <c r="D61" i="31"/>
  <c r="K19" i="64"/>
  <c r="D42" i="64"/>
  <c r="K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F4" i="55"/>
  <c r="D51" i="33"/>
  <c r="D29" i="33"/>
  <c r="B72" i="39"/>
  <c r="B18" i="33"/>
  <c r="D56" i="40"/>
  <c r="C61" i="31"/>
  <c r="B46" i="34"/>
  <c r="B27" i="34"/>
  <c r="D68" i="36"/>
  <c r="B117" i="39"/>
  <c r="B45" i="39"/>
  <c r="B136" i="39" s="1"/>
  <c r="B167" i="39" s="1"/>
  <c r="B15" i="34"/>
  <c r="D16" i="39"/>
  <c r="D12" i="32"/>
  <c r="C72" i="39"/>
  <c r="C18" i="33"/>
  <c r="B14" i="39"/>
  <c r="B11" i="33"/>
  <c r="C126" i="39"/>
  <c r="C57" i="39"/>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E6" i="55"/>
  <c r="I7" i="58"/>
  <c r="I52" i="58"/>
  <c r="D53" i="28"/>
  <c r="I49" i="58"/>
  <c r="B38" i="29"/>
  <c r="B21" i="29"/>
  <c r="D53" i="32"/>
  <c r="D31" i="32"/>
  <c r="C61" i="32"/>
  <c r="I32" i="58"/>
  <c r="C27" i="35"/>
  <c r="C48" i="35"/>
  <c r="B31" i="38"/>
  <c r="B59" i="38"/>
  <c r="D46" i="39"/>
  <c r="D134" i="39" s="1"/>
  <c r="D168" i="39" s="1"/>
  <c r="D12" i="35"/>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D25" i="64"/>
  <c r="K25" i="64" s="1"/>
  <c r="D29" i="64"/>
  <c r="K29" i="64" s="1"/>
  <c r="D45" i="64"/>
  <c r="K45" i="64" s="1"/>
  <c r="K29" i="55"/>
  <c r="J5" i="55" s="1"/>
  <c r="B41" i="28"/>
  <c r="D39" i="64"/>
  <c r="K39" i="64" s="1"/>
  <c r="D43" i="64"/>
  <c r="K43" i="64" s="1"/>
  <c r="C41" i="28"/>
  <c r="D19" i="64"/>
  <c r="D20" i="64" s="1"/>
  <c r="K36" i="64"/>
  <c r="D40" i="64"/>
  <c r="K40" i="64" s="1"/>
  <c r="D27" i="27"/>
  <c r="D42" i="27" s="1"/>
  <c r="C28" i="28"/>
  <c r="C30" i="28" s="1"/>
  <c r="C32" i="29"/>
  <c r="C36" i="27"/>
  <c r="C37" i="27" s="1"/>
  <c r="C39" i="27" s="1"/>
  <c r="D28" i="28"/>
  <c r="D30" i="28" s="1"/>
  <c r="B37" i="31"/>
  <c r="B39" i="31" s="1"/>
  <c r="D37" i="64"/>
  <c r="K37" i="64" s="1"/>
  <c r="D41" i="64"/>
  <c r="K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6" i="47"/>
  <c r="I7" i="46"/>
  <c r="I16" i="46"/>
  <c r="C122" i="39" l="1"/>
  <c r="B122" i="39"/>
  <c r="D11" i="38"/>
  <c r="D34" i="38" s="1"/>
  <c r="D40" i="38" s="1"/>
  <c r="D18" i="39"/>
  <c r="D14" i="39"/>
  <c r="D21" i="39"/>
  <c r="D23" i="39"/>
  <c r="D20" i="39"/>
  <c r="C96" i="39"/>
  <c r="L17" i="55"/>
  <c r="D62" i="35"/>
  <c r="K6" i="55"/>
  <c r="L6" i="55" s="1"/>
  <c r="K5" i="55"/>
  <c r="L5" i="55" s="1"/>
  <c r="L4" i="55"/>
  <c r="G13" i="46"/>
  <c r="E273" i="41"/>
  <c r="D26" i="39" s="1"/>
  <c r="D111" i="39" s="1"/>
  <c r="E269" i="41"/>
  <c r="D25" i="39" s="1"/>
  <c r="D11" i="32"/>
  <c r="D19" i="39"/>
  <c r="E264" i="41"/>
  <c r="D24" i="39" s="1"/>
  <c r="D22" i="39"/>
  <c r="D5" i="39"/>
  <c r="D187" i="39" s="1"/>
  <c r="B5" i="39"/>
  <c r="B187" i="39" s="1"/>
  <c r="C5" i="39"/>
  <c r="C187" i="39" s="1"/>
  <c r="D172" i="39"/>
  <c r="D145" i="39"/>
  <c r="D50" i="33"/>
  <c r="D52" i="33" s="1"/>
  <c r="J8" i="58"/>
  <c r="D29" i="27"/>
  <c r="H47" i="58" s="1"/>
  <c r="C181" i="39"/>
  <c r="C97" i="39"/>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B145" i="39"/>
  <c r="G7"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52" i="34"/>
  <c r="H54" i="58"/>
  <c r="B129" i="39"/>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B49" i="27"/>
  <c r="H7" i="58"/>
  <c r="B57" i="35"/>
  <c r="H15" i="58"/>
  <c r="C182" i="39"/>
  <c r="C129" i="39"/>
  <c r="C67" i="37"/>
  <c r="H37" i="58"/>
  <c r="B62" i="40"/>
  <c r="I8" i="58"/>
  <c r="B44" i="35"/>
  <c r="B47" i="35"/>
  <c r="B49" i="35" s="1"/>
  <c r="C58" i="32"/>
  <c r="C40" i="32"/>
  <c r="B173" i="39"/>
  <c r="B67" i="38"/>
  <c r="B55" i="38"/>
  <c r="D69" i="37"/>
  <c r="J57" i="58"/>
  <c r="B75" i="36"/>
  <c r="J16" i="58"/>
  <c r="B68" i="31"/>
  <c r="J11" i="58"/>
  <c r="K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C166" i="39" l="1"/>
  <c r="D126" i="39"/>
  <c r="D122" i="39"/>
  <c r="D124" i="39"/>
  <c r="D127" i="39"/>
  <c r="D166" i="39"/>
  <c r="B166" i="39"/>
  <c r="J21" i="55"/>
  <c r="H4" i="55" s="1"/>
  <c r="D125" i="39"/>
  <c r="D123" i="39"/>
  <c r="K21" i="55"/>
  <c r="H5" i="55" s="1"/>
  <c r="D58" i="38"/>
  <c r="D60" i="38" s="1"/>
  <c r="D42" i="38"/>
  <c r="D65" i="38" s="1"/>
  <c r="D70" i="38" s="1"/>
  <c r="C106" i="39"/>
  <c r="Q65" i="50"/>
  <c r="Q70" i="50"/>
  <c r="Q43" i="50"/>
  <c r="Q51" i="50"/>
  <c r="Q49" i="50"/>
  <c r="Q50" i="50"/>
  <c r="Q42" i="50"/>
  <c r="Q44" i="50"/>
  <c r="Q57" i="50"/>
  <c r="D49" i="27"/>
  <c r="D54" i="27" s="1"/>
  <c r="B47" i="58" s="1"/>
  <c r="D11" i="33"/>
  <c r="D56" i="33" s="1"/>
  <c r="D61" i="33" s="1"/>
  <c r="D15" i="39"/>
  <c r="D58" i="32"/>
  <c r="D40" i="32"/>
  <c r="D47" i="32" s="1"/>
  <c r="D52" i="32" s="1"/>
  <c r="D54" i="32" s="1"/>
  <c r="D181" i="39"/>
  <c r="D128" i="39"/>
  <c r="K51" i="64"/>
  <c r="C98" i="39"/>
  <c r="J50" i="58"/>
  <c r="C47" i="32"/>
  <c r="C52" i="32" s="1"/>
  <c r="C54" i="32" s="1"/>
  <c r="C71" i="31"/>
  <c r="B31" i="58" s="1"/>
  <c r="D40" i="34"/>
  <c r="D42" i="34" s="1"/>
  <c r="B98" i="39"/>
  <c r="B137" i="39" s="1"/>
  <c r="D71" i="31"/>
  <c r="B51" i="58" s="1"/>
  <c r="D62" i="39"/>
  <c r="I53" i="58"/>
  <c r="C65" i="39"/>
  <c r="C94" i="39" s="1"/>
  <c r="C109" i="39" s="1"/>
  <c r="D64" i="39"/>
  <c r="C62" i="39"/>
  <c r="C93" i="39" s="1"/>
  <c r="B64" i="39"/>
  <c r="B108" i="39" s="1"/>
  <c r="B40" i="34"/>
  <c r="B45" i="34" s="1"/>
  <c r="B47" i="34" s="1"/>
  <c r="D61" i="39"/>
  <c r="B62" i="39"/>
  <c r="B93" i="39" s="1"/>
  <c r="B107" i="39" s="1"/>
  <c r="D56" i="28"/>
  <c r="B49" i="58" s="1"/>
  <c r="D60" i="39"/>
  <c r="B61" i="39"/>
  <c r="B92" i="39" s="1"/>
  <c r="B60" i="39"/>
  <c r="B121" i="39" s="1"/>
  <c r="J20" i="55" s="1"/>
  <c r="G16"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D68" i="64"/>
  <c r="D26" i="38" s="1"/>
  <c r="D71" i="38" s="1"/>
  <c r="D60" i="64"/>
  <c r="D16" i="29" s="1"/>
  <c r="D49" i="29"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B74" i="36"/>
  <c r="B78" i="36" s="1"/>
  <c r="I16" i="58"/>
  <c r="C45" i="29"/>
  <c r="C48" i="29" s="1"/>
  <c r="J30" i="58"/>
  <c r="C65" i="40"/>
  <c r="B58" i="33"/>
  <c r="B61" i="33" s="1"/>
  <c r="I13" i="58"/>
  <c r="D78" i="36"/>
  <c r="G5" i="55"/>
  <c r="B61" i="40"/>
  <c r="B65" i="40" s="1"/>
  <c r="H8" i="58"/>
  <c r="B45" i="29"/>
  <c r="J10" i="58"/>
  <c r="C74" i="36"/>
  <c r="C78" i="36" s="1"/>
  <c r="I36" i="58"/>
  <c r="C54" i="28"/>
  <c r="C56" i="28" s="1"/>
  <c r="J29" i="58"/>
  <c r="B65" i="38"/>
  <c r="B70" i="38" s="1"/>
  <c r="I18" i="58"/>
  <c r="D98" i="39"/>
  <c r="D137" i="39" s="1"/>
  <c r="B54" i="27"/>
  <c r="D61" i="40"/>
  <c r="D65" i="40" s="1"/>
  <c r="H48" i="58"/>
  <c r="C49" i="27"/>
  <c r="C54" i="27" s="1"/>
  <c r="H27" i="58"/>
  <c r="D48" i="29"/>
  <c r="B48" i="29" l="1"/>
  <c r="B10" i="58" s="1"/>
  <c r="I5" i="55"/>
  <c r="M5" i="55" s="1"/>
  <c r="N5" i="55" s="1"/>
  <c r="S5" i="55" s="1"/>
  <c r="I58" i="58"/>
  <c r="L21" i="55"/>
  <c r="H6" i="55" s="1"/>
  <c r="D179" i="39"/>
  <c r="D57" i="64"/>
  <c r="D18" i="27" s="1"/>
  <c r="D55" i="27" s="1"/>
  <c r="D56" i="27" s="1"/>
  <c r="D62" i="27" s="1"/>
  <c r="E47" i="58" s="1"/>
  <c r="E88" i="39"/>
  <c r="E189" i="39" s="1"/>
  <c r="E191" i="39" s="1"/>
  <c r="D59" i="64"/>
  <c r="D20" i="28" s="1"/>
  <c r="D57" i="28" s="1"/>
  <c r="D58" i="28" s="1"/>
  <c r="D64" i="28" s="1"/>
  <c r="E49" i="58" s="1"/>
  <c r="D63" i="64"/>
  <c r="D24" i="33" s="1"/>
  <c r="D62" i="33" s="1"/>
  <c r="D63" i="33" s="1"/>
  <c r="G17" i="50"/>
  <c r="C137" i="39"/>
  <c r="D121" i="39"/>
  <c r="D139" i="39" s="1"/>
  <c r="D108" i="39"/>
  <c r="D93" i="39"/>
  <c r="D92" i="39"/>
  <c r="G18" i="50"/>
  <c r="Q77" i="50"/>
  <c r="Q72" i="50"/>
  <c r="Q58" i="50"/>
  <c r="Q64" i="50"/>
  <c r="Q63" i="50"/>
  <c r="Q56" i="50"/>
  <c r="Q79" i="50"/>
  <c r="Q78" i="50"/>
  <c r="Q71" i="50"/>
  <c r="J15" i="55"/>
  <c r="G4" i="55" s="1"/>
  <c r="I4" i="55" s="1"/>
  <c r="M4" i="55" s="1"/>
  <c r="N4" i="55" s="1"/>
  <c r="C73" i="31"/>
  <c r="C79" i="31" s="1"/>
  <c r="E31" i="58" s="1"/>
  <c r="H22" i="58"/>
  <c r="D58" i="64"/>
  <c r="D24" i="40" s="1"/>
  <c r="D66" i="40" s="1"/>
  <c r="D67" i="40" s="1"/>
  <c r="C49" i="32"/>
  <c r="C62" i="32" s="1"/>
  <c r="C66" i="32" s="1"/>
  <c r="D45" i="34"/>
  <c r="D47" i="34" s="1"/>
  <c r="B139" i="39"/>
  <c r="B42" i="34"/>
  <c r="B54" i="34" s="1"/>
  <c r="B59" i="34" s="1"/>
  <c r="C63" i="33"/>
  <c r="C69" i="33" s="1"/>
  <c r="E33" i="58" s="1"/>
  <c r="B73" i="31"/>
  <c r="C11" i="58" s="1"/>
  <c r="D65" i="39"/>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C67" i="35"/>
  <c r="B35" i="58"/>
  <c r="B67" i="40"/>
  <c r="B8" i="58"/>
  <c r="B56" i="58"/>
  <c r="C18" i="27"/>
  <c r="C55" i="27" s="1"/>
  <c r="C56" i="27" s="1"/>
  <c r="C88" i="39"/>
  <c r="C189" i="39" s="1"/>
  <c r="H40" i="58"/>
  <c r="D50" i="29"/>
  <c r="B50" i="58"/>
  <c r="B58" i="28"/>
  <c r="B9" i="58"/>
  <c r="C67" i="40"/>
  <c r="B28" i="58"/>
  <c r="B74" i="37"/>
  <c r="B17" i="58"/>
  <c r="C72" i="38"/>
  <c r="B38" i="58"/>
  <c r="D72" i="38"/>
  <c r="B58" i="58"/>
  <c r="B63" i="33"/>
  <c r="B13" i="58"/>
  <c r="B80" i="36"/>
  <c r="B16" i="58"/>
  <c r="B53" i="58"/>
  <c r="C80" i="36"/>
  <c r="B36" i="58"/>
  <c r="B7" i="58"/>
  <c r="D54" i="34"/>
  <c r="D59" i="34" s="1"/>
  <c r="J54" i="58"/>
  <c r="R5" i="55"/>
  <c r="B15" i="58"/>
  <c r="B67" i="35"/>
  <c r="B48" i="58"/>
  <c r="C54" i="34"/>
  <c r="C59" i="34" s="1"/>
  <c r="J34" i="58"/>
  <c r="B18" i="27"/>
  <c r="B55" i="27" s="1"/>
  <c r="B56" i="27" s="1"/>
  <c r="B88" i="39"/>
  <c r="B189" i="39" s="1"/>
  <c r="B57" i="58"/>
  <c r="B50" i="29" l="1"/>
  <c r="B56" i="29" s="1"/>
  <c r="B141" i="39"/>
  <c r="D69" i="64"/>
  <c r="B7" i="55"/>
  <c r="O7" i="55" s="1"/>
  <c r="E197" i="39"/>
  <c r="E199" i="39"/>
  <c r="E195" i="39"/>
  <c r="C79" i="58"/>
  <c r="C139" i="39"/>
  <c r="D163" i="39"/>
  <c r="D141" i="39"/>
  <c r="D107" i="39"/>
  <c r="D94" i="39"/>
  <c r="L20" i="55"/>
  <c r="L15" i="55" s="1"/>
  <c r="G6" i="55" s="1"/>
  <c r="I6" i="55" s="1"/>
  <c r="M6" i="55" s="1"/>
  <c r="N6" i="55" s="1"/>
  <c r="S6" i="55" s="1"/>
  <c r="G22" i="50"/>
  <c r="G20" i="50"/>
  <c r="L50" i="50"/>
  <c r="L57" i="50"/>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J19" i="58"/>
  <c r="C33" i="58"/>
  <c r="C71" i="33"/>
  <c r="F33" i="58" s="1"/>
  <c r="C67" i="33"/>
  <c r="J12" i="58"/>
  <c r="D77" i="31"/>
  <c r="D79" i="31"/>
  <c r="E51" i="58" s="1"/>
  <c r="D88" i="39"/>
  <c r="D189" i="39" s="1"/>
  <c r="D64" i="27"/>
  <c r="F47" i="58" s="1"/>
  <c r="D60" i="27"/>
  <c r="D47" i="58" s="1"/>
  <c r="C47" i="58"/>
  <c r="B118" i="39"/>
  <c r="I19" i="58" s="1"/>
  <c r="B144" i="39"/>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7"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B61" i="34"/>
  <c r="B14" i="58"/>
  <c r="D68" i="32"/>
  <c r="B52" i="58"/>
  <c r="C78" i="38"/>
  <c r="E38" i="58" s="1"/>
  <c r="C80" i="38"/>
  <c r="F38" i="58" s="1"/>
  <c r="C76" i="38"/>
  <c r="C38" i="58"/>
  <c r="B78" i="37"/>
  <c r="B82" i="37"/>
  <c r="F17" i="58" s="1"/>
  <c r="B80" i="37"/>
  <c r="E17" i="58" s="1"/>
  <c r="C17" i="58"/>
  <c r="B64" i="27"/>
  <c r="F7" i="58" s="1"/>
  <c r="B62" i="27"/>
  <c r="E7" i="58" s="1"/>
  <c r="C7" i="58"/>
  <c r="B60" i="27"/>
  <c r="B68" i="32"/>
  <c r="B12" i="58"/>
  <c r="C68" i="32"/>
  <c r="B32" i="58"/>
  <c r="B58" i="29"/>
  <c r="C10"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73" i="35"/>
  <c r="D71" i="35"/>
  <c r="D75" i="35"/>
  <c r="C55" i="58"/>
  <c r="B75" i="35"/>
  <c r="F15" i="58" s="1"/>
  <c r="B73" i="35"/>
  <c r="E15" i="58" s="1"/>
  <c r="B71" i="35"/>
  <c r="C15" i="58"/>
  <c r="D61" i="34"/>
  <c r="B54" i="58"/>
  <c r="F8" i="47"/>
  <c r="B80" i="38"/>
  <c r="F18" i="58" s="1"/>
  <c r="B78" i="38"/>
  <c r="E18" i="58" s="1"/>
  <c r="B76" i="38"/>
  <c r="C18" i="58"/>
  <c r="B54" i="29" l="1"/>
  <c r="F10" i="58"/>
  <c r="E10" i="58"/>
  <c r="J59" i="58"/>
  <c r="J60" i="58" s="1"/>
  <c r="B146" i="39"/>
  <c r="B164" i="39"/>
  <c r="F79" i="58"/>
  <c r="E79" i="58"/>
  <c r="C82" i="58"/>
  <c r="C80" i="58"/>
  <c r="D79" i="58"/>
  <c r="E200" i="39"/>
  <c r="E202" i="39"/>
  <c r="Q7" i="55"/>
  <c r="P7" i="55"/>
  <c r="C141" i="39"/>
  <c r="R6" i="55"/>
  <c r="C13" i="46" s="1"/>
  <c r="D109" i="39"/>
  <c r="D164" i="39"/>
  <c r="E55" i="58"/>
  <c r="F55" i="58"/>
  <c r="C82" i="31"/>
  <c r="L49" i="50"/>
  <c r="L42" i="50"/>
  <c r="L70" i="50"/>
  <c r="L63" i="50"/>
  <c r="E13" i="47"/>
  <c r="L51" i="50"/>
  <c r="L56" i="50"/>
  <c r="L71" i="50"/>
  <c r="L44" i="50"/>
  <c r="L77" i="50"/>
  <c r="L43" i="50"/>
  <c r="L58" i="50"/>
  <c r="L65" i="50"/>
  <c r="L64" i="50"/>
  <c r="L72" i="50"/>
  <c r="L79" i="50"/>
  <c r="L78" i="50"/>
  <c r="N49" i="50"/>
  <c r="C84" i="31"/>
  <c r="G31" i="58" s="1"/>
  <c r="D31" i="58"/>
  <c r="D69" i="28"/>
  <c r="G49" i="58" s="1"/>
  <c r="D49" i="58"/>
  <c r="D67" i="28"/>
  <c r="B82" i="31"/>
  <c r="B84" i="31"/>
  <c r="G11" i="58" s="1"/>
  <c r="J22" i="58"/>
  <c r="J20" i="58"/>
  <c r="D65" i="27"/>
  <c r="C74" i="33"/>
  <c r="G33" i="58" s="1"/>
  <c r="C72" i="33"/>
  <c r="D33" i="58"/>
  <c r="E16" i="47"/>
  <c r="D84" i="31"/>
  <c r="G51" i="58" s="1"/>
  <c r="D51" i="58"/>
  <c r="D82" i="31"/>
  <c r="D67" i="27"/>
  <c r="G47" i="58" s="1"/>
  <c r="B91" i="36"/>
  <c r="G16" i="58" s="1"/>
  <c r="B83" i="38"/>
  <c r="G18" i="58" s="1"/>
  <c r="C118" i="39"/>
  <c r="C144" i="39"/>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D78" i="35"/>
  <c r="D55" i="58"/>
  <c r="D76" i="35"/>
  <c r="D10" i="58"/>
  <c r="B59" i="29"/>
  <c r="C89" i="36"/>
  <c r="D36" i="58"/>
  <c r="D83" i="37"/>
  <c r="D57" i="58"/>
  <c r="B89" i="36"/>
  <c r="D16" i="58"/>
  <c r="C67" i="34"/>
  <c r="E34" i="58" s="1"/>
  <c r="C69" i="34"/>
  <c r="F34" i="58" s="1"/>
  <c r="C65" i="34"/>
  <c r="C34" i="58"/>
  <c r="C76" i="40"/>
  <c r="D28" i="58"/>
  <c r="B72" i="33"/>
  <c r="D13" i="58"/>
  <c r="D7" i="58"/>
  <c r="B65" i="27"/>
  <c r="D76" i="32"/>
  <c r="F52" i="58" s="1"/>
  <c r="D72" i="32"/>
  <c r="D74" i="32"/>
  <c r="E52" i="58" s="1"/>
  <c r="C52" i="58"/>
  <c r="B76" i="40"/>
  <c r="D8" i="58"/>
  <c r="D76" i="40"/>
  <c r="D48" i="58"/>
  <c r="H5" i="46"/>
  <c r="B67" i="28"/>
  <c r="D9" i="58"/>
  <c r="C91" i="36"/>
  <c r="G36" i="58" s="1"/>
  <c r="C76" i="35"/>
  <c r="D35" i="58"/>
  <c r="D69" i="34"/>
  <c r="F54" i="58" s="1"/>
  <c r="D65" i="34"/>
  <c r="D67" i="34"/>
  <c r="E54" i="58" s="1"/>
  <c r="C54" i="58"/>
  <c r="B67" i="34"/>
  <c r="E14" i="58" s="1"/>
  <c r="B69" i="34"/>
  <c r="F14" i="58" s="1"/>
  <c r="B65" i="34"/>
  <c r="C14" i="58"/>
  <c r="C61" i="29"/>
  <c r="G30" i="58" s="1"/>
  <c r="D61" i="29"/>
  <c r="G50" i="58" s="1"/>
  <c r="C74" i="32"/>
  <c r="E32" i="58" s="1"/>
  <c r="C76" i="32"/>
  <c r="F32" i="58" s="1"/>
  <c r="C72" i="32"/>
  <c r="C32" i="58"/>
  <c r="C81" i="38"/>
  <c r="D38" i="58"/>
  <c r="D72" i="33"/>
  <c r="D53" i="58"/>
  <c r="G21" i="50"/>
  <c r="C67" i="28"/>
  <c r="D29" i="58"/>
  <c r="D83" i="38"/>
  <c r="G58" i="58" s="1"/>
  <c r="C67" i="27"/>
  <c r="G27" i="58" s="1"/>
  <c r="D89" i="36"/>
  <c r="D56" i="58"/>
  <c r="B78" i="35"/>
  <c r="G15" i="58" s="1"/>
  <c r="B69" i="28"/>
  <c r="G9" i="58" s="1"/>
  <c r="B74" i="32"/>
  <c r="E12" i="58" s="1"/>
  <c r="B76" i="32"/>
  <c r="F12" i="58" s="1"/>
  <c r="B72" i="32"/>
  <c r="C12" i="58"/>
  <c r="B83" i="37"/>
  <c r="D17" i="58"/>
  <c r="D85" i="37"/>
  <c r="G57" i="58" s="1"/>
  <c r="D81" i="38"/>
  <c r="D58" i="58"/>
  <c r="D91" i="36"/>
  <c r="G56" i="58" s="1"/>
  <c r="B81" i="38"/>
  <c r="D18" i="58"/>
  <c r="B76" i="35"/>
  <c r="D15" i="58"/>
  <c r="D50" i="58"/>
  <c r="D59" i="29"/>
  <c r="B61" i="29"/>
  <c r="C83" i="37"/>
  <c r="D37" i="58"/>
  <c r="D30" i="58"/>
  <c r="C59" i="29"/>
  <c r="D27" i="58"/>
  <c r="C65" i="27"/>
  <c r="G10" i="58" l="1"/>
  <c r="J62" i="58"/>
  <c r="E80" i="58"/>
  <c r="B188" i="39"/>
  <c r="F80" i="58"/>
  <c r="G79" i="58"/>
  <c r="D81" i="58"/>
  <c r="D80" i="58"/>
  <c r="D6" i="48"/>
  <c r="I39" i="58"/>
  <c r="I42" i="58" s="1"/>
  <c r="C146" i="39"/>
  <c r="C164" i="39"/>
  <c r="J39" i="58"/>
  <c r="D188" i="39"/>
  <c r="D116" i="39"/>
  <c r="G55" i="58"/>
  <c r="N70" i="50"/>
  <c r="N78" i="50"/>
  <c r="M70" i="50"/>
  <c r="M51" i="50"/>
  <c r="M72" i="50"/>
  <c r="M58" i="50"/>
  <c r="M42" i="50"/>
  <c r="M77" i="50"/>
  <c r="N58" i="50"/>
  <c r="N50" i="50"/>
  <c r="M65" i="50"/>
  <c r="M79" i="50"/>
  <c r="M63" i="50"/>
  <c r="C24" i="54"/>
  <c r="N77" i="50"/>
  <c r="M71" i="50"/>
  <c r="N57" i="50"/>
  <c r="M49" i="50"/>
  <c r="P49" i="50" s="1"/>
  <c r="R49" i="50" s="1"/>
  <c r="N43" i="50"/>
  <c r="M50" i="50"/>
  <c r="N71" i="50"/>
  <c r="N56" i="50"/>
  <c r="M78" i="50"/>
  <c r="N72" i="50"/>
  <c r="M43" i="50"/>
  <c r="N79" i="50"/>
  <c r="M64" i="50"/>
  <c r="M56" i="50"/>
  <c r="C14" i="54"/>
  <c r="N51" i="50"/>
  <c r="M57" i="50"/>
  <c r="C16" i="46"/>
  <c r="B13" i="47"/>
  <c r="N64" i="50"/>
  <c r="N65" i="50"/>
  <c r="N63" i="50"/>
  <c r="N42" i="50"/>
  <c r="N44" i="50"/>
  <c r="E13" i="46"/>
  <c r="M44" i="50"/>
  <c r="F13" i="46"/>
  <c r="C26" i="54"/>
  <c r="P59" i="50"/>
  <c r="R59" i="50" s="1"/>
  <c r="F7" i="46"/>
  <c r="P45" i="50"/>
  <c r="R45" i="50" s="1"/>
  <c r="P80" i="50"/>
  <c r="R80" i="50" s="1"/>
  <c r="P73" i="50"/>
  <c r="R73" i="50" s="1"/>
  <c r="B79" i="32"/>
  <c r="G12" i="58" s="1"/>
  <c r="C79" i="32"/>
  <c r="G32" i="58" s="1"/>
  <c r="D79" i="32"/>
  <c r="G52" i="58" s="1"/>
  <c r="B77" i="32"/>
  <c r="D12" i="58"/>
  <c r="C70" i="34"/>
  <c r="D34" i="58"/>
  <c r="D70" i="34"/>
  <c r="D54" i="58"/>
  <c r="D77" i="32"/>
  <c r="D52" i="58"/>
  <c r="C72" i="34"/>
  <c r="G34" i="58" s="1"/>
  <c r="D72" i="34"/>
  <c r="G54" i="58" s="1"/>
  <c r="B72" i="34"/>
  <c r="G14" i="58" s="1"/>
  <c r="B70" i="34"/>
  <c r="D14" i="58"/>
  <c r="C77" i="32"/>
  <c r="D32" i="58"/>
  <c r="P52" i="50"/>
  <c r="R52" i="50" s="1"/>
  <c r="B19" i="58" l="1"/>
  <c r="B191" i="39"/>
  <c r="D82" i="58"/>
  <c r="B7" i="54" s="1"/>
  <c r="G80" i="58"/>
  <c r="E81" i="58" s="1"/>
  <c r="P58" i="50"/>
  <c r="R58" i="50" s="1"/>
  <c r="P63" i="50"/>
  <c r="R63" i="50" s="1"/>
  <c r="I40" i="58"/>
  <c r="P57" i="50"/>
  <c r="R57" i="50" s="1"/>
  <c r="P70" i="50"/>
  <c r="R70" i="50" s="1"/>
  <c r="P71" i="50"/>
  <c r="R71" i="50" s="1"/>
  <c r="P72" i="50"/>
  <c r="R72" i="50" s="1"/>
  <c r="J40" i="58"/>
  <c r="J42" i="58"/>
  <c r="C188" i="39"/>
  <c r="D118" i="39"/>
  <c r="D144" i="39"/>
  <c r="B59" i="58"/>
  <c r="D191" i="39"/>
  <c r="P78" i="50"/>
  <c r="R78" i="50" s="1"/>
  <c r="P50" i="50"/>
  <c r="R50" i="50" s="1"/>
  <c r="P79" i="50"/>
  <c r="R79" i="50" s="1"/>
  <c r="P77" i="50"/>
  <c r="R77" i="50" s="1"/>
  <c r="P64" i="50"/>
  <c r="R64" i="50" s="1"/>
  <c r="P51" i="50"/>
  <c r="R51" i="50" s="1"/>
  <c r="P65" i="50"/>
  <c r="R65" i="50" s="1"/>
  <c r="P43" i="50"/>
  <c r="R43" i="50" s="1"/>
  <c r="C15" i="54"/>
  <c r="P56" i="50"/>
  <c r="R56" i="50" s="1"/>
  <c r="H13" i="46"/>
  <c r="C13" i="47"/>
  <c r="C24" i="48"/>
  <c r="P44" i="50"/>
  <c r="R44" i="50" s="1"/>
  <c r="P42" i="50"/>
  <c r="H6" i="46"/>
  <c r="C25" i="48"/>
  <c r="E6" i="47"/>
  <c r="D14" i="47"/>
  <c r="P66" i="50"/>
  <c r="R66" i="50" s="1"/>
  <c r="F16" i="46"/>
  <c r="C7" i="48" l="1"/>
  <c r="E7" i="48" s="1"/>
  <c r="F81" i="58"/>
  <c r="F82" i="58" s="1"/>
  <c r="B14" i="46" s="1"/>
  <c r="D14" i="46" s="1"/>
  <c r="B20" i="58"/>
  <c r="B22" i="58"/>
  <c r="B197" i="39"/>
  <c r="B4" i="55"/>
  <c r="O4" i="55" s="1"/>
  <c r="B195" i="39"/>
  <c r="B199" i="39"/>
  <c r="C19" i="58"/>
  <c r="E82" i="58"/>
  <c r="B17" i="54" s="1"/>
  <c r="C81" i="58"/>
  <c r="C191" i="39"/>
  <c r="B39" i="58"/>
  <c r="C25" i="54"/>
  <c r="C29" i="54" s="1"/>
  <c r="B6" i="55"/>
  <c r="O6" i="55" s="1"/>
  <c r="C59" i="58"/>
  <c r="D195" i="39"/>
  <c r="D199" i="39"/>
  <c r="D197" i="39"/>
  <c r="B60" i="58"/>
  <c r="B62" i="58"/>
  <c r="D146" i="39"/>
  <c r="I59" i="58"/>
  <c r="G14" i="47"/>
  <c r="D13" i="47"/>
  <c r="G13" i="47" s="1"/>
  <c r="R42" i="50"/>
  <c r="H7" i="46"/>
  <c r="H6" i="47"/>
  <c r="H16" i="46"/>
  <c r="E7" i="54"/>
  <c r="C22" i="58" l="1"/>
  <c r="C20" i="58"/>
  <c r="D19" i="58"/>
  <c r="B200" i="39"/>
  <c r="B202" i="39"/>
  <c r="F19" i="58"/>
  <c r="P4" i="55"/>
  <c r="Q4" i="55"/>
  <c r="B5" i="46"/>
  <c r="B27" i="54"/>
  <c r="E27" i="54" s="1"/>
  <c r="E19" i="58"/>
  <c r="D9" i="48"/>
  <c r="B42" i="58"/>
  <c r="B40" i="58"/>
  <c r="D202" i="39"/>
  <c r="C197" i="39"/>
  <c r="C39" i="58"/>
  <c r="B5" i="55"/>
  <c r="O5" i="55" s="1"/>
  <c r="C195" i="39"/>
  <c r="C199" i="39"/>
  <c r="E59" i="58"/>
  <c r="E60" i="58" s="1"/>
  <c r="F59" i="58"/>
  <c r="F60" i="58" s="1"/>
  <c r="D200" i="39"/>
  <c r="D59" i="58"/>
  <c r="I60" i="58"/>
  <c r="I62" i="58"/>
  <c r="C16" i="54" s="1"/>
  <c r="C19" i="54" s="1"/>
  <c r="C60" i="58"/>
  <c r="C62" i="58"/>
  <c r="Q6" i="55"/>
  <c r="P6" i="55"/>
  <c r="H7" i="48"/>
  <c r="E17" i="54"/>
  <c r="F20" i="58" l="1"/>
  <c r="D21" i="58"/>
  <c r="D20" i="58"/>
  <c r="E20" i="58"/>
  <c r="G19" i="58"/>
  <c r="G59" i="58"/>
  <c r="G60" i="58" s="1"/>
  <c r="C61" i="58" s="1"/>
  <c r="D39" i="58"/>
  <c r="C200" i="39"/>
  <c r="C42" i="58"/>
  <c r="C40" i="58"/>
  <c r="E39" i="58"/>
  <c r="P5" i="55"/>
  <c r="Q5" i="55"/>
  <c r="C202" i="39"/>
  <c r="F39" i="58"/>
  <c r="D60" i="58"/>
  <c r="D61" i="58"/>
  <c r="D62" i="58" s="1"/>
  <c r="C6" i="48" s="1"/>
  <c r="D5" i="46"/>
  <c r="G20" i="58" l="1"/>
  <c r="F21" i="58" s="1"/>
  <c r="D22" i="58"/>
  <c r="C4" i="48" s="1"/>
  <c r="E4" i="48" s="1"/>
  <c r="H4" i="48" s="1"/>
  <c r="F61" i="58"/>
  <c r="F62" i="58" s="1"/>
  <c r="B26" i="54" s="1"/>
  <c r="E26" i="54" s="1"/>
  <c r="E61" i="58"/>
  <c r="E62" i="58" s="1"/>
  <c r="B16" i="54" s="1"/>
  <c r="F40" i="58"/>
  <c r="G39" i="58"/>
  <c r="G40" i="58" s="1"/>
  <c r="C41" i="58" s="1"/>
  <c r="E40" i="58"/>
  <c r="D40" i="58"/>
  <c r="D41" i="58"/>
  <c r="D42" i="58" s="1"/>
  <c r="B6" i="54"/>
  <c r="E6" i="54" s="1"/>
  <c r="E6" i="48"/>
  <c r="H6" i="48" s="1"/>
  <c r="J5" i="46"/>
  <c r="J14" i="46"/>
  <c r="C21" i="58" l="1"/>
  <c r="B4" i="54"/>
  <c r="E4" i="54" s="1"/>
  <c r="F22" i="58"/>
  <c r="B24" i="54" s="1"/>
  <c r="E24" i="54" s="1"/>
  <c r="E21" i="58"/>
  <c r="B13" i="46"/>
  <c r="D13" i="46" s="1"/>
  <c r="E41" i="58"/>
  <c r="E42" i="58" s="1"/>
  <c r="B15" i="54" s="1"/>
  <c r="E15" i="54" s="1"/>
  <c r="B5" i="54"/>
  <c r="E5" i="54" s="1"/>
  <c r="C5" i="48"/>
  <c r="F41" i="58"/>
  <c r="F42" i="58" s="1"/>
  <c r="E16" i="54"/>
  <c r="J13" i="46" l="1"/>
  <c r="E22" i="58"/>
  <c r="B14" i="54" s="1"/>
  <c r="E14" i="54" s="1"/>
  <c r="B25" i="54"/>
  <c r="E5" i="48"/>
  <c r="H5" i="48" l="1"/>
  <c r="E25" i="54"/>
  <c r="M19" i="64"/>
  <c r="F11" i="27"/>
  <c r="F47" i="27" s="1"/>
  <c r="F54" i="27" s="1"/>
  <c r="F58" i="64" l="1"/>
  <c r="F24" i="40" s="1"/>
  <c r="F66" i="40" s="1"/>
  <c r="F67" i="40" s="1"/>
  <c r="F60" i="64"/>
  <c r="F16" i="29" s="1"/>
  <c r="F49" i="29" s="1"/>
  <c r="F50" i="29" s="1"/>
  <c r="F65" i="64"/>
  <c r="F22" i="35" s="1"/>
  <c r="F66" i="35" s="1"/>
  <c r="F67" i="35" s="1"/>
  <c r="F61" i="64"/>
  <c r="F27" i="31" s="1"/>
  <c r="F72" i="31" s="1"/>
  <c r="F73" i="31" s="1"/>
  <c r="F62" i="64"/>
  <c r="F26" i="32" s="1"/>
  <c r="F67" i="32" s="1"/>
  <c r="F68" i="32" s="1"/>
  <c r="F67" i="64"/>
  <c r="F25" i="37" s="1"/>
  <c r="F73" i="37" s="1"/>
  <c r="F74" i="37" s="1"/>
  <c r="F57" i="64"/>
  <c r="F68" i="64"/>
  <c r="F26" i="38" s="1"/>
  <c r="F71" i="38" s="1"/>
  <c r="F72" i="38" s="1"/>
  <c r="F59" i="64"/>
  <c r="F20" i="28" s="1"/>
  <c r="F57" i="28" s="1"/>
  <c r="F58" i="28" s="1"/>
  <c r="F64" i="64"/>
  <c r="F22" i="34" s="1"/>
  <c r="F60" i="34" s="1"/>
  <c r="F61" i="34" s="1"/>
  <c r="F63" i="64"/>
  <c r="F24" i="33" s="1"/>
  <c r="F62" i="33" s="1"/>
  <c r="F63" i="33" s="1"/>
  <c r="F66" i="64"/>
  <c r="F28" i="36" s="1"/>
  <c r="F79" i="36" s="1"/>
  <c r="F80" i="36" s="1"/>
  <c r="B87" i="58"/>
  <c r="F31" i="39"/>
  <c r="F150" i="39" s="1"/>
  <c r="F188" i="39" s="1"/>
  <c r="F69" i="64" l="1"/>
  <c r="F88" i="39" s="1"/>
  <c r="F189" i="39" s="1"/>
  <c r="F191" i="39" s="1"/>
  <c r="F71" i="33"/>
  <c r="F93" i="58" s="1"/>
  <c r="C93" i="58"/>
  <c r="F69" i="33"/>
  <c r="E93" i="58" s="1"/>
  <c r="F67" i="33"/>
  <c r="C89" i="58"/>
  <c r="F62" i="28"/>
  <c r="F66" i="28"/>
  <c r="F89" i="58" s="1"/>
  <c r="F64" i="28"/>
  <c r="E89" i="58" s="1"/>
  <c r="C97" i="58"/>
  <c r="F82" i="37"/>
  <c r="F97" i="58" s="1"/>
  <c r="F80" i="37"/>
  <c r="E97" i="58" s="1"/>
  <c r="F78" i="37"/>
  <c r="C94" i="58"/>
  <c r="F65" i="34"/>
  <c r="F67" i="34"/>
  <c r="E94" i="58" s="1"/>
  <c r="F69" i="34"/>
  <c r="F94" i="58" s="1"/>
  <c r="F74" i="32"/>
  <c r="E92" i="58" s="1"/>
  <c r="F76" i="32"/>
  <c r="F92" i="58" s="1"/>
  <c r="F72" i="32"/>
  <c r="C92" i="58"/>
  <c r="F80" i="38"/>
  <c r="F98" i="58" s="1"/>
  <c r="F76" i="38"/>
  <c r="F78" i="38"/>
  <c r="E98" i="58" s="1"/>
  <c r="C98" i="58"/>
  <c r="F18" i="27"/>
  <c r="F55" i="27" s="1"/>
  <c r="F56" i="27" s="1"/>
  <c r="F64" i="27" s="1"/>
  <c r="F87" i="58" s="1"/>
  <c r="C91" i="58"/>
  <c r="F79" i="31"/>
  <c r="E91" i="58" s="1"/>
  <c r="F81" i="31"/>
  <c r="F91" i="58" s="1"/>
  <c r="F77" i="31"/>
  <c r="F58" i="29"/>
  <c r="F90" i="58" s="1"/>
  <c r="F54" i="29"/>
  <c r="C90" i="58"/>
  <c r="F56" i="29"/>
  <c r="E90" i="58" s="1"/>
  <c r="F88" i="36"/>
  <c r="F96" i="58" s="1"/>
  <c r="F84" i="36"/>
  <c r="F86" i="36"/>
  <c r="E96" i="58" s="1"/>
  <c r="C96" i="58"/>
  <c r="C95" i="58"/>
  <c r="F71" i="35"/>
  <c r="F73" i="35"/>
  <c r="E95" i="58" s="1"/>
  <c r="F75" i="35"/>
  <c r="F95" i="58" s="1"/>
  <c r="C88" i="58"/>
  <c r="F73" i="40"/>
  <c r="E88" i="58" s="1"/>
  <c r="F75" i="40"/>
  <c r="F88" i="58" s="1"/>
  <c r="F71" i="40"/>
  <c r="B99" i="58"/>
  <c r="L74" i="50" l="1"/>
  <c r="L46" i="50"/>
  <c r="L53" i="50"/>
  <c r="L60" i="50"/>
  <c r="B19" i="50" s="1"/>
  <c r="L81" i="50"/>
  <c r="B22" i="50" s="1"/>
  <c r="L67" i="50"/>
  <c r="B20" i="50" s="1"/>
  <c r="B102" i="58"/>
  <c r="F69" i="28"/>
  <c r="G89" i="58" s="1"/>
  <c r="F83" i="38"/>
  <c r="G98" i="58" s="1"/>
  <c r="F78" i="40"/>
  <c r="G88" i="58" s="1"/>
  <c r="F72" i="34"/>
  <c r="G94" i="58" s="1"/>
  <c r="F60" i="27"/>
  <c r="D87" i="58" s="1"/>
  <c r="F61" i="29"/>
  <c r="G90" i="58" s="1"/>
  <c r="C87" i="58"/>
  <c r="F91" i="36"/>
  <c r="G96" i="58" s="1"/>
  <c r="D91" i="58"/>
  <c r="F82" i="31"/>
  <c r="F76" i="40"/>
  <c r="D88" i="58"/>
  <c r="F67" i="28"/>
  <c r="D89" i="58"/>
  <c r="D94" i="58"/>
  <c r="F70" i="34"/>
  <c r="F74" i="33"/>
  <c r="G93" i="58" s="1"/>
  <c r="F89" i="36"/>
  <c r="D96" i="58"/>
  <c r="B17" i="50"/>
  <c r="F78" i="35"/>
  <c r="G95" i="58" s="1"/>
  <c r="F72" i="33"/>
  <c r="D93" i="58"/>
  <c r="D92" i="58"/>
  <c r="F77" i="32"/>
  <c r="D90" i="58"/>
  <c r="F59" i="29"/>
  <c r="F85" i="37"/>
  <c r="G97" i="58" s="1"/>
  <c r="F62" i="27"/>
  <c r="E87" i="58" s="1"/>
  <c r="D97" i="58"/>
  <c r="F83" i="37"/>
  <c r="B18" i="50"/>
  <c r="D98" i="58"/>
  <c r="F81" i="38"/>
  <c r="D95" i="58"/>
  <c r="F76" i="35"/>
  <c r="F84" i="31"/>
  <c r="G91" i="58" s="1"/>
  <c r="F79" i="32"/>
  <c r="G92" i="58" s="1"/>
  <c r="B21" i="50"/>
  <c r="B100" i="58"/>
  <c r="B15" i="47"/>
  <c r="F197" i="39"/>
  <c r="E99" i="58" s="1"/>
  <c r="F199" i="39"/>
  <c r="F99" i="58" s="1"/>
  <c r="F195" i="39"/>
  <c r="B8" i="55"/>
  <c r="O8" i="55" s="1"/>
  <c r="C99" i="58"/>
  <c r="N67" i="50" l="1"/>
  <c r="D20" i="50" s="1"/>
  <c r="B7" i="47"/>
  <c r="B8" i="47" s="1"/>
  <c r="M67" i="50"/>
  <c r="C20" i="50" s="1"/>
  <c r="M81" i="50"/>
  <c r="C22" i="50" s="1"/>
  <c r="M74" i="50"/>
  <c r="C21" i="50" s="1"/>
  <c r="N74" i="50"/>
  <c r="D21" i="50" s="1"/>
  <c r="M53" i="50"/>
  <c r="C18" i="50" s="1"/>
  <c r="N60" i="50"/>
  <c r="D19" i="50" s="1"/>
  <c r="N53" i="50"/>
  <c r="D18" i="50" s="1"/>
  <c r="M60" i="50"/>
  <c r="C19" i="50" s="1"/>
  <c r="M46" i="50"/>
  <c r="C17" i="50" s="1"/>
  <c r="N81" i="50"/>
  <c r="D22" i="50" s="1"/>
  <c r="F100" i="58"/>
  <c r="F65" i="27"/>
  <c r="E100" i="58"/>
  <c r="F67" i="27"/>
  <c r="G87" i="58" s="1"/>
  <c r="C7" i="47"/>
  <c r="C8" i="47" s="1"/>
  <c r="N46" i="50"/>
  <c r="D7" i="47"/>
  <c r="D8" i="47" s="1"/>
  <c r="B16" i="47"/>
  <c r="E6" i="46"/>
  <c r="E7" i="46" s="1"/>
  <c r="E15" i="46"/>
  <c r="E16" i="46" s="1"/>
  <c r="F200" i="39"/>
  <c r="D99" i="58"/>
  <c r="C102" i="58"/>
  <c r="F202" i="39"/>
  <c r="G99" i="58" s="1"/>
  <c r="Q8" i="55"/>
  <c r="P8" i="55"/>
  <c r="C100" i="58"/>
  <c r="P53" i="50" l="1"/>
  <c r="P74" i="50"/>
  <c r="F21" i="50" s="1"/>
  <c r="P81" i="50"/>
  <c r="F22" i="50" s="1"/>
  <c r="C15" i="47"/>
  <c r="C16" i="47" s="1"/>
  <c r="P60" i="50"/>
  <c r="R60" i="50" s="1"/>
  <c r="H19" i="50" s="1"/>
  <c r="P67" i="50"/>
  <c r="D101" i="58"/>
  <c r="G100" i="58"/>
  <c r="F19" i="50"/>
  <c r="E7" i="47"/>
  <c r="E8" i="47" s="1"/>
  <c r="R74" i="50"/>
  <c r="H21" i="50" s="1"/>
  <c r="R53" i="50"/>
  <c r="H18" i="50" s="1"/>
  <c r="F18" i="50"/>
  <c r="D17" i="50"/>
  <c r="P46" i="50"/>
  <c r="R81" i="50"/>
  <c r="H22" i="50" s="1"/>
  <c r="R67" i="50"/>
  <c r="H20" i="50" s="1"/>
  <c r="F20" i="50"/>
  <c r="D100" i="58"/>
  <c r="D15" i="47" l="1"/>
  <c r="G15" i="47" s="1"/>
  <c r="G16" i="47" s="1"/>
  <c r="D102" i="58"/>
  <c r="C101" i="58"/>
  <c r="E101" i="58"/>
  <c r="F101" i="58"/>
  <c r="H7" i="47"/>
  <c r="H8" i="47" s="1"/>
  <c r="D16" i="47"/>
  <c r="R46" i="50"/>
  <c r="H17" i="50" s="1"/>
  <c r="F17" i="50"/>
  <c r="C8" i="48" l="1"/>
  <c r="B8" i="54"/>
  <c r="F102" i="58"/>
  <c r="B28" i="54" s="1"/>
  <c r="E28" i="54" s="1"/>
  <c r="E102" i="58"/>
  <c r="B15" i="46" l="1"/>
  <c r="D15" i="46" s="1"/>
  <c r="D16" i="46" s="1"/>
  <c r="B18" i="54"/>
  <c r="B6" i="46"/>
  <c r="B9" i="54"/>
  <c r="E8" i="54"/>
  <c r="E9" i="54" s="1"/>
  <c r="E8" i="48"/>
  <c r="C9" i="48"/>
  <c r="E29" i="54"/>
  <c r="B29" i="54"/>
  <c r="J15" i="46" l="1"/>
  <c r="J16" i="46" s="1"/>
  <c r="B16" i="46"/>
  <c r="H8" i="48"/>
  <c r="H9" i="48" s="1"/>
  <c r="E9" i="48"/>
  <c r="D6" i="46"/>
  <c r="B7" i="46"/>
  <c r="B19" i="54"/>
  <c r="E18" i="54"/>
  <c r="E19" i="54" s="1"/>
  <c r="J6" i="46" l="1"/>
  <c r="J7" i="46" s="1"/>
  <c r="D7" i="46"/>
</calcChain>
</file>

<file path=xl/comments1.xml><?xml version="1.0" encoding="utf-8"?>
<comments xmlns="http://schemas.openxmlformats.org/spreadsheetml/2006/main">
  <authors>
    <author>Chance Thayer</author>
    <author>Burgert, Kari</author>
  </authors>
  <commentList>
    <comment ref="AC5" authorId="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text>
        <r>
          <rPr>
            <b/>
            <sz val="9"/>
            <color indexed="81"/>
            <rFont val="Tahoma"/>
            <family val="2"/>
          </rPr>
          <t>2015 N-CORPE pumping for 2016 that contributed to subbasin natural flow</t>
        </r>
      </text>
    </comment>
    <comment ref="E15" authorId="1">
      <text>
        <r>
          <rPr>
            <b/>
            <sz val="9"/>
            <color indexed="81"/>
            <rFont val="Tahoma"/>
            <family val="2"/>
          </rPr>
          <t>All 2016 Rock Creek Pumping (Col z) + Jan-May NCORPE Pumping (Col aa) + Riverside Retirement (1450)</t>
        </r>
      </text>
    </comment>
    <comment ref="I15" authorId="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text>
        <r>
          <rPr>
            <b/>
            <sz val="9"/>
            <color indexed="81"/>
            <rFont val="Tahoma"/>
            <family val="2"/>
          </rPr>
          <t>Col D - Col E + Col AC
this year - Col AC last year. 
Formula for the column with adjustments for other year compliance activities in column AC</t>
        </r>
      </text>
    </comment>
    <comment ref="Z15" authorId="1">
      <text>
        <r>
          <rPr>
            <b/>
            <sz val="9"/>
            <color indexed="81"/>
            <rFont val="Tahoma"/>
            <family val="2"/>
          </rPr>
          <t>Total 2016 Rock Creek Pumping for VWS adjustment</t>
        </r>
      </text>
    </comment>
    <comment ref="AA15" authorId="1">
      <text>
        <r>
          <rPr>
            <b/>
            <sz val="9"/>
            <color indexed="81"/>
            <rFont val="Tahoma"/>
            <family val="2"/>
          </rPr>
          <t>Jan 1-May 31, 2016 NCORPE Pumping</t>
        </r>
      </text>
    </comment>
    <comment ref="AB15" authorId="1">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text>
        <r>
          <rPr>
            <b/>
            <sz val="9"/>
            <color indexed="81"/>
            <rFont val="Tahoma"/>
            <family val="2"/>
          </rPr>
          <t>Burgert, Kari:</t>
        </r>
        <r>
          <rPr>
            <sz val="9"/>
            <color indexed="81"/>
            <rFont val="Tahoma"/>
            <family val="2"/>
          </rPr>
          <t xml:space="preserve">
More than 20,000 AF was released, assumed all 2017 CCV released</t>
        </r>
      </text>
    </comment>
    <comment ref="J16" authorId="1">
      <text>
        <r>
          <rPr>
            <b/>
            <sz val="9"/>
            <color indexed="81"/>
            <rFont val="Tahoma"/>
            <family val="2"/>
          </rPr>
          <t>Burgert, Kari:</t>
        </r>
        <r>
          <rPr>
            <sz val="9"/>
            <color indexed="81"/>
            <rFont val="Tahoma"/>
            <family val="2"/>
          </rPr>
          <t xml:space="preserve">
CWSA proportional evap share</t>
        </r>
      </text>
    </comment>
    <comment ref="Z16" authorId="1">
      <text>
        <r>
          <rPr>
            <b/>
            <sz val="9"/>
            <color indexed="81"/>
            <rFont val="Tahoma"/>
            <family val="2"/>
          </rPr>
          <t xml:space="preserve">Jan 2017-Dec 2017 Rock Creek estimated pumping
</t>
        </r>
      </text>
    </comment>
    <comment ref="AA16" authorId="1">
      <text>
        <r>
          <rPr>
            <b/>
            <sz val="9"/>
            <color indexed="81"/>
            <rFont val="Tahoma"/>
            <family val="2"/>
          </rPr>
          <t>October 2016-Dec 2017 estimated NCORPE pumping to HCL</t>
        </r>
      </text>
    </comment>
    <comment ref="AB16" authorId="1">
      <text>
        <r>
          <rPr>
            <b/>
            <sz val="9"/>
            <color indexed="81"/>
            <rFont val="Tahoma"/>
            <family val="2"/>
          </rPr>
          <t>Compliance activities to date:
Rock Creek (this year pumping and last)- 5000
NCORPE (this year pumping and last) - 10800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<sst xmlns="http://schemas.openxmlformats.org/spreadsheetml/2006/main" count="2236" uniqueCount="699">
  <si>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</si>
  <si>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</si>
  <si>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</si>
  <si>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</si>
  <si>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</si>
  <si>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</si>
  <si>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</si>
  <si>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</si>
  <si>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</si>
  <si>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</si>
  <si>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</si>
  <si>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</si>
  <si>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</si>
  <si>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</si>
  <si>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</si>
  <si>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</si>
  <si>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</si>
  <si>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</si>
  <si>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</si>
  <si>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</si>
  <si>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</si>
  <si>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</si>
  <si>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</si>
  <si>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</si>
  <si>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</si>
  <si>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</si>
  <si>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</si>
  <si>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</si>
  <si>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</si>
  <si>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</si>
  <si>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</si>
  <si>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</si>
  <si>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</si>
  <si>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</si>
  <si>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</si>
  <si>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</si>
  <si>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</si>
  <si>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</si>
  <si>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</si>
  <si>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</si>
  <si>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</si>
  <si>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</si>
  <si>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</si>
  <si>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</si>
  <si>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</si>
  <si>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</si>
  <si>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</si>
  <si>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</si>
  <si>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</si>
  <si>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</si>
  <si>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</si>
  <si>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</si>
  <si>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</si>
  <si>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</si>
  <si>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</si>
  <si>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</si>
  <si>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</si>
  <si>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</si>
  <si>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</si>
  <si>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</si>
  <si>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</si>
  <si>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</si>
  <si>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</si>
  <si>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</si>
  <si>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</si>
  <si>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</si>
  <si>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</si>
  <si>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</si>
  <si>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</si>
  <si>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</si>
  <si>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</si>
  <si>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</si>
  <si>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</si>
  <si>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</si>
  <si>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</si>
  <si>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</si>
  <si>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</si>
  <si>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</si>
  <si>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</si>
  <si>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</si>
  <si>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</si>
  <si>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</si>
  <si>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</si>
  <si>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</si>
  <si>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</si>
  <si>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</si>
  <si>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</si>
  <si>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</si>
  <si>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</si>
  <si>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</si>
  <si>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</si>
  <si>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</si>
  <si>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</si>
  <si>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</si>
  <si>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</si>
  <si>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</si>
  <si>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</si>
  <si>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</si>
  <si>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</si>
  <si>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</si>
  <si>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</si>
  <si>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</si>
  <si>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</si>
  <si>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</si>
  <si>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</si>
  <si>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</si>
  <si>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</si>
  <si>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</si>
  <si>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</si>
  <si>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</si>
  <si>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</si>
  <si>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</si>
  <si>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</si>
  <si>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</si>
  <si>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</si>
  <si>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</si>
  <si>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</si>
  <si>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</si>
  <si>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</si>
  <si>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</si>
  <si>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</si>
  <si>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</si>
  <si>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</si>
  <si>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</si>
  <si>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</si>
  <si>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</si>
  <si>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</si>
  <si>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</si>
  <si>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</si>
  <si>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</si>
  <si>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</si>
  <si>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</si>
  <si>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</si>
  <si>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</si>
  <si>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</si>
  <si>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</si>
  <si>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</si>
  <si>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</si>
  <si>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</si>
  <si>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</si>
  <si>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</si>
  <si>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</si>
  <si>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</si>
  <si>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</si>
  <si>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</si>
  <si>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</si>
  <si>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</si>
  <si>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</si>
  <si>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</si>
  <si>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</si>
  <si>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</si>
  <si>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</si>
  <si>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</si>
  <si>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</si>
  <si>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</si>
  <si>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</si>
  <si>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</si>
  <si>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</si>
  <si>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</si>
  <si>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</si>
  <si>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</si>
  <si>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</si>
  <si>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</si>
  <si>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</si>
  <si>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</si>
  <si>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</si>
  <si>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</si>
  <si>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</si>
  <si>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</si>
  <si>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</si>
  <si>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</si>
  <si>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</si>
  <si>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</si>
  <si>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</si>
  <si>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</si>
  <si>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</si>
  <si>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</si>
  <si>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</si>
  <si>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</si>
  <si>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</si>
  <si>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</si>
  <si>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</si>
  <si>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</si>
  <si>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</si>
  <si>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</si>
  <si>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</si>
  <si>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</si>
  <si>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</si>
  <si>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</si>
  <si>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</si>
  <si>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</si>
  <si>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</si>
  <si>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</si>
  <si>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</si>
  <si>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</si>
  <si>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</si>
  <si>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</si>
  <si>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</si>
  <si>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</si>
  <si>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</si>
  <si>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</si>
  <si>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</si>
  <si>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</si>
  <si>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</si>
  <si>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</si>
  <si>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</si>
  <si>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</si>
  <si>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</si>
  <si>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</si>
  <si>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</si>
  <si>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</si>
  <si>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</si>
  <si>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</si>
  <si>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</si>
  <si>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</si>
  <si>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</si>
  <si>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</si>
  <si>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</si>
  <si>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</si>
  <si>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</si>
  <si>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</si>
  <si>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</si>
  <si>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</si>
  <si>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</si>
  <si>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</si>
  <si>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</si>
  <si>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</si>
  <si>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</si>
  <si>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</si>
  <si>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</si>
  <si>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</si>
  <si>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</si>
  <si>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</si>
  <si>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</si>
  <si>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</si>
  <si>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</si>
  <si>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</si>
  <si>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</si>
  <si>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</si>
  <si>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</si>
  <si>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</si>
  <si>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</si>
  <si>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</si>
  <si>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</si>
  <si>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</si>
  <si>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</si>
  <si>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</si>
  <si>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</si>
  <si>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</si>
  <si>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</si>
  <si>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</si>
  <si>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</si>
  <si>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</si>
  <si>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</si>
  <si>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</si>
  <si>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</si>
  <si>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</si>
  <si>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</si>
  <si>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</si>
  <si>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</si>
  <si>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</si>
  <si>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</si>
  <si>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</si>
  <si>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</si>
  <si>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</si>
  <si>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</si>
  <si>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</si>
  <si>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</si>
  <si>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</si>
  <si>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</si>
  <si>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</si>
  <si>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</si>
  <si>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</si>
  <si>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</si>
  <si>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</si>
  <si>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</si>
  <si>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</si>
  <si>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</si>
  <si>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</si>
  <si>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</si>
  <si>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</si>
  <si>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</si>
  <si>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</si>
  <si>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</si>
  <si>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</si>
  <si>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</si>
  <si>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</si>
  <si>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</si>
  <si>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</si>
  <si>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</si>
  <si>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</si>
  <si>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</si>
  <si>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</si>
  <si>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</si>
  <si>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</si>
  <si>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</si>
  <si>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</si>
  <si>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</si>
  <si>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</si>
  <si>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</si>
  <si>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</si>
  <si>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</si>
  <si>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</si>
  <si>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</si>
  <si>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</si>
  <si>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</si>
  <si>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</si>
  <si>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</si>
  <si>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</si>
  <si>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</si>
  <si>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</si>
  <si>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</si>
  <si>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</si>
  <si>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</si>
  <si>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</si>
  <si>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</si>
  <si>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</si>
  <si>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</si>
  <si>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</si>
  <si>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</si>
  <si>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</si>
  <si>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</si>
  <si>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</si>
  <si>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</si>
  <si>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</si>
  <si>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</si>
  <si>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</si>
  <si>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</si>
  <si>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</si>
  <si>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</si>
  <si>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</si>
  <si>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</si>
  <si>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</si>
  <si>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</si>
  <si>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</si>
  <si>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</si>
  <si>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</si>
  <si>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</si>
  <si>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</si>
  <si>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</si>
  <si>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</si>
  <si>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</si>
  <si>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</si>
  <si>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</si>
  <si>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</si>
  <si>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</si>
  <si>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</si>
  <si>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</si>
  <si>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</si>
  <si>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</si>
  <si>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</si>
  <si>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</si>
  <si>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</si>
  <si>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</si>
  <si>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</si>
  <si>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</si>
  <si>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</si>
  <si>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</si>
  <si>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</si>
  <si>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</si>
  <si>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</si>
  <si>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</si>
  <si>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</si>
  <si>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</si>
  <si>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</si>
  <si>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</si>
  <si>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</si>
  <si>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</si>
  <si>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</si>
  <si>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</si>
  <si>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</si>
  <si>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</si>
  <si>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</si>
  <si>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</si>
  <si>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</si>
  <si>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</si>
  <si>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</si>
  <si>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</si>
  <si>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</si>
  <si>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</si>
  <si>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</si>
  <si>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</si>
  <si>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</si>
  <si>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</si>
  <si>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</si>
  <si>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</si>
  <si>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</si>
  <si>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</si>
  <si>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</si>
  <si>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</si>
  <si>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</si>
  <si>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</si>
  <si>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</si>
  <si>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</si>
  <si>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</si>
  <si>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</si>
  <si>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</si>
  <si>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</si>
  <si>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</si>
  <si>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</si>
  <si>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</si>
  <si>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</si>
  <si>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</si>
  <si>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</si>
  <si>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</si>
  <si>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</si>
  <si>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</si>
  <si>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</si>
  <si>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</si>
  <si>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</si>
  <si>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</si>
  <si>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</si>
  <si>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</si>
  <si>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</si>
  <si>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</si>
  <si>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</si>
  <si>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</si>
  <si>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</si>
  <si>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</si>
  <si>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</si>
  <si>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</si>
  <si>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</si>
  <si>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</si>
  <si>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</si>
  <si>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</si>
  <si>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</si>
  <si>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</si>
  <si>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</si>
  <si>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</si>
  <si>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</si>
  <si>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</si>
  <si>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</si>
  <si>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</si>
  <si>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</si>
  <si>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</si>
  <si>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</si>
  <si>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</si>
  <si>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</si>
  <si>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</si>
  <si>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</si>
  <si>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</si>
  <si>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</si>
  <si>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</si>
  <si>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</si>
  <si>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</si>
  <si>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</si>
  <si>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</si>
  <si>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</si>
  <si>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</si>
  <si>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</si>
  <si>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</si>
  <si>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</si>
  <si>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</si>
  <si>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</si>
  <si>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</si>
  <si>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</si>
  <si>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</si>
  <si>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</si>
  <si>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</si>
  <si>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</si>
  <si>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</si>
  <si>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</si>
  <si>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</si>
  <si>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</si>
  <si>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</si>
  <si>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</si>
  <si>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</si>
  <si>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</si>
  <si>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</si>
  <si>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</si>
  <si>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</si>
  <si>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</si>
  <si>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</si>
  <si>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</si>
  <si>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</si>
  <si>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</si>
  <si>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</si>
  <si>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</si>
  <si>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</si>
  <si>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</si>
  <si>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</si>
  <si>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</si>
  <si>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</si>
  <si>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</si>
  <si>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</si>
  <si>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</si>
  <si>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</si>
  <si>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</si>
  <si>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</si>
  <si>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</si>
  <si>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</si>
  <si>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</si>
  <si>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</si>
  <si>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</si>
  <si>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</si>
  <si>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</si>
  <si>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</si>
  <si>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</si>
  <si>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</si>
  <si>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</si>
  <si>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</si>
  <si>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</si>
  <si>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</si>
  <si>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</si>
  <si>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</si>
  <si>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</si>
  <si>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</si>
  <si>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</si>
  <si>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</si>
  <si>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</si>
  <si>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</si>
  <si>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</si>
  <si>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</si>
  <si>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</si>
  <si>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</si>
  <si>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</si>
  <si>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</si>
  <si>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</si>
  <si>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</si>
  <si>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</si>
  <si>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</si>
  <si>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</si>
  <si>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</si>
  <si>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</si>
  <si>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</si>
  <si>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</si>
  <si>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</si>
  <si>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</si>
  <si>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</si>
  <si>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</si>
  <si>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</si>
  <si>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</si>
  <si>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</si>
  <si>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</si>
  <si>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</si>
  <si>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</si>
  <si>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</si>
  <si>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</si>
  <si>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</si>
  <si>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</si>
  <si>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</si>
  <si>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</si>
  <si>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</si>
  <si>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</si>
  <si>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</si>
  <si>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</si>
  <si>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</si>
  <si>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</si>
  <si>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</si>
  <si>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</si>
  <si>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</si>
  <si>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</si>
  <si>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</si>
  <si>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</si>
  <si>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</si>
  <si>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</si>
  <si>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</si>
  <si>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</si>
  <si>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</si>
  <si>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</si>
  <si>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</si>
  <si>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</si>
  <si>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</si>
  <si>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</si>
  <si>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</si>
  <si>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</si>
  <si>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</si>
  <si>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</si>
  <si>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</si>
  <si>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</si>
  <si>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</si>
  <si>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</si>
  <si>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</si>
  <si>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</si>
  <si>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</si>
  <si>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</si>
  <si>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</si>
  <si>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</si>
  <si>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</si>
  <si>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</si>
  <si>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</si>
  <si>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</si>
  <si>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</si>
  <si>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</si>
  <si>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</si>
  <si>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</si>
  <si>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</si>
  <si>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</si>
  <si>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</si>
  <si>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</si>
  <si>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</si>
  <si>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</si>
  <si>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</si>
  <si>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</si>
  <si>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</si>
  <si>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</si>
  <si>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</si>
  <si>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</si>
  <si>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</si>
  <si>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</si>
  <si>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</si>
  <si>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</si>
  <si>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</si>
  <si>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</si>
  <si>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</si>
  <si>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</si>
  <si>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</si>
  <si>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</si>
  <si>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</si>
  <si>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</si>
  <si>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</si>
  <si>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</si>
  <si>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</si>
  <si>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</si>
  <si>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</si>
  <si>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</si>
  <si>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</si>
  <si>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</si>
  <si>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</si>
  <si>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</si>
  <si>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</si>
  <si>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</si>
  <si>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</si>
  <si>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</si>
  <si>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</si>
  <si>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</si>
  <si>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</si>
  <si>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</si>
  <si>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</si>
  <si>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</si>
  <si>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</si>
  <si>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</si>
  <si>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</si>
  <si>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</si>
  <si>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</si>
  <si>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</si>
  <si>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</si>
  <si>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</si>
  <si>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</si>
  <si>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</si>
  <si>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</si>
  <si>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</si>
  <si>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</si>
  <si>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</si>
  <si>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</si>
  <si>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</si>
  <si>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</si>
  <si>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</si>
  <si>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</si>
  <si>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</si>
  <si>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</si>
  <si>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</si>
  <si>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</si>
  <si>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</si>
  <si>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</si>
  <si>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</si>
  <si>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</si>
  <si>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</si>
  <si>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</si>
  <si>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</si>
  <si>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</si>
  <si>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</si>
  <si>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</si>
  <si>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</si>
  <si>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</si>
  <si>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</si>
  <si>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</si>
  <si>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</si>
  <si>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</si>
  <si>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</si>
  <si>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</si>
  <si>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</si>
  <si>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</si>
  <si>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</si>
  <si>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</si>
  <si>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</si>
  <si>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</si>
  <si>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</si>
  <si>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</si>
  <si>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Impacts 2017 (acre-feet)</t>
  </si>
  <si>
    <t>Total - GR to Hardy</t>
  </si>
  <si>
    <t>2017 Total</t>
  </si>
  <si>
    <t>Aug. Pumping Volume (APV) Rock Creek That Passed Sub-basin Gage in the Current Year</t>
  </si>
  <si>
    <t>Harlan County Evaporation Charged to Kansas</t>
  </si>
  <si>
    <t>2018 Total</t>
  </si>
  <si>
    <t>Impacts 2018 (acre-feet)</t>
  </si>
  <si>
    <t>final</t>
  </si>
  <si>
    <t>2019 Total</t>
  </si>
  <si>
    <t>Impacts 2019 (acre-feet)</t>
  </si>
  <si>
    <t>*Changed Equation to make Mainstem Flood Flow 0 if "Combined Test" =0</t>
  </si>
  <si>
    <t>*Changed equation to subtract Aug Pumping in Correct Cells</t>
  </si>
  <si>
    <t>Impacts 2020 (acre-feet)</t>
  </si>
  <si>
    <t>Impacts 2021 (acre-feet)</t>
  </si>
  <si>
    <t>2020 Total</t>
  </si>
  <si>
    <t>2021 Total</t>
  </si>
  <si>
    <t>Avg 2020-2021</t>
  </si>
  <si>
    <t>Avg 2019-2021</t>
  </si>
  <si>
    <t>7/12/22 update</t>
  </si>
  <si>
    <t>Avg 2017-2021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</si>
</sst>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000000_);[Red]\(#,##0.0000000\)"/>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sz val="10"/>
      <name val="Arial Unicode MS"/>
      <family val="2"/>
    </font>
    <font>
      <sz val="12"/>
      <name val="Arial MT"/>
    </font>
    <font>
      <sz val="10"/>
      <color rgb="FF0000FF"/>
      <name val="Arial"/>
      <family val="2"/>
    </font>
    <font>
      <sz val="12"/>
      <name val="Arial"/>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10"/>
      <name val="Arial"/>
      <family val="2"/>
    </font>
    <font>
      <b/>
      <sz val="24"/>
      <name val="Arial"/>
      <family val="2"/>
    </font>
    <font>
      <b/>
      <sz val="10"/>
      <name val="Times New Roman"/>
      <family val="1"/>
    </font>
    <font>
      <sz val="10"/>
      <name val="Times New Roman"/>
      <family val="1"/>
    </font>
    <font>
      <b/>
      <sz val="10"/>
      <name val="Arial"/>
      <family val="2"/>
    </font>
    <font>
      <sz val="12"/>
      <color rgb="FF000000"/>
      <name val="Times New Roman"/>
      <family val="1"/>
    </font>
    <font>
      <b/>
      <sz val="12"/>
      <color rgb="FF000000"/>
      <name val="Times New Roman"/>
      <family val="1"/>
    </font>
    <font>
      <b/>
      <sz val="10"/>
      <name val="Arial"/>
      <family val="2"/>
    </font>
    <font>
      <b/>
      <sz val="10"/>
      <color rgb="FFFF33CC"/>
      <name val="Arial"/>
      <family val="2"/>
    </font>
    <font>
      <b/>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s>
  <cellStyleXfs count="4534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55" fillId="23" borderId="7" applyNumberFormat="0" applyFont="0" applyAlignment="0" applyProtection="0"/>
    <xf numFmtId="0" fontId="68" fillId="20" borderId="8" applyNumberFormat="0" applyAlignment="0" applyProtection="0"/>
    <xf numFmtId="9" fontId="19" fillId="0" borderId="0" applyFon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19" fillId="0" borderId="0"/>
    <xf numFmtId="0" fontId="19"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55"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75"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77"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55" fillId="23" borderId="7" applyNumberFormat="0" applyFont="0" applyAlignment="0" applyProtection="0"/>
    <xf numFmtId="0" fontId="68" fillId="20" borderId="8" applyNumberFormat="0" applyAlignment="0" applyProtection="0"/>
    <xf numFmtId="9" fontId="19" fillId="0" borderId="0" applyFon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19" fillId="0" borderId="0"/>
    <xf numFmtId="0" fontId="75"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7" fillId="3" borderId="0" applyNumberFormat="0" applyBorder="0" applyAlignment="0" applyProtection="0"/>
    <xf numFmtId="0" fontId="55" fillId="3" borderId="0" applyNumberFormat="0" applyBorder="0" applyAlignment="0" applyProtection="0"/>
    <xf numFmtId="0" fontId="55" fillId="10" borderId="0" applyNumberFormat="0" applyBorder="0" applyAlignment="0" applyProtection="0"/>
    <xf numFmtId="0" fontId="6" fillId="0" borderId="0"/>
    <xf numFmtId="0" fontId="6" fillId="0" borderId="0"/>
    <xf numFmtId="0" fontId="56" fillId="18" borderId="0" applyNumberFormat="0" applyBorder="0" applyAlignment="0" applyProtection="0"/>
    <xf numFmtId="0" fontId="55" fillId="4" borderId="0" applyNumberFormat="0" applyBorder="0" applyAlignment="0" applyProtection="0"/>
    <xf numFmtId="0" fontId="55" fillId="9" borderId="0" applyNumberFormat="0" applyBorder="0" applyAlignment="0" applyProtection="0"/>
    <xf numFmtId="0" fontId="6" fillId="0" borderId="0"/>
    <xf numFmtId="0" fontId="56" fillId="13" borderId="0" applyNumberFormat="0" applyBorder="0" applyAlignment="0" applyProtection="0"/>
    <xf numFmtId="0" fontId="61" fillId="4" borderId="0" applyNumberFormat="0" applyBorder="0" applyAlignment="0" applyProtection="0"/>
    <xf numFmtId="0" fontId="56" fillId="13" borderId="0" applyNumberFormat="0" applyBorder="0" applyAlignment="0" applyProtection="0"/>
    <xf numFmtId="0" fontId="62" fillId="0" borderId="3" applyNumberFormat="0" applyFill="0" applyAlignment="0" applyProtection="0"/>
    <xf numFmtId="0" fontId="19" fillId="0" borderId="0"/>
    <xf numFmtId="0" fontId="55" fillId="8" borderId="0" applyNumberFormat="0" applyBorder="0" applyAlignment="0" applyProtection="0"/>
    <xf numFmtId="0" fontId="6" fillId="28" borderId="38" applyNumberFormat="0" applyFont="0" applyAlignment="0" applyProtection="0"/>
    <xf numFmtId="0" fontId="56" fillId="15" borderId="0" applyNumberFormat="0" applyBorder="0" applyAlignment="0" applyProtection="0"/>
    <xf numFmtId="0" fontId="55" fillId="2" borderId="0" applyNumberFormat="0" applyBorder="0" applyAlignment="0" applyProtection="0"/>
    <xf numFmtId="0" fontId="55" fillId="7" borderId="0" applyNumberFormat="0" applyBorder="0" applyAlignment="0" applyProtection="0"/>
    <xf numFmtId="0" fontId="6" fillId="0" borderId="0"/>
    <xf numFmtId="0" fontId="6" fillId="0" borderId="0"/>
    <xf numFmtId="0" fontId="66"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5"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6"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8" fillId="20" borderId="8" applyNumberFormat="0" applyAlignment="0" applyProtection="0"/>
    <xf numFmtId="0" fontId="64" fillId="0" borderId="5" applyNumberFormat="0" applyFill="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55" fillId="11" borderId="0" applyNumberFormat="0" applyBorder="0" applyAlignment="0" applyProtection="0"/>
    <xf numFmtId="0" fontId="55" fillId="6"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5" fillId="23" borderId="7" applyNumberFormat="0" applyFont="0" applyAlignment="0" applyProtection="0"/>
    <xf numFmtId="0" fontId="59" fillId="21" borderId="2" applyNumberFormat="0" applyAlignment="0" applyProtection="0"/>
    <xf numFmtId="0" fontId="55" fillId="8" borderId="0" applyNumberFormat="0" applyBorder="0" applyAlignment="0" applyProtection="0"/>
    <xf numFmtId="0" fontId="55" fillId="5" borderId="0" applyNumberFormat="0" applyBorder="0" applyAlignment="0" applyProtection="0"/>
    <xf numFmtId="0" fontId="56" fillId="12" borderId="0" applyNumberFormat="0" applyBorder="0" applyAlignment="0" applyProtection="0"/>
    <xf numFmtId="0" fontId="71" fillId="0" borderId="0" applyNumberFormat="0" applyFill="0" applyBorder="0" applyAlignment="0" applyProtection="0"/>
    <xf numFmtId="0" fontId="67" fillId="22" borderId="0" applyNumberFormat="0" applyBorder="0" applyAlignment="0" applyProtection="0"/>
    <xf numFmtId="0" fontId="58" fillId="20" borderId="1" applyNumberFormat="0" applyAlignment="0" applyProtection="0"/>
    <xf numFmtId="0" fontId="55" fillId="5" borderId="0" applyNumberFormat="0" applyBorder="0" applyAlignment="0" applyProtection="0"/>
    <xf numFmtId="0" fontId="70" fillId="0" borderId="9" applyNumberFormat="0" applyFill="0" applyAlignment="0" applyProtection="0"/>
    <xf numFmtId="0" fontId="63" fillId="0" borderId="4" applyNumberFormat="0" applyFill="0" applyAlignment="0" applyProtection="0"/>
    <xf numFmtId="0" fontId="69" fillId="0" borderId="0" applyNumberFormat="0" applyFill="0" applyBorder="0" applyAlignment="0" applyProtection="0"/>
    <xf numFmtId="9" fontId="19" fillId="0" borderId="0" applyFont="0" applyFill="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14" borderId="0" applyNumberFormat="0" applyBorder="0" applyAlignment="0" applyProtection="0"/>
    <xf numFmtId="0" fontId="56"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58" fillId="20" borderId="1" applyNumberFormat="0" applyAlignment="0" applyProtection="0"/>
    <xf numFmtId="0" fontId="65" fillId="7" borderId="1" applyNumberFormat="0" applyAlignment="0" applyProtection="0"/>
    <xf numFmtId="0" fontId="55" fillId="23" borderId="7" applyNumberFormat="0" applyFont="0" applyAlignment="0" applyProtection="0"/>
    <xf numFmtId="0" fontId="68" fillId="20" borderId="8" applyNumberFormat="0" applyAlignment="0" applyProtection="0"/>
    <xf numFmtId="0" fontId="70" fillId="0" borderId="9" applyNumberFormat="0" applyFill="0" applyAlignment="0" applyProtection="0"/>
    <xf numFmtId="0" fontId="58" fillId="20" borderId="1" applyNumberFormat="0" applyAlignment="0" applyProtection="0"/>
    <xf numFmtId="0" fontId="65" fillId="7" borderId="1" applyNumberFormat="0" applyAlignment="0" applyProtection="0"/>
    <xf numFmtId="0" fontId="55" fillId="23" borderId="7" applyNumberFormat="0" applyFont="0" applyAlignment="0" applyProtection="0"/>
    <xf numFmtId="0" fontId="68" fillId="20" borderId="8" applyNumberFormat="0" applyAlignment="0" applyProtection="0"/>
    <xf numFmtId="0" fontId="70"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5"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8" fillId="20" borderId="8" applyNumberFormat="0" applyAlignment="0" applyProtection="0"/>
    <xf numFmtId="0" fontId="55" fillId="23" borderId="7" applyNumberFormat="0" applyFont="0" applyAlignment="0" applyProtection="0"/>
    <xf numFmtId="0" fontId="58" fillId="20" borderId="1" applyNumberFormat="0" applyAlignment="0" applyProtection="0"/>
    <xf numFmtId="0" fontId="70"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81"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55" fillId="23" borderId="7" applyNumberFormat="0" applyFont="0" applyAlignment="0" applyProtection="0"/>
    <xf numFmtId="0" fontId="68" fillId="20" borderId="8" applyNumberFormat="0" applyAlignment="0" applyProtection="0"/>
    <xf numFmtId="9" fontId="19" fillId="0" borderId="0" applyFon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85" fillId="0" borderId="0" applyNumberFormat="0" applyFill="0" applyBorder="0" applyAlignment="0" applyProtection="0"/>
    <xf numFmtId="0" fontId="1" fillId="0" borderId="0"/>
  </cellStyleXfs>
  <cellXfs count="574">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7"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1" fillId="26" borderId="10" xfId="0" applyFont="1" applyFill="1" applyBorder="1"/>
    <xf numFmtId="9" fontId="49"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4"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49" fillId="0" borderId="0" xfId="0" applyNumberFormat="1" applyFont="1" applyFill="1"/>
    <xf numFmtId="38" fontId="0" fillId="0" borderId="0" xfId="0" applyNumberFormat="1" applyFill="1" applyBorder="1"/>
    <xf numFmtId="38" fontId="19" fillId="0" borderId="0" xfId="0" applyNumberFormat="1" applyFont="1" applyFill="1" applyBorder="1"/>
    <xf numFmtId="38" fontId="72" fillId="0" borderId="0" xfId="0" applyNumberFormat="1" applyFont="1" applyFill="1" applyBorder="1"/>
    <xf numFmtId="38" fontId="52" fillId="0" borderId="0" xfId="0" applyNumberFormat="1" applyFont="1" applyFill="1" applyBorder="1"/>
    <xf numFmtId="38" fontId="0" fillId="0" borderId="0" xfId="39" applyNumberFormat="1" applyFont="1" applyFill="1" applyBorder="1"/>
    <xf numFmtId="38" fontId="53"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38" fillId="0" borderId="10" xfId="0" applyNumberFormat="1" applyFont="1" applyFill="1" applyBorder="1"/>
    <xf numFmtId="3" fontId="0" fillId="0" borderId="0" xfId="0" applyNumberFormat="1" applyFill="1"/>
    <xf numFmtId="9" fontId="0" fillId="0" borderId="0" xfId="0" applyNumberFormat="1" applyFill="1"/>
    <xf numFmtId="38" fontId="48"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0" fontId="36" fillId="0" borderId="10" xfId="0" applyFont="1" applyFill="1" applyBorder="1" applyAlignment="1">
      <alignment horizontal="center"/>
    </xf>
    <xf numFmtId="0" fontId="44" fillId="0" borderId="0" xfId="0" applyFont="1" applyFill="1" applyBorder="1" applyAlignment="1">
      <alignment horizontal="center"/>
    </xf>
    <xf numFmtId="0" fontId="0" fillId="0" borderId="0" xfId="0" applyFill="1" applyBorder="1" applyAlignment="1">
      <alignment horizontal="center"/>
    </xf>
    <xf numFmtId="0" fontId="41" fillId="0" borderId="0" xfId="0" applyFont="1" applyFill="1"/>
    <xf numFmtId="0" fontId="53" fillId="0" borderId="0" xfId="0" applyFont="1" applyFill="1"/>
    <xf numFmtId="0" fontId="46" fillId="0" borderId="11" xfId="0" applyFont="1" applyFill="1" applyBorder="1" applyAlignment="1" applyProtection="1">
      <alignment horizontal="center" vertical="center" wrapText="1"/>
      <protection locked="0"/>
    </xf>
    <xf numFmtId="0" fontId="41" fillId="0" borderId="19" xfId="0" applyFont="1" applyFill="1" applyBorder="1"/>
    <xf numFmtId="0" fontId="41" fillId="0" borderId="16" xfId="0" applyFont="1" applyFill="1" applyBorder="1" applyAlignment="1">
      <alignment horizontal="center"/>
    </xf>
    <xf numFmtId="38" fontId="50" fillId="0" borderId="16" xfId="0" applyNumberFormat="1" applyFont="1" applyFill="1" applyBorder="1"/>
    <xf numFmtId="0" fontId="41" fillId="0" borderId="20" xfId="0" applyFont="1" applyFill="1" applyBorder="1"/>
    <xf numFmtId="0" fontId="45"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38" fontId="0" fillId="0" borderId="10" xfId="0" applyNumberFormat="1" applyFill="1" applyBorder="1" applyAlignment="1">
      <alignment horizontal="center" wrapText="1"/>
    </xf>
    <xf numFmtId="38" fontId="19" fillId="0" borderId="0" xfId="0" applyNumberFormat="1" applyFont="1" applyFill="1"/>
    <xf numFmtId="9" fontId="19" fillId="0" borderId="0" xfId="0" applyNumberFormat="1" applyFont="1" applyFill="1" applyBorder="1"/>
    <xf numFmtId="0" fontId="73" fillId="0" borderId="0" xfId="0" applyFont="1" applyFill="1" applyAlignment="1">
      <alignment wrapText="1"/>
    </xf>
    <xf numFmtId="38" fontId="48" fillId="0" borderId="0" xfId="0" applyNumberFormat="1" applyFont="1" applyFill="1"/>
    <xf numFmtId="9" fontId="48" fillId="0" borderId="0" xfId="0" applyNumberFormat="1" applyFont="1" applyFill="1" applyBorder="1"/>
    <xf numFmtId="0" fontId="20" fillId="0" borderId="0" xfId="0" applyFont="1" applyFill="1" applyBorder="1"/>
    <xf numFmtId="0" fontId="36" fillId="0" borderId="0" xfId="0" applyFont="1" applyFill="1" applyBorder="1"/>
    <xf numFmtId="0" fontId="74" fillId="0" borderId="0" xfId="0" applyFont="1" applyAlignment="1">
      <alignment vertical="center"/>
    </xf>
    <xf numFmtId="14" fontId="36" fillId="0" borderId="0" xfId="0" applyNumberFormat="1" applyFont="1" applyFill="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0" fontId="19" fillId="0" borderId="0" xfId="0" applyFont="1" applyFill="1" applyBorder="1" applyAlignment="1">
      <alignment horizontal="right" vertical="center" wrapText="1"/>
    </xf>
    <xf numFmtId="22" fontId="0" fillId="0" borderId="0" xfId="0" applyNumberFormat="1" applyFill="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3" fillId="0" borderId="0" xfId="0" applyNumberFormat="1" applyFont="1" applyFill="1" applyBorder="1"/>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10" fontId="0" fillId="0" borderId="0" xfId="0" applyNumberFormat="1"/>
    <xf numFmtId="14" fontId="74" fillId="0" borderId="0" xfId="0" applyNumberFormat="1" applyFont="1" applyAlignment="1">
      <alignment vertical="center"/>
    </xf>
    <xf numFmtId="38" fontId="0" fillId="0" borderId="39" xfId="0" applyNumberFormat="1" applyFill="1" applyBorder="1"/>
    <xf numFmtId="0" fontId="19" fillId="27" borderId="10" xfId="0" applyFont="1" applyFill="1" applyBorder="1"/>
    <xf numFmtId="38" fontId="23" fillId="27" borderId="0" xfId="0" applyNumberFormat="1" applyFont="1" applyFill="1" applyBorder="1"/>
    <xf numFmtId="38" fontId="33" fillId="27" borderId="0" xfId="0" applyNumberFormat="1" applyFont="1" applyFill="1" applyBorder="1"/>
    <xf numFmtId="40" fontId="0" fillId="0" borderId="0" xfId="0" applyNumberFormat="1"/>
    <xf numFmtId="40" fontId="23" fillId="0" borderId="0" xfId="0" applyNumberFormat="1" applyFont="1" applyFill="1" applyBorder="1"/>
    <xf numFmtId="38" fontId="48" fillId="0" borderId="0" xfId="92" applyNumberFormat="1" applyFont="1" applyFill="1" applyBorder="1"/>
    <xf numFmtId="0" fontId="19" fillId="0" borderId="10" xfId="0" applyFont="1" applyBorder="1" applyAlignment="1">
      <alignment horizontal="center" wrapText="1"/>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1" fillId="0" borderId="13" xfId="0" applyFont="1" applyFill="1" applyBorder="1" applyAlignment="1">
      <alignment horizontal="center"/>
    </xf>
    <xf numFmtId="0" fontId="41"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4"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29" borderId="10" xfId="0" applyNumberFormat="1" applyFill="1" applyBorder="1"/>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8" fillId="30" borderId="10" xfId="0" applyNumberFormat="1" applyFont="1" applyFill="1" applyBorder="1" applyAlignment="1">
      <alignment horizontal="right"/>
    </xf>
    <xf numFmtId="38" fontId="48"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3"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3"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86" fillId="0" borderId="40" xfId="0" applyFont="1" applyBorder="1" applyAlignment="1">
      <alignment horizontal="right" vertical="center" wrapText="1"/>
    </xf>
    <xf numFmtId="0" fontId="24" fillId="0" borderId="0" xfId="0" applyFont="1" applyBorder="1" applyAlignment="1">
      <alignment horizontal="right" vertical="center" wrapText="1"/>
    </xf>
    <xf numFmtId="0" fontId="86"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87" fillId="0" borderId="40" xfId="0" applyNumberFormat="1" applyFont="1" applyBorder="1"/>
    <xf numFmtId="3" fontId="19" fillId="0" borderId="40" xfId="0" applyNumberFormat="1" applyFont="1" applyBorder="1"/>
    <xf numFmtId="3" fontId="87" fillId="0" borderId="40" xfId="0" applyNumberFormat="1" applyFont="1" applyFill="1" applyBorder="1"/>
    <xf numFmtId="3" fontId="0" fillId="0" borderId="40" xfId="0" applyNumberFormat="1" applyBorder="1"/>
    <xf numFmtId="38" fontId="86"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8" fontId="86" fillId="0" borderId="40" xfId="0" applyNumberFormat="1" applyFont="1" applyFill="1" applyBorder="1" applyAlignment="1">
      <alignment horizontal="right" vertical="center" wrapText="1"/>
    </xf>
    <xf numFmtId="38" fontId="24" fillId="0" borderId="40"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0" fillId="0" borderId="40" xfId="0" applyFill="1" applyBorder="1"/>
    <xf numFmtId="3" fontId="0" fillId="0" borderId="40" xfId="0" applyNumberFormat="1" applyFill="1" applyBorder="1"/>
    <xf numFmtId="3" fontId="87" fillId="0" borderId="0" xfId="0" applyNumberFormat="1" applyFont="1" applyFill="1" applyBorder="1"/>
    <xf numFmtId="0" fontId="85"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0" fillId="0" borderId="44" xfId="0" applyBorder="1" applyAlignment="1">
      <alignment horizontal="left" vertical="center" wrapText="1"/>
    </xf>
    <xf numFmtId="0" fontId="0" fillId="0" borderId="44" xfId="0" applyBorder="1" applyAlignment="1">
      <alignment horizontal="right" vertical="center" wrapText="1"/>
    </xf>
    <xf numFmtId="1" fontId="39" fillId="0" borderId="0" xfId="0" applyNumberFormat="1" applyFont="1" applyFill="1" applyBorder="1"/>
    <xf numFmtId="38" fontId="48" fillId="0" borderId="0" xfId="3722" applyNumberFormat="1" applyFont="1" applyFill="1" applyBorder="1" applyAlignment="1">
      <alignment horizontal="right"/>
    </xf>
    <xf numFmtId="38" fontId="34" fillId="0" borderId="10" xfId="0" applyNumberFormat="1"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38" fontId="50" fillId="0" borderId="13" xfId="0" applyNumberFormat="1" applyFont="1" applyFill="1" applyBorder="1"/>
    <xf numFmtId="0" fontId="48" fillId="0" borderId="0" xfId="0" applyFont="1" applyFill="1"/>
    <xf numFmtId="0" fontId="20" fillId="0" borderId="50" xfId="0" applyFont="1" applyFill="1" applyBorder="1" applyAlignment="1">
      <alignment horizontal="center" vertical="center" wrapText="1"/>
    </xf>
    <xf numFmtId="0" fontId="19" fillId="0" borderId="13" xfId="0" applyFont="1" applyFill="1" applyBorder="1" applyAlignment="1">
      <alignment horizontal="center" vertical="center"/>
    </xf>
    <xf numFmtId="0" fontId="25" fillId="0" borderId="40" xfId="0" applyFont="1" applyFill="1" applyBorder="1" applyAlignment="1">
      <alignment vertical="center" wrapText="1"/>
    </xf>
    <xf numFmtId="38" fontId="0" fillId="0" borderId="40" xfId="0" applyNumberFormat="1" applyFill="1" applyBorder="1"/>
    <xf numFmtId="1" fontId="19" fillId="0" borderId="0" xfId="0" applyNumberFormat="1" applyFont="1"/>
    <xf numFmtId="0" fontId="91" fillId="0" borderId="0" xfId="0" applyFont="1" applyFill="1" applyAlignment="1">
      <alignment vertical="center" wrapText="1"/>
    </xf>
    <xf numFmtId="0" fontId="91" fillId="0" borderId="0" xfId="0" applyFont="1" applyFill="1" applyAlignment="1">
      <alignment horizontal="center" vertical="center" wrapText="1"/>
    </xf>
    <xf numFmtId="0" fontId="91" fillId="0" borderId="0" xfId="0" applyFont="1" applyFill="1" applyAlignment="1">
      <alignment vertical="center"/>
    </xf>
    <xf numFmtId="0" fontId="92" fillId="0" borderId="0" xfId="0" applyFont="1" applyFill="1" applyAlignment="1">
      <alignment horizontal="right" vertical="center" wrapText="1"/>
    </xf>
    <xf numFmtId="0" fontId="91" fillId="0" borderId="0" xfId="0" applyFont="1" applyFill="1" applyAlignment="1">
      <alignment horizontal="left" vertical="center"/>
    </xf>
    <xf numFmtId="14" fontId="20" fillId="0" borderId="50" xfId="0" applyNumberFormat="1" applyFont="1" applyFill="1" applyBorder="1" applyAlignment="1">
      <alignment horizontal="center" vertical="center" wrapText="1"/>
    </xf>
    <xf numFmtId="0" fontId="93" fillId="0" borderId="44" xfId="0" applyFont="1" applyBorder="1" applyAlignment="1">
      <alignment horizontal="left" vertical="center" wrapText="1"/>
    </xf>
    <xf numFmtId="0" fontId="93" fillId="0" borderId="44" xfId="0" applyFont="1" applyBorder="1" applyAlignment="1">
      <alignment horizontal="center" vertical="center" wrapText="1"/>
    </xf>
    <xf numFmtId="0" fontId="89" fillId="0" borderId="48" xfId="0" applyFont="1" applyBorder="1" applyAlignment="1">
      <alignment horizontal="center" vertical="center" wrapText="1"/>
    </xf>
    <xf numFmtId="0" fontId="89" fillId="0" borderId="49" xfId="0" applyFont="1" applyBorder="1" applyAlignment="1">
      <alignment horizontal="center" vertical="center" wrapText="1"/>
    </xf>
    <xf numFmtId="166" fontId="23" fillId="0" borderId="0" xfId="0" applyNumberFormat="1" applyFont="1" applyFill="1" applyBorder="1"/>
    <xf numFmtId="0" fontId="94" fillId="0" borderId="44" xfId="0" applyFont="1" applyBorder="1" applyAlignment="1">
      <alignment horizontal="right" vertical="center" wrapText="1"/>
    </xf>
    <xf numFmtId="0" fontId="95" fillId="0" borderId="44" xfId="0" applyFont="1" applyBorder="1" applyAlignment="1">
      <alignment horizontal="center" vertical="center" wrapText="1"/>
    </xf>
    <xf numFmtId="38" fontId="19" fillId="0" borderId="10" xfId="0" applyNumberFormat="1" applyFont="1" applyBorder="1" applyAlignment="1">
      <alignment horizontal="center" wrapText="1"/>
    </xf>
    <xf numFmtId="0" fontId="94" fillId="0" borderId="44" xfId="0" applyFont="1" applyBorder="1" applyAlignment="1">
      <alignment horizontal="left" vertical="center" wrapText="1"/>
    </xf>
    <xf numFmtId="0" fontId="95" fillId="0" borderId="44" xfId="0" applyFont="1" applyBorder="1" applyAlignment="1">
      <alignment horizontal="left" vertical="center" wrapText="1"/>
    </xf>
    <xf numFmtId="4" fontId="41" fillId="0" borderId="0" xfId="0" applyNumberFormat="1" applyFont="1" applyFill="1" applyBorder="1"/>
    <xf numFmtId="38" fontId="76" fillId="0" borderId="10" xfId="45344" applyNumberFormat="1" applyFont="1" applyFill="1" applyBorder="1" applyAlignment="1">
      <alignment horizontal="right"/>
    </xf>
    <xf numFmtId="38" fontId="48" fillId="0" borderId="10" xfId="45344" applyNumberFormat="1" applyFont="1" applyFill="1" applyBorder="1"/>
    <xf numFmtId="38" fontId="76" fillId="30" borderId="10" xfId="0" applyNumberFormat="1" applyFont="1" applyFill="1" applyBorder="1"/>
    <xf numFmtId="38" fontId="76" fillId="0" borderId="10" xfId="45344" applyNumberFormat="1" applyFont="1" applyFill="1" applyBorder="1"/>
    <xf numFmtId="38" fontId="48" fillId="0" borderId="10" xfId="45344" applyNumberFormat="1" applyFont="1" applyFill="1" applyBorder="1" applyAlignment="1">
      <alignment horizontal="right"/>
    </xf>
    <xf numFmtId="0" fontId="0" fillId="31" borderId="0" xfId="0" applyFill="1"/>
    <xf numFmtId="0" fontId="19" fillId="31" borderId="0" xfId="0" applyFont="1" applyFill="1"/>
    <xf numFmtId="38" fontId="48" fillId="27" borderId="10" xfId="45344" applyNumberFormat="1" applyFont="1" applyFill="1" applyBorder="1"/>
    <xf numFmtId="38" fontId="48" fillId="0" borderId="0" xfId="0" applyNumberFormat="1" applyFont="1"/>
    <xf numFmtId="38" fontId="19" fillId="0" borderId="0" xfId="0" applyNumberFormat="1" applyFont="1"/>
    <xf numFmtId="38" fontId="48" fillId="0" borderId="10" xfId="45344" applyNumberFormat="1" applyFont="1" applyBorder="1" applyAlignment="1">
      <alignment horizontal="right"/>
    </xf>
    <xf numFmtId="38" fontId="48" fillId="0" borderId="10" xfId="45344" applyNumberFormat="1" applyFont="1" applyBorder="1"/>
    <xf numFmtId="14" fontId="20" fillId="0" borderId="50" xfId="0" applyNumberFormat="1" applyFont="1" applyBorder="1" applyAlignment="1">
      <alignment horizontal="center" vertical="center" wrapText="1"/>
    </xf>
    <xf numFmtId="0" fontId="0" fillId="0" borderId="13" xfId="0" applyBorder="1" applyAlignment="1">
      <alignment horizontal="left" wrapText="1"/>
    </xf>
    <xf numFmtId="38" fontId="0" fillId="0" borderId="39" xfId="0" applyNumberFormat="1" applyBorder="1"/>
    <xf numFmtId="0" fontId="0" fillId="0" borderId="10" xfId="0" applyBorder="1" applyAlignment="1">
      <alignment horizontal="left" wrapText="1"/>
    </xf>
    <xf numFmtId="0" fontId="19" fillId="0" borderId="0" xfId="0" applyFont="1" applyAlignment="1">
      <alignment horizontal="right" vertical="center" wrapText="1"/>
    </xf>
    <xf numFmtId="0" fontId="91" fillId="0" borderId="0" xfId="0" applyFont="1" applyAlignment="1">
      <alignment vertical="center" wrapText="1"/>
    </xf>
    <xf numFmtId="0" fontId="91" fillId="0" borderId="0" xfId="0" applyFont="1" applyAlignment="1">
      <alignment horizontal="center" vertical="center" wrapText="1"/>
    </xf>
    <xf numFmtId="0" fontId="91" fillId="0" borderId="0" xfId="0" applyFont="1" applyAlignment="1">
      <alignment vertical="center"/>
    </xf>
    <xf numFmtId="0" fontId="92" fillId="0" borderId="0" xfId="0" applyFont="1" applyAlignment="1">
      <alignment horizontal="left" vertical="center"/>
    </xf>
    <xf numFmtId="0" fontId="92" fillId="0" borderId="0" xfId="0" applyFont="1" applyAlignment="1">
      <alignment horizontal="right" vertical="center"/>
    </xf>
    <xf numFmtId="0" fontId="92" fillId="0" borderId="0" xfId="0" applyFont="1" applyAlignment="1">
      <alignment horizontal="right" vertical="center" wrapText="1"/>
    </xf>
    <xf numFmtId="0" fontId="91" fillId="0" borderId="0" xfId="0" applyFont="1" applyAlignment="1">
      <alignment horizontal="left" vertical="center"/>
    </xf>
    <xf numFmtId="0" fontId="91" fillId="0" borderId="0" xfId="0" applyFont="1" applyAlignment="1">
      <alignment horizontal="right" vertical="center"/>
    </xf>
    <xf numFmtId="0" fontId="41" fillId="0" borderId="19" xfId="0" applyFont="1" applyBorder="1" applyAlignment="1">
      <alignment horizontal="center"/>
    </xf>
    <xf numFmtId="0" fontId="41" fillId="0" borderId="0" xfId="0" applyFont="1" applyAlignment="1">
      <alignment horizontal="center"/>
    </xf>
    <xf numFmtId="0" fontId="41" fillId="0" borderId="24" xfId="0" applyFont="1" applyBorder="1" applyAlignment="1">
      <alignment horizontal="center"/>
    </xf>
    <xf numFmtId="10" fontId="0" fillId="0" borderId="24" xfId="0" applyNumberFormat="1" applyBorder="1" applyAlignment="1">
      <alignment horizontal="center"/>
    </xf>
    <xf numFmtId="3" fontId="79" fillId="0" borderId="19" xfId="92" applyNumberFormat="1" applyFont="1" applyBorder="1" applyAlignment="1">
      <alignment horizontal="center"/>
    </xf>
    <xf numFmtId="1" fontId="80" fillId="0" borderId="0" xfId="92" applyNumberFormat="1" applyFont="1" applyAlignment="1">
      <alignment horizontal="center"/>
    </xf>
    <xf numFmtId="165" fontId="80" fillId="0" borderId="0" xfId="92" applyNumberFormat="1" applyFont="1" applyAlignment="1">
      <alignment horizontal="center"/>
    </xf>
    <xf numFmtId="10" fontId="0" fillId="0" borderId="25" xfId="0" applyNumberFormat="1" applyBorder="1" applyAlignment="1">
      <alignment horizontal="center"/>
    </xf>
    <xf numFmtId="3" fontId="79" fillId="0" borderId="20" xfId="92" applyNumberFormat="1" applyFont="1" applyBorder="1" applyAlignment="1">
      <alignment horizontal="center"/>
    </xf>
    <xf numFmtId="165" fontId="80" fillId="0" borderId="21" xfId="92" applyNumberFormat="1" applyFont="1" applyBorder="1" applyAlignment="1">
      <alignment horizontal="center"/>
    </xf>
    <xf numFmtId="1" fontId="80" fillId="0" borderId="21" xfId="92" applyNumberFormat="1" applyFont="1" applyBorder="1" applyAlignment="1">
      <alignment horizontal="center"/>
    </xf>
    <xf numFmtId="164" fontId="48" fillId="0" borderId="0" xfId="0" applyNumberFormat="1" applyFont="1"/>
    <xf numFmtId="164" fontId="48" fillId="0" borderId="24" xfId="0" applyNumberFormat="1" applyFont="1" applyBorder="1"/>
    <xf numFmtId="3" fontId="20" fillId="0" borderId="0" xfId="0" applyNumberFormat="1" applyFont="1"/>
    <xf numFmtId="3" fontId="79" fillId="0" borderId="19" xfId="92" applyNumberFormat="1" applyFont="1" applyFill="1" applyBorder="1" applyAlignment="1">
      <alignment horizontal="center"/>
    </xf>
    <xf numFmtId="1" fontId="80" fillId="0" borderId="0" xfId="92" applyNumberFormat="1" applyFont="1" applyFill="1" applyAlignment="1">
      <alignment horizontal="center"/>
    </xf>
    <xf numFmtId="3" fontId="79" fillId="0" borderId="20" xfId="92" applyNumberFormat="1" applyFont="1" applyFill="1" applyBorder="1" applyAlignment="1">
      <alignment horizontal="center"/>
    </xf>
    <xf numFmtId="1" fontId="80" fillId="0" borderId="21" xfId="92" applyNumberFormat="1" applyFont="1" applyFill="1" applyBorder="1" applyAlignment="1">
      <alignment horizontal="center"/>
    </xf>
    <xf numFmtId="38" fontId="52" fillId="0" borderId="0" xfId="0" applyNumberFormat="1" applyFont="1" applyFill="1"/>
    <xf numFmtId="3" fontId="20" fillId="0" borderId="0" xfId="0" applyNumberFormat="1" applyFont="1" applyFill="1"/>
    <xf numFmtId="0" fontId="90" fillId="0" borderId="45"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47" xfId="0" applyFont="1" applyBorder="1" applyAlignment="1">
      <alignment horizontal="center" vertical="center" wrapText="1"/>
    </xf>
    <xf numFmtId="0" fontId="95" fillId="0" borderId="48" xfId="0" applyFont="1" applyBorder="1" applyAlignment="1">
      <alignment horizontal="center" vertical="center" wrapText="1"/>
    </xf>
    <xf numFmtId="0" fontId="95" fillId="0" borderId="49" xfId="0" applyFont="1" applyBorder="1" applyAlignment="1">
      <alignment horizontal="center" vertical="center" wrapText="1"/>
    </xf>
    <xf numFmtId="0" fontId="42" fillId="0" borderId="17" xfId="0" applyFont="1" applyBorder="1" applyAlignment="1">
      <alignment horizontal="center" vertical="center"/>
    </xf>
    <xf numFmtId="0" fontId="0" fillId="0" borderId="18" xfId="0" applyBorder="1" applyAlignment="1">
      <alignment horizontal="center" vertical="center"/>
    </xf>
    <xf numFmtId="0" fontId="42" fillId="0" borderId="26" xfId="0" applyFont="1" applyBorder="1" applyAlignment="1">
      <alignment horizontal="center" vertical="center"/>
    </xf>
    <xf numFmtId="0" fontId="41" fillId="0" borderId="19" xfId="0" applyFont="1" applyBorder="1" applyAlignment="1">
      <alignment horizontal="center" wrapText="1"/>
    </xf>
    <xf numFmtId="0" fontId="0" fillId="0" borderId="0" xfId="0" applyAlignment="1">
      <alignment horizontal="center" wrapText="1"/>
    </xf>
    <xf numFmtId="0" fontId="96" fillId="0" borderId="48" xfId="0" applyFont="1" applyBorder="1" applyAlignment="1">
      <alignment horizontal="center" vertical="center" wrapText="1"/>
    </xf>
    <xf numFmtId="0" fontId="96" fillId="0" borderId="49" xfId="0" applyFont="1" applyBorder="1" applyAlignment="1">
      <alignment horizontal="center" vertical="center" wrapText="1"/>
    </xf>
    <xf numFmtId="0" fontId="96" fillId="0" borderId="44" xfId="0" applyFont="1" applyBorder="1" applyAlignment="1">
      <alignment horizontal="left" vertical="center" wrapText="1"/>
    </xf>
    <xf numFmtId="38" fontId="48" fillId="0" borderId="0" xfId="92" applyNumberFormat="1" applyFont="1"/>
    <xf numFmtId="38" fontId="52" fillId="0" borderId="0" xfId="0" applyNumberFormat="1" applyFont="1"/>
    <xf numFmtId="38" fontId="50" fillId="0" borderId="16" xfId="0" applyNumberFormat="1" applyFont="1" applyBorder="1"/>
    <xf numFmtId="38" fontId="50" fillId="0" borderId="13" xfId="0" applyNumberFormat="1" applyFont="1" applyBorder="1"/>
    <xf numFmtId="0" fontId="20" fillId="0" borderId="14" xfId="0" applyFont="1" applyFill="1" applyBorder="1"/>
    <xf numFmtId="16" fontId="97" fillId="0" borderId="0" xfId="0" applyNumberFormat="1" applyFont="1" applyFill="1" applyBorder="1"/>
    <xf numFmtId="0" fontId="19" fillId="0" borderId="0" xfId="0" applyFont="1" applyFill="1" applyBorder="1"/>
    <xf numFmtId="3" fontId="0" fillId="0" borderId="0" xfId="0" applyNumberFormat="1" applyFill="1" applyBorder="1"/>
    <xf numFmtId="0" fontId="20"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98" fillId="0" borderId="0" xfId="0" applyFont="1" applyAlignment="1">
      <alignment horizontal="left" vertical="center" wrapText="1"/>
    </xf>
    <xf numFmtId="0" fontId="98" fillId="0" borderId="0" xfId="0" applyFont="1" applyAlignment="1">
      <alignment horizontal="center" vertical="center" wrapText="1"/>
    </xf>
    <xf numFmtId="3" fontId="79" fillId="29" borderId="20" xfId="92" applyNumberFormat="1" applyFont="1" applyFill="1" applyBorder="1" applyAlignment="1">
      <alignment horizontal="center"/>
    </xf>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90" fillId="0" borderId="45"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47" xfId="0" applyFont="1" applyBorder="1" applyAlignment="1">
      <alignment horizontal="center" vertical="center" wrapText="1"/>
    </xf>
    <xf numFmtId="0" fontId="96" fillId="0" borderId="48" xfId="0" applyFont="1" applyBorder="1" applyAlignment="1">
      <alignment horizontal="center" vertical="center" wrapText="1"/>
    </xf>
    <xf numFmtId="0" fontId="96" fillId="0" borderId="49"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0" xfId="0" applyFont="1" applyAlignment="1">
      <alignment horizontal="center" vertical="center" wrapText="1"/>
    </xf>
    <xf numFmtId="0" fontId="44" fillId="0" borderId="17" xfId="0" applyFont="1" applyFill="1" applyBorder="1" applyAlignment="1">
      <alignment horizontal="center"/>
    </xf>
    <xf numFmtId="0" fontId="44" fillId="0" borderId="18" xfId="0" applyFont="1" applyFill="1" applyBorder="1" applyAlignment="1">
      <alignment horizontal="center"/>
    </xf>
    <xf numFmtId="0" fontId="0" fillId="0" borderId="18" xfId="0" applyFill="1" applyBorder="1" applyAlignment="1">
      <alignment horizontal="center"/>
    </xf>
    <xf numFmtId="0" fontId="0" fillId="0" borderId="26" xfId="0" applyFill="1" applyBorder="1" applyAlignment="1">
      <alignment horizontal="center"/>
    </xf>
    <xf numFmtId="0" fontId="42" fillId="0" borderId="17" xfId="0" applyFont="1" applyBorder="1" applyAlignment="1">
      <alignment horizontal="center" vertical="center"/>
    </xf>
    <xf numFmtId="0" fontId="0" fillId="0" borderId="18" xfId="0" applyBorder="1" applyAlignment="1">
      <alignment horizontal="center" vertical="center"/>
    </xf>
    <xf numFmtId="0" fontId="42" fillId="0" borderId="26" xfId="0" applyFont="1" applyBorder="1" applyAlignment="1">
      <alignment horizontal="center" vertical="center"/>
    </xf>
    <xf numFmtId="0" fontId="41" fillId="0" borderId="19" xfId="0" applyFont="1" applyBorder="1" applyAlignment="1">
      <alignment horizontal="center" wrapText="1"/>
    </xf>
    <xf numFmtId="0" fontId="0" fillId="0" borderId="0" xfId="0" applyAlignment="1">
      <alignment horizontal="center" wrapText="1"/>
    </xf>
    <xf numFmtId="0" fontId="21" fillId="0" borderId="18" xfId="0" applyFont="1" applyFill="1" applyBorder="1" applyAlignment="1">
      <alignment horizontal="center" wrapText="1"/>
    </xf>
    <xf numFmtId="0" fontId="45" fillId="0" borderId="21" xfId="0" applyFont="1" applyFill="1" applyBorder="1" applyAlignment="1">
      <alignment horizontal="center" vertical="center"/>
    </xf>
    <xf numFmtId="0" fontId="45" fillId="0" borderId="21" xfId="0" applyFont="1" applyFill="1" applyBorder="1" applyAlignment="1">
      <alignment horizontal="center" vertical="center" wrapText="1"/>
    </xf>
  </cellXfs>
  <cellStyles count="45345">
    <cellStyle name="20% - Accent1" xfId="1" builtinId="30" customBuiltin="1"/>
    <cellStyle name="20% - Accent1 2" xfId="45"/>
    <cellStyle name="20% - Accent1 3" xfId="151"/>
    <cellStyle name="20% - Accent1 4" xfId="569"/>
    <cellStyle name="20% - Accent1 5" xfId="22758"/>
    <cellStyle name="20% - Accent2" xfId="2" builtinId="34" customBuiltin="1"/>
    <cellStyle name="20% - Accent2 2" xfId="46"/>
    <cellStyle name="20% - Accent2 3" xfId="152"/>
    <cellStyle name="20% - Accent2 4" xfId="553"/>
    <cellStyle name="20% - Accent2 5" xfId="22759"/>
    <cellStyle name="20% - Accent3" xfId="3" builtinId="38" customBuiltin="1"/>
    <cellStyle name="20% - Accent3 2" xfId="47"/>
    <cellStyle name="20% - Accent3 3" xfId="153"/>
    <cellStyle name="20% - Accent3 4" xfId="558"/>
    <cellStyle name="20% - Accent3 5" xfId="22760"/>
    <cellStyle name="20% - Accent4" xfId="4" builtinId="42" customBuiltin="1"/>
    <cellStyle name="20% - Accent4 2" xfId="48"/>
    <cellStyle name="20% - Accent4 3" xfId="154"/>
    <cellStyle name="20% - Accent4 4" xfId="606"/>
    <cellStyle name="20% - Accent4 5" xfId="22761"/>
    <cellStyle name="20% - Accent5" xfId="5" builtinId="46" customBuiltin="1"/>
    <cellStyle name="20% - Accent5 2" xfId="49"/>
    <cellStyle name="20% - Accent5 3" xfId="155"/>
    <cellStyle name="20% - Accent5 4" xfId="600"/>
    <cellStyle name="20% - Accent5 5" xfId="22762"/>
    <cellStyle name="20% - Accent6" xfId="6" builtinId="50" customBuiltin="1"/>
    <cellStyle name="20% - Accent6 2" xfId="50"/>
    <cellStyle name="20% - Accent6 3" xfId="156"/>
    <cellStyle name="20% - Accent6 4" xfId="570"/>
    <cellStyle name="20% - Accent6 5" xfId="22763"/>
    <cellStyle name="40% - Accent1" xfId="7" builtinId="31" customBuiltin="1"/>
    <cellStyle name="40% - Accent1 2" xfId="51"/>
    <cellStyle name="40% - Accent1 3" xfId="157"/>
    <cellStyle name="40% - Accent1 4" xfId="566"/>
    <cellStyle name="40% - Accent1 5" xfId="22764"/>
    <cellStyle name="40% - Accent2" xfId="8" builtinId="35" customBuiltin="1"/>
    <cellStyle name="40% - Accent2 2" xfId="52"/>
    <cellStyle name="40% - Accent2 3" xfId="158"/>
    <cellStyle name="40% - Accent2 4" xfId="559"/>
    <cellStyle name="40% - Accent2 5" xfId="22765"/>
    <cellStyle name="40% - Accent3" xfId="9" builtinId="39" customBuiltin="1"/>
    <cellStyle name="40% - Accent3 2" xfId="53"/>
    <cellStyle name="40% - Accent3 3" xfId="159"/>
    <cellStyle name="40% - Accent3 4" xfId="554"/>
    <cellStyle name="40% - Accent3 5" xfId="22766"/>
    <cellStyle name="40% - Accent4" xfId="10" builtinId="43" customBuiltin="1"/>
    <cellStyle name="40% - Accent4 2" xfId="54"/>
    <cellStyle name="40% - Accent4 3" xfId="160"/>
    <cellStyle name="40% - Accent4 4" xfId="611"/>
    <cellStyle name="40% - Accent4 5" xfId="22767"/>
    <cellStyle name="40% - Accent5" xfId="11" builtinId="47" customBuiltin="1"/>
    <cellStyle name="40% - Accent5 2" xfId="55"/>
    <cellStyle name="40% - Accent5 3" xfId="161"/>
    <cellStyle name="40% - Accent5 4" xfId="605"/>
    <cellStyle name="40% - Accent5 5" xfId="22768"/>
    <cellStyle name="40% - Accent6" xfId="12" builtinId="51" customBuiltin="1"/>
    <cellStyle name="40% - Accent6 2" xfId="56"/>
    <cellStyle name="40% - Accent6 3" xfId="162"/>
    <cellStyle name="40% - Accent6 4" xfId="599"/>
    <cellStyle name="40% - Accent6 5" xfId="22769"/>
    <cellStyle name="60% - Accent1" xfId="13" builtinId="32" customBuiltin="1"/>
    <cellStyle name="60% - Accent1 2" xfId="57"/>
    <cellStyle name="60% - Accent1 3" xfId="163"/>
    <cellStyle name="60% - Accent1 4" xfId="607"/>
    <cellStyle name="60% - Accent1 5" xfId="22770"/>
    <cellStyle name="60% - Accent2" xfId="14" builtinId="36" customBuiltin="1"/>
    <cellStyle name="60% - Accent2 2" xfId="58"/>
    <cellStyle name="60% - Accent2 3" xfId="164"/>
    <cellStyle name="60% - Accent2 4" xfId="601"/>
    <cellStyle name="60% - Accent2 5" xfId="22771"/>
    <cellStyle name="60% - Accent3" xfId="15" builtinId="40" customBuiltin="1"/>
    <cellStyle name="60% - Accent3 2" xfId="59"/>
    <cellStyle name="60% - Accent3 3" xfId="165"/>
    <cellStyle name="60% - Accent3 4" xfId="602"/>
    <cellStyle name="60% - Accent3 5" xfId="22772"/>
    <cellStyle name="60% - Accent4" xfId="16" builtinId="44" customBuiltin="1"/>
    <cellStyle name="60% - Accent4 2" xfId="60"/>
    <cellStyle name="60% - Accent4 3" xfId="166"/>
    <cellStyle name="60% - Accent4 4" xfId="563"/>
    <cellStyle name="60% - Accent4 5" xfId="22773"/>
    <cellStyle name="60% - Accent5" xfId="17" builtinId="48" customBuiltin="1"/>
    <cellStyle name="60% - Accent5 2" xfId="61"/>
    <cellStyle name="60% - Accent5 3" xfId="167"/>
    <cellStyle name="60% - Accent5 4" xfId="618"/>
    <cellStyle name="60% - Accent5 5" xfId="22774"/>
    <cellStyle name="60% - Accent6" xfId="18" builtinId="52" customBuiltin="1"/>
    <cellStyle name="60% - Accent6 2" xfId="62"/>
    <cellStyle name="60% - Accent6 3" xfId="168"/>
    <cellStyle name="60% - Accent6 4" xfId="568"/>
    <cellStyle name="60% - Accent6 5" xfId="22775"/>
    <cellStyle name="Accent1" xfId="19" builtinId="29" customBuiltin="1"/>
    <cellStyle name="Accent1 2" xfId="63"/>
    <cellStyle name="Accent1 3" xfId="169"/>
    <cellStyle name="Accent1 4" xfId="619"/>
    <cellStyle name="Accent1 5" xfId="22776"/>
    <cellStyle name="Accent2" xfId="20" builtinId="33" customBuiltin="1"/>
    <cellStyle name="Accent2 2" xfId="64"/>
    <cellStyle name="Accent2 3" xfId="170"/>
    <cellStyle name="Accent2 4" xfId="617"/>
    <cellStyle name="Accent2 5" xfId="22777"/>
    <cellStyle name="Accent3" xfId="21" builtinId="37" customBuiltin="1"/>
    <cellStyle name="Accent3 2" xfId="65"/>
    <cellStyle name="Accent3 3" xfId="171"/>
    <cellStyle name="Accent3 4" xfId="557"/>
    <cellStyle name="Accent3 5" xfId="22778"/>
    <cellStyle name="Accent4" xfId="22" builtinId="41" customBuiltin="1"/>
    <cellStyle name="Accent4 2" xfId="66"/>
    <cellStyle name="Accent4 3" xfId="172"/>
    <cellStyle name="Accent4 4" xfId="561"/>
    <cellStyle name="Accent4 5" xfId="22779"/>
    <cellStyle name="Accent5" xfId="23" builtinId="45" customBuiltin="1"/>
    <cellStyle name="Accent5 2" xfId="67"/>
    <cellStyle name="Accent5 3" xfId="173"/>
    <cellStyle name="Accent5 4" xfId="616"/>
    <cellStyle name="Accent5 5" xfId="22780"/>
    <cellStyle name="Accent6" xfId="24" builtinId="49" customBuiltin="1"/>
    <cellStyle name="Accent6 2" xfId="68"/>
    <cellStyle name="Accent6 3" xfId="174"/>
    <cellStyle name="Accent6 4" xfId="584"/>
    <cellStyle name="Accent6 5" xfId="22781"/>
    <cellStyle name="Bad" xfId="25" builtinId="27" customBuiltin="1"/>
    <cellStyle name="Bad 2" xfId="69"/>
    <cellStyle name="Bad 3" xfId="175"/>
    <cellStyle name="Bad 4" xfId="552"/>
    <cellStyle name="Bad 5" xfId="22782"/>
    <cellStyle name="Calculation" xfId="26" builtinId="22" customBuiltin="1"/>
    <cellStyle name="Calculation 2" xfId="70"/>
    <cellStyle name="Calculation 2 2" xfId="720"/>
    <cellStyle name="Calculation 3" xfId="176"/>
    <cellStyle name="Calculation 3 2" xfId="715"/>
    <cellStyle name="Calculation 4" xfId="610"/>
    <cellStyle name="Calculation 4 2" xfId="982"/>
    <cellStyle name="Calculation 5" xfId="22783"/>
    <cellStyle name="Check Cell" xfId="27" builtinId="23" customBuiltin="1"/>
    <cellStyle name="Check Cell 2" xfId="71"/>
    <cellStyle name="Check Cell 3" xfId="177"/>
    <cellStyle name="Check Cell 4" xfId="604"/>
    <cellStyle name="Check Cell 5" xfId="22784"/>
    <cellStyle name="Comma 2" xfId="95"/>
    <cellStyle name="Comma 3" xfId="148"/>
    <cellStyle name="Comma 3 10" xfId="2902"/>
    <cellStyle name="Comma 3 10 2" xfId="6123"/>
    <cellStyle name="Comma 3 10 2 2" xfId="22223"/>
    <cellStyle name="Comma 3 10 2 2 2" xfId="44810"/>
    <cellStyle name="Comma 3 10 2 3" xfId="12563"/>
    <cellStyle name="Comma 3 10 2 3 2" xfId="35150"/>
    <cellStyle name="Comma 3 10 2 4" xfId="28710"/>
    <cellStyle name="Comma 3 10 3" xfId="19003"/>
    <cellStyle name="Comma 3 10 3 2" xfId="41590"/>
    <cellStyle name="Comma 3 10 4" xfId="15783"/>
    <cellStyle name="Comma 3 10 4 2" xfId="38370"/>
    <cellStyle name="Comma 3 10 5" xfId="9343"/>
    <cellStyle name="Comma 3 10 5 2" xfId="31930"/>
    <cellStyle name="Comma 3 10 6" xfId="25490"/>
    <cellStyle name="Comma 3 11" xfId="3193"/>
    <cellStyle name="Comma 3 11 2" xfId="6413"/>
    <cellStyle name="Comma 3 11 2 2" xfId="22513"/>
    <cellStyle name="Comma 3 11 2 2 2" xfId="45100"/>
    <cellStyle name="Comma 3 11 2 3" xfId="12853"/>
    <cellStyle name="Comma 3 11 2 3 2" xfId="35440"/>
    <cellStyle name="Comma 3 11 2 4" xfId="29000"/>
    <cellStyle name="Comma 3 11 3" xfId="19293"/>
    <cellStyle name="Comma 3 11 3 2" xfId="41880"/>
    <cellStyle name="Comma 3 11 4" xfId="16073"/>
    <cellStyle name="Comma 3 11 4 2" xfId="38660"/>
    <cellStyle name="Comma 3 11 5" xfId="9633"/>
    <cellStyle name="Comma 3 11 5 2" xfId="32220"/>
    <cellStyle name="Comma 3 11 6" xfId="25780"/>
    <cellStyle name="Comma 3 12" xfId="486"/>
    <cellStyle name="Comma 3 12 2" xfId="3773"/>
    <cellStyle name="Comma 3 12 2 2" xfId="19873"/>
    <cellStyle name="Comma 3 12 2 2 2" xfId="42460"/>
    <cellStyle name="Comma 3 12 2 3" xfId="10213"/>
    <cellStyle name="Comma 3 12 2 3 2" xfId="32800"/>
    <cellStyle name="Comma 3 12 2 4" xfId="26360"/>
    <cellStyle name="Comma 3 12 3" xfId="16653"/>
    <cellStyle name="Comma 3 12 3 2" xfId="39240"/>
    <cellStyle name="Comma 3 12 4" xfId="13433"/>
    <cellStyle name="Comma 3 12 4 2" xfId="36020"/>
    <cellStyle name="Comma 3 12 5" xfId="6993"/>
    <cellStyle name="Comma 3 12 5 2" xfId="29580"/>
    <cellStyle name="Comma 3 12 6" xfId="23140"/>
    <cellStyle name="Comma 3 13" xfId="3483"/>
    <cellStyle name="Comma 3 13 2" xfId="19583"/>
    <cellStyle name="Comma 3 13 2 2" xfId="42170"/>
    <cellStyle name="Comma 3 13 3" xfId="9923"/>
    <cellStyle name="Comma 3 13 3 2" xfId="32510"/>
    <cellStyle name="Comma 3 13 4" xfId="26070"/>
    <cellStyle name="Comma 3 14" xfId="16363"/>
    <cellStyle name="Comma 3 14 2" xfId="38950"/>
    <cellStyle name="Comma 3 15" xfId="13143"/>
    <cellStyle name="Comma 3 15 2" xfId="35730"/>
    <cellStyle name="Comma 3 16" xfId="6703"/>
    <cellStyle name="Comma 3 16 2" xfId="29290"/>
    <cellStyle name="Comma 3 17" xfId="22850"/>
    <cellStyle name="Comma 3 2" xfId="269"/>
    <cellStyle name="Comma 3 2 10" xfId="526"/>
    <cellStyle name="Comma 3 2 10 2" xfId="3813"/>
    <cellStyle name="Comma 3 2 10 2 2" xfId="19913"/>
    <cellStyle name="Comma 3 2 10 2 2 2" xfId="42500"/>
    <cellStyle name="Comma 3 2 10 2 3" xfId="10253"/>
    <cellStyle name="Comma 3 2 10 2 3 2" xfId="32840"/>
    <cellStyle name="Comma 3 2 10 2 4" xfId="26400"/>
    <cellStyle name="Comma 3 2 10 3" xfId="16693"/>
    <cellStyle name="Comma 3 2 10 3 2" xfId="39280"/>
    <cellStyle name="Comma 3 2 10 4" xfId="13473"/>
    <cellStyle name="Comma 3 2 10 4 2" xfId="36060"/>
    <cellStyle name="Comma 3 2 10 5" xfId="7033"/>
    <cellStyle name="Comma 3 2 10 5 2" xfId="29620"/>
    <cellStyle name="Comma 3 2 10 6" xfId="23180"/>
    <cellStyle name="Comma 3 2 11" xfId="3556"/>
    <cellStyle name="Comma 3 2 11 2" xfId="19656"/>
    <cellStyle name="Comma 3 2 11 2 2" xfId="42243"/>
    <cellStyle name="Comma 3 2 11 3" xfId="9996"/>
    <cellStyle name="Comma 3 2 11 3 2" xfId="32583"/>
    <cellStyle name="Comma 3 2 11 4" xfId="26143"/>
    <cellStyle name="Comma 3 2 12" xfId="16436"/>
    <cellStyle name="Comma 3 2 12 2" xfId="39023"/>
    <cellStyle name="Comma 3 2 13" xfId="13216"/>
    <cellStyle name="Comma 3 2 13 2" xfId="35803"/>
    <cellStyle name="Comma 3 2 14" xfId="6776"/>
    <cellStyle name="Comma 3 2 14 2" xfId="29363"/>
    <cellStyle name="Comma 3 2 15" xfId="22923"/>
    <cellStyle name="Comma 3 2 2" xfId="685"/>
    <cellStyle name="Comma 3 2 2 2" xfId="1049"/>
    <cellStyle name="Comma 3 2 2 2 2" xfId="2363"/>
    <cellStyle name="Comma 3 2 2 2 2 2" xfId="5584"/>
    <cellStyle name="Comma 3 2 2 2 2 2 2" xfId="21684"/>
    <cellStyle name="Comma 3 2 2 2 2 2 2 2" xfId="44271"/>
    <cellStyle name="Comma 3 2 2 2 2 2 3" xfId="12024"/>
    <cellStyle name="Comma 3 2 2 2 2 2 3 2" xfId="34611"/>
    <cellStyle name="Comma 3 2 2 2 2 2 4" xfId="28171"/>
    <cellStyle name="Comma 3 2 2 2 2 3" xfId="18464"/>
    <cellStyle name="Comma 3 2 2 2 2 3 2" xfId="41051"/>
    <cellStyle name="Comma 3 2 2 2 2 4" xfId="15244"/>
    <cellStyle name="Comma 3 2 2 2 2 4 2" xfId="37831"/>
    <cellStyle name="Comma 3 2 2 2 2 5" xfId="8804"/>
    <cellStyle name="Comma 3 2 2 2 2 5 2" xfId="31391"/>
    <cellStyle name="Comma 3 2 2 2 2 6" xfId="24951"/>
    <cellStyle name="Comma 3 2 2 2 3" xfId="4276"/>
    <cellStyle name="Comma 3 2 2 2 3 2" xfId="20376"/>
    <cellStyle name="Comma 3 2 2 2 3 2 2" xfId="42963"/>
    <cellStyle name="Comma 3 2 2 2 3 3" xfId="10716"/>
    <cellStyle name="Comma 3 2 2 2 3 3 2" xfId="33303"/>
    <cellStyle name="Comma 3 2 2 2 3 4" xfId="26863"/>
    <cellStyle name="Comma 3 2 2 2 4" xfId="17156"/>
    <cellStyle name="Comma 3 2 2 2 4 2" xfId="39743"/>
    <cellStyle name="Comma 3 2 2 2 5" xfId="13936"/>
    <cellStyle name="Comma 3 2 2 2 5 2" xfId="36523"/>
    <cellStyle name="Comma 3 2 2 2 6" xfId="7496"/>
    <cellStyle name="Comma 3 2 2 2 6 2" xfId="30083"/>
    <cellStyle name="Comma 3 2 2 2 7" xfId="23643"/>
    <cellStyle name="Comma 3 2 2 3" xfId="1396"/>
    <cellStyle name="Comma 3 2 2 3 2" xfId="2710"/>
    <cellStyle name="Comma 3 2 2 3 2 2" xfId="5931"/>
    <cellStyle name="Comma 3 2 2 3 2 2 2" xfId="22031"/>
    <cellStyle name="Comma 3 2 2 3 2 2 2 2" xfId="44618"/>
    <cellStyle name="Comma 3 2 2 3 2 2 3" xfId="12371"/>
    <cellStyle name="Comma 3 2 2 3 2 2 3 2" xfId="34958"/>
    <cellStyle name="Comma 3 2 2 3 2 2 4" xfId="28518"/>
    <cellStyle name="Comma 3 2 2 3 2 3" xfId="18811"/>
    <cellStyle name="Comma 3 2 2 3 2 3 2" xfId="41398"/>
    <cellStyle name="Comma 3 2 2 3 2 4" xfId="15591"/>
    <cellStyle name="Comma 3 2 2 3 2 4 2" xfId="38178"/>
    <cellStyle name="Comma 3 2 2 3 2 5" xfId="9151"/>
    <cellStyle name="Comma 3 2 2 3 2 5 2" xfId="31738"/>
    <cellStyle name="Comma 3 2 2 3 2 6" xfId="25298"/>
    <cellStyle name="Comma 3 2 2 3 3" xfId="4623"/>
    <cellStyle name="Comma 3 2 2 3 3 2" xfId="20723"/>
    <cellStyle name="Comma 3 2 2 3 3 2 2" xfId="43310"/>
    <cellStyle name="Comma 3 2 2 3 3 3" xfId="11063"/>
    <cellStyle name="Comma 3 2 2 3 3 3 2" xfId="33650"/>
    <cellStyle name="Comma 3 2 2 3 3 4" xfId="27210"/>
    <cellStyle name="Comma 3 2 2 3 4" xfId="17503"/>
    <cellStyle name="Comma 3 2 2 3 4 2" xfId="40090"/>
    <cellStyle name="Comma 3 2 2 3 5" xfId="14283"/>
    <cellStyle name="Comma 3 2 2 3 5 2" xfId="36870"/>
    <cellStyle name="Comma 3 2 2 3 6" xfId="7843"/>
    <cellStyle name="Comma 3 2 2 3 6 2" xfId="30430"/>
    <cellStyle name="Comma 3 2 2 3 7" xfId="23990"/>
    <cellStyle name="Comma 3 2 2 4" xfId="2015"/>
    <cellStyle name="Comma 3 2 2 4 2" xfId="5237"/>
    <cellStyle name="Comma 3 2 2 4 2 2" xfId="21337"/>
    <cellStyle name="Comma 3 2 2 4 2 2 2" xfId="43924"/>
    <cellStyle name="Comma 3 2 2 4 2 3" xfId="11677"/>
    <cellStyle name="Comma 3 2 2 4 2 3 2" xfId="34264"/>
    <cellStyle name="Comma 3 2 2 4 2 4" xfId="27824"/>
    <cellStyle name="Comma 3 2 2 4 3" xfId="18117"/>
    <cellStyle name="Comma 3 2 2 4 3 2" xfId="40704"/>
    <cellStyle name="Comma 3 2 2 4 4" xfId="14897"/>
    <cellStyle name="Comma 3 2 2 4 4 2" xfId="37484"/>
    <cellStyle name="Comma 3 2 2 4 5" xfId="8457"/>
    <cellStyle name="Comma 3 2 2 4 5 2" xfId="31044"/>
    <cellStyle name="Comma 3 2 2 4 6" xfId="24604"/>
    <cellStyle name="Comma 3 2 2 5" xfId="3929"/>
    <cellStyle name="Comma 3 2 2 5 2" xfId="20029"/>
    <cellStyle name="Comma 3 2 2 5 2 2" xfId="42616"/>
    <cellStyle name="Comma 3 2 2 5 3" xfId="10369"/>
    <cellStyle name="Comma 3 2 2 5 3 2" xfId="32956"/>
    <cellStyle name="Comma 3 2 2 5 4" xfId="26516"/>
    <cellStyle name="Comma 3 2 2 6" xfId="16809"/>
    <cellStyle name="Comma 3 2 2 6 2" xfId="39396"/>
    <cellStyle name="Comma 3 2 2 7" xfId="13589"/>
    <cellStyle name="Comma 3 2 2 7 2" xfId="36176"/>
    <cellStyle name="Comma 3 2 2 8" xfId="7149"/>
    <cellStyle name="Comma 3 2 2 8 2" xfId="29736"/>
    <cellStyle name="Comma 3 2 2 9" xfId="23296"/>
    <cellStyle name="Comma 3 2 3" xfId="821"/>
    <cellStyle name="Comma 3 2 3 2" xfId="1173"/>
    <cellStyle name="Comma 3 2 3 2 2" xfId="2487"/>
    <cellStyle name="Comma 3 2 3 2 2 2" xfId="5708"/>
    <cellStyle name="Comma 3 2 3 2 2 2 2" xfId="21808"/>
    <cellStyle name="Comma 3 2 3 2 2 2 2 2" xfId="44395"/>
    <cellStyle name="Comma 3 2 3 2 2 2 3" xfId="12148"/>
    <cellStyle name="Comma 3 2 3 2 2 2 3 2" xfId="34735"/>
    <cellStyle name="Comma 3 2 3 2 2 2 4" xfId="28295"/>
    <cellStyle name="Comma 3 2 3 2 2 3" xfId="18588"/>
    <cellStyle name="Comma 3 2 3 2 2 3 2" xfId="41175"/>
    <cellStyle name="Comma 3 2 3 2 2 4" xfId="15368"/>
    <cellStyle name="Comma 3 2 3 2 2 4 2" xfId="37955"/>
    <cellStyle name="Comma 3 2 3 2 2 5" xfId="8928"/>
    <cellStyle name="Comma 3 2 3 2 2 5 2" xfId="31515"/>
    <cellStyle name="Comma 3 2 3 2 2 6" xfId="25075"/>
    <cellStyle name="Comma 3 2 3 2 3" xfId="4400"/>
    <cellStyle name="Comma 3 2 3 2 3 2" xfId="20500"/>
    <cellStyle name="Comma 3 2 3 2 3 2 2" xfId="43087"/>
    <cellStyle name="Comma 3 2 3 2 3 3" xfId="10840"/>
    <cellStyle name="Comma 3 2 3 2 3 3 2" xfId="33427"/>
    <cellStyle name="Comma 3 2 3 2 3 4" xfId="26987"/>
    <cellStyle name="Comma 3 2 3 2 4" xfId="17280"/>
    <cellStyle name="Comma 3 2 3 2 4 2" xfId="39867"/>
    <cellStyle name="Comma 3 2 3 2 5" xfId="14060"/>
    <cellStyle name="Comma 3 2 3 2 5 2" xfId="36647"/>
    <cellStyle name="Comma 3 2 3 2 6" xfId="7620"/>
    <cellStyle name="Comma 3 2 3 2 6 2" xfId="30207"/>
    <cellStyle name="Comma 3 2 3 2 7" xfId="23767"/>
    <cellStyle name="Comma 3 2 3 3" xfId="1520"/>
    <cellStyle name="Comma 3 2 3 3 2" xfId="2834"/>
    <cellStyle name="Comma 3 2 3 3 2 2" xfId="6055"/>
    <cellStyle name="Comma 3 2 3 3 2 2 2" xfId="22155"/>
    <cellStyle name="Comma 3 2 3 3 2 2 2 2" xfId="44742"/>
    <cellStyle name="Comma 3 2 3 3 2 2 3" xfId="12495"/>
    <cellStyle name="Comma 3 2 3 3 2 2 3 2" xfId="35082"/>
    <cellStyle name="Comma 3 2 3 3 2 2 4" xfId="28642"/>
    <cellStyle name="Comma 3 2 3 3 2 3" xfId="18935"/>
    <cellStyle name="Comma 3 2 3 3 2 3 2" xfId="41522"/>
    <cellStyle name="Comma 3 2 3 3 2 4" xfId="15715"/>
    <cellStyle name="Comma 3 2 3 3 2 4 2" xfId="38302"/>
    <cellStyle name="Comma 3 2 3 3 2 5" xfId="9275"/>
    <cellStyle name="Comma 3 2 3 3 2 5 2" xfId="31862"/>
    <cellStyle name="Comma 3 2 3 3 2 6" xfId="25422"/>
    <cellStyle name="Comma 3 2 3 3 3" xfId="4747"/>
    <cellStyle name="Comma 3 2 3 3 3 2" xfId="20847"/>
    <cellStyle name="Comma 3 2 3 3 3 2 2" xfId="43434"/>
    <cellStyle name="Comma 3 2 3 3 3 3" xfId="11187"/>
    <cellStyle name="Comma 3 2 3 3 3 3 2" xfId="33774"/>
    <cellStyle name="Comma 3 2 3 3 3 4" xfId="27334"/>
    <cellStyle name="Comma 3 2 3 3 4" xfId="17627"/>
    <cellStyle name="Comma 3 2 3 3 4 2" xfId="40214"/>
    <cellStyle name="Comma 3 2 3 3 5" xfId="14407"/>
    <cellStyle name="Comma 3 2 3 3 5 2" xfId="36994"/>
    <cellStyle name="Comma 3 2 3 3 6" xfId="7967"/>
    <cellStyle name="Comma 3 2 3 3 6 2" xfId="30554"/>
    <cellStyle name="Comma 3 2 3 3 7" xfId="24114"/>
    <cellStyle name="Comma 3 2 3 4" xfId="2140"/>
    <cellStyle name="Comma 3 2 3 4 2" xfId="5361"/>
    <cellStyle name="Comma 3 2 3 4 2 2" xfId="21461"/>
    <cellStyle name="Comma 3 2 3 4 2 2 2" xfId="44048"/>
    <cellStyle name="Comma 3 2 3 4 2 3" xfId="11801"/>
    <cellStyle name="Comma 3 2 3 4 2 3 2" xfId="34388"/>
    <cellStyle name="Comma 3 2 3 4 2 4" xfId="27948"/>
    <cellStyle name="Comma 3 2 3 4 3" xfId="18241"/>
    <cellStyle name="Comma 3 2 3 4 3 2" xfId="40828"/>
    <cellStyle name="Comma 3 2 3 4 4" xfId="15021"/>
    <cellStyle name="Comma 3 2 3 4 4 2" xfId="37608"/>
    <cellStyle name="Comma 3 2 3 4 5" xfId="8581"/>
    <cellStyle name="Comma 3 2 3 4 5 2" xfId="31168"/>
    <cellStyle name="Comma 3 2 3 4 6" xfId="24728"/>
    <cellStyle name="Comma 3 2 3 5" xfId="4053"/>
    <cellStyle name="Comma 3 2 3 5 2" xfId="20153"/>
    <cellStyle name="Comma 3 2 3 5 2 2" xfId="42740"/>
    <cellStyle name="Comma 3 2 3 5 3" xfId="10493"/>
    <cellStyle name="Comma 3 2 3 5 3 2" xfId="33080"/>
    <cellStyle name="Comma 3 2 3 5 4" xfId="26640"/>
    <cellStyle name="Comma 3 2 3 6" xfId="16933"/>
    <cellStyle name="Comma 3 2 3 6 2" xfId="39520"/>
    <cellStyle name="Comma 3 2 3 7" xfId="13713"/>
    <cellStyle name="Comma 3 2 3 7 2" xfId="36300"/>
    <cellStyle name="Comma 3 2 3 8" xfId="7273"/>
    <cellStyle name="Comma 3 2 3 8 2" xfId="29860"/>
    <cellStyle name="Comma 3 2 3 9" xfId="23420"/>
    <cellStyle name="Comma 3 2 4" xfId="928"/>
    <cellStyle name="Comma 3 2 4 2" xfId="2247"/>
    <cellStyle name="Comma 3 2 4 2 2" xfId="5468"/>
    <cellStyle name="Comma 3 2 4 2 2 2" xfId="21568"/>
    <cellStyle name="Comma 3 2 4 2 2 2 2" xfId="44155"/>
    <cellStyle name="Comma 3 2 4 2 2 3" xfId="11908"/>
    <cellStyle name="Comma 3 2 4 2 2 3 2" xfId="34495"/>
    <cellStyle name="Comma 3 2 4 2 2 4" xfId="28055"/>
    <cellStyle name="Comma 3 2 4 2 3" xfId="18348"/>
    <cellStyle name="Comma 3 2 4 2 3 2" xfId="40935"/>
    <cellStyle name="Comma 3 2 4 2 4" xfId="15128"/>
    <cellStyle name="Comma 3 2 4 2 4 2" xfId="37715"/>
    <cellStyle name="Comma 3 2 4 2 5" xfId="8688"/>
    <cellStyle name="Comma 3 2 4 2 5 2" xfId="31275"/>
    <cellStyle name="Comma 3 2 4 2 6" xfId="24835"/>
    <cellStyle name="Comma 3 2 4 3" xfId="4160"/>
    <cellStyle name="Comma 3 2 4 3 2" xfId="20260"/>
    <cellStyle name="Comma 3 2 4 3 2 2" xfId="42847"/>
    <cellStyle name="Comma 3 2 4 3 3" xfId="10600"/>
    <cellStyle name="Comma 3 2 4 3 3 2" xfId="33187"/>
    <cellStyle name="Comma 3 2 4 3 4" xfId="26747"/>
    <cellStyle name="Comma 3 2 4 4" xfId="17040"/>
    <cellStyle name="Comma 3 2 4 4 2" xfId="39627"/>
    <cellStyle name="Comma 3 2 4 5" xfId="13820"/>
    <cellStyle name="Comma 3 2 4 5 2" xfId="36407"/>
    <cellStyle name="Comma 3 2 4 6" xfId="7380"/>
    <cellStyle name="Comma 3 2 4 6 2" xfId="29967"/>
    <cellStyle name="Comma 3 2 4 7" xfId="23527"/>
    <cellStyle name="Comma 3 2 5" xfId="1280"/>
    <cellStyle name="Comma 3 2 5 2" xfId="2594"/>
    <cellStyle name="Comma 3 2 5 2 2" xfId="5815"/>
    <cellStyle name="Comma 3 2 5 2 2 2" xfId="21915"/>
    <cellStyle name="Comma 3 2 5 2 2 2 2" xfId="44502"/>
    <cellStyle name="Comma 3 2 5 2 2 3" xfId="12255"/>
    <cellStyle name="Comma 3 2 5 2 2 3 2" xfId="34842"/>
    <cellStyle name="Comma 3 2 5 2 2 4" xfId="28402"/>
    <cellStyle name="Comma 3 2 5 2 3" xfId="18695"/>
    <cellStyle name="Comma 3 2 5 2 3 2" xfId="41282"/>
    <cellStyle name="Comma 3 2 5 2 4" xfId="15475"/>
    <cellStyle name="Comma 3 2 5 2 4 2" xfId="38062"/>
    <cellStyle name="Comma 3 2 5 2 5" xfId="9035"/>
    <cellStyle name="Comma 3 2 5 2 5 2" xfId="31622"/>
    <cellStyle name="Comma 3 2 5 2 6" xfId="25182"/>
    <cellStyle name="Comma 3 2 5 3" xfId="4507"/>
    <cellStyle name="Comma 3 2 5 3 2" xfId="20607"/>
    <cellStyle name="Comma 3 2 5 3 2 2" xfId="43194"/>
    <cellStyle name="Comma 3 2 5 3 3" xfId="10947"/>
    <cellStyle name="Comma 3 2 5 3 3 2" xfId="33534"/>
    <cellStyle name="Comma 3 2 5 3 4" xfId="27094"/>
    <cellStyle name="Comma 3 2 5 4" xfId="17387"/>
    <cellStyle name="Comma 3 2 5 4 2" xfId="39974"/>
    <cellStyle name="Comma 3 2 5 5" xfId="14167"/>
    <cellStyle name="Comma 3 2 5 5 2" xfId="36754"/>
    <cellStyle name="Comma 3 2 5 6" xfId="7727"/>
    <cellStyle name="Comma 3 2 5 6 2" xfId="30314"/>
    <cellStyle name="Comma 3 2 5 7" xfId="23874"/>
    <cellStyle name="Comma 3 2 6" xfId="1541"/>
    <cellStyle name="Comma 3 2 6 2" xfId="4767"/>
    <cellStyle name="Comma 3 2 6 2 2" xfId="20867"/>
    <cellStyle name="Comma 3 2 6 2 2 2" xfId="43454"/>
    <cellStyle name="Comma 3 2 6 2 3" xfId="11207"/>
    <cellStyle name="Comma 3 2 6 2 3 2" xfId="33794"/>
    <cellStyle name="Comma 3 2 6 2 4" xfId="27354"/>
    <cellStyle name="Comma 3 2 6 3" xfId="17647"/>
    <cellStyle name="Comma 3 2 6 3 2" xfId="40234"/>
    <cellStyle name="Comma 3 2 6 4" xfId="14427"/>
    <cellStyle name="Comma 3 2 6 4 2" xfId="37014"/>
    <cellStyle name="Comma 3 2 6 5" xfId="7987"/>
    <cellStyle name="Comma 3 2 6 5 2" xfId="30574"/>
    <cellStyle name="Comma 3 2 6 6" xfId="24134"/>
    <cellStyle name="Comma 3 2 7" xfId="1899"/>
    <cellStyle name="Comma 3 2 7 2" xfId="5121"/>
    <cellStyle name="Comma 3 2 7 2 2" xfId="21221"/>
    <cellStyle name="Comma 3 2 7 2 2 2" xfId="43808"/>
    <cellStyle name="Comma 3 2 7 2 3" xfId="11561"/>
    <cellStyle name="Comma 3 2 7 2 3 2" xfId="34148"/>
    <cellStyle name="Comma 3 2 7 2 4" xfId="27708"/>
    <cellStyle name="Comma 3 2 7 3" xfId="18001"/>
    <cellStyle name="Comma 3 2 7 3 2" xfId="40588"/>
    <cellStyle name="Comma 3 2 7 4" xfId="14781"/>
    <cellStyle name="Comma 3 2 7 4 2" xfId="37368"/>
    <cellStyle name="Comma 3 2 7 5" xfId="8341"/>
    <cellStyle name="Comma 3 2 7 5 2" xfId="30928"/>
    <cellStyle name="Comma 3 2 7 6" xfId="24488"/>
    <cellStyle name="Comma 3 2 8" xfId="2976"/>
    <cellStyle name="Comma 3 2 8 2" xfId="6196"/>
    <cellStyle name="Comma 3 2 8 2 2" xfId="22296"/>
    <cellStyle name="Comma 3 2 8 2 2 2" xfId="44883"/>
    <cellStyle name="Comma 3 2 8 2 3" xfId="12636"/>
    <cellStyle name="Comma 3 2 8 2 3 2" xfId="35223"/>
    <cellStyle name="Comma 3 2 8 2 4" xfId="28783"/>
    <cellStyle name="Comma 3 2 8 3" xfId="19076"/>
    <cellStyle name="Comma 3 2 8 3 2" xfId="41663"/>
    <cellStyle name="Comma 3 2 8 4" xfId="15856"/>
    <cellStyle name="Comma 3 2 8 4 2" xfId="38443"/>
    <cellStyle name="Comma 3 2 8 5" xfId="9416"/>
    <cellStyle name="Comma 3 2 8 5 2" xfId="32003"/>
    <cellStyle name="Comma 3 2 8 6" xfId="25563"/>
    <cellStyle name="Comma 3 2 9" xfId="3266"/>
    <cellStyle name="Comma 3 2 9 2" xfId="6486"/>
    <cellStyle name="Comma 3 2 9 2 2" xfId="22586"/>
    <cellStyle name="Comma 3 2 9 2 2 2" xfId="45173"/>
    <cellStyle name="Comma 3 2 9 2 3" xfId="12926"/>
    <cellStyle name="Comma 3 2 9 2 3 2" xfId="35513"/>
    <cellStyle name="Comma 3 2 9 2 4" xfId="29073"/>
    <cellStyle name="Comma 3 2 9 3" xfId="19366"/>
    <cellStyle name="Comma 3 2 9 3 2" xfId="41953"/>
    <cellStyle name="Comma 3 2 9 4" xfId="16146"/>
    <cellStyle name="Comma 3 2 9 4 2" xfId="38733"/>
    <cellStyle name="Comma 3 2 9 5" xfId="9706"/>
    <cellStyle name="Comma 3 2 9 5 2" xfId="32293"/>
    <cellStyle name="Comma 3 2 9 6" xfId="25853"/>
    <cellStyle name="Comma 3 3" xfId="389"/>
    <cellStyle name="Comma 3 3 10" xfId="16556"/>
    <cellStyle name="Comma 3 3 10 2" xfId="39143"/>
    <cellStyle name="Comma 3 3 11" xfId="13336"/>
    <cellStyle name="Comma 3 3 11 2" xfId="35923"/>
    <cellStyle name="Comma 3 3 12" xfId="6896"/>
    <cellStyle name="Comma 3 3 12 2" xfId="29483"/>
    <cellStyle name="Comma 3 3 13" xfId="23043"/>
    <cellStyle name="Comma 3 3 2" xfId="761"/>
    <cellStyle name="Comma 3 3 2 2" xfId="1113"/>
    <cellStyle name="Comma 3 3 2 2 2" xfId="2427"/>
    <cellStyle name="Comma 3 3 2 2 2 2" xfId="5648"/>
    <cellStyle name="Comma 3 3 2 2 2 2 2" xfId="21748"/>
    <cellStyle name="Comma 3 3 2 2 2 2 2 2" xfId="44335"/>
    <cellStyle name="Comma 3 3 2 2 2 2 3" xfId="12088"/>
    <cellStyle name="Comma 3 3 2 2 2 2 3 2" xfId="34675"/>
    <cellStyle name="Comma 3 3 2 2 2 2 4" xfId="28235"/>
    <cellStyle name="Comma 3 3 2 2 2 3" xfId="18528"/>
    <cellStyle name="Comma 3 3 2 2 2 3 2" xfId="41115"/>
    <cellStyle name="Comma 3 3 2 2 2 4" xfId="15308"/>
    <cellStyle name="Comma 3 3 2 2 2 4 2" xfId="37895"/>
    <cellStyle name="Comma 3 3 2 2 2 5" xfId="8868"/>
    <cellStyle name="Comma 3 3 2 2 2 5 2" xfId="31455"/>
    <cellStyle name="Comma 3 3 2 2 2 6" xfId="25015"/>
    <cellStyle name="Comma 3 3 2 2 3" xfId="4340"/>
    <cellStyle name="Comma 3 3 2 2 3 2" xfId="20440"/>
    <cellStyle name="Comma 3 3 2 2 3 2 2" xfId="43027"/>
    <cellStyle name="Comma 3 3 2 2 3 3" xfId="10780"/>
    <cellStyle name="Comma 3 3 2 2 3 3 2" xfId="33367"/>
    <cellStyle name="Comma 3 3 2 2 3 4" xfId="26927"/>
    <cellStyle name="Comma 3 3 2 2 4" xfId="17220"/>
    <cellStyle name="Comma 3 3 2 2 4 2" xfId="39807"/>
    <cellStyle name="Comma 3 3 2 2 5" xfId="14000"/>
    <cellStyle name="Comma 3 3 2 2 5 2" xfId="36587"/>
    <cellStyle name="Comma 3 3 2 2 6" xfId="7560"/>
    <cellStyle name="Comma 3 3 2 2 6 2" xfId="30147"/>
    <cellStyle name="Comma 3 3 2 2 7" xfId="23707"/>
    <cellStyle name="Comma 3 3 2 3" xfId="1460"/>
    <cellStyle name="Comma 3 3 2 3 2" xfId="2774"/>
    <cellStyle name="Comma 3 3 2 3 2 2" xfId="5995"/>
    <cellStyle name="Comma 3 3 2 3 2 2 2" xfId="22095"/>
    <cellStyle name="Comma 3 3 2 3 2 2 2 2" xfId="44682"/>
    <cellStyle name="Comma 3 3 2 3 2 2 3" xfId="12435"/>
    <cellStyle name="Comma 3 3 2 3 2 2 3 2" xfId="35022"/>
    <cellStyle name="Comma 3 3 2 3 2 2 4" xfId="28582"/>
    <cellStyle name="Comma 3 3 2 3 2 3" xfId="18875"/>
    <cellStyle name="Comma 3 3 2 3 2 3 2" xfId="41462"/>
    <cellStyle name="Comma 3 3 2 3 2 4" xfId="15655"/>
    <cellStyle name="Comma 3 3 2 3 2 4 2" xfId="38242"/>
    <cellStyle name="Comma 3 3 2 3 2 5" xfId="9215"/>
    <cellStyle name="Comma 3 3 2 3 2 5 2" xfId="31802"/>
    <cellStyle name="Comma 3 3 2 3 2 6" xfId="25362"/>
    <cellStyle name="Comma 3 3 2 3 3" xfId="4687"/>
    <cellStyle name="Comma 3 3 2 3 3 2" xfId="20787"/>
    <cellStyle name="Comma 3 3 2 3 3 2 2" xfId="43374"/>
    <cellStyle name="Comma 3 3 2 3 3 3" xfId="11127"/>
    <cellStyle name="Comma 3 3 2 3 3 3 2" xfId="33714"/>
    <cellStyle name="Comma 3 3 2 3 3 4" xfId="27274"/>
    <cellStyle name="Comma 3 3 2 3 4" xfId="17567"/>
    <cellStyle name="Comma 3 3 2 3 4 2" xfId="40154"/>
    <cellStyle name="Comma 3 3 2 3 5" xfId="14347"/>
    <cellStyle name="Comma 3 3 2 3 5 2" xfId="36934"/>
    <cellStyle name="Comma 3 3 2 3 6" xfId="7907"/>
    <cellStyle name="Comma 3 3 2 3 6 2" xfId="30494"/>
    <cellStyle name="Comma 3 3 2 3 7" xfId="24054"/>
    <cellStyle name="Comma 3 3 2 4" xfId="2080"/>
    <cellStyle name="Comma 3 3 2 4 2" xfId="5301"/>
    <cellStyle name="Comma 3 3 2 4 2 2" xfId="21401"/>
    <cellStyle name="Comma 3 3 2 4 2 2 2" xfId="43988"/>
    <cellStyle name="Comma 3 3 2 4 2 3" xfId="11741"/>
    <cellStyle name="Comma 3 3 2 4 2 3 2" xfId="34328"/>
    <cellStyle name="Comma 3 3 2 4 2 4" xfId="27888"/>
    <cellStyle name="Comma 3 3 2 4 3" xfId="18181"/>
    <cellStyle name="Comma 3 3 2 4 3 2" xfId="40768"/>
    <cellStyle name="Comma 3 3 2 4 4" xfId="14961"/>
    <cellStyle name="Comma 3 3 2 4 4 2" xfId="37548"/>
    <cellStyle name="Comma 3 3 2 4 5" xfId="8521"/>
    <cellStyle name="Comma 3 3 2 4 5 2" xfId="31108"/>
    <cellStyle name="Comma 3 3 2 4 6" xfId="24668"/>
    <cellStyle name="Comma 3 3 2 5" xfId="3993"/>
    <cellStyle name="Comma 3 3 2 5 2" xfId="20093"/>
    <cellStyle name="Comma 3 3 2 5 2 2" xfId="42680"/>
    <cellStyle name="Comma 3 3 2 5 3" xfId="10433"/>
    <cellStyle name="Comma 3 3 2 5 3 2" xfId="33020"/>
    <cellStyle name="Comma 3 3 2 5 4" xfId="26580"/>
    <cellStyle name="Comma 3 3 2 6" xfId="16873"/>
    <cellStyle name="Comma 3 3 2 6 2" xfId="39460"/>
    <cellStyle name="Comma 3 3 2 7" xfId="13653"/>
    <cellStyle name="Comma 3 3 2 7 2" xfId="36240"/>
    <cellStyle name="Comma 3 3 2 8" xfId="7213"/>
    <cellStyle name="Comma 3 3 2 8 2" xfId="29800"/>
    <cellStyle name="Comma 3 3 2 9" xfId="23360"/>
    <cellStyle name="Comma 3 3 3" xfId="1012"/>
    <cellStyle name="Comma 3 3 3 2" xfId="2326"/>
    <cellStyle name="Comma 3 3 3 2 2" xfId="5547"/>
    <cellStyle name="Comma 3 3 3 2 2 2" xfId="21647"/>
    <cellStyle name="Comma 3 3 3 2 2 2 2" xfId="44234"/>
    <cellStyle name="Comma 3 3 3 2 2 3" xfId="11987"/>
    <cellStyle name="Comma 3 3 3 2 2 3 2" xfId="34574"/>
    <cellStyle name="Comma 3 3 3 2 2 4" xfId="28134"/>
    <cellStyle name="Comma 3 3 3 2 3" xfId="18427"/>
    <cellStyle name="Comma 3 3 3 2 3 2" xfId="41014"/>
    <cellStyle name="Comma 3 3 3 2 4" xfId="15207"/>
    <cellStyle name="Comma 3 3 3 2 4 2" xfId="37794"/>
    <cellStyle name="Comma 3 3 3 2 5" xfId="8767"/>
    <cellStyle name="Comma 3 3 3 2 5 2" xfId="31354"/>
    <cellStyle name="Comma 3 3 3 2 6" xfId="24914"/>
    <cellStyle name="Comma 3 3 3 3" xfId="4239"/>
    <cellStyle name="Comma 3 3 3 3 2" xfId="20339"/>
    <cellStyle name="Comma 3 3 3 3 2 2" xfId="42926"/>
    <cellStyle name="Comma 3 3 3 3 3" xfId="10679"/>
    <cellStyle name="Comma 3 3 3 3 3 2" xfId="33266"/>
    <cellStyle name="Comma 3 3 3 3 4" xfId="26826"/>
    <cellStyle name="Comma 3 3 3 4" xfId="17119"/>
    <cellStyle name="Comma 3 3 3 4 2" xfId="39706"/>
    <cellStyle name="Comma 3 3 3 5" xfId="13899"/>
    <cellStyle name="Comma 3 3 3 5 2" xfId="36486"/>
    <cellStyle name="Comma 3 3 3 6" xfId="7459"/>
    <cellStyle name="Comma 3 3 3 6 2" xfId="30046"/>
    <cellStyle name="Comma 3 3 3 7" xfId="23606"/>
    <cellStyle name="Comma 3 3 4" xfId="1359"/>
    <cellStyle name="Comma 3 3 4 2" xfId="2673"/>
    <cellStyle name="Comma 3 3 4 2 2" xfId="5894"/>
    <cellStyle name="Comma 3 3 4 2 2 2" xfId="21994"/>
    <cellStyle name="Comma 3 3 4 2 2 2 2" xfId="44581"/>
    <cellStyle name="Comma 3 3 4 2 2 3" xfId="12334"/>
    <cellStyle name="Comma 3 3 4 2 2 3 2" xfId="34921"/>
    <cellStyle name="Comma 3 3 4 2 2 4" xfId="28481"/>
    <cellStyle name="Comma 3 3 4 2 3" xfId="18774"/>
    <cellStyle name="Comma 3 3 4 2 3 2" xfId="41361"/>
    <cellStyle name="Comma 3 3 4 2 4" xfId="15554"/>
    <cellStyle name="Comma 3 3 4 2 4 2" xfId="38141"/>
    <cellStyle name="Comma 3 3 4 2 5" xfId="9114"/>
    <cellStyle name="Comma 3 3 4 2 5 2" xfId="31701"/>
    <cellStyle name="Comma 3 3 4 2 6" xfId="25261"/>
    <cellStyle name="Comma 3 3 4 3" xfId="4586"/>
    <cellStyle name="Comma 3 3 4 3 2" xfId="20686"/>
    <cellStyle name="Comma 3 3 4 3 2 2" xfId="43273"/>
    <cellStyle name="Comma 3 3 4 3 3" xfId="11026"/>
    <cellStyle name="Comma 3 3 4 3 3 2" xfId="33613"/>
    <cellStyle name="Comma 3 3 4 3 4" xfId="27173"/>
    <cellStyle name="Comma 3 3 4 4" xfId="17466"/>
    <cellStyle name="Comma 3 3 4 4 2" xfId="40053"/>
    <cellStyle name="Comma 3 3 4 5" xfId="14246"/>
    <cellStyle name="Comma 3 3 4 5 2" xfId="36833"/>
    <cellStyle name="Comma 3 3 4 6" xfId="7806"/>
    <cellStyle name="Comma 3 3 4 6 2" xfId="30393"/>
    <cellStyle name="Comma 3 3 4 7" xfId="23953"/>
    <cellStyle name="Comma 3 3 5" xfId="1978"/>
    <cellStyle name="Comma 3 3 5 2" xfId="5200"/>
    <cellStyle name="Comma 3 3 5 2 2" xfId="21300"/>
    <cellStyle name="Comma 3 3 5 2 2 2" xfId="43887"/>
    <cellStyle name="Comma 3 3 5 2 3" xfId="11640"/>
    <cellStyle name="Comma 3 3 5 2 3 2" xfId="34227"/>
    <cellStyle name="Comma 3 3 5 2 4" xfId="27787"/>
    <cellStyle name="Comma 3 3 5 3" xfId="18080"/>
    <cellStyle name="Comma 3 3 5 3 2" xfId="40667"/>
    <cellStyle name="Comma 3 3 5 4" xfId="14860"/>
    <cellStyle name="Comma 3 3 5 4 2" xfId="37447"/>
    <cellStyle name="Comma 3 3 5 5" xfId="8420"/>
    <cellStyle name="Comma 3 3 5 5 2" xfId="31007"/>
    <cellStyle name="Comma 3 3 5 6" xfId="24567"/>
    <cellStyle name="Comma 3 3 6" xfId="3096"/>
    <cellStyle name="Comma 3 3 6 2" xfId="6316"/>
    <cellStyle name="Comma 3 3 6 2 2" xfId="22416"/>
    <cellStyle name="Comma 3 3 6 2 2 2" xfId="45003"/>
    <cellStyle name="Comma 3 3 6 2 3" xfId="12756"/>
    <cellStyle name="Comma 3 3 6 2 3 2" xfId="35343"/>
    <cellStyle name="Comma 3 3 6 2 4" xfId="28903"/>
    <cellStyle name="Comma 3 3 6 3" xfId="19196"/>
    <cellStyle name="Comma 3 3 6 3 2" xfId="41783"/>
    <cellStyle name="Comma 3 3 6 4" xfId="15976"/>
    <cellStyle name="Comma 3 3 6 4 2" xfId="38563"/>
    <cellStyle name="Comma 3 3 6 5" xfId="9536"/>
    <cellStyle name="Comma 3 3 6 5 2" xfId="32123"/>
    <cellStyle name="Comma 3 3 6 6" xfId="25683"/>
    <cellStyle name="Comma 3 3 7" xfId="3386"/>
    <cellStyle name="Comma 3 3 7 2" xfId="6606"/>
    <cellStyle name="Comma 3 3 7 2 2" xfId="22706"/>
    <cellStyle name="Comma 3 3 7 2 2 2" xfId="45293"/>
    <cellStyle name="Comma 3 3 7 2 3" xfId="13046"/>
    <cellStyle name="Comma 3 3 7 2 3 2" xfId="35633"/>
    <cellStyle name="Comma 3 3 7 2 4" xfId="29193"/>
    <cellStyle name="Comma 3 3 7 3" xfId="19486"/>
    <cellStyle name="Comma 3 3 7 3 2" xfId="42073"/>
    <cellStyle name="Comma 3 3 7 4" xfId="16266"/>
    <cellStyle name="Comma 3 3 7 4 2" xfId="38853"/>
    <cellStyle name="Comma 3 3 7 5" xfId="9826"/>
    <cellStyle name="Comma 3 3 7 5 2" xfId="32413"/>
    <cellStyle name="Comma 3 3 7 6" xfId="25973"/>
    <cellStyle name="Comma 3 3 8" xfId="648"/>
    <cellStyle name="Comma 3 3 8 2" xfId="3892"/>
    <cellStyle name="Comma 3 3 8 2 2" xfId="19992"/>
    <cellStyle name="Comma 3 3 8 2 2 2" xfId="42579"/>
    <cellStyle name="Comma 3 3 8 2 3" xfId="10332"/>
    <cellStyle name="Comma 3 3 8 2 3 2" xfId="32919"/>
    <cellStyle name="Comma 3 3 8 2 4" xfId="26479"/>
    <cellStyle name="Comma 3 3 8 3" xfId="16772"/>
    <cellStyle name="Comma 3 3 8 3 2" xfId="39359"/>
    <cellStyle name="Comma 3 3 8 4" xfId="13552"/>
    <cellStyle name="Comma 3 3 8 4 2" xfId="36139"/>
    <cellStyle name="Comma 3 3 8 5" xfId="7112"/>
    <cellStyle name="Comma 3 3 8 5 2" xfId="29699"/>
    <cellStyle name="Comma 3 3 8 6" xfId="23259"/>
    <cellStyle name="Comma 3 3 9" xfId="3676"/>
    <cellStyle name="Comma 3 3 9 2" xfId="19776"/>
    <cellStyle name="Comma 3 3 9 2 2" xfId="42363"/>
    <cellStyle name="Comma 3 3 9 3" xfId="10116"/>
    <cellStyle name="Comma 3 3 9 3 2" xfId="32703"/>
    <cellStyle name="Comma 3 3 9 4" xfId="26263"/>
    <cellStyle name="Comma 3 4" xfId="712"/>
    <cellStyle name="Comma 3 4 2" xfId="1074"/>
    <cellStyle name="Comma 3 4 2 2" xfId="2388"/>
    <cellStyle name="Comma 3 4 2 2 2" xfId="5609"/>
    <cellStyle name="Comma 3 4 2 2 2 2" xfId="21709"/>
    <cellStyle name="Comma 3 4 2 2 2 2 2" xfId="44296"/>
    <cellStyle name="Comma 3 4 2 2 2 3" xfId="12049"/>
    <cellStyle name="Comma 3 4 2 2 2 3 2" xfId="34636"/>
    <cellStyle name="Comma 3 4 2 2 2 4" xfId="28196"/>
    <cellStyle name="Comma 3 4 2 2 3" xfId="18489"/>
    <cellStyle name="Comma 3 4 2 2 3 2" xfId="41076"/>
    <cellStyle name="Comma 3 4 2 2 4" xfId="15269"/>
    <cellStyle name="Comma 3 4 2 2 4 2" xfId="37856"/>
    <cellStyle name="Comma 3 4 2 2 5" xfId="8829"/>
    <cellStyle name="Comma 3 4 2 2 5 2" xfId="31416"/>
    <cellStyle name="Comma 3 4 2 2 6" xfId="24976"/>
    <cellStyle name="Comma 3 4 2 3" xfId="4301"/>
    <cellStyle name="Comma 3 4 2 3 2" xfId="20401"/>
    <cellStyle name="Comma 3 4 2 3 2 2" xfId="42988"/>
    <cellStyle name="Comma 3 4 2 3 3" xfId="10741"/>
    <cellStyle name="Comma 3 4 2 3 3 2" xfId="33328"/>
    <cellStyle name="Comma 3 4 2 3 4" xfId="26888"/>
    <cellStyle name="Comma 3 4 2 4" xfId="17181"/>
    <cellStyle name="Comma 3 4 2 4 2" xfId="39768"/>
    <cellStyle name="Comma 3 4 2 5" xfId="13961"/>
    <cellStyle name="Comma 3 4 2 5 2" xfId="36548"/>
    <cellStyle name="Comma 3 4 2 6" xfId="7521"/>
    <cellStyle name="Comma 3 4 2 6 2" xfId="30108"/>
    <cellStyle name="Comma 3 4 2 7" xfId="23668"/>
    <cellStyle name="Comma 3 4 3" xfId="1421"/>
    <cellStyle name="Comma 3 4 3 2" xfId="2735"/>
    <cellStyle name="Comma 3 4 3 2 2" xfId="5956"/>
    <cellStyle name="Comma 3 4 3 2 2 2" xfId="22056"/>
    <cellStyle name="Comma 3 4 3 2 2 2 2" xfId="44643"/>
    <cellStyle name="Comma 3 4 3 2 2 3" xfId="12396"/>
    <cellStyle name="Comma 3 4 3 2 2 3 2" xfId="34983"/>
    <cellStyle name="Comma 3 4 3 2 2 4" xfId="28543"/>
    <cellStyle name="Comma 3 4 3 2 3" xfId="18836"/>
    <cellStyle name="Comma 3 4 3 2 3 2" xfId="41423"/>
    <cellStyle name="Comma 3 4 3 2 4" xfId="15616"/>
    <cellStyle name="Comma 3 4 3 2 4 2" xfId="38203"/>
    <cellStyle name="Comma 3 4 3 2 5" xfId="9176"/>
    <cellStyle name="Comma 3 4 3 2 5 2" xfId="31763"/>
    <cellStyle name="Comma 3 4 3 2 6" xfId="25323"/>
    <cellStyle name="Comma 3 4 3 3" xfId="4648"/>
    <cellStyle name="Comma 3 4 3 3 2" xfId="20748"/>
    <cellStyle name="Comma 3 4 3 3 2 2" xfId="43335"/>
    <cellStyle name="Comma 3 4 3 3 3" xfId="11088"/>
    <cellStyle name="Comma 3 4 3 3 3 2" xfId="33675"/>
    <cellStyle name="Comma 3 4 3 3 4" xfId="27235"/>
    <cellStyle name="Comma 3 4 3 4" xfId="17528"/>
    <cellStyle name="Comma 3 4 3 4 2" xfId="40115"/>
    <cellStyle name="Comma 3 4 3 5" xfId="14308"/>
    <cellStyle name="Comma 3 4 3 5 2" xfId="36895"/>
    <cellStyle name="Comma 3 4 3 6" xfId="7868"/>
    <cellStyle name="Comma 3 4 3 6 2" xfId="30455"/>
    <cellStyle name="Comma 3 4 3 7" xfId="24015"/>
    <cellStyle name="Comma 3 4 4" xfId="2041"/>
    <cellStyle name="Comma 3 4 4 2" xfId="5262"/>
    <cellStyle name="Comma 3 4 4 2 2" xfId="21362"/>
    <cellStyle name="Comma 3 4 4 2 2 2" xfId="43949"/>
    <cellStyle name="Comma 3 4 4 2 3" xfId="11702"/>
    <cellStyle name="Comma 3 4 4 2 3 2" xfId="34289"/>
    <cellStyle name="Comma 3 4 4 2 4" xfId="27849"/>
    <cellStyle name="Comma 3 4 4 3" xfId="18142"/>
    <cellStyle name="Comma 3 4 4 3 2" xfId="40729"/>
    <cellStyle name="Comma 3 4 4 4" xfId="14922"/>
    <cellStyle name="Comma 3 4 4 4 2" xfId="37509"/>
    <cellStyle name="Comma 3 4 4 5" xfId="8482"/>
    <cellStyle name="Comma 3 4 4 5 2" xfId="31069"/>
    <cellStyle name="Comma 3 4 4 6" xfId="24629"/>
    <cellStyle name="Comma 3 4 5" xfId="3954"/>
    <cellStyle name="Comma 3 4 5 2" xfId="20054"/>
    <cellStyle name="Comma 3 4 5 2 2" xfId="42641"/>
    <cellStyle name="Comma 3 4 5 3" xfId="10394"/>
    <cellStyle name="Comma 3 4 5 3 2" xfId="32981"/>
    <cellStyle name="Comma 3 4 5 4" xfId="26541"/>
    <cellStyle name="Comma 3 4 6" xfId="16834"/>
    <cellStyle name="Comma 3 4 6 2" xfId="39421"/>
    <cellStyle name="Comma 3 4 7" xfId="13614"/>
    <cellStyle name="Comma 3 4 7 2" xfId="36201"/>
    <cellStyle name="Comma 3 4 8" xfId="7174"/>
    <cellStyle name="Comma 3 4 8 2" xfId="29761"/>
    <cellStyle name="Comma 3 4 9" xfId="23321"/>
    <cellStyle name="Comma 3 5" xfId="741"/>
    <cellStyle name="Comma 3 5 2" xfId="1093"/>
    <cellStyle name="Comma 3 5 2 2" xfId="2407"/>
    <cellStyle name="Comma 3 5 2 2 2" xfId="5628"/>
    <cellStyle name="Comma 3 5 2 2 2 2" xfId="21728"/>
    <cellStyle name="Comma 3 5 2 2 2 2 2" xfId="44315"/>
    <cellStyle name="Comma 3 5 2 2 2 3" xfId="12068"/>
    <cellStyle name="Comma 3 5 2 2 2 3 2" xfId="34655"/>
    <cellStyle name="Comma 3 5 2 2 2 4" xfId="28215"/>
    <cellStyle name="Comma 3 5 2 2 3" xfId="18508"/>
    <cellStyle name="Comma 3 5 2 2 3 2" xfId="41095"/>
    <cellStyle name="Comma 3 5 2 2 4" xfId="15288"/>
    <cellStyle name="Comma 3 5 2 2 4 2" xfId="37875"/>
    <cellStyle name="Comma 3 5 2 2 5" xfId="8848"/>
    <cellStyle name="Comma 3 5 2 2 5 2" xfId="31435"/>
    <cellStyle name="Comma 3 5 2 2 6" xfId="24995"/>
    <cellStyle name="Comma 3 5 2 3" xfId="4320"/>
    <cellStyle name="Comma 3 5 2 3 2" xfId="20420"/>
    <cellStyle name="Comma 3 5 2 3 2 2" xfId="43007"/>
    <cellStyle name="Comma 3 5 2 3 3" xfId="10760"/>
    <cellStyle name="Comma 3 5 2 3 3 2" xfId="33347"/>
    <cellStyle name="Comma 3 5 2 3 4" xfId="26907"/>
    <cellStyle name="Comma 3 5 2 4" xfId="17200"/>
    <cellStyle name="Comma 3 5 2 4 2" xfId="39787"/>
    <cellStyle name="Comma 3 5 2 5" xfId="13980"/>
    <cellStyle name="Comma 3 5 2 5 2" xfId="36567"/>
    <cellStyle name="Comma 3 5 2 6" xfId="7540"/>
    <cellStyle name="Comma 3 5 2 6 2" xfId="30127"/>
    <cellStyle name="Comma 3 5 2 7" xfId="23687"/>
    <cellStyle name="Comma 3 5 3" xfId="1440"/>
    <cellStyle name="Comma 3 5 3 2" xfId="2754"/>
    <cellStyle name="Comma 3 5 3 2 2" xfId="5975"/>
    <cellStyle name="Comma 3 5 3 2 2 2" xfId="22075"/>
    <cellStyle name="Comma 3 5 3 2 2 2 2" xfId="44662"/>
    <cellStyle name="Comma 3 5 3 2 2 3" xfId="12415"/>
    <cellStyle name="Comma 3 5 3 2 2 3 2" xfId="35002"/>
    <cellStyle name="Comma 3 5 3 2 2 4" xfId="28562"/>
    <cellStyle name="Comma 3 5 3 2 3" xfId="18855"/>
    <cellStyle name="Comma 3 5 3 2 3 2" xfId="41442"/>
    <cellStyle name="Comma 3 5 3 2 4" xfId="15635"/>
    <cellStyle name="Comma 3 5 3 2 4 2" xfId="38222"/>
    <cellStyle name="Comma 3 5 3 2 5" xfId="9195"/>
    <cellStyle name="Comma 3 5 3 2 5 2" xfId="31782"/>
    <cellStyle name="Comma 3 5 3 2 6" xfId="25342"/>
    <cellStyle name="Comma 3 5 3 3" xfId="4667"/>
    <cellStyle name="Comma 3 5 3 3 2" xfId="20767"/>
    <cellStyle name="Comma 3 5 3 3 2 2" xfId="43354"/>
    <cellStyle name="Comma 3 5 3 3 3" xfId="11107"/>
    <cellStyle name="Comma 3 5 3 3 3 2" xfId="33694"/>
    <cellStyle name="Comma 3 5 3 3 4" xfId="27254"/>
    <cellStyle name="Comma 3 5 3 4" xfId="17547"/>
    <cellStyle name="Comma 3 5 3 4 2" xfId="40134"/>
    <cellStyle name="Comma 3 5 3 5" xfId="14327"/>
    <cellStyle name="Comma 3 5 3 5 2" xfId="36914"/>
    <cellStyle name="Comma 3 5 3 6" xfId="7887"/>
    <cellStyle name="Comma 3 5 3 6 2" xfId="30474"/>
    <cellStyle name="Comma 3 5 3 7" xfId="24034"/>
    <cellStyle name="Comma 3 5 4" xfId="2060"/>
    <cellStyle name="Comma 3 5 4 2" xfId="5281"/>
    <cellStyle name="Comma 3 5 4 2 2" xfId="21381"/>
    <cellStyle name="Comma 3 5 4 2 2 2" xfId="43968"/>
    <cellStyle name="Comma 3 5 4 2 3" xfId="11721"/>
    <cellStyle name="Comma 3 5 4 2 3 2" xfId="34308"/>
    <cellStyle name="Comma 3 5 4 2 4" xfId="27868"/>
    <cellStyle name="Comma 3 5 4 3" xfId="18161"/>
    <cellStyle name="Comma 3 5 4 3 2" xfId="40748"/>
    <cellStyle name="Comma 3 5 4 4" xfId="14941"/>
    <cellStyle name="Comma 3 5 4 4 2" xfId="37528"/>
    <cellStyle name="Comma 3 5 4 5" xfId="8501"/>
    <cellStyle name="Comma 3 5 4 5 2" xfId="31088"/>
    <cellStyle name="Comma 3 5 4 6" xfId="24648"/>
    <cellStyle name="Comma 3 5 5" xfId="3973"/>
    <cellStyle name="Comma 3 5 5 2" xfId="20073"/>
    <cellStyle name="Comma 3 5 5 2 2" xfId="42660"/>
    <cellStyle name="Comma 3 5 5 3" xfId="10413"/>
    <cellStyle name="Comma 3 5 5 3 2" xfId="33000"/>
    <cellStyle name="Comma 3 5 5 4" xfId="26560"/>
    <cellStyle name="Comma 3 5 6" xfId="16853"/>
    <cellStyle name="Comma 3 5 6 2" xfId="39440"/>
    <cellStyle name="Comma 3 5 7" xfId="13633"/>
    <cellStyle name="Comma 3 5 7 2" xfId="36220"/>
    <cellStyle name="Comma 3 5 8" xfId="7193"/>
    <cellStyle name="Comma 3 5 8 2" xfId="29780"/>
    <cellStyle name="Comma 3 5 9" xfId="23340"/>
    <cellStyle name="Comma 3 6" xfId="888"/>
    <cellStyle name="Comma 3 6 2" xfId="2207"/>
    <cellStyle name="Comma 3 6 2 2" xfId="5428"/>
    <cellStyle name="Comma 3 6 2 2 2" xfId="21528"/>
    <cellStyle name="Comma 3 6 2 2 2 2" xfId="44115"/>
    <cellStyle name="Comma 3 6 2 2 3" xfId="11868"/>
    <cellStyle name="Comma 3 6 2 2 3 2" xfId="34455"/>
    <cellStyle name="Comma 3 6 2 2 4" xfId="28015"/>
    <cellStyle name="Comma 3 6 2 3" xfId="18308"/>
    <cellStyle name="Comma 3 6 2 3 2" xfId="40895"/>
    <cellStyle name="Comma 3 6 2 4" xfId="15088"/>
    <cellStyle name="Comma 3 6 2 4 2" xfId="37675"/>
    <cellStyle name="Comma 3 6 2 5" xfId="8648"/>
    <cellStyle name="Comma 3 6 2 5 2" xfId="31235"/>
    <cellStyle name="Comma 3 6 2 6" xfId="24795"/>
    <cellStyle name="Comma 3 6 3" xfId="4120"/>
    <cellStyle name="Comma 3 6 3 2" xfId="20220"/>
    <cellStyle name="Comma 3 6 3 2 2" xfId="42807"/>
    <cellStyle name="Comma 3 6 3 3" xfId="10560"/>
    <cellStyle name="Comma 3 6 3 3 2" xfId="33147"/>
    <cellStyle name="Comma 3 6 3 4" xfId="26707"/>
    <cellStyle name="Comma 3 6 4" xfId="17000"/>
    <cellStyle name="Comma 3 6 4 2" xfId="39587"/>
    <cellStyle name="Comma 3 6 5" xfId="13780"/>
    <cellStyle name="Comma 3 6 5 2" xfId="36367"/>
    <cellStyle name="Comma 3 6 6" xfId="7340"/>
    <cellStyle name="Comma 3 6 6 2" xfId="29927"/>
    <cellStyle name="Comma 3 6 7" xfId="23487"/>
    <cellStyle name="Comma 3 7" xfId="1240"/>
    <cellStyle name="Comma 3 7 2" xfId="2554"/>
    <cellStyle name="Comma 3 7 2 2" xfId="5775"/>
    <cellStyle name="Comma 3 7 2 2 2" xfId="21875"/>
    <cellStyle name="Comma 3 7 2 2 2 2" xfId="44462"/>
    <cellStyle name="Comma 3 7 2 2 3" xfId="12215"/>
    <cellStyle name="Comma 3 7 2 2 3 2" xfId="34802"/>
    <cellStyle name="Comma 3 7 2 2 4" xfId="28362"/>
    <cellStyle name="Comma 3 7 2 3" xfId="18655"/>
    <cellStyle name="Comma 3 7 2 3 2" xfId="41242"/>
    <cellStyle name="Comma 3 7 2 4" xfId="15435"/>
    <cellStyle name="Comma 3 7 2 4 2" xfId="38022"/>
    <cellStyle name="Comma 3 7 2 5" xfId="8995"/>
    <cellStyle name="Comma 3 7 2 5 2" xfId="31582"/>
    <cellStyle name="Comma 3 7 2 6" xfId="25142"/>
    <cellStyle name="Comma 3 7 3" xfId="4467"/>
    <cellStyle name="Comma 3 7 3 2" xfId="20567"/>
    <cellStyle name="Comma 3 7 3 2 2" xfId="43154"/>
    <cellStyle name="Comma 3 7 3 3" xfId="10907"/>
    <cellStyle name="Comma 3 7 3 3 2" xfId="33494"/>
    <cellStyle name="Comma 3 7 3 4" xfId="27054"/>
    <cellStyle name="Comma 3 7 4" xfId="17347"/>
    <cellStyle name="Comma 3 7 4 2" xfId="39934"/>
    <cellStyle name="Comma 3 7 5" xfId="14127"/>
    <cellStyle name="Comma 3 7 5 2" xfId="36714"/>
    <cellStyle name="Comma 3 7 6" xfId="7687"/>
    <cellStyle name="Comma 3 7 6 2" xfId="30274"/>
    <cellStyle name="Comma 3 7 7" xfId="23834"/>
    <cellStyle name="Comma 3 8" xfId="1542"/>
    <cellStyle name="Comma 3 8 2" xfId="4768"/>
    <cellStyle name="Comma 3 8 2 2" xfId="20868"/>
    <cellStyle name="Comma 3 8 2 2 2" xfId="43455"/>
    <cellStyle name="Comma 3 8 2 3" xfId="11208"/>
    <cellStyle name="Comma 3 8 2 3 2" xfId="33795"/>
    <cellStyle name="Comma 3 8 2 4" xfId="27355"/>
    <cellStyle name="Comma 3 8 3" xfId="17648"/>
    <cellStyle name="Comma 3 8 3 2" xfId="40235"/>
    <cellStyle name="Comma 3 8 4" xfId="14428"/>
    <cellStyle name="Comma 3 8 4 2" xfId="37015"/>
    <cellStyle name="Comma 3 8 5" xfId="7988"/>
    <cellStyle name="Comma 3 8 5 2" xfId="30575"/>
    <cellStyle name="Comma 3 8 6" xfId="24135"/>
    <cellStyle name="Comma 3 9" xfId="1859"/>
    <cellStyle name="Comma 3 9 2" xfId="5081"/>
    <cellStyle name="Comma 3 9 2 2" xfId="21181"/>
    <cellStyle name="Comma 3 9 2 2 2" xfId="43768"/>
    <cellStyle name="Comma 3 9 2 3" xfId="11521"/>
    <cellStyle name="Comma 3 9 2 3 2" xfId="34108"/>
    <cellStyle name="Comma 3 9 2 4" xfId="27668"/>
    <cellStyle name="Comma 3 9 3" xfId="17961"/>
    <cellStyle name="Comma 3 9 3 2" xfId="40548"/>
    <cellStyle name="Comma 3 9 4" xfId="14741"/>
    <cellStyle name="Comma 3 9 4 2" xfId="37328"/>
    <cellStyle name="Comma 3 9 5" xfId="8301"/>
    <cellStyle name="Comma 3 9 5 2" xfId="30888"/>
    <cellStyle name="Comma 3 9 6" xfId="24448"/>
    <cellStyle name="Comma 4" xfId="219"/>
    <cellStyle name="Comma 4 10" xfId="16387"/>
    <cellStyle name="Comma 4 10 2" xfId="38974"/>
    <cellStyle name="Comma 4 11" xfId="13167"/>
    <cellStyle name="Comma 4 11 2" xfId="35754"/>
    <cellStyle name="Comma 4 12" xfId="6727"/>
    <cellStyle name="Comma 4 12 2" xfId="29314"/>
    <cellStyle name="Comma 4 13" xfId="22874"/>
    <cellStyle name="Comma 4 2" xfId="317"/>
    <cellStyle name="Comma 4 2 10" xfId="13264"/>
    <cellStyle name="Comma 4 2 10 2" xfId="35851"/>
    <cellStyle name="Comma 4 2 11" xfId="6824"/>
    <cellStyle name="Comma 4 2 11 2" xfId="29411"/>
    <cellStyle name="Comma 4 2 12" xfId="22971"/>
    <cellStyle name="Comma 4 2 2" xfId="1133"/>
    <cellStyle name="Comma 4 2 2 2" xfId="2447"/>
    <cellStyle name="Comma 4 2 2 2 2" xfId="5668"/>
    <cellStyle name="Comma 4 2 2 2 2 2" xfId="21768"/>
    <cellStyle name="Comma 4 2 2 2 2 2 2" xfId="44355"/>
    <cellStyle name="Comma 4 2 2 2 2 3" xfId="12108"/>
    <cellStyle name="Comma 4 2 2 2 2 3 2" xfId="34695"/>
    <cellStyle name="Comma 4 2 2 2 2 4" xfId="28255"/>
    <cellStyle name="Comma 4 2 2 2 3" xfId="18548"/>
    <cellStyle name="Comma 4 2 2 2 3 2" xfId="41135"/>
    <cellStyle name="Comma 4 2 2 2 4" xfId="15328"/>
    <cellStyle name="Comma 4 2 2 2 4 2" xfId="37915"/>
    <cellStyle name="Comma 4 2 2 2 5" xfId="8888"/>
    <cellStyle name="Comma 4 2 2 2 5 2" xfId="31475"/>
    <cellStyle name="Comma 4 2 2 2 6" xfId="25035"/>
    <cellStyle name="Comma 4 2 2 3" xfId="4360"/>
    <cellStyle name="Comma 4 2 2 3 2" xfId="20460"/>
    <cellStyle name="Comma 4 2 2 3 2 2" xfId="43047"/>
    <cellStyle name="Comma 4 2 2 3 3" xfId="10800"/>
    <cellStyle name="Comma 4 2 2 3 3 2" xfId="33387"/>
    <cellStyle name="Comma 4 2 2 3 4" xfId="26947"/>
    <cellStyle name="Comma 4 2 2 4" xfId="17240"/>
    <cellStyle name="Comma 4 2 2 4 2" xfId="39827"/>
    <cellStyle name="Comma 4 2 2 5" xfId="14020"/>
    <cellStyle name="Comma 4 2 2 5 2" xfId="36607"/>
    <cellStyle name="Comma 4 2 2 6" xfId="7580"/>
    <cellStyle name="Comma 4 2 2 6 2" xfId="30167"/>
    <cellStyle name="Comma 4 2 2 7" xfId="23727"/>
    <cellStyle name="Comma 4 2 3" xfId="1480"/>
    <cellStyle name="Comma 4 2 3 2" xfId="2794"/>
    <cellStyle name="Comma 4 2 3 2 2" xfId="6015"/>
    <cellStyle name="Comma 4 2 3 2 2 2" xfId="22115"/>
    <cellStyle name="Comma 4 2 3 2 2 2 2" xfId="44702"/>
    <cellStyle name="Comma 4 2 3 2 2 3" xfId="12455"/>
    <cellStyle name="Comma 4 2 3 2 2 3 2" xfId="35042"/>
    <cellStyle name="Comma 4 2 3 2 2 4" xfId="28602"/>
    <cellStyle name="Comma 4 2 3 2 3" xfId="18895"/>
    <cellStyle name="Comma 4 2 3 2 3 2" xfId="41482"/>
    <cellStyle name="Comma 4 2 3 2 4" xfId="15675"/>
    <cellStyle name="Comma 4 2 3 2 4 2" xfId="38262"/>
    <cellStyle name="Comma 4 2 3 2 5" xfId="9235"/>
    <cellStyle name="Comma 4 2 3 2 5 2" xfId="31822"/>
    <cellStyle name="Comma 4 2 3 2 6" xfId="25382"/>
    <cellStyle name="Comma 4 2 3 3" xfId="4707"/>
    <cellStyle name="Comma 4 2 3 3 2" xfId="20807"/>
    <cellStyle name="Comma 4 2 3 3 2 2" xfId="43394"/>
    <cellStyle name="Comma 4 2 3 3 3" xfId="11147"/>
    <cellStyle name="Comma 4 2 3 3 3 2" xfId="33734"/>
    <cellStyle name="Comma 4 2 3 3 4" xfId="27294"/>
    <cellStyle name="Comma 4 2 3 4" xfId="17587"/>
    <cellStyle name="Comma 4 2 3 4 2" xfId="40174"/>
    <cellStyle name="Comma 4 2 3 5" xfId="14367"/>
    <cellStyle name="Comma 4 2 3 5 2" xfId="36954"/>
    <cellStyle name="Comma 4 2 3 6" xfId="7927"/>
    <cellStyle name="Comma 4 2 3 6 2" xfId="30514"/>
    <cellStyle name="Comma 4 2 3 7" xfId="24074"/>
    <cellStyle name="Comma 4 2 4" xfId="2100"/>
    <cellStyle name="Comma 4 2 4 2" xfId="5321"/>
    <cellStyle name="Comma 4 2 4 2 2" xfId="21421"/>
    <cellStyle name="Comma 4 2 4 2 2 2" xfId="44008"/>
    <cellStyle name="Comma 4 2 4 2 3" xfId="11761"/>
    <cellStyle name="Comma 4 2 4 2 3 2" xfId="34348"/>
    <cellStyle name="Comma 4 2 4 2 4" xfId="27908"/>
    <cellStyle name="Comma 4 2 4 3" xfId="18201"/>
    <cellStyle name="Comma 4 2 4 3 2" xfId="40788"/>
    <cellStyle name="Comma 4 2 4 4" xfId="14981"/>
    <cellStyle name="Comma 4 2 4 4 2" xfId="37568"/>
    <cellStyle name="Comma 4 2 4 5" xfId="8541"/>
    <cellStyle name="Comma 4 2 4 5 2" xfId="31128"/>
    <cellStyle name="Comma 4 2 4 6" xfId="24688"/>
    <cellStyle name="Comma 4 2 5" xfId="3024"/>
    <cellStyle name="Comma 4 2 5 2" xfId="6244"/>
    <cellStyle name="Comma 4 2 5 2 2" xfId="22344"/>
    <cellStyle name="Comma 4 2 5 2 2 2" xfId="44931"/>
    <cellStyle name="Comma 4 2 5 2 3" xfId="12684"/>
    <cellStyle name="Comma 4 2 5 2 3 2" xfId="35271"/>
    <cellStyle name="Comma 4 2 5 2 4" xfId="28831"/>
    <cellStyle name="Comma 4 2 5 3" xfId="19124"/>
    <cellStyle name="Comma 4 2 5 3 2" xfId="41711"/>
    <cellStyle name="Comma 4 2 5 4" xfId="15904"/>
    <cellStyle name="Comma 4 2 5 4 2" xfId="38491"/>
    <cellStyle name="Comma 4 2 5 5" xfId="9464"/>
    <cellStyle name="Comma 4 2 5 5 2" xfId="32051"/>
    <cellStyle name="Comma 4 2 5 6" xfId="25611"/>
    <cellStyle name="Comma 4 2 6" xfId="3314"/>
    <cellStyle name="Comma 4 2 6 2" xfId="6534"/>
    <cellStyle name="Comma 4 2 6 2 2" xfId="22634"/>
    <cellStyle name="Comma 4 2 6 2 2 2" xfId="45221"/>
    <cellStyle name="Comma 4 2 6 2 3" xfId="12974"/>
    <cellStyle name="Comma 4 2 6 2 3 2" xfId="35561"/>
    <cellStyle name="Comma 4 2 6 2 4" xfId="29121"/>
    <cellStyle name="Comma 4 2 6 3" xfId="19414"/>
    <cellStyle name="Comma 4 2 6 3 2" xfId="42001"/>
    <cellStyle name="Comma 4 2 6 4" xfId="16194"/>
    <cellStyle name="Comma 4 2 6 4 2" xfId="38781"/>
    <cellStyle name="Comma 4 2 6 5" xfId="9754"/>
    <cellStyle name="Comma 4 2 6 5 2" xfId="32341"/>
    <cellStyle name="Comma 4 2 6 6" xfId="25901"/>
    <cellStyle name="Comma 4 2 7" xfId="781"/>
    <cellStyle name="Comma 4 2 7 2" xfId="4013"/>
    <cellStyle name="Comma 4 2 7 2 2" xfId="20113"/>
    <cellStyle name="Comma 4 2 7 2 2 2" xfId="42700"/>
    <cellStyle name="Comma 4 2 7 2 3" xfId="10453"/>
    <cellStyle name="Comma 4 2 7 2 3 2" xfId="33040"/>
    <cellStyle name="Comma 4 2 7 2 4" xfId="26600"/>
    <cellStyle name="Comma 4 2 7 3" xfId="16893"/>
    <cellStyle name="Comma 4 2 7 3 2" xfId="39480"/>
    <cellStyle name="Comma 4 2 7 4" xfId="13673"/>
    <cellStyle name="Comma 4 2 7 4 2" xfId="36260"/>
    <cellStyle name="Comma 4 2 7 5" xfId="7233"/>
    <cellStyle name="Comma 4 2 7 5 2" xfId="29820"/>
    <cellStyle name="Comma 4 2 7 6" xfId="23380"/>
    <cellStyle name="Comma 4 2 8" xfId="3604"/>
    <cellStyle name="Comma 4 2 8 2" xfId="19704"/>
    <cellStyle name="Comma 4 2 8 2 2" xfId="42291"/>
    <cellStyle name="Comma 4 2 8 3" xfId="10044"/>
    <cellStyle name="Comma 4 2 8 3 2" xfId="32631"/>
    <cellStyle name="Comma 4 2 8 4" xfId="26191"/>
    <cellStyle name="Comma 4 2 9" xfId="16484"/>
    <cellStyle name="Comma 4 2 9 2" xfId="39071"/>
    <cellStyle name="Comma 4 3" xfId="413"/>
    <cellStyle name="Comma 4 3 10" xfId="23067"/>
    <cellStyle name="Comma 4 3 2" xfId="2270"/>
    <cellStyle name="Comma 4 3 2 2" xfId="5491"/>
    <cellStyle name="Comma 4 3 2 2 2" xfId="21591"/>
    <cellStyle name="Comma 4 3 2 2 2 2" xfId="44178"/>
    <cellStyle name="Comma 4 3 2 2 3" xfId="11931"/>
    <cellStyle name="Comma 4 3 2 2 3 2" xfId="34518"/>
    <cellStyle name="Comma 4 3 2 2 4" xfId="28078"/>
    <cellStyle name="Comma 4 3 2 3" xfId="18371"/>
    <cellStyle name="Comma 4 3 2 3 2" xfId="40958"/>
    <cellStyle name="Comma 4 3 2 4" xfId="15151"/>
    <cellStyle name="Comma 4 3 2 4 2" xfId="37738"/>
    <cellStyle name="Comma 4 3 2 5" xfId="8711"/>
    <cellStyle name="Comma 4 3 2 5 2" xfId="31298"/>
    <cellStyle name="Comma 4 3 2 6" xfId="24858"/>
    <cellStyle name="Comma 4 3 3" xfId="3120"/>
    <cellStyle name="Comma 4 3 3 2" xfId="6340"/>
    <cellStyle name="Comma 4 3 3 2 2" xfId="22440"/>
    <cellStyle name="Comma 4 3 3 2 2 2" xfId="45027"/>
    <cellStyle name="Comma 4 3 3 2 3" xfId="12780"/>
    <cellStyle name="Comma 4 3 3 2 3 2" xfId="35367"/>
    <cellStyle name="Comma 4 3 3 2 4" xfId="28927"/>
    <cellStyle name="Comma 4 3 3 3" xfId="19220"/>
    <cellStyle name="Comma 4 3 3 3 2" xfId="41807"/>
    <cellStyle name="Comma 4 3 3 4" xfId="16000"/>
    <cellStyle name="Comma 4 3 3 4 2" xfId="38587"/>
    <cellStyle name="Comma 4 3 3 5" xfId="9560"/>
    <cellStyle name="Comma 4 3 3 5 2" xfId="32147"/>
    <cellStyle name="Comma 4 3 3 6" xfId="25707"/>
    <cellStyle name="Comma 4 3 4" xfId="3410"/>
    <cellStyle name="Comma 4 3 4 2" xfId="6630"/>
    <cellStyle name="Comma 4 3 4 2 2" xfId="22730"/>
    <cellStyle name="Comma 4 3 4 2 2 2" xfId="45317"/>
    <cellStyle name="Comma 4 3 4 2 3" xfId="13070"/>
    <cellStyle name="Comma 4 3 4 2 3 2" xfId="35657"/>
    <cellStyle name="Comma 4 3 4 2 4" xfId="29217"/>
    <cellStyle name="Comma 4 3 4 3" xfId="19510"/>
    <cellStyle name="Comma 4 3 4 3 2" xfId="42097"/>
    <cellStyle name="Comma 4 3 4 4" xfId="16290"/>
    <cellStyle name="Comma 4 3 4 4 2" xfId="38877"/>
    <cellStyle name="Comma 4 3 4 5" xfId="9850"/>
    <cellStyle name="Comma 4 3 4 5 2" xfId="32437"/>
    <cellStyle name="Comma 4 3 4 6" xfId="25997"/>
    <cellStyle name="Comma 4 3 5" xfId="951"/>
    <cellStyle name="Comma 4 3 5 2" xfId="4183"/>
    <cellStyle name="Comma 4 3 5 2 2" xfId="20283"/>
    <cellStyle name="Comma 4 3 5 2 2 2" xfId="42870"/>
    <cellStyle name="Comma 4 3 5 2 3" xfId="10623"/>
    <cellStyle name="Comma 4 3 5 2 3 2" xfId="33210"/>
    <cellStyle name="Comma 4 3 5 2 4" xfId="26770"/>
    <cellStyle name="Comma 4 3 5 3" xfId="17063"/>
    <cellStyle name="Comma 4 3 5 3 2" xfId="39650"/>
    <cellStyle name="Comma 4 3 5 4" xfId="13843"/>
    <cellStyle name="Comma 4 3 5 4 2" xfId="36430"/>
    <cellStyle name="Comma 4 3 5 5" xfId="7403"/>
    <cellStyle name="Comma 4 3 5 5 2" xfId="29990"/>
    <cellStyle name="Comma 4 3 5 6" xfId="23550"/>
    <cellStyle name="Comma 4 3 6" xfId="3700"/>
    <cellStyle name="Comma 4 3 6 2" xfId="19800"/>
    <cellStyle name="Comma 4 3 6 2 2" xfId="42387"/>
    <cellStyle name="Comma 4 3 6 3" xfId="10140"/>
    <cellStyle name="Comma 4 3 6 3 2" xfId="32727"/>
    <cellStyle name="Comma 4 3 6 4" xfId="26287"/>
    <cellStyle name="Comma 4 3 7" xfId="16580"/>
    <cellStyle name="Comma 4 3 7 2" xfId="39167"/>
    <cellStyle name="Comma 4 3 8" xfId="13360"/>
    <cellStyle name="Comma 4 3 8 2" xfId="35947"/>
    <cellStyle name="Comma 4 3 9" xfId="6920"/>
    <cellStyle name="Comma 4 3 9 2" xfId="29507"/>
    <cellStyle name="Comma 4 4" xfId="1303"/>
    <cellStyle name="Comma 4 4 2" xfId="2617"/>
    <cellStyle name="Comma 4 4 2 2" xfId="5838"/>
    <cellStyle name="Comma 4 4 2 2 2" xfId="21938"/>
    <cellStyle name="Comma 4 4 2 2 2 2" xfId="44525"/>
    <cellStyle name="Comma 4 4 2 2 3" xfId="12278"/>
    <cellStyle name="Comma 4 4 2 2 3 2" xfId="34865"/>
    <cellStyle name="Comma 4 4 2 2 4" xfId="28425"/>
    <cellStyle name="Comma 4 4 2 3" xfId="18718"/>
    <cellStyle name="Comma 4 4 2 3 2" xfId="41305"/>
    <cellStyle name="Comma 4 4 2 4" xfId="15498"/>
    <cellStyle name="Comma 4 4 2 4 2" xfId="38085"/>
    <cellStyle name="Comma 4 4 2 5" xfId="9058"/>
    <cellStyle name="Comma 4 4 2 5 2" xfId="31645"/>
    <cellStyle name="Comma 4 4 2 6" xfId="25205"/>
    <cellStyle name="Comma 4 4 3" xfId="4530"/>
    <cellStyle name="Comma 4 4 3 2" xfId="20630"/>
    <cellStyle name="Comma 4 4 3 2 2" xfId="43217"/>
    <cellStyle name="Comma 4 4 3 3" xfId="10970"/>
    <cellStyle name="Comma 4 4 3 3 2" xfId="33557"/>
    <cellStyle name="Comma 4 4 3 4" xfId="27117"/>
    <cellStyle name="Comma 4 4 4" xfId="17410"/>
    <cellStyle name="Comma 4 4 4 2" xfId="39997"/>
    <cellStyle name="Comma 4 4 5" xfId="14190"/>
    <cellStyle name="Comma 4 4 5 2" xfId="36777"/>
    <cellStyle name="Comma 4 4 6" xfId="7750"/>
    <cellStyle name="Comma 4 4 6 2" xfId="30337"/>
    <cellStyle name="Comma 4 4 7" xfId="23897"/>
    <cellStyle name="Comma 4 5" xfId="1922"/>
    <cellStyle name="Comma 4 5 2" xfId="5144"/>
    <cellStyle name="Comma 4 5 2 2" xfId="21244"/>
    <cellStyle name="Comma 4 5 2 2 2" xfId="43831"/>
    <cellStyle name="Comma 4 5 2 3" xfId="11584"/>
    <cellStyle name="Comma 4 5 2 3 2" xfId="34171"/>
    <cellStyle name="Comma 4 5 2 4" xfId="27731"/>
    <cellStyle name="Comma 4 5 3" xfId="18024"/>
    <cellStyle name="Comma 4 5 3 2" xfId="40611"/>
    <cellStyle name="Comma 4 5 4" xfId="14804"/>
    <cellStyle name="Comma 4 5 4 2" xfId="37391"/>
    <cellStyle name="Comma 4 5 5" xfId="8364"/>
    <cellStyle name="Comma 4 5 5 2" xfId="30951"/>
    <cellStyle name="Comma 4 5 6" xfId="24511"/>
    <cellStyle name="Comma 4 6" xfId="2926"/>
    <cellStyle name="Comma 4 6 2" xfId="6147"/>
    <cellStyle name="Comma 4 6 2 2" xfId="22247"/>
    <cellStyle name="Comma 4 6 2 2 2" xfId="44834"/>
    <cellStyle name="Comma 4 6 2 3" xfId="12587"/>
    <cellStyle name="Comma 4 6 2 3 2" xfId="35174"/>
    <cellStyle name="Comma 4 6 2 4" xfId="28734"/>
    <cellStyle name="Comma 4 6 3" xfId="19027"/>
    <cellStyle name="Comma 4 6 3 2" xfId="41614"/>
    <cellStyle name="Comma 4 6 4" xfId="15807"/>
    <cellStyle name="Comma 4 6 4 2" xfId="38394"/>
    <cellStyle name="Comma 4 6 5" xfId="9367"/>
    <cellStyle name="Comma 4 6 5 2" xfId="31954"/>
    <cellStyle name="Comma 4 6 6" xfId="25514"/>
    <cellStyle name="Comma 4 7" xfId="3217"/>
    <cellStyle name="Comma 4 7 2" xfId="6437"/>
    <cellStyle name="Comma 4 7 2 2" xfId="22537"/>
    <cellStyle name="Comma 4 7 2 2 2" xfId="45124"/>
    <cellStyle name="Comma 4 7 2 3" xfId="12877"/>
    <cellStyle name="Comma 4 7 2 3 2" xfId="35464"/>
    <cellStyle name="Comma 4 7 2 4" xfId="29024"/>
    <cellStyle name="Comma 4 7 3" xfId="19317"/>
    <cellStyle name="Comma 4 7 3 2" xfId="41904"/>
    <cellStyle name="Comma 4 7 4" xfId="16097"/>
    <cellStyle name="Comma 4 7 4 2" xfId="38684"/>
    <cellStyle name="Comma 4 7 5" xfId="9657"/>
    <cellStyle name="Comma 4 7 5 2" xfId="32244"/>
    <cellStyle name="Comma 4 7 6" xfId="25804"/>
    <cellStyle name="Comma 4 8" xfId="549"/>
    <cellStyle name="Comma 4 8 2" xfId="3836"/>
    <cellStyle name="Comma 4 8 2 2" xfId="19936"/>
    <cellStyle name="Comma 4 8 2 2 2" xfId="42523"/>
    <cellStyle name="Comma 4 8 2 3" xfId="10276"/>
    <cellStyle name="Comma 4 8 2 3 2" xfId="32863"/>
    <cellStyle name="Comma 4 8 2 4" xfId="26423"/>
    <cellStyle name="Comma 4 8 3" xfId="16716"/>
    <cellStyle name="Comma 4 8 3 2" xfId="39303"/>
    <cellStyle name="Comma 4 8 4" xfId="13496"/>
    <cellStyle name="Comma 4 8 4 2" xfId="36083"/>
    <cellStyle name="Comma 4 8 5" xfId="7056"/>
    <cellStyle name="Comma 4 8 5 2" xfId="29643"/>
    <cellStyle name="Comma 4 8 6" xfId="23203"/>
    <cellStyle name="Comma 4 9" xfId="3507"/>
    <cellStyle name="Comma 4 9 2" xfId="19607"/>
    <cellStyle name="Comma 4 9 2 2" xfId="42194"/>
    <cellStyle name="Comma 4 9 3" xfId="9947"/>
    <cellStyle name="Comma 4 9 3 2" xfId="32534"/>
    <cellStyle name="Comma 4 9 4" xfId="26094"/>
    <cellStyle name="Comma 5" xfId="22756"/>
    <cellStyle name="Excel Built-in Normal 11" xfId="129"/>
    <cellStyle name="Explanatory Text" xfId="28" builtinId="53" customBuiltin="1"/>
    <cellStyle name="Explanatory Text 2" xfId="72"/>
    <cellStyle name="Explanatory Text 3" xfId="178"/>
    <cellStyle name="Explanatory Text 4" xfId="598"/>
    <cellStyle name="Explanatory Text 5" xfId="22785"/>
    <cellStyle name="Good" xfId="29" builtinId="26" customBuiltin="1"/>
    <cellStyle name="Good 2" xfId="73"/>
    <cellStyle name="Good 3" xfId="179"/>
    <cellStyle name="Good 4" xfId="562"/>
    <cellStyle name="Good 5" xfId="22786"/>
    <cellStyle name="Heading 1" xfId="30" builtinId="16" customBuiltin="1"/>
    <cellStyle name="Heading 1 2" xfId="74"/>
    <cellStyle name="Heading 1 3" xfId="180"/>
    <cellStyle name="Heading 1 4" xfId="564"/>
    <cellStyle name="Heading 1 5" xfId="22787"/>
    <cellStyle name="Heading 2" xfId="31" builtinId="17" customBuiltin="1"/>
    <cellStyle name="Heading 2 2" xfId="75"/>
    <cellStyle name="Heading 2 3" xfId="181"/>
    <cellStyle name="Heading 2 4" xfId="613"/>
    <cellStyle name="Heading 2 5" xfId="22788"/>
    <cellStyle name="Heading 3" xfId="32" builtinId="18" customBuiltin="1"/>
    <cellStyle name="Heading 3 2" xfId="76"/>
    <cellStyle name="Heading 3 3" xfId="182"/>
    <cellStyle name="Heading 3 4" xfId="596"/>
    <cellStyle name="Heading 3 5" xfId="22789"/>
    <cellStyle name="Heading 4" xfId="33" builtinId="19" customBuiltin="1"/>
    <cellStyle name="Heading 4 2" xfId="77"/>
    <cellStyle name="Heading 4 3" xfId="183"/>
    <cellStyle name="Heading 4 4" xfId="597"/>
    <cellStyle name="Heading 4 5" xfId="22790"/>
    <cellStyle name="Hyperlink" xfId="45343" builtinId="8"/>
    <cellStyle name="Input" xfId="34" builtinId="20" customBuiltin="1"/>
    <cellStyle name="Input 2" xfId="78"/>
    <cellStyle name="Input 2 2" xfId="721"/>
    <cellStyle name="Input 3" xfId="184"/>
    <cellStyle name="Input 3 2" xfId="716"/>
    <cellStyle name="Input 4" xfId="578"/>
    <cellStyle name="Input 4 2" xfId="964"/>
    <cellStyle name="Input 5" xfId="22791"/>
    <cellStyle name="Linked Cell" xfId="35" builtinId="24" customBuiltin="1"/>
    <cellStyle name="Linked Cell 2" xfId="79"/>
    <cellStyle name="Linked Cell 3" xfId="185"/>
    <cellStyle name="Linked Cell 4" xfId="573"/>
    <cellStyle name="Linked Cell 5" xfId="22792"/>
    <cellStyle name="Neutral" xfId="36" builtinId="28" customBuiltin="1"/>
    <cellStyle name="Neutral 2" xfId="80"/>
    <cellStyle name="Neutral 3" xfId="186"/>
    <cellStyle name="Neutral 4" xfId="609"/>
    <cellStyle name="Neutral 5" xfId="22793"/>
    <cellStyle name="Normal" xfId="0" builtinId="0"/>
    <cellStyle name="Normal 10" xfId="104"/>
    <cellStyle name="Normal 10 10" xfId="1543"/>
    <cellStyle name="Normal 10 10 2" xfId="4769"/>
    <cellStyle name="Normal 10 10 2 2" xfId="20869"/>
    <cellStyle name="Normal 10 10 2 2 2" xfId="43456"/>
    <cellStyle name="Normal 10 10 2 3" xfId="11209"/>
    <cellStyle name="Normal 10 10 2 3 2" xfId="33796"/>
    <cellStyle name="Normal 10 10 2 4" xfId="27356"/>
    <cellStyle name="Normal 10 10 3" xfId="17649"/>
    <cellStyle name="Normal 10 10 3 2" xfId="40236"/>
    <cellStyle name="Normal 10 10 4" xfId="14429"/>
    <cellStyle name="Normal 10 10 4 2" xfId="37016"/>
    <cellStyle name="Normal 10 10 5" xfId="7989"/>
    <cellStyle name="Normal 10 10 5 2" xfId="30576"/>
    <cellStyle name="Normal 10 10 6" xfId="24136"/>
    <cellStyle name="Normal 10 11" xfId="1819"/>
    <cellStyle name="Normal 10 11 2" xfId="5041"/>
    <cellStyle name="Normal 10 11 2 2" xfId="21141"/>
    <cellStyle name="Normal 10 11 2 2 2" xfId="43728"/>
    <cellStyle name="Normal 10 11 2 3" xfId="11481"/>
    <cellStyle name="Normal 10 11 2 3 2" xfId="34068"/>
    <cellStyle name="Normal 10 11 2 4" xfId="27628"/>
    <cellStyle name="Normal 10 11 3" xfId="17921"/>
    <cellStyle name="Normal 10 11 3 2" xfId="40508"/>
    <cellStyle name="Normal 10 11 4" xfId="14701"/>
    <cellStyle name="Normal 10 11 4 2" xfId="37288"/>
    <cellStyle name="Normal 10 11 5" xfId="8261"/>
    <cellStyle name="Normal 10 11 5 2" xfId="30848"/>
    <cellStyle name="Normal 10 11 6" xfId="24408"/>
    <cellStyle name="Normal 10 12" xfId="2862"/>
    <cellStyle name="Normal 10 12 2" xfId="6083"/>
    <cellStyle name="Normal 10 12 2 2" xfId="22183"/>
    <cellStyle name="Normal 10 12 2 2 2" xfId="44770"/>
    <cellStyle name="Normal 10 12 2 3" xfId="12523"/>
    <cellStyle name="Normal 10 12 2 3 2" xfId="35110"/>
    <cellStyle name="Normal 10 12 2 4" xfId="28670"/>
    <cellStyle name="Normal 10 12 3" xfId="18963"/>
    <cellStyle name="Normal 10 12 3 2" xfId="41550"/>
    <cellStyle name="Normal 10 12 4" xfId="15743"/>
    <cellStyle name="Normal 10 12 4 2" xfId="38330"/>
    <cellStyle name="Normal 10 12 5" xfId="9303"/>
    <cellStyle name="Normal 10 12 5 2" xfId="31890"/>
    <cellStyle name="Normal 10 12 6" xfId="25450"/>
    <cellStyle name="Normal 10 13" xfId="3153"/>
    <cellStyle name="Normal 10 13 2" xfId="6373"/>
    <cellStyle name="Normal 10 13 2 2" xfId="22473"/>
    <cellStyle name="Normal 10 13 2 2 2" xfId="45060"/>
    <cellStyle name="Normal 10 13 2 3" xfId="12813"/>
    <cellStyle name="Normal 10 13 2 3 2" xfId="35400"/>
    <cellStyle name="Normal 10 13 2 4" xfId="28960"/>
    <cellStyle name="Normal 10 13 3" xfId="19253"/>
    <cellStyle name="Normal 10 13 3 2" xfId="41840"/>
    <cellStyle name="Normal 10 13 4" xfId="16033"/>
    <cellStyle name="Normal 10 13 4 2" xfId="38620"/>
    <cellStyle name="Normal 10 13 5" xfId="9593"/>
    <cellStyle name="Normal 10 13 5 2" xfId="32180"/>
    <cellStyle name="Normal 10 13 6" xfId="25740"/>
    <cellStyle name="Normal 10 14" xfId="446"/>
    <cellStyle name="Normal 10 14 2" xfId="3733"/>
    <cellStyle name="Normal 10 14 2 2" xfId="19833"/>
    <cellStyle name="Normal 10 14 2 2 2" xfId="42420"/>
    <cellStyle name="Normal 10 14 2 3" xfId="10173"/>
    <cellStyle name="Normal 10 14 2 3 2" xfId="32760"/>
    <cellStyle name="Normal 10 14 2 4" xfId="26320"/>
    <cellStyle name="Normal 10 14 3" xfId="16613"/>
    <cellStyle name="Normal 10 14 3 2" xfId="39200"/>
    <cellStyle name="Normal 10 14 4" xfId="13393"/>
    <cellStyle name="Normal 10 14 4 2" xfId="35980"/>
    <cellStyle name="Normal 10 14 5" xfId="6953"/>
    <cellStyle name="Normal 10 14 5 2" xfId="29540"/>
    <cellStyle name="Normal 10 14 6" xfId="23100"/>
    <cellStyle name="Normal 10 15" xfId="3443"/>
    <cellStyle name="Normal 10 15 2" xfId="19543"/>
    <cellStyle name="Normal 10 15 2 2" xfId="42130"/>
    <cellStyle name="Normal 10 15 3" xfId="9883"/>
    <cellStyle name="Normal 10 15 3 2" xfId="32470"/>
    <cellStyle name="Normal 10 15 4" xfId="26030"/>
    <cellStyle name="Normal 10 16" xfId="16323"/>
    <cellStyle name="Normal 10 16 2" xfId="38910"/>
    <cellStyle name="Normal 10 17" xfId="13103"/>
    <cellStyle name="Normal 10 17 2" xfId="35690"/>
    <cellStyle name="Normal 10 18" xfId="6663"/>
    <cellStyle name="Normal 10 18 2" xfId="29250"/>
    <cellStyle name="Normal 10 19" xfId="22810"/>
    <cellStyle name="Normal 10 2" xfId="122"/>
    <cellStyle name="Normal 10 2 10" xfId="2878"/>
    <cellStyle name="Normal 10 2 10 2" xfId="6099"/>
    <cellStyle name="Normal 10 2 10 2 2" xfId="22199"/>
    <cellStyle name="Normal 10 2 10 2 2 2" xfId="44786"/>
    <cellStyle name="Normal 10 2 10 2 3" xfId="12539"/>
    <cellStyle name="Normal 10 2 10 2 3 2" xfId="35126"/>
    <cellStyle name="Normal 10 2 10 2 4" xfId="28686"/>
    <cellStyle name="Normal 10 2 10 3" xfId="18979"/>
    <cellStyle name="Normal 10 2 10 3 2" xfId="41566"/>
    <cellStyle name="Normal 10 2 10 4" xfId="15759"/>
    <cellStyle name="Normal 10 2 10 4 2" xfId="38346"/>
    <cellStyle name="Normal 10 2 10 5" xfId="9319"/>
    <cellStyle name="Normal 10 2 10 5 2" xfId="31906"/>
    <cellStyle name="Normal 10 2 10 6" xfId="25466"/>
    <cellStyle name="Normal 10 2 11" xfId="3169"/>
    <cellStyle name="Normal 10 2 11 2" xfId="6389"/>
    <cellStyle name="Normal 10 2 11 2 2" xfId="22489"/>
    <cellStyle name="Normal 10 2 11 2 2 2" xfId="45076"/>
    <cellStyle name="Normal 10 2 11 2 3" xfId="12829"/>
    <cellStyle name="Normal 10 2 11 2 3 2" xfId="35416"/>
    <cellStyle name="Normal 10 2 11 2 4" xfId="28976"/>
    <cellStyle name="Normal 10 2 11 3" xfId="19269"/>
    <cellStyle name="Normal 10 2 11 3 2" xfId="41856"/>
    <cellStyle name="Normal 10 2 11 4" xfId="16049"/>
    <cellStyle name="Normal 10 2 11 4 2" xfId="38636"/>
    <cellStyle name="Normal 10 2 11 5" xfId="9609"/>
    <cellStyle name="Normal 10 2 11 5 2" xfId="32196"/>
    <cellStyle name="Normal 10 2 11 6" xfId="25756"/>
    <cellStyle name="Normal 10 2 12" xfId="462"/>
    <cellStyle name="Normal 10 2 12 2" xfId="3749"/>
    <cellStyle name="Normal 10 2 12 2 2" xfId="19849"/>
    <cellStyle name="Normal 10 2 12 2 2 2" xfId="42436"/>
    <cellStyle name="Normal 10 2 12 2 3" xfId="10189"/>
    <cellStyle name="Normal 10 2 12 2 3 2" xfId="32776"/>
    <cellStyle name="Normal 10 2 12 2 4" xfId="26336"/>
    <cellStyle name="Normal 10 2 12 3" xfId="16629"/>
    <cellStyle name="Normal 10 2 12 3 2" xfId="39216"/>
    <cellStyle name="Normal 10 2 12 4" xfId="13409"/>
    <cellStyle name="Normal 10 2 12 4 2" xfId="35996"/>
    <cellStyle name="Normal 10 2 12 5" xfId="6969"/>
    <cellStyle name="Normal 10 2 12 5 2" xfId="29556"/>
    <cellStyle name="Normal 10 2 12 6" xfId="23116"/>
    <cellStyle name="Normal 10 2 13" xfId="3459"/>
    <cellStyle name="Normal 10 2 13 2" xfId="19559"/>
    <cellStyle name="Normal 10 2 13 2 2" xfId="42146"/>
    <cellStyle name="Normal 10 2 13 3" xfId="9899"/>
    <cellStyle name="Normal 10 2 13 3 2" xfId="32486"/>
    <cellStyle name="Normal 10 2 13 4" xfId="26046"/>
    <cellStyle name="Normal 10 2 14" xfId="16339"/>
    <cellStyle name="Normal 10 2 14 2" xfId="38926"/>
    <cellStyle name="Normal 10 2 15" xfId="13119"/>
    <cellStyle name="Normal 10 2 15 2" xfId="35706"/>
    <cellStyle name="Normal 10 2 16" xfId="6679"/>
    <cellStyle name="Normal 10 2 16 2" xfId="29266"/>
    <cellStyle name="Normal 10 2 17" xfId="22826"/>
    <cellStyle name="Normal 10 2 2" xfId="207"/>
    <cellStyle name="Normal 10 2 2 10" xfId="499"/>
    <cellStyle name="Normal 10 2 2 10 2" xfId="3786"/>
    <cellStyle name="Normal 10 2 2 10 2 2" xfId="19886"/>
    <cellStyle name="Normal 10 2 2 10 2 2 2" xfId="42473"/>
    <cellStyle name="Normal 10 2 2 10 2 3" xfId="10226"/>
    <cellStyle name="Normal 10 2 2 10 2 3 2" xfId="32813"/>
    <cellStyle name="Normal 10 2 2 10 2 4" xfId="26373"/>
    <cellStyle name="Normal 10 2 2 10 3" xfId="16666"/>
    <cellStyle name="Normal 10 2 2 10 3 2" xfId="39253"/>
    <cellStyle name="Normal 10 2 2 10 4" xfId="13446"/>
    <cellStyle name="Normal 10 2 2 10 4 2" xfId="36033"/>
    <cellStyle name="Normal 10 2 2 10 5" xfId="7006"/>
    <cellStyle name="Normal 10 2 2 10 5 2" xfId="29593"/>
    <cellStyle name="Normal 10 2 2 10 6" xfId="23153"/>
    <cellStyle name="Normal 10 2 2 11" xfId="3496"/>
    <cellStyle name="Normal 10 2 2 11 2" xfId="19596"/>
    <cellStyle name="Normal 10 2 2 11 2 2" xfId="42183"/>
    <cellStyle name="Normal 10 2 2 11 3" xfId="9936"/>
    <cellStyle name="Normal 10 2 2 11 3 2" xfId="32523"/>
    <cellStyle name="Normal 10 2 2 11 4" xfId="26083"/>
    <cellStyle name="Normal 10 2 2 12" xfId="16376"/>
    <cellStyle name="Normal 10 2 2 12 2" xfId="38963"/>
    <cellStyle name="Normal 10 2 2 13" xfId="13156"/>
    <cellStyle name="Normal 10 2 2 13 2" xfId="35743"/>
    <cellStyle name="Normal 10 2 2 14" xfId="6716"/>
    <cellStyle name="Normal 10 2 2 14 2" xfId="29303"/>
    <cellStyle name="Normal 10 2 2 15" xfId="22863"/>
    <cellStyle name="Normal 10 2 2 2" xfId="306"/>
    <cellStyle name="Normal 10 2 2 2 10" xfId="16473"/>
    <cellStyle name="Normal 10 2 2 2 10 2" xfId="39060"/>
    <cellStyle name="Normal 10 2 2 2 11" xfId="13253"/>
    <cellStyle name="Normal 10 2 2 2 11 2" xfId="35840"/>
    <cellStyle name="Normal 10 2 2 2 12" xfId="6813"/>
    <cellStyle name="Normal 10 2 2 2 12 2" xfId="29400"/>
    <cellStyle name="Normal 10 2 2 2 13" xfId="22960"/>
    <cellStyle name="Normal 10 2 2 2 2" xfId="1025"/>
    <cellStyle name="Normal 10 2 2 2 2 2" xfId="2339"/>
    <cellStyle name="Normal 10 2 2 2 2 2 2" xfId="5560"/>
    <cellStyle name="Normal 10 2 2 2 2 2 2 2" xfId="21660"/>
    <cellStyle name="Normal 10 2 2 2 2 2 2 2 2" xfId="44247"/>
    <cellStyle name="Normal 10 2 2 2 2 2 2 3" xfId="12000"/>
    <cellStyle name="Normal 10 2 2 2 2 2 2 3 2" xfId="34587"/>
    <cellStyle name="Normal 10 2 2 2 2 2 2 4" xfId="28147"/>
    <cellStyle name="Normal 10 2 2 2 2 2 3" xfId="18440"/>
    <cellStyle name="Normal 10 2 2 2 2 2 3 2" xfId="41027"/>
    <cellStyle name="Normal 10 2 2 2 2 2 4" xfId="15220"/>
    <cellStyle name="Normal 10 2 2 2 2 2 4 2" xfId="37807"/>
    <cellStyle name="Normal 10 2 2 2 2 2 5" xfId="8780"/>
    <cellStyle name="Normal 10 2 2 2 2 2 5 2" xfId="31367"/>
    <cellStyle name="Normal 10 2 2 2 2 2 6" xfId="24927"/>
    <cellStyle name="Normal 10 2 2 2 2 3" xfId="4252"/>
    <cellStyle name="Normal 10 2 2 2 2 3 2" xfId="20352"/>
    <cellStyle name="Normal 10 2 2 2 2 3 2 2" xfId="42939"/>
    <cellStyle name="Normal 10 2 2 2 2 3 3" xfId="10692"/>
    <cellStyle name="Normal 10 2 2 2 2 3 3 2" xfId="33279"/>
    <cellStyle name="Normal 10 2 2 2 2 3 4" xfId="26839"/>
    <cellStyle name="Normal 10 2 2 2 2 4" xfId="17132"/>
    <cellStyle name="Normal 10 2 2 2 2 4 2" xfId="39719"/>
    <cellStyle name="Normal 10 2 2 2 2 5" xfId="13912"/>
    <cellStyle name="Normal 10 2 2 2 2 5 2" xfId="36499"/>
    <cellStyle name="Normal 10 2 2 2 2 6" xfId="7472"/>
    <cellStyle name="Normal 10 2 2 2 2 6 2" xfId="30059"/>
    <cellStyle name="Normal 10 2 2 2 2 7" xfId="23619"/>
    <cellStyle name="Normal 10 2 2 2 3" xfId="1372"/>
    <cellStyle name="Normal 10 2 2 2 3 2" xfId="2686"/>
    <cellStyle name="Normal 10 2 2 2 3 2 2" xfId="5907"/>
    <cellStyle name="Normal 10 2 2 2 3 2 2 2" xfId="22007"/>
    <cellStyle name="Normal 10 2 2 2 3 2 2 2 2" xfId="44594"/>
    <cellStyle name="Normal 10 2 2 2 3 2 2 3" xfId="12347"/>
    <cellStyle name="Normal 10 2 2 2 3 2 2 3 2" xfId="34934"/>
    <cellStyle name="Normal 10 2 2 2 3 2 2 4" xfId="28494"/>
    <cellStyle name="Normal 10 2 2 2 3 2 3" xfId="18787"/>
    <cellStyle name="Normal 10 2 2 2 3 2 3 2" xfId="41374"/>
    <cellStyle name="Normal 10 2 2 2 3 2 4" xfId="15567"/>
    <cellStyle name="Normal 10 2 2 2 3 2 4 2" xfId="38154"/>
    <cellStyle name="Normal 10 2 2 2 3 2 5" xfId="9127"/>
    <cellStyle name="Normal 10 2 2 2 3 2 5 2" xfId="31714"/>
    <cellStyle name="Normal 10 2 2 2 3 2 6" xfId="25274"/>
    <cellStyle name="Normal 10 2 2 2 3 3" xfId="4599"/>
    <cellStyle name="Normal 10 2 2 2 3 3 2" xfId="20699"/>
    <cellStyle name="Normal 10 2 2 2 3 3 2 2" xfId="43286"/>
    <cellStyle name="Normal 10 2 2 2 3 3 3" xfId="11039"/>
    <cellStyle name="Normal 10 2 2 2 3 3 3 2" xfId="33626"/>
    <cellStyle name="Normal 10 2 2 2 3 3 4" xfId="27186"/>
    <cellStyle name="Normal 10 2 2 2 3 4" xfId="17479"/>
    <cellStyle name="Normal 10 2 2 2 3 4 2" xfId="40066"/>
    <cellStyle name="Normal 10 2 2 2 3 5" xfId="14259"/>
    <cellStyle name="Normal 10 2 2 2 3 5 2" xfId="36846"/>
    <cellStyle name="Normal 10 2 2 2 3 6" xfId="7819"/>
    <cellStyle name="Normal 10 2 2 2 3 6 2" xfId="30406"/>
    <cellStyle name="Normal 10 2 2 2 3 7" xfId="23966"/>
    <cellStyle name="Normal 10 2 2 2 4" xfId="1537"/>
    <cellStyle name="Normal 10 2 2 2 4 2" xfId="4764"/>
    <cellStyle name="Normal 10 2 2 2 4 2 2" xfId="20864"/>
    <cellStyle name="Normal 10 2 2 2 4 2 2 2" xfId="43451"/>
    <cellStyle name="Normal 10 2 2 2 4 2 3" xfId="11204"/>
    <cellStyle name="Normal 10 2 2 2 4 2 3 2" xfId="33791"/>
    <cellStyle name="Normal 10 2 2 2 4 2 4" xfId="27351"/>
    <cellStyle name="Normal 10 2 2 2 4 3" xfId="17644"/>
    <cellStyle name="Normal 10 2 2 2 4 3 2" xfId="40231"/>
    <cellStyle name="Normal 10 2 2 2 4 4" xfId="14424"/>
    <cellStyle name="Normal 10 2 2 2 4 4 2" xfId="37011"/>
    <cellStyle name="Normal 10 2 2 2 4 5" xfId="7984"/>
    <cellStyle name="Normal 10 2 2 2 4 5 2" xfId="30571"/>
    <cellStyle name="Normal 10 2 2 2 4 6" xfId="24131"/>
    <cellStyle name="Normal 10 2 2 2 5" xfId="1991"/>
    <cellStyle name="Normal 10 2 2 2 5 2" xfId="5213"/>
    <cellStyle name="Normal 10 2 2 2 5 2 2" xfId="21313"/>
    <cellStyle name="Normal 10 2 2 2 5 2 2 2" xfId="43900"/>
    <cellStyle name="Normal 10 2 2 2 5 2 3" xfId="11653"/>
    <cellStyle name="Normal 10 2 2 2 5 2 3 2" xfId="34240"/>
    <cellStyle name="Normal 10 2 2 2 5 2 4" xfId="27800"/>
    <cellStyle name="Normal 10 2 2 2 5 3" xfId="18093"/>
    <cellStyle name="Normal 10 2 2 2 5 3 2" xfId="40680"/>
    <cellStyle name="Normal 10 2 2 2 5 4" xfId="14873"/>
    <cellStyle name="Normal 10 2 2 2 5 4 2" xfId="37460"/>
    <cellStyle name="Normal 10 2 2 2 5 5" xfId="8433"/>
    <cellStyle name="Normal 10 2 2 2 5 5 2" xfId="31020"/>
    <cellStyle name="Normal 10 2 2 2 5 6" xfId="24580"/>
    <cellStyle name="Normal 10 2 2 2 6" xfId="3013"/>
    <cellStyle name="Normal 10 2 2 2 6 2" xfId="6233"/>
    <cellStyle name="Normal 10 2 2 2 6 2 2" xfId="22333"/>
    <cellStyle name="Normal 10 2 2 2 6 2 2 2" xfId="44920"/>
    <cellStyle name="Normal 10 2 2 2 6 2 3" xfId="12673"/>
    <cellStyle name="Normal 10 2 2 2 6 2 3 2" xfId="35260"/>
    <cellStyle name="Normal 10 2 2 2 6 2 4" xfId="28820"/>
    <cellStyle name="Normal 10 2 2 2 6 3" xfId="19113"/>
    <cellStyle name="Normal 10 2 2 2 6 3 2" xfId="41700"/>
    <cellStyle name="Normal 10 2 2 2 6 4" xfId="15893"/>
    <cellStyle name="Normal 10 2 2 2 6 4 2" xfId="38480"/>
    <cellStyle name="Normal 10 2 2 2 6 5" xfId="9453"/>
    <cellStyle name="Normal 10 2 2 2 6 5 2" xfId="32040"/>
    <cellStyle name="Normal 10 2 2 2 6 6" xfId="25600"/>
    <cellStyle name="Normal 10 2 2 2 7" xfId="3303"/>
    <cellStyle name="Normal 10 2 2 2 7 2" xfId="6523"/>
    <cellStyle name="Normal 10 2 2 2 7 2 2" xfId="22623"/>
    <cellStyle name="Normal 10 2 2 2 7 2 2 2" xfId="45210"/>
    <cellStyle name="Normal 10 2 2 2 7 2 3" xfId="12963"/>
    <cellStyle name="Normal 10 2 2 2 7 2 3 2" xfId="35550"/>
    <cellStyle name="Normal 10 2 2 2 7 2 4" xfId="29110"/>
    <cellStyle name="Normal 10 2 2 2 7 3" xfId="19403"/>
    <cellStyle name="Normal 10 2 2 2 7 3 2" xfId="41990"/>
    <cellStyle name="Normal 10 2 2 2 7 4" xfId="16183"/>
    <cellStyle name="Normal 10 2 2 2 7 4 2" xfId="38770"/>
    <cellStyle name="Normal 10 2 2 2 7 5" xfId="9743"/>
    <cellStyle name="Normal 10 2 2 2 7 5 2" xfId="32330"/>
    <cellStyle name="Normal 10 2 2 2 7 6" xfId="25890"/>
    <cellStyle name="Normal 10 2 2 2 8" xfId="661"/>
    <cellStyle name="Normal 10 2 2 2 8 2" xfId="3905"/>
    <cellStyle name="Normal 10 2 2 2 8 2 2" xfId="20005"/>
    <cellStyle name="Normal 10 2 2 2 8 2 2 2" xfId="42592"/>
    <cellStyle name="Normal 10 2 2 2 8 2 3" xfId="10345"/>
    <cellStyle name="Normal 10 2 2 2 8 2 3 2" xfId="32932"/>
    <cellStyle name="Normal 10 2 2 2 8 2 4" xfId="26492"/>
    <cellStyle name="Normal 10 2 2 2 8 3" xfId="16785"/>
    <cellStyle name="Normal 10 2 2 2 8 3 2" xfId="39372"/>
    <cellStyle name="Normal 10 2 2 2 8 4" xfId="13565"/>
    <cellStyle name="Normal 10 2 2 2 8 4 2" xfId="36152"/>
    <cellStyle name="Normal 10 2 2 2 8 5" xfId="7125"/>
    <cellStyle name="Normal 10 2 2 2 8 5 2" xfId="29712"/>
    <cellStyle name="Normal 10 2 2 2 8 6" xfId="23272"/>
    <cellStyle name="Normal 10 2 2 2 9" xfId="3593"/>
    <cellStyle name="Normal 10 2 2 2 9 2" xfId="19693"/>
    <cellStyle name="Normal 10 2 2 2 9 2 2" xfId="42280"/>
    <cellStyle name="Normal 10 2 2 2 9 3" xfId="10033"/>
    <cellStyle name="Normal 10 2 2 2 9 3 2" xfId="32620"/>
    <cellStyle name="Normal 10 2 2 2 9 4" xfId="26180"/>
    <cellStyle name="Normal 10 2 2 3" xfId="402"/>
    <cellStyle name="Normal 10 2 2 3 10" xfId="13349"/>
    <cellStyle name="Normal 10 2 2 3 10 2" xfId="35936"/>
    <cellStyle name="Normal 10 2 2 3 11" xfId="6909"/>
    <cellStyle name="Normal 10 2 2 3 11 2" xfId="29496"/>
    <cellStyle name="Normal 10 2 2 3 12" xfId="23056"/>
    <cellStyle name="Normal 10 2 2 3 2" xfId="1184"/>
    <cellStyle name="Normal 10 2 2 3 2 2" xfId="2498"/>
    <cellStyle name="Normal 10 2 2 3 2 2 2" xfId="5719"/>
    <cellStyle name="Normal 10 2 2 3 2 2 2 2" xfId="21819"/>
    <cellStyle name="Normal 10 2 2 3 2 2 2 2 2" xfId="44406"/>
    <cellStyle name="Normal 10 2 2 3 2 2 2 3" xfId="12159"/>
    <cellStyle name="Normal 10 2 2 3 2 2 2 3 2" xfId="34746"/>
    <cellStyle name="Normal 10 2 2 3 2 2 2 4" xfId="28306"/>
    <cellStyle name="Normal 10 2 2 3 2 2 3" xfId="18599"/>
    <cellStyle name="Normal 10 2 2 3 2 2 3 2" xfId="41186"/>
    <cellStyle name="Normal 10 2 2 3 2 2 4" xfId="15379"/>
    <cellStyle name="Normal 10 2 2 3 2 2 4 2" xfId="37966"/>
    <cellStyle name="Normal 10 2 2 3 2 2 5" xfId="8939"/>
    <cellStyle name="Normal 10 2 2 3 2 2 5 2" xfId="31526"/>
    <cellStyle name="Normal 10 2 2 3 2 2 6" xfId="25086"/>
    <cellStyle name="Normal 10 2 2 3 2 3" xfId="4411"/>
    <cellStyle name="Normal 10 2 2 3 2 3 2" xfId="20511"/>
    <cellStyle name="Normal 10 2 2 3 2 3 2 2" xfId="43098"/>
    <cellStyle name="Normal 10 2 2 3 2 3 3" xfId="10851"/>
    <cellStyle name="Normal 10 2 2 3 2 3 3 2" xfId="33438"/>
    <cellStyle name="Normal 10 2 2 3 2 3 4" xfId="26998"/>
    <cellStyle name="Normal 10 2 2 3 2 4" xfId="17291"/>
    <cellStyle name="Normal 10 2 2 3 2 4 2" xfId="39878"/>
    <cellStyle name="Normal 10 2 2 3 2 5" xfId="14071"/>
    <cellStyle name="Normal 10 2 2 3 2 5 2" xfId="36658"/>
    <cellStyle name="Normal 10 2 2 3 2 6" xfId="7631"/>
    <cellStyle name="Normal 10 2 2 3 2 6 2" xfId="30218"/>
    <cellStyle name="Normal 10 2 2 3 2 7" xfId="23778"/>
    <cellStyle name="Normal 10 2 2 3 3" xfId="1531"/>
    <cellStyle name="Normal 10 2 2 3 3 2" xfId="2845"/>
    <cellStyle name="Normal 10 2 2 3 3 2 2" xfId="6066"/>
    <cellStyle name="Normal 10 2 2 3 3 2 2 2" xfId="22166"/>
    <cellStyle name="Normal 10 2 2 3 3 2 2 2 2" xfId="44753"/>
    <cellStyle name="Normal 10 2 2 3 3 2 2 3" xfId="12506"/>
    <cellStyle name="Normal 10 2 2 3 3 2 2 3 2" xfId="35093"/>
    <cellStyle name="Normal 10 2 2 3 3 2 2 4" xfId="28653"/>
    <cellStyle name="Normal 10 2 2 3 3 2 3" xfId="18946"/>
    <cellStyle name="Normal 10 2 2 3 3 2 3 2" xfId="41533"/>
    <cellStyle name="Normal 10 2 2 3 3 2 4" xfId="15726"/>
    <cellStyle name="Normal 10 2 2 3 3 2 4 2" xfId="38313"/>
    <cellStyle name="Normal 10 2 2 3 3 2 5" xfId="9286"/>
    <cellStyle name="Normal 10 2 2 3 3 2 5 2" xfId="31873"/>
    <cellStyle name="Normal 10 2 2 3 3 2 6" xfId="25433"/>
    <cellStyle name="Normal 10 2 2 3 3 3" xfId="4758"/>
    <cellStyle name="Normal 10 2 2 3 3 3 2" xfId="20858"/>
    <cellStyle name="Normal 10 2 2 3 3 3 2 2" xfId="43445"/>
    <cellStyle name="Normal 10 2 2 3 3 3 3" xfId="11198"/>
    <cellStyle name="Normal 10 2 2 3 3 3 3 2" xfId="33785"/>
    <cellStyle name="Normal 10 2 2 3 3 3 4" xfId="27345"/>
    <cellStyle name="Normal 10 2 2 3 3 4" xfId="17638"/>
    <cellStyle name="Normal 10 2 2 3 3 4 2" xfId="40225"/>
    <cellStyle name="Normal 10 2 2 3 3 5" xfId="14418"/>
    <cellStyle name="Normal 10 2 2 3 3 5 2" xfId="37005"/>
    <cellStyle name="Normal 10 2 2 3 3 6" xfId="7978"/>
    <cellStyle name="Normal 10 2 2 3 3 6 2" xfId="30565"/>
    <cellStyle name="Normal 10 2 2 3 3 7" xfId="24125"/>
    <cellStyle name="Normal 10 2 2 3 4" xfId="2151"/>
    <cellStyle name="Normal 10 2 2 3 4 2" xfId="5372"/>
    <cellStyle name="Normal 10 2 2 3 4 2 2" xfId="21472"/>
    <cellStyle name="Normal 10 2 2 3 4 2 2 2" xfId="44059"/>
    <cellStyle name="Normal 10 2 2 3 4 2 3" xfId="11812"/>
    <cellStyle name="Normal 10 2 2 3 4 2 3 2" xfId="34399"/>
    <cellStyle name="Normal 10 2 2 3 4 2 4" xfId="27959"/>
    <cellStyle name="Normal 10 2 2 3 4 3" xfId="18252"/>
    <cellStyle name="Normal 10 2 2 3 4 3 2" xfId="40839"/>
    <cellStyle name="Normal 10 2 2 3 4 4" xfId="15032"/>
    <cellStyle name="Normal 10 2 2 3 4 4 2" xfId="37619"/>
    <cellStyle name="Normal 10 2 2 3 4 5" xfId="8592"/>
    <cellStyle name="Normal 10 2 2 3 4 5 2" xfId="31179"/>
    <cellStyle name="Normal 10 2 2 3 4 6" xfId="24739"/>
    <cellStyle name="Normal 10 2 2 3 5" xfId="3109"/>
    <cellStyle name="Normal 10 2 2 3 5 2" xfId="6329"/>
    <cellStyle name="Normal 10 2 2 3 5 2 2" xfId="22429"/>
    <cellStyle name="Normal 10 2 2 3 5 2 2 2" xfId="45016"/>
    <cellStyle name="Normal 10 2 2 3 5 2 3" xfId="12769"/>
    <cellStyle name="Normal 10 2 2 3 5 2 3 2" xfId="35356"/>
    <cellStyle name="Normal 10 2 2 3 5 2 4" xfId="28916"/>
    <cellStyle name="Normal 10 2 2 3 5 3" xfId="19209"/>
    <cellStyle name="Normal 10 2 2 3 5 3 2" xfId="41796"/>
    <cellStyle name="Normal 10 2 2 3 5 4" xfId="15989"/>
    <cellStyle name="Normal 10 2 2 3 5 4 2" xfId="38576"/>
    <cellStyle name="Normal 10 2 2 3 5 5" xfId="9549"/>
    <cellStyle name="Normal 10 2 2 3 5 5 2" xfId="32136"/>
    <cellStyle name="Normal 10 2 2 3 5 6" xfId="25696"/>
    <cellStyle name="Normal 10 2 2 3 6" xfId="3399"/>
    <cellStyle name="Normal 10 2 2 3 6 2" xfId="6619"/>
    <cellStyle name="Normal 10 2 2 3 6 2 2" xfId="22719"/>
    <cellStyle name="Normal 10 2 2 3 6 2 2 2" xfId="45306"/>
    <cellStyle name="Normal 10 2 2 3 6 2 3" xfId="13059"/>
    <cellStyle name="Normal 10 2 2 3 6 2 3 2" xfId="35646"/>
    <cellStyle name="Normal 10 2 2 3 6 2 4" xfId="29206"/>
    <cellStyle name="Normal 10 2 2 3 6 3" xfId="19499"/>
    <cellStyle name="Normal 10 2 2 3 6 3 2" xfId="42086"/>
    <cellStyle name="Normal 10 2 2 3 6 4" xfId="16279"/>
    <cellStyle name="Normal 10 2 2 3 6 4 2" xfId="38866"/>
    <cellStyle name="Normal 10 2 2 3 6 5" xfId="9839"/>
    <cellStyle name="Normal 10 2 2 3 6 5 2" xfId="32426"/>
    <cellStyle name="Normal 10 2 2 3 6 6" xfId="25986"/>
    <cellStyle name="Normal 10 2 2 3 7" xfId="832"/>
    <cellStyle name="Normal 10 2 2 3 7 2" xfId="4064"/>
    <cellStyle name="Normal 10 2 2 3 7 2 2" xfId="20164"/>
    <cellStyle name="Normal 10 2 2 3 7 2 2 2" xfId="42751"/>
    <cellStyle name="Normal 10 2 2 3 7 2 3" xfId="10504"/>
    <cellStyle name="Normal 10 2 2 3 7 2 3 2" xfId="33091"/>
    <cellStyle name="Normal 10 2 2 3 7 2 4" xfId="26651"/>
    <cellStyle name="Normal 10 2 2 3 7 3" xfId="16944"/>
    <cellStyle name="Normal 10 2 2 3 7 3 2" xfId="39531"/>
    <cellStyle name="Normal 10 2 2 3 7 4" xfId="13724"/>
    <cellStyle name="Normal 10 2 2 3 7 4 2" xfId="36311"/>
    <cellStyle name="Normal 10 2 2 3 7 5" xfId="7284"/>
    <cellStyle name="Normal 10 2 2 3 7 5 2" xfId="29871"/>
    <cellStyle name="Normal 10 2 2 3 7 6" xfId="23431"/>
    <cellStyle name="Normal 10 2 2 3 8" xfId="3689"/>
    <cellStyle name="Normal 10 2 2 3 8 2" xfId="19789"/>
    <cellStyle name="Normal 10 2 2 3 8 2 2" xfId="42376"/>
    <cellStyle name="Normal 10 2 2 3 8 3" xfId="10129"/>
    <cellStyle name="Normal 10 2 2 3 8 3 2" xfId="32716"/>
    <cellStyle name="Normal 10 2 2 3 8 4" xfId="26276"/>
    <cellStyle name="Normal 10 2 2 3 9" xfId="16569"/>
    <cellStyle name="Normal 10 2 2 3 9 2" xfId="39156"/>
    <cellStyle name="Normal 10 2 2 4" xfId="901"/>
    <cellStyle name="Normal 10 2 2 4 2" xfId="2220"/>
    <cellStyle name="Normal 10 2 2 4 2 2" xfId="5441"/>
    <cellStyle name="Normal 10 2 2 4 2 2 2" xfId="21541"/>
    <cellStyle name="Normal 10 2 2 4 2 2 2 2" xfId="44128"/>
    <cellStyle name="Normal 10 2 2 4 2 2 3" xfId="11881"/>
    <cellStyle name="Normal 10 2 2 4 2 2 3 2" xfId="34468"/>
    <cellStyle name="Normal 10 2 2 4 2 2 4" xfId="28028"/>
    <cellStyle name="Normal 10 2 2 4 2 3" xfId="18321"/>
    <cellStyle name="Normal 10 2 2 4 2 3 2" xfId="40908"/>
    <cellStyle name="Normal 10 2 2 4 2 4" xfId="15101"/>
    <cellStyle name="Normal 10 2 2 4 2 4 2" xfId="37688"/>
    <cellStyle name="Normal 10 2 2 4 2 5" xfId="8661"/>
    <cellStyle name="Normal 10 2 2 4 2 5 2" xfId="31248"/>
    <cellStyle name="Normal 10 2 2 4 2 6" xfId="24808"/>
    <cellStyle name="Normal 10 2 2 4 3" xfId="4133"/>
    <cellStyle name="Normal 10 2 2 4 3 2" xfId="20233"/>
    <cellStyle name="Normal 10 2 2 4 3 2 2" xfId="42820"/>
    <cellStyle name="Normal 10 2 2 4 3 3" xfId="10573"/>
    <cellStyle name="Normal 10 2 2 4 3 3 2" xfId="33160"/>
    <cellStyle name="Normal 10 2 2 4 3 4" xfId="26720"/>
    <cellStyle name="Normal 10 2 2 4 4" xfId="17013"/>
    <cellStyle name="Normal 10 2 2 4 4 2" xfId="39600"/>
    <cellStyle name="Normal 10 2 2 4 5" xfId="13793"/>
    <cellStyle name="Normal 10 2 2 4 5 2" xfId="36380"/>
    <cellStyle name="Normal 10 2 2 4 6" xfId="7353"/>
    <cellStyle name="Normal 10 2 2 4 6 2" xfId="29940"/>
    <cellStyle name="Normal 10 2 2 4 7" xfId="23500"/>
    <cellStyle name="Normal 10 2 2 5" xfId="1253"/>
    <cellStyle name="Normal 10 2 2 5 2" xfId="2567"/>
    <cellStyle name="Normal 10 2 2 5 2 2" xfId="5788"/>
    <cellStyle name="Normal 10 2 2 5 2 2 2" xfId="21888"/>
    <cellStyle name="Normal 10 2 2 5 2 2 2 2" xfId="44475"/>
    <cellStyle name="Normal 10 2 2 5 2 2 3" xfId="12228"/>
    <cellStyle name="Normal 10 2 2 5 2 2 3 2" xfId="34815"/>
    <cellStyle name="Normal 10 2 2 5 2 2 4" xfId="28375"/>
    <cellStyle name="Normal 10 2 2 5 2 3" xfId="18668"/>
    <cellStyle name="Normal 10 2 2 5 2 3 2" xfId="41255"/>
    <cellStyle name="Normal 10 2 2 5 2 4" xfId="15448"/>
    <cellStyle name="Normal 10 2 2 5 2 4 2" xfId="38035"/>
    <cellStyle name="Normal 10 2 2 5 2 5" xfId="9008"/>
    <cellStyle name="Normal 10 2 2 5 2 5 2" xfId="31595"/>
    <cellStyle name="Normal 10 2 2 5 2 6" xfId="25155"/>
    <cellStyle name="Normal 10 2 2 5 3" xfId="4480"/>
    <cellStyle name="Normal 10 2 2 5 3 2" xfId="20580"/>
    <cellStyle name="Normal 10 2 2 5 3 2 2" xfId="43167"/>
    <cellStyle name="Normal 10 2 2 5 3 3" xfId="10920"/>
    <cellStyle name="Normal 10 2 2 5 3 3 2" xfId="33507"/>
    <cellStyle name="Normal 10 2 2 5 3 4" xfId="27067"/>
    <cellStyle name="Normal 10 2 2 5 4" xfId="17360"/>
    <cellStyle name="Normal 10 2 2 5 4 2" xfId="39947"/>
    <cellStyle name="Normal 10 2 2 5 5" xfId="14140"/>
    <cellStyle name="Normal 10 2 2 5 5 2" xfId="36727"/>
    <cellStyle name="Normal 10 2 2 5 6" xfId="7700"/>
    <cellStyle name="Normal 10 2 2 5 6 2" xfId="30287"/>
    <cellStyle name="Normal 10 2 2 5 7" xfId="23847"/>
    <cellStyle name="Normal 10 2 2 6" xfId="1544"/>
    <cellStyle name="Normal 10 2 2 6 2" xfId="4770"/>
    <cellStyle name="Normal 10 2 2 6 2 2" xfId="20870"/>
    <cellStyle name="Normal 10 2 2 6 2 2 2" xfId="43457"/>
    <cellStyle name="Normal 10 2 2 6 2 3" xfId="11210"/>
    <cellStyle name="Normal 10 2 2 6 2 3 2" xfId="33797"/>
    <cellStyle name="Normal 10 2 2 6 2 4" xfId="27357"/>
    <cellStyle name="Normal 10 2 2 6 3" xfId="17650"/>
    <cellStyle name="Normal 10 2 2 6 3 2" xfId="40237"/>
    <cellStyle name="Normal 10 2 2 6 4" xfId="14430"/>
    <cellStyle name="Normal 10 2 2 6 4 2" xfId="37017"/>
    <cellStyle name="Normal 10 2 2 6 5" xfId="7990"/>
    <cellStyle name="Normal 10 2 2 6 5 2" xfId="30577"/>
    <cellStyle name="Normal 10 2 2 6 6" xfId="24137"/>
    <cellStyle name="Normal 10 2 2 7" xfId="1872"/>
    <cellStyle name="Normal 10 2 2 7 2" xfId="5094"/>
    <cellStyle name="Normal 10 2 2 7 2 2" xfId="21194"/>
    <cellStyle name="Normal 10 2 2 7 2 2 2" xfId="43781"/>
    <cellStyle name="Normal 10 2 2 7 2 3" xfId="11534"/>
    <cellStyle name="Normal 10 2 2 7 2 3 2" xfId="34121"/>
    <cellStyle name="Normal 10 2 2 7 2 4" xfId="27681"/>
    <cellStyle name="Normal 10 2 2 7 3" xfId="17974"/>
    <cellStyle name="Normal 10 2 2 7 3 2" xfId="40561"/>
    <cellStyle name="Normal 10 2 2 7 4" xfId="14754"/>
    <cellStyle name="Normal 10 2 2 7 4 2" xfId="37341"/>
    <cellStyle name="Normal 10 2 2 7 5" xfId="8314"/>
    <cellStyle name="Normal 10 2 2 7 5 2" xfId="30901"/>
    <cellStyle name="Normal 10 2 2 7 6" xfId="24461"/>
    <cellStyle name="Normal 10 2 2 8" xfId="2915"/>
    <cellStyle name="Normal 10 2 2 8 2" xfId="6136"/>
    <cellStyle name="Normal 10 2 2 8 2 2" xfId="22236"/>
    <cellStyle name="Normal 10 2 2 8 2 2 2" xfId="44823"/>
    <cellStyle name="Normal 10 2 2 8 2 3" xfId="12576"/>
    <cellStyle name="Normal 10 2 2 8 2 3 2" xfId="35163"/>
    <cellStyle name="Normal 10 2 2 8 2 4" xfId="28723"/>
    <cellStyle name="Normal 10 2 2 8 3" xfId="19016"/>
    <cellStyle name="Normal 10 2 2 8 3 2" xfId="41603"/>
    <cellStyle name="Normal 10 2 2 8 4" xfId="15796"/>
    <cellStyle name="Normal 10 2 2 8 4 2" xfId="38383"/>
    <cellStyle name="Normal 10 2 2 8 5" xfId="9356"/>
    <cellStyle name="Normal 10 2 2 8 5 2" xfId="31943"/>
    <cellStyle name="Normal 10 2 2 8 6" xfId="25503"/>
    <cellStyle name="Normal 10 2 2 9" xfId="3206"/>
    <cellStyle name="Normal 10 2 2 9 2" xfId="6426"/>
    <cellStyle name="Normal 10 2 2 9 2 2" xfId="22526"/>
    <cellStyle name="Normal 10 2 2 9 2 2 2" xfId="45113"/>
    <cellStyle name="Normal 10 2 2 9 2 3" xfId="12866"/>
    <cellStyle name="Normal 10 2 2 9 2 3 2" xfId="35453"/>
    <cellStyle name="Normal 10 2 2 9 2 4" xfId="29013"/>
    <cellStyle name="Normal 10 2 2 9 3" xfId="19306"/>
    <cellStyle name="Normal 10 2 2 9 3 2" xfId="41893"/>
    <cellStyle name="Normal 10 2 2 9 4" xfId="16086"/>
    <cellStyle name="Normal 10 2 2 9 4 2" xfId="38673"/>
    <cellStyle name="Normal 10 2 2 9 5" xfId="9646"/>
    <cellStyle name="Normal 10 2 2 9 5 2" xfId="32233"/>
    <cellStyle name="Normal 10 2 2 9 6" xfId="25793"/>
    <cellStyle name="Normal 10 2 3" xfId="274"/>
    <cellStyle name="Normal 10 2 3 10" xfId="3561"/>
    <cellStyle name="Normal 10 2 3 10 2" xfId="19661"/>
    <cellStyle name="Normal 10 2 3 10 2 2" xfId="42248"/>
    <cellStyle name="Normal 10 2 3 10 3" xfId="10001"/>
    <cellStyle name="Normal 10 2 3 10 3 2" xfId="32588"/>
    <cellStyle name="Normal 10 2 3 10 4" xfId="26148"/>
    <cellStyle name="Normal 10 2 3 11" xfId="16441"/>
    <cellStyle name="Normal 10 2 3 11 2" xfId="39028"/>
    <cellStyle name="Normal 10 2 3 12" xfId="13221"/>
    <cellStyle name="Normal 10 2 3 12 2" xfId="35808"/>
    <cellStyle name="Normal 10 2 3 13" xfId="6781"/>
    <cellStyle name="Normal 10 2 3 13 2" xfId="29368"/>
    <cellStyle name="Normal 10 2 3 14" xfId="22928"/>
    <cellStyle name="Normal 10 2 3 2" xfId="698"/>
    <cellStyle name="Normal 10 2 3 2 2" xfId="1062"/>
    <cellStyle name="Normal 10 2 3 2 2 2" xfId="2376"/>
    <cellStyle name="Normal 10 2 3 2 2 2 2" xfId="5597"/>
    <cellStyle name="Normal 10 2 3 2 2 2 2 2" xfId="21697"/>
    <cellStyle name="Normal 10 2 3 2 2 2 2 2 2" xfId="44284"/>
    <cellStyle name="Normal 10 2 3 2 2 2 2 3" xfId="12037"/>
    <cellStyle name="Normal 10 2 3 2 2 2 2 3 2" xfId="34624"/>
    <cellStyle name="Normal 10 2 3 2 2 2 2 4" xfId="28184"/>
    <cellStyle name="Normal 10 2 3 2 2 2 3" xfId="18477"/>
    <cellStyle name="Normal 10 2 3 2 2 2 3 2" xfId="41064"/>
    <cellStyle name="Normal 10 2 3 2 2 2 4" xfId="15257"/>
    <cellStyle name="Normal 10 2 3 2 2 2 4 2" xfId="37844"/>
    <cellStyle name="Normal 10 2 3 2 2 2 5" xfId="8817"/>
    <cellStyle name="Normal 10 2 3 2 2 2 5 2" xfId="31404"/>
    <cellStyle name="Normal 10 2 3 2 2 2 6" xfId="24964"/>
    <cellStyle name="Normal 10 2 3 2 2 3" xfId="4289"/>
    <cellStyle name="Normal 10 2 3 2 2 3 2" xfId="20389"/>
    <cellStyle name="Normal 10 2 3 2 2 3 2 2" xfId="42976"/>
    <cellStyle name="Normal 10 2 3 2 2 3 3" xfId="10729"/>
    <cellStyle name="Normal 10 2 3 2 2 3 3 2" xfId="33316"/>
    <cellStyle name="Normal 10 2 3 2 2 3 4" xfId="26876"/>
    <cellStyle name="Normal 10 2 3 2 2 4" xfId="17169"/>
    <cellStyle name="Normal 10 2 3 2 2 4 2" xfId="39756"/>
    <cellStyle name="Normal 10 2 3 2 2 5" xfId="13949"/>
    <cellStyle name="Normal 10 2 3 2 2 5 2" xfId="36536"/>
    <cellStyle name="Normal 10 2 3 2 2 6" xfId="7509"/>
    <cellStyle name="Normal 10 2 3 2 2 6 2" xfId="30096"/>
    <cellStyle name="Normal 10 2 3 2 2 7" xfId="23656"/>
    <cellStyle name="Normal 10 2 3 2 3" xfId="1409"/>
    <cellStyle name="Normal 10 2 3 2 3 2" xfId="2723"/>
    <cellStyle name="Normal 10 2 3 2 3 2 2" xfId="5944"/>
    <cellStyle name="Normal 10 2 3 2 3 2 2 2" xfId="22044"/>
    <cellStyle name="Normal 10 2 3 2 3 2 2 2 2" xfId="44631"/>
    <cellStyle name="Normal 10 2 3 2 3 2 2 3" xfId="12384"/>
    <cellStyle name="Normal 10 2 3 2 3 2 2 3 2" xfId="34971"/>
    <cellStyle name="Normal 10 2 3 2 3 2 2 4" xfId="28531"/>
    <cellStyle name="Normal 10 2 3 2 3 2 3" xfId="18824"/>
    <cellStyle name="Normal 10 2 3 2 3 2 3 2" xfId="41411"/>
    <cellStyle name="Normal 10 2 3 2 3 2 4" xfId="15604"/>
    <cellStyle name="Normal 10 2 3 2 3 2 4 2" xfId="38191"/>
    <cellStyle name="Normal 10 2 3 2 3 2 5" xfId="9164"/>
    <cellStyle name="Normal 10 2 3 2 3 2 5 2" xfId="31751"/>
    <cellStyle name="Normal 10 2 3 2 3 2 6" xfId="25311"/>
    <cellStyle name="Normal 10 2 3 2 3 3" xfId="4636"/>
    <cellStyle name="Normal 10 2 3 2 3 3 2" xfId="20736"/>
    <cellStyle name="Normal 10 2 3 2 3 3 2 2" xfId="43323"/>
    <cellStyle name="Normal 10 2 3 2 3 3 3" xfId="11076"/>
    <cellStyle name="Normal 10 2 3 2 3 3 3 2" xfId="33663"/>
    <cellStyle name="Normal 10 2 3 2 3 3 4" xfId="27223"/>
    <cellStyle name="Normal 10 2 3 2 3 4" xfId="17516"/>
    <cellStyle name="Normal 10 2 3 2 3 4 2" xfId="40103"/>
    <cellStyle name="Normal 10 2 3 2 3 5" xfId="14296"/>
    <cellStyle name="Normal 10 2 3 2 3 5 2" xfId="36883"/>
    <cellStyle name="Normal 10 2 3 2 3 6" xfId="7856"/>
    <cellStyle name="Normal 10 2 3 2 3 6 2" xfId="30443"/>
    <cellStyle name="Normal 10 2 3 2 3 7" xfId="24003"/>
    <cellStyle name="Normal 10 2 3 2 4" xfId="2028"/>
    <cellStyle name="Normal 10 2 3 2 4 2" xfId="5250"/>
    <cellStyle name="Normal 10 2 3 2 4 2 2" xfId="21350"/>
    <cellStyle name="Normal 10 2 3 2 4 2 2 2" xfId="43937"/>
    <cellStyle name="Normal 10 2 3 2 4 2 3" xfId="11690"/>
    <cellStyle name="Normal 10 2 3 2 4 2 3 2" xfId="34277"/>
    <cellStyle name="Normal 10 2 3 2 4 2 4" xfId="27837"/>
    <cellStyle name="Normal 10 2 3 2 4 3" xfId="18130"/>
    <cellStyle name="Normal 10 2 3 2 4 3 2" xfId="40717"/>
    <cellStyle name="Normal 10 2 3 2 4 4" xfId="14910"/>
    <cellStyle name="Normal 10 2 3 2 4 4 2" xfId="37497"/>
    <cellStyle name="Normal 10 2 3 2 4 5" xfId="8470"/>
    <cellStyle name="Normal 10 2 3 2 4 5 2" xfId="31057"/>
    <cellStyle name="Normal 10 2 3 2 4 6" xfId="24617"/>
    <cellStyle name="Normal 10 2 3 2 5" xfId="3942"/>
    <cellStyle name="Normal 10 2 3 2 5 2" xfId="20042"/>
    <cellStyle name="Normal 10 2 3 2 5 2 2" xfId="42629"/>
    <cellStyle name="Normal 10 2 3 2 5 3" xfId="10382"/>
    <cellStyle name="Normal 10 2 3 2 5 3 2" xfId="32969"/>
    <cellStyle name="Normal 10 2 3 2 5 4" xfId="26529"/>
    <cellStyle name="Normal 10 2 3 2 6" xfId="16822"/>
    <cellStyle name="Normal 10 2 3 2 6 2" xfId="39409"/>
    <cellStyle name="Normal 10 2 3 2 7" xfId="13602"/>
    <cellStyle name="Normal 10 2 3 2 7 2" xfId="36189"/>
    <cellStyle name="Normal 10 2 3 2 8" xfId="7162"/>
    <cellStyle name="Normal 10 2 3 2 8 2" xfId="29749"/>
    <cellStyle name="Normal 10 2 3 2 9" xfId="23309"/>
    <cellStyle name="Normal 10 2 3 3" xfId="941"/>
    <cellStyle name="Normal 10 2 3 3 2" xfId="2260"/>
    <cellStyle name="Normal 10 2 3 3 2 2" xfId="5481"/>
    <cellStyle name="Normal 10 2 3 3 2 2 2" xfId="21581"/>
    <cellStyle name="Normal 10 2 3 3 2 2 2 2" xfId="44168"/>
    <cellStyle name="Normal 10 2 3 3 2 2 3" xfId="11921"/>
    <cellStyle name="Normal 10 2 3 3 2 2 3 2" xfId="34508"/>
    <cellStyle name="Normal 10 2 3 3 2 2 4" xfId="28068"/>
    <cellStyle name="Normal 10 2 3 3 2 3" xfId="18361"/>
    <cellStyle name="Normal 10 2 3 3 2 3 2" xfId="40948"/>
    <cellStyle name="Normal 10 2 3 3 2 4" xfId="15141"/>
    <cellStyle name="Normal 10 2 3 3 2 4 2" xfId="37728"/>
    <cellStyle name="Normal 10 2 3 3 2 5" xfId="8701"/>
    <cellStyle name="Normal 10 2 3 3 2 5 2" xfId="31288"/>
    <cellStyle name="Normal 10 2 3 3 2 6" xfId="24848"/>
    <cellStyle name="Normal 10 2 3 3 3" xfId="4173"/>
    <cellStyle name="Normal 10 2 3 3 3 2" xfId="20273"/>
    <cellStyle name="Normal 10 2 3 3 3 2 2" xfId="42860"/>
    <cellStyle name="Normal 10 2 3 3 3 3" xfId="10613"/>
    <cellStyle name="Normal 10 2 3 3 3 3 2" xfId="33200"/>
    <cellStyle name="Normal 10 2 3 3 3 4" xfId="26760"/>
    <cellStyle name="Normal 10 2 3 3 4" xfId="17053"/>
    <cellStyle name="Normal 10 2 3 3 4 2" xfId="39640"/>
    <cellStyle name="Normal 10 2 3 3 5" xfId="13833"/>
    <cellStyle name="Normal 10 2 3 3 5 2" xfId="36420"/>
    <cellStyle name="Normal 10 2 3 3 6" xfId="7393"/>
    <cellStyle name="Normal 10 2 3 3 6 2" xfId="29980"/>
    <cellStyle name="Normal 10 2 3 3 7" xfId="23540"/>
    <cellStyle name="Normal 10 2 3 4" xfId="1293"/>
    <cellStyle name="Normal 10 2 3 4 2" xfId="2607"/>
    <cellStyle name="Normal 10 2 3 4 2 2" xfId="5828"/>
    <cellStyle name="Normal 10 2 3 4 2 2 2" xfId="21928"/>
    <cellStyle name="Normal 10 2 3 4 2 2 2 2" xfId="44515"/>
    <cellStyle name="Normal 10 2 3 4 2 2 3" xfId="12268"/>
    <cellStyle name="Normal 10 2 3 4 2 2 3 2" xfId="34855"/>
    <cellStyle name="Normal 10 2 3 4 2 2 4" xfId="28415"/>
    <cellStyle name="Normal 10 2 3 4 2 3" xfId="18708"/>
    <cellStyle name="Normal 10 2 3 4 2 3 2" xfId="41295"/>
    <cellStyle name="Normal 10 2 3 4 2 4" xfId="15488"/>
    <cellStyle name="Normal 10 2 3 4 2 4 2" xfId="38075"/>
    <cellStyle name="Normal 10 2 3 4 2 5" xfId="9048"/>
    <cellStyle name="Normal 10 2 3 4 2 5 2" xfId="31635"/>
    <cellStyle name="Normal 10 2 3 4 2 6" xfId="25195"/>
    <cellStyle name="Normal 10 2 3 4 3" xfId="4520"/>
    <cellStyle name="Normal 10 2 3 4 3 2" xfId="20620"/>
    <cellStyle name="Normal 10 2 3 4 3 2 2" xfId="43207"/>
    <cellStyle name="Normal 10 2 3 4 3 3" xfId="10960"/>
    <cellStyle name="Normal 10 2 3 4 3 3 2" xfId="33547"/>
    <cellStyle name="Normal 10 2 3 4 3 4" xfId="27107"/>
    <cellStyle name="Normal 10 2 3 4 4" xfId="17400"/>
    <cellStyle name="Normal 10 2 3 4 4 2" xfId="39987"/>
    <cellStyle name="Normal 10 2 3 4 5" xfId="14180"/>
    <cellStyle name="Normal 10 2 3 4 5 2" xfId="36767"/>
    <cellStyle name="Normal 10 2 3 4 6" xfId="7740"/>
    <cellStyle name="Normal 10 2 3 4 6 2" xfId="30327"/>
    <cellStyle name="Normal 10 2 3 4 7" xfId="23887"/>
    <cellStyle name="Normal 10 2 3 5" xfId="1545"/>
    <cellStyle name="Normal 10 2 3 5 2" xfId="4771"/>
    <cellStyle name="Normal 10 2 3 5 2 2" xfId="20871"/>
    <cellStyle name="Normal 10 2 3 5 2 2 2" xfId="43458"/>
    <cellStyle name="Normal 10 2 3 5 2 3" xfId="11211"/>
    <cellStyle name="Normal 10 2 3 5 2 3 2" xfId="33798"/>
    <cellStyle name="Normal 10 2 3 5 2 4" xfId="27358"/>
    <cellStyle name="Normal 10 2 3 5 3" xfId="17651"/>
    <cellStyle name="Normal 10 2 3 5 3 2" xfId="40238"/>
    <cellStyle name="Normal 10 2 3 5 4" xfId="14431"/>
    <cellStyle name="Normal 10 2 3 5 4 2" xfId="37018"/>
    <cellStyle name="Normal 10 2 3 5 5" xfId="7991"/>
    <cellStyle name="Normal 10 2 3 5 5 2" xfId="30578"/>
    <cellStyle name="Normal 10 2 3 5 6" xfId="24138"/>
    <cellStyle name="Normal 10 2 3 6" xfId="1912"/>
    <cellStyle name="Normal 10 2 3 6 2" xfId="5134"/>
    <cellStyle name="Normal 10 2 3 6 2 2" xfId="21234"/>
    <cellStyle name="Normal 10 2 3 6 2 2 2" xfId="43821"/>
    <cellStyle name="Normal 10 2 3 6 2 3" xfId="11574"/>
    <cellStyle name="Normal 10 2 3 6 2 3 2" xfId="34161"/>
    <cellStyle name="Normal 10 2 3 6 2 4" xfId="27721"/>
    <cellStyle name="Normal 10 2 3 6 3" xfId="18014"/>
    <cellStyle name="Normal 10 2 3 6 3 2" xfId="40601"/>
    <cellStyle name="Normal 10 2 3 6 4" xfId="14794"/>
    <cellStyle name="Normal 10 2 3 6 4 2" xfId="37381"/>
    <cellStyle name="Normal 10 2 3 6 5" xfId="8354"/>
    <cellStyle name="Normal 10 2 3 6 5 2" xfId="30941"/>
    <cellStyle name="Normal 10 2 3 6 6" xfId="24501"/>
    <cellStyle name="Normal 10 2 3 7" xfId="2981"/>
    <cellStyle name="Normal 10 2 3 7 2" xfId="6201"/>
    <cellStyle name="Normal 10 2 3 7 2 2" xfId="22301"/>
    <cellStyle name="Normal 10 2 3 7 2 2 2" xfId="44888"/>
    <cellStyle name="Normal 10 2 3 7 2 3" xfId="12641"/>
    <cellStyle name="Normal 10 2 3 7 2 3 2" xfId="35228"/>
    <cellStyle name="Normal 10 2 3 7 2 4" xfId="28788"/>
    <cellStyle name="Normal 10 2 3 7 3" xfId="19081"/>
    <cellStyle name="Normal 10 2 3 7 3 2" xfId="41668"/>
    <cellStyle name="Normal 10 2 3 7 4" xfId="15861"/>
    <cellStyle name="Normal 10 2 3 7 4 2" xfId="38448"/>
    <cellStyle name="Normal 10 2 3 7 5" xfId="9421"/>
    <cellStyle name="Normal 10 2 3 7 5 2" xfId="32008"/>
    <cellStyle name="Normal 10 2 3 7 6" xfId="25568"/>
    <cellStyle name="Normal 10 2 3 8" xfId="3271"/>
    <cellStyle name="Normal 10 2 3 8 2" xfId="6491"/>
    <cellStyle name="Normal 10 2 3 8 2 2" xfId="22591"/>
    <cellStyle name="Normal 10 2 3 8 2 2 2" xfId="45178"/>
    <cellStyle name="Normal 10 2 3 8 2 3" xfId="12931"/>
    <cellStyle name="Normal 10 2 3 8 2 3 2" xfId="35518"/>
    <cellStyle name="Normal 10 2 3 8 2 4" xfId="29078"/>
    <cellStyle name="Normal 10 2 3 8 3" xfId="19371"/>
    <cellStyle name="Normal 10 2 3 8 3 2" xfId="41958"/>
    <cellStyle name="Normal 10 2 3 8 4" xfId="16151"/>
    <cellStyle name="Normal 10 2 3 8 4 2" xfId="38738"/>
    <cellStyle name="Normal 10 2 3 8 5" xfId="9711"/>
    <cellStyle name="Normal 10 2 3 8 5 2" xfId="32298"/>
    <cellStyle name="Normal 10 2 3 8 6" xfId="25858"/>
    <cellStyle name="Normal 10 2 3 9" xfId="539"/>
    <cellStyle name="Normal 10 2 3 9 2" xfId="3826"/>
    <cellStyle name="Normal 10 2 3 9 2 2" xfId="19926"/>
    <cellStyle name="Normal 10 2 3 9 2 2 2" xfId="42513"/>
    <cellStyle name="Normal 10 2 3 9 2 3" xfId="10266"/>
    <cellStyle name="Normal 10 2 3 9 2 3 2" xfId="32853"/>
    <cellStyle name="Normal 10 2 3 9 2 4" xfId="26413"/>
    <cellStyle name="Normal 10 2 3 9 3" xfId="16706"/>
    <cellStyle name="Normal 10 2 3 9 3 2" xfId="39293"/>
    <cellStyle name="Normal 10 2 3 9 4" xfId="13486"/>
    <cellStyle name="Normal 10 2 3 9 4 2" xfId="36073"/>
    <cellStyle name="Normal 10 2 3 9 5" xfId="7046"/>
    <cellStyle name="Normal 10 2 3 9 5 2" xfId="29633"/>
    <cellStyle name="Normal 10 2 3 9 6" xfId="23193"/>
    <cellStyle name="Normal 10 2 4" xfId="365"/>
    <cellStyle name="Normal 10 2 4 10" xfId="16532"/>
    <cellStyle name="Normal 10 2 4 10 2" xfId="39119"/>
    <cellStyle name="Normal 10 2 4 11" xfId="13312"/>
    <cellStyle name="Normal 10 2 4 11 2" xfId="35899"/>
    <cellStyle name="Normal 10 2 4 12" xfId="6872"/>
    <cellStyle name="Normal 10 2 4 12 2" xfId="29459"/>
    <cellStyle name="Normal 10 2 4 13" xfId="23019"/>
    <cellStyle name="Normal 10 2 4 2" xfId="988"/>
    <cellStyle name="Normal 10 2 4 2 2" xfId="2302"/>
    <cellStyle name="Normal 10 2 4 2 2 2" xfId="5523"/>
    <cellStyle name="Normal 10 2 4 2 2 2 2" xfId="21623"/>
    <cellStyle name="Normal 10 2 4 2 2 2 2 2" xfId="44210"/>
    <cellStyle name="Normal 10 2 4 2 2 2 3" xfId="11963"/>
    <cellStyle name="Normal 10 2 4 2 2 2 3 2" xfId="34550"/>
    <cellStyle name="Normal 10 2 4 2 2 2 4" xfId="28110"/>
    <cellStyle name="Normal 10 2 4 2 2 3" xfId="18403"/>
    <cellStyle name="Normal 10 2 4 2 2 3 2" xfId="40990"/>
    <cellStyle name="Normal 10 2 4 2 2 4" xfId="15183"/>
    <cellStyle name="Normal 10 2 4 2 2 4 2" xfId="37770"/>
    <cellStyle name="Normal 10 2 4 2 2 5" xfId="8743"/>
    <cellStyle name="Normal 10 2 4 2 2 5 2" xfId="31330"/>
    <cellStyle name="Normal 10 2 4 2 2 6" xfId="24890"/>
    <cellStyle name="Normal 10 2 4 2 3" xfId="4215"/>
    <cellStyle name="Normal 10 2 4 2 3 2" xfId="20315"/>
    <cellStyle name="Normal 10 2 4 2 3 2 2" xfId="42902"/>
    <cellStyle name="Normal 10 2 4 2 3 3" xfId="10655"/>
    <cellStyle name="Normal 10 2 4 2 3 3 2" xfId="33242"/>
    <cellStyle name="Normal 10 2 4 2 3 4" xfId="26802"/>
    <cellStyle name="Normal 10 2 4 2 4" xfId="17095"/>
    <cellStyle name="Normal 10 2 4 2 4 2" xfId="39682"/>
    <cellStyle name="Normal 10 2 4 2 5" xfId="13875"/>
    <cellStyle name="Normal 10 2 4 2 5 2" xfId="36462"/>
    <cellStyle name="Normal 10 2 4 2 6" xfId="7435"/>
    <cellStyle name="Normal 10 2 4 2 6 2" xfId="30022"/>
    <cellStyle name="Normal 10 2 4 2 7" xfId="23582"/>
    <cellStyle name="Normal 10 2 4 3" xfId="1335"/>
    <cellStyle name="Normal 10 2 4 3 2" xfId="2649"/>
    <cellStyle name="Normal 10 2 4 3 2 2" xfId="5870"/>
    <cellStyle name="Normal 10 2 4 3 2 2 2" xfId="21970"/>
    <cellStyle name="Normal 10 2 4 3 2 2 2 2" xfId="44557"/>
    <cellStyle name="Normal 10 2 4 3 2 2 3" xfId="12310"/>
    <cellStyle name="Normal 10 2 4 3 2 2 3 2" xfId="34897"/>
    <cellStyle name="Normal 10 2 4 3 2 2 4" xfId="28457"/>
    <cellStyle name="Normal 10 2 4 3 2 3" xfId="18750"/>
    <cellStyle name="Normal 10 2 4 3 2 3 2" xfId="41337"/>
    <cellStyle name="Normal 10 2 4 3 2 4" xfId="15530"/>
    <cellStyle name="Normal 10 2 4 3 2 4 2" xfId="38117"/>
    <cellStyle name="Normal 10 2 4 3 2 5" xfId="9090"/>
    <cellStyle name="Normal 10 2 4 3 2 5 2" xfId="31677"/>
    <cellStyle name="Normal 10 2 4 3 2 6" xfId="25237"/>
    <cellStyle name="Normal 10 2 4 3 3" xfId="4562"/>
    <cellStyle name="Normal 10 2 4 3 3 2" xfId="20662"/>
    <cellStyle name="Normal 10 2 4 3 3 2 2" xfId="43249"/>
    <cellStyle name="Normal 10 2 4 3 3 3" xfId="11002"/>
    <cellStyle name="Normal 10 2 4 3 3 3 2" xfId="33589"/>
    <cellStyle name="Normal 10 2 4 3 3 4" xfId="27149"/>
    <cellStyle name="Normal 10 2 4 3 4" xfId="17442"/>
    <cellStyle name="Normal 10 2 4 3 4 2" xfId="40029"/>
    <cellStyle name="Normal 10 2 4 3 5" xfId="14222"/>
    <cellStyle name="Normal 10 2 4 3 5 2" xfId="36809"/>
    <cellStyle name="Normal 10 2 4 3 6" xfId="7782"/>
    <cellStyle name="Normal 10 2 4 3 6 2" xfId="30369"/>
    <cellStyle name="Normal 10 2 4 3 7" xfId="23929"/>
    <cellStyle name="Normal 10 2 4 4" xfId="1546"/>
    <cellStyle name="Normal 10 2 4 4 2" xfId="4772"/>
    <cellStyle name="Normal 10 2 4 4 2 2" xfId="20872"/>
    <cellStyle name="Normal 10 2 4 4 2 2 2" xfId="43459"/>
    <cellStyle name="Normal 10 2 4 4 2 3" xfId="11212"/>
    <cellStyle name="Normal 10 2 4 4 2 3 2" xfId="33799"/>
    <cellStyle name="Normal 10 2 4 4 2 4" xfId="27359"/>
    <cellStyle name="Normal 10 2 4 4 3" xfId="17652"/>
    <cellStyle name="Normal 10 2 4 4 3 2" xfId="40239"/>
    <cellStyle name="Normal 10 2 4 4 4" xfId="14432"/>
    <cellStyle name="Normal 10 2 4 4 4 2" xfId="37019"/>
    <cellStyle name="Normal 10 2 4 4 5" xfId="7992"/>
    <cellStyle name="Normal 10 2 4 4 5 2" xfId="30579"/>
    <cellStyle name="Normal 10 2 4 4 6" xfId="24139"/>
    <cellStyle name="Normal 10 2 4 5" xfId="1954"/>
    <cellStyle name="Normal 10 2 4 5 2" xfId="5176"/>
    <cellStyle name="Normal 10 2 4 5 2 2" xfId="21276"/>
    <cellStyle name="Normal 10 2 4 5 2 2 2" xfId="43863"/>
    <cellStyle name="Normal 10 2 4 5 2 3" xfId="11616"/>
    <cellStyle name="Normal 10 2 4 5 2 3 2" xfId="34203"/>
    <cellStyle name="Normal 10 2 4 5 2 4" xfId="27763"/>
    <cellStyle name="Normal 10 2 4 5 3" xfId="18056"/>
    <cellStyle name="Normal 10 2 4 5 3 2" xfId="40643"/>
    <cellStyle name="Normal 10 2 4 5 4" xfId="14836"/>
    <cellStyle name="Normal 10 2 4 5 4 2" xfId="37423"/>
    <cellStyle name="Normal 10 2 4 5 5" xfId="8396"/>
    <cellStyle name="Normal 10 2 4 5 5 2" xfId="30983"/>
    <cellStyle name="Normal 10 2 4 5 6" xfId="24543"/>
    <cellStyle name="Normal 10 2 4 6" xfId="3072"/>
    <cellStyle name="Normal 10 2 4 6 2" xfId="6292"/>
    <cellStyle name="Normal 10 2 4 6 2 2" xfId="22392"/>
    <cellStyle name="Normal 10 2 4 6 2 2 2" xfId="44979"/>
    <cellStyle name="Normal 10 2 4 6 2 3" xfId="12732"/>
    <cellStyle name="Normal 10 2 4 6 2 3 2" xfId="35319"/>
    <cellStyle name="Normal 10 2 4 6 2 4" xfId="28879"/>
    <cellStyle name="Normal 10 2 4 6 3" xfId="19172"/>
    <cellStyle name="Normal 10 2 4 6 3 2" xfId="41759"/>
    <cellStyle name="Normal 10 2 4 6 4" xfId="15952"/>
    <cellStyle name="Normal 10 2 4 6 4 2" xfId="38539"/>
    <cellStyle name="Normal 10 2 4 6 5" xfId="9512"/>
    <cellStyle name="Normal 10 2 4 6 5 2" xfId="32099"/>
    <cellStyle name="Normal 10 2 4 6 6" xfId="25659"/>
    <cellStyle name="Normal 10 2 4 7" xfId="3362"/>
    <cellStyle name="Normal 10 2 4 7 2" xfId="6582"/>
    <cellStyle name="Normal 10 2 4 7 2 2" xfId="22682"/>
    <cellStyle name="Normal 10 2 4 7 2 2 2" xfId="45269"/>
    <cellStyle name="Normal 10 2 4 7 2 3" xfId="13022"/>
    <cellStyle name="Normal 10 2 4 7 2 3 2" xfId="35609"/>
    <cellStyle name="Normal 10 2 4 7 2 4" xfId="29169"/>
    <cellStyle name="Normal 10 2 4 7 3" xfId="19462"/>
    <cellStyle name="Normal 10 2 4 7 3 2" xfId="42049"/>
    <cellStyle name="Normal 10 2 4 7 4" xfId="16242"/>
    <cellStyle name="Normal 10 2 4 7 4 2" xfId="38829"/>
    <cellStyle name="Normal 10 2 4 7 5" xfId="9802"/>
    <cellStyle name="Normal 10 2 4 7 5 2" xfId="32389"/>
    <cellStyle name="Normal 10 2 4 7 6" xfId="25949"/>
    <cellStyle name="Normal 10 2 4 8" xfId="624"/>
    <cellStyle name="Normal 10 2 4 8 2" xfId="3868"/>
    <cellStyle name="Normal 10 2 4 8 2 2" xfId="19968"/>
    <cellStyle name="Normal 10 2 4 8 2 2 2" xfId="42555"/>
    <cellStyle name="Normal 10 2 4 8 2 3" xfId="10308"/>
    <cellStyle name="Normal 10 2 4 8 2 3 2" xfId="32895"/>
    <cellStyle name="Normal 10 2 4 8 2 4" xfId="26455"/>
    <cellStyle name="Normal 10 2 4 8 3" xfId="16748"/>
    <cellStyle name="Normal 10 2 4 8 3 2" xfId="39335"/>
    <cellStyle name="Normal 10 2 4 8 4" xfId="13528"/>
    <cellStyle name="Normal 10 2 4 8 4 2" xfId="36115"/>
    <cellStyle name="Normal 10 2 4 8 5" xfId="7088"/>
    <cellStyle name="Normal 10 2 4 8 5 2" xfId="29675"/>
    <cellStyle name="Normal 10 2 4 8 6" xfId="23235"/>
    <cellStyle name="Normal 10 2 4 9" xfId="3652"/>
    <cellStyle name="Normal 10 2 4 9 2" xfId="19752"/>
    <cellStyle name="Normal 10 2 4 9 2 2" xfId="42339"/>
    <cellStyle name="Normal 10 2 4 9 3" xfId="10092"/>
    <cellStyle name="Normal 10 2 4 9 3 2" xfId="32679"/>
    <cellStyle name="Normal 10 2 4 9 4" xfId="26239"/>
    <cellStyle name="Normal 10 2 5" xfId="794"/>
    <cellStyle name="Normal 10 2 5 2" xfId="1146"/>
    <cellStyle name="Normal 10 2 5 2 2" xfId="2460"/>
    <cellStyle name="Normal 10 2 5 2 2 2" xfId="5681"/>
    <cellStyle name="Normal 10 2 5 2 2 2 2" xfId="21781"/>
    <cellStyle name="Normal 10 2 5 2 2 2 2 2" xfId="44368"/>
    <cellStyle name="Normal 10 2 5 2 2 2 3" xfId="12121"/>
    <cellStyle name="Normal 10 2 5 2 2 2 3 2" xfId="34708"/>
    <cellStyle name="Normal 10 2 5 2 2 2 4" xfId="28268"/>
    <cellStyle name="Normal 10 2 5 2 2 3" xfId="18561"/>
    <cellStyle name="Normal 10 2 5 2 2 3 2" xfId="41148"/>
    <cellStyle name="Normal 10 2 5 2 2 4" xfId="15341"/>
    <cellStyle name="Normal 10 2 5 2 2 4 2" xfId="37928"/>
    <cellStyle name="Normal 10 2 5 2 2 5" xfId="8901"/>
    <cellStyle name="Normal 10 2 5 2 2 5 2" xfId="31488"/>
    <cellStyle name="Normal 10 2 5 2 2 6" xfId="25048"/>
    <cellStyle name="Normal 10 2 5 2 3" xfId="4373"/>
    <cellStyle name="Normal 10 2 5 2 3 2" xfId="20473"/>
    <cellStyle name="Normal 10 2 5 2 3 2 2" xfId="43060"/>
    <cellStyle name="Normal 10 2 5 2 3 3" xfId="10813"/>
    <cellStyle name="Normal 10 2 5 2 3 3 2" xfId="33400"/>
    <cellStyle name="Normal 10 2 5 2 3 4" xfId="26960"/>
    <cellStyle name="Normal 10 2 5 2 4" xfId="17253"/>
    <cellStyle name="Normal 10 2 5 2 4 2" xfId="39840"/>
    <cellStyle name="Normal 10 2 5 2 5" xfId="14033"/>
    <cellStyle name="Normal 10 2 5 2 5 2" xfId="36620"/>
    <cellStyle name="Normal 10 2 5 2 6" xfId="7593"/>
    <cellStyle name="Normal 10 2 5 2 6 2" xfId="30180"/>
    <cellStyle name="Normal 10 2 5 2 7" xfId="23740"/>
    <cellStyle name="Normal 10 2 5 3" xfId="1493"/>
    <cellStyle name="Normal 10 2 5 3 2" xfId="2807"/>
    <cellStyle name="Normal 10 2 5 3 2 2" xfId="6028"/>
    <cellStyle name="Normal 10 2 5 3 2 2 2" xfId="22128"/>
    <cellStyle name="Normal 10 2 5 3 2 2 2 2" xfId="44715"/>
    <cellStyle name="Normal 10 2 5 3 2 2 3" xfId="12468"/>
    <cellStyle name="Normal 10 2 5 3 2 2 3 2" xfId="35055"/>
    <cellStyle name="Normal 10 2 5 3 2 2 4" xfId="28615"/>
    <cellStyle name="Normal 10 2 5 3 2 3" xfId="18908"/>
    <cellStyle name="Normal 10 2 5 3 2 3 2" xfId="41495"/>
    <cellStyle name="Normal 10 2 5 3 2 4" xfId="15688"/>
    <cellStyle name="Normal 10 2 5 3 2 4 2" xfId="38275"/>
    <cellStyle name="Normal 10 2 5 3 2 5" xfId="9248"/>
    <cellStyle name="Normal 10 2 5 3 2 5 2" xfId="31835"/>
    <cellStyle name="Normal 10 2 5 3 2 6" xfId="25395"/>
    <cellStyle name="Normal 10 2 5 3 3" xfId="4720"/>
    <cellStyle name="Normal 10 2 5 3 3 2" xfId="20820"/>
    <cellStyle name="Normal 10 2 5 3 3 2 2" xfId="43407"/>
    <cellStyle name="Normal 10 2 5 3 3 3" xfId="11160"/>
    <cellStyle name="Normal 10 2 5 3 3 3 2" xfId="33747"/>
    <cellStyle name="Normal 10 2 5 3 3 4" xfId="27307"/>
    <cellStyle name="Normal 10 2 5 3 4" xfId="17600"/>
    <cellStyle name="Normal 10 2 5 3 4 2" xfId="40187"/>
    <cellStyle name="Normal 10 2 5 3 5" xfId="14380"/>
    <cellStyle name="Normal 10 2 5 3 5 2" xfId="36967"/>
    <cellStyle name="Normal 10 2 5 3 6" xfId="7940"/>
    <cellStyle name="Normal 10 2 5 3 6 2" xfId="30527"/>
    <cellStyle name="Normal 10 2 5 3 7" xfId="24087"/>
    <cellStyle name="Normal 10 2 5 4" xfId="2113"/>
    <cellStyle name="Normal 10 2 5 4 2" xfId="5334"/>
    <cellStyle name="Normal 10 2 5 4 2 2" xfId="21434"/>
    <cellStyle name="Normal 10 2 5 4 2 2 2" xfId="44021"/>
    <cellStyle name="Normal 10 2 5 4 2 3" xfId="11774"/>
    <cellStyle name="Normal 10 2 5 4 2 3 2" xfId="34361"/>
    <cellStyle name="Normal 10 2 5 4 2 4" xfId="27921"/>
    <cellStyle name="Normal 10 2 5 4 3" xfId="18214"/>
    <cellStyle name="Normal 10 2 5 4 3 2" xfId="40801"/>
    <cellStyle name="Normal 10 2 5 4 4" xfId="14994"/>
    <cellStyle name="Normal 10 2 5 4 4 2" xfId="37581"/>
    <cellStyle name="Normal 10 2 5 4 5" xfId="8554"/>
    <cellStyle name="Normal 10 2 5 4 5 2" xfId="31141"/>
    <cellStyle name="Normal 10 2 5 4 6" xfId="24701"/>
    <cellStyle name="Normal 10 2 5 5" xfId="4026"/>
    <cellStyle name="Normal 10 2 5 5 2" xfId="20126"/>
    <cellStyle name="Normal 10 2 5 5 2 2" xfId="42713"/>
    <cellStyle name="Normal 10 2 5 5 3" xfId="10466"/>
    <cellStyle name="Normal 10 2 5 5 3 2" xfId="33053"/>
    <cellStyle name="Normal 10 2 5 5 4" xfId="26613"/>
    <cellStyle name="Normal 10 2 5 6" xfId="16906"/>
    <cellStyle name="Normal 10 2 5 6 2" xfId="39493"/>
    <cellStyle name="Normal 10 2 5 7" xfId="13686"/>
    <cellStyle name="Normal 10 2 5 7 2" xfId="36273"/>
    <cellStyle name="Normal 10 2 5 8" xfId="7246"/>
    <cellStyle name="Normal 10 2 5 8 2" xfId="29833"/>
    <cellStyle name="Normal 10 2 5 9" xfId="23393"/>
    <cellStyle name="Normal 10 2 6" xfId="864"/>
    <cellStyle name="Normal 10 2 6 2" xfId="2183"/>
    <cellStyle name="Normal 10 2 6 2 2" xfId="5404"/>
    <cellStyle name="Normal 10 2 6 2 2 2" xfId="21504"/>
    <cellStyle name="Normal 10 2 6 2 2 2 2" xfId="44091"/>
    <cellStyle name="Normal 10 2 6 2 2 3" xfId="11844"/>
    <cellStyle name="Normal 10 2 6 2 2 3 2" xfId="34431"/>
    <cellStyle name="Normal 10 2 6 2 2 4" xfId="27991"/>
    <cellStyle name="Normal 10 2 6 2 3" xfId="18284"/>
    <cellStyle name="Normal 10 2 6 2 3 2" xfId="40871"/>
    <cellStyle name="Normal 10 2 6 2 4" xfId="15064"/>
    <cellStyle name="Normal 10 2 6 2 4 2" xfId="37651"/>
    <cellStyle name="Normal 10 2 6 2 5" xfId="8624"/>
    <cellStyle name="Normal 10 2 6 2 5 2" xfId="31211"/>
    <cellStyle name="Normal 10 2 6 2 6" xfId="24771"/>
    <cellStyle name="Normal 10 2 6 3" xfId="4096"/>
    <cellStyle name="Normal 10 2 6 3 2" xfId="20196"/>
    <cellStyle name="Normal 10 2 6 3 2 2" xfId="42783"/>
    <cellStyle name="Normal 10 2 6 3 3" xfId="10536"/>
    <cellStyle name="Normal 10 2 6 3 3 2" xfId="33123"/>
    <cellStyle name="Normal 10 2 6 3 4" xfId="26683"/>
    <cellStyle name="Normal 10 2 6 4" xfId="16976"/>
    <cellStyle name="Normal 10 2 6 4 2" xfId="39563"/>
    <cellStyle name="Normal 10 2 6 5" xfId="13756"/>
    <cellStyle name="Normal 10 2 6 5 2" xfId="36343"/>
    <cellStyle name="Normal 10 2 6 6" xfId="7316"/>
    <cellStyle name="Normal 10 2 6 6 2" xfId="29903"/>
    <cellStyle name="Normal 10 2 6 7" xfId="23463"/>
    <cellStyle name="Normal 10 2 7" xfId="1216"/>
    <cellStyle name="Normal 10 2 7 2" xfId="2530"/>
    <cellStyle name="Normal 10 2 7 2 2" xfId="5751"/>
    <cellStyle name="Normal 10 2 7 2 2 2" xfId="21851"/>
    <cellStyle name="Normal 10 2 7 2 2 2 2" xfId="44438"/>
    <cellStyle name="Normal 10 2 7 2 2 3" xfId="12191"/>
    <cellStyle name="Normal 10 2 7 2 2 3 2" xfId="34778"/>
    <cellStyle name="Normal 10 2 7 2 2 4" xfId="28338"/>
    <cellStyle name="Normal 10 2 7 2 3" xfId="18631"/>
    <cellStyle name="Normal 10 2 7 2 3 2" xfId="41218"/>
    <cellStyle name="Normal 10 2 7 2 4" xfId="15411"/>
    <cellStyle name="Normal 10 2 7 2 4 2" xfId="37998"/>
    <cellStyle name="Normal 10 2 7 2 5" xfId="8971"/>
    <cellStyle name="Normal 10 2 7 2 5 2" xfId="31558"/>
    <cellStyle name="Normal 10 2 7 2 6" xfId="25118"/>
    <cellStyle name="Normal 10 2 7 3" xfId="4443"/>
    <cellStyle name="Normal 10 2 7 3 2" xfId="20543"/>
    <cellStyle name="Normal 10 2 7 3 2 2" xfId="43130"/>
    <cellStyle name="Normal 10 2 7 3 3" xfId="10883"/>
    <cellStyle name="Normal 10 2 7 3 3 2" xfId="33470"/>
    <cellStyle name="Normal 10 2 7 3 4" xfId="27030"/>
    <cellStyle name="Normal 10 2 7 4" xfId="17323"/>
    <cellStyle name="Normal 10 2 7 4 2" xfId="39910"/>
    <cellStyle name="Normal 10 2 7 5" xfId="14103"/>
    <cellStyle name="Normal 10 2 7 5 2" xfId="36690"/>
    <cellStyle name="Normal 10 2 7 6" xfId="7663"/>
    <cellStyle name="Normal 10 2 7 6 2" xfId="30250"/>
    <cellStyle name="Normal 10 2 7 7" xfId="23810"/>
    <cellStyle name="Normal 10 2 8" xfId="1547"/>
    <cellStyle name="Normal 10 2 8 2" xfId="4773"/>
    <cellStyle name="Normal 10 2 8 2 2" xfId="20873"/>
    <cellStyle name="Normal 10 2 8 2 2 2" xfId="43460"/>
    <cellStyle name="Normal 10 2 8 2 3" xfId="11213"/>
    <cellStyle name="Normal 10 2 8 2 3 2" xfId="33800"/>
    <cellStyle name="Normal 10 2 8 2 4" xfId="27360"/>
    <cellStyle name="Normal 10 2 8 3" xfId="17653"/>
    <cellStyle name="Normal 10 2 8 3 2" xfId="40240"/>
    <cellStyle name="Normal 10 2 8 4" xfId="14433"/>
    <cellStyle name="Normal 10 2 8 4 2" xfId="37020"/>
    <cellStyle name="Normal 10 2 8 5" xfId="7993"/>
    <cellStyle name="Normal 10 2 8 5 2" xfId="30580"/>
    <cellStyle name="Normal 10 2 8 6" xfId="24140"/>
    <cellStyle name="Normal 10 2 9" xfId="1835"/>
    <cellStyle name="Normal 10 2 9 2" xfId="5057"/>
    <cellStyle name="Normal 10 2 9 2 2" xfId="21157"/>
    <cellStyle name="Normal 10 2 9 2 2 2" xfId="43744"/>
    <cellStyle name="Normal 10 2 9 2 3" xfId="11497"/>
    <cellStyle name="Normal 10 2 9 2 3 2" xfId="34084"/>
    <cellStyle name="Normal 10 2 9 2 4" xfId="27644"/>
    <cellStyle name="Normal 10 2 9 3" xfId="17937"/>
    <cellStyle name="Normal 10 2 9 3 2" xfId="40524"/>
    <cellStyle name="Normal 10 2 9 4" xfId="14717"/>
    <cellStyle name="Normal 10 2 9 4 2" xfId="37304"/>
    <cellStyle name="Normal 10 2 9 5" xfId="8277"/>
    <cellStyle name="Normal 10 2 9 5 2" xfId="30864"/>
    <cellStyle name="Normal 10 2 9 6" xfId="24424"/>
    <cellStyle name="Normal 10 20" xfId="45344"/>
    <cellStyle name="Normal 10 3" xfId="141"/>
    <cellStyle name="Normal 10 3 10" xfId="479"/>
    <cellStyle name="Normal 10 3 10 2" xfId="3766"/>
    <cellStyle name="Normal 10 3 10 2 2" xfId="19866"/>
    <cellStyle name="Normal 10 3 10 2 2 2" xfId="42453"/>
    <cellStyle name="Normal 10 3 10 2 3" xfId="10206"/>
    <cellStyle name="Normal 10 3 10 2 3 2" xfId="32793"/>
    <cellStyle name="Normal 10 3 10 2 4" xfId="26353"/>
    <cellStyle name="Normal 10 3 10 3" xfId="16646"/>
    <cellStyle name="Normal 10 3 10 3 2" xfId="39233"/>
    <cellStyle name="Normal 10 3 10 4" xfId="13426"/>
    <cellStyle name="Normal 10 3 10 4 2" xfId="36013"/>
    <cellStyle name="Normal 10 3 10 5" xfId="6986"/>
    <cellStyle name="Normal 10 3 10 5 2" xfId="29573"/>
    <cellStyle name="Normal 10 3 10 6" xfId="23133"/>
    <cellStyle name="Normal 10 3 11" xfId="3476"/>
    <cellStyle name="Normal 10 3 11 2" xfId="19576"/>
    <cellStyle name="Normal 10 3 11 2 2" xfId="42163"/>
    <cellStyle name="Normal 10 3 11 3" xfId="9916"/>
    <cellStyle name="Normal 10 3 11 3 2" xfId="32503"/>
    <cellStyle name="Normal 10 3 11 4" xfId="26063"/>
    <cellStyle name="Normal 10 3 12" xfId="16356"/>
    <cellStyle name="Normal 10 3 12 2" xfId="38943"/>
    <cellStyle name="Normal 10 3 13" xfId="13136"/>
    <cellStyle name="Normal 10 3 13 2" xfId="35723"/>
    <cellStyle name="Normal 10 3 14" xfId="6696"/>
    <cellStyle name="Normal 10 3 14 2" xfId="29283"/>
    <cellStyle name="Normal 10 3 15" xfId="22843"/>
    <cellStyle name="Normal 10 3 2" xfId="287"/>
    <cellStyle name="Normal 10 3 2 10" xfId="16454"/>
    <cellStyle name="Normal 10 3 2 10 2" xfId="39041"/>
    <cellStyle name="Normal 10 3 2 11" xfId="13234"/>
    <cellStyle name="Normal 10 3 2 11 2" xfId="35821"/>
    <cellStyle name="Normal 10 3 2 12" xfId="6794"/>
    <cellStyle name="Normal 10 3 2 12 2" xfId="29381"/>
    <cellStyle name="Normal 10 3 2 13" xfId="22941"/>
    <cellStyle name="Normal 10 3 2 2" xfId="1005"/>
    <cellStyle name="Normal 10 3 2 2 2" xfId="2319"/>
    <cellStyle name="Normal 10 3 2 2 2 2" xfId="5540"/>
    <cellStyle name="Normal 10 3 2 2 2 2 2" xfId="21640"/>
    <cellStyle name="Normal 10 3 2 2 2 2 2 2" xfId="44227"/>
    <cellStyle name="Normal 10 3 2 2 2 2 3" xfId="11980"/>
    <cellStyle name="Normal 10 3 2 2 2 2 3 2" xfId="34567"/>
    <cellStyle name="Normal 10 3 2 2 2 2 4" xfId="28127"/>
    <cellStyle name="Normal 10 3 2 2 2 3" xfId="18420"/>
    <cellStyle name="Normal 10 3 2 2 2 3 2" xfId="41007"/>
    <cellStyle name="Normal 10 3 2 2 2 4" xfId="15200"/>
    <cellStyle name="Normal 10 3 2 2 2 4 2" xfId="37787"/>
    <cellStyle name="Normal 10 3 2 2 2 5" xfId="8760"/>
    <cellStyle name="Normal 10 3 2 2 2 5 2" xfId="31347"/>
    <cellStyle name="Normal 10 3 2 2 2 6" xfId="24907"/>
    <cellStyle name="Normal 10 3 2 2 3" xfId="4232"/>
    <cellStyle name="Normal 10 3 2 2 3 2" xfId="20332"/>
    <cellStyle name="Normal 10 3 2 2 3 2 2" xfId="42919"/>
    <cellStyle name="Normal 10 3 2 2 3 3" xfId="10672"/>
    <cellStyle name="Normal 10 3 2 2 3 3 2" xfId="33259"/>
    <cellStyle name="Normal 10 3 2 2 3 4" xfId="26819"/>
    <cellStyle name="Normal 10 3 2 2 4" xfId="17112"/>
    <cellStyle name="Normal 10 3 2 2 4 2" xfId="39699"/>
    <cellStyle name="Normal 10 3 2 2 5" xfId="13892"/>
    <cellStyle name="Normal 10 3 2 2 5 2" xfId="36479"/>
    <cellStyle name="Normal 10 3 2 2 6" xfId="7452"/>
    <cellStyle name="Normal 10 3 2 2 6 2" xfId="30039"/>
    <cellStyle name="Normal 10 3 2 2 7" xfId="23599"/>
    <cellStyle name="Normal 10 3 2 3" xfId="1352"/>
    <cellStyle name="Normal 10 3 2 3 2" xfId="2666"/>
    <cellStyle name="Normal 10 3 2 3 2 2" xfId="5887"/>
    <cellStyle name="Normal 10 3 2 3 2 2 2" xfId="21987"/>
    <cellStyle name="Normal 10 3 2 3 2 2 2 2" xfId="44574"/>
    <cellStyle name="Normal 10 3 2 3 2 2 3" xfId="12327"/>
    <cellStyle name="Normal 10 3 2 3 2 2 3 2" xfId="34914"/>
    <cellStyle name="Normal 10 3 2 3 2 2 4" xfId="28474"/>
    <cellStyle name="Normal 10 3 2 3 2 3" xfId="18767"/>
    <cellStyle name="Normal 10 3 2 3 2 3 2" xfId="41354"/>
    <cellStyle name="Normal 10 3 2 3 2 4" xfId="15547"/>
    <cellStyle name="Normal 10 3 2 3 2 4 2" xfId="38134"/>
    <cellStyle name="Normal 10 3 2 3 2 5" xfId="9107"/>
    <cellStyle name="Normal 10 3 2 3 2 5 2" xfId="31694"/>
    <cellStyle name="Normal 10 3 2 3 2 6" xfId="25254"/>
    <cellStyle name="Normal 10 3 2 3 3" xfId="4579"/>
    <cellStyle name="Normal 10 3 2 3 3 2" xfId="20679"/>
    <cellStyle name="Normal 10 3 2 3 3 2 2" xfId="43266"/>
    <cellStyle name="Normal 10 3 2 3 3 3" xfId="11019"/>
    <cellStyle name="Normal 10 3 2 3 3 3 2" xfId="33606"/>
    <cellStyle name="Normal 10 3 2 3 3 4" xfId="27166"/>
    <cellStyle name="Normal 10 3 2 3 4" xfId="17459"/>
    <cellStyle name="Normal 10 3 2 3 4 2" xfId="40046"/>
    <cellStyle name="Normal 10 3 2 3 5" xfId="14239"/>
    <cellStyle name="Normal 10 3 2 3 5 2" xfId="36826"/>
    <cellStyle name="Normal 10 3 2 3 6" xfId="7799"/>
    <cellStyle name="Normal 10 3 2 3 6 2" xfId="30386"/>
    <cellStyle name="Normal 10 3 2 3 7" xfId="23946"/>
    <cellStyle name="Normal 10 3 2 4" xfId="1548"/>
    <cellStyle name="Normal 10 3 2 4 2" xfId="4774"/>
    <cellStyle name="Normal 10 3 2 4 2 2" xfId="20874"/>
    <cellStyle name="Normal 10 3 2 4 2 2 2" xfId="43461"/>
    <cellStyle name="Normal 10 3 2 4 2 3" xfId="11214"/>
    <cellStyle name="Normal 10 3 2 4 2 3 2" xfId="33801"/>
    <cellStyle name="Normal 10 3 2 4 2 4" xfId="27361"/>
    <cellStyle name="Normal 10 3 2 4 3" xfId="17654"/>
    <cellStyle name="Normal 10 3 2 4 3 2" xfId="40241"/>
    <cellStyle name="Normal 10 3 2 4 4" xfId="14434"/>
    <cellStyle name="Normal 10 3 2 4 4 2" xfId="37021"/>
    <cellStyle name="Normal 10 3 2 4 5" xfId="7994"/>
    <cellStyle name="Normal 10 3 2 4 5 2" xfId="30581"/>
    <cellStyle name="Normal 10 3 2 4 6" xfId="24141"/>
    <cellStyle name="Normal 10 3 2 5" xfId="1971"/>
    <cellStyle name="Normal 10 3 2 5 2" xfId="5193"/>
    <cellStyle name="Normal 10 3 2 5 2 2" xfId="21293"/>
    <cellStyle name="Normal 10 3 2 5 2 2 2" xfId="43880"/>
    <cellStyle name="Normal 10 3 2 5 2 3" xfId="11633"/>
    <cellStyle name="Normal 10 3 2 5 2 3 2" xfId="34220"/>
    <cellStyle name="Normal 10 3 2 5 2 4" xfId="27780"/>
    <cellStyle name="Normal 10 3 2 5 3" xfId="18073"/>
    <cellStyle name="Normal 10 3 2 5 3 2" xfId="40660"/>
    <cellStyle name="Normal 10 3 2 5 4" xfId="14853"/>
    <cellStyle name="Normal 10 3 2 5 4 2" xfId="37440"/>
    <cellStyle name="Normal 10 3 2 5 5" xfId="8413"/>
    <cellStyle name="Normal 10 3 2 5 5 2" xfId="31000"/>
    <cellStyle name="Normal 10 3 2 5 6" xfId="24560"/>
    <cellStyle name="Normal 10 3 2 6" xfId="2994"/>
    <cellStyle name="Normal 10 3 2 6 2" xfId="6214"/>
    <cellStyle name="Normal 10 3 2 6 2 2" xfId="22314"/>
    <cellStyle name="Normal 10 3 2 6 2 2 2" xfId="44901"/>
    <cellStyle name="Normal 10 3 2 6 2 3" xfId="12654"/>
    <cellStyle name="Normal 10 3 2 6 2 3 2" xfId="35241"/>
    <cellStyle name="Normal 10 3 2 6 2 4" xfId="28801"/>
    <cellStyle name="Normal 10 3 2 6 3" xfId="19094"/>
    <cellStyle name="Normal 10 3 2 6 3 2" xfId="41681"/>
    <cellStyle name="Normal 10 3 2 6 4" xfId="15874"/>
    <cellStyle name="Normal 10 3 2 6 4 2" xfId="38461"/>
    <cellStyle name="Normal 10 3 2 6 5" xfId="9434"/>
    <cellStyle name="Normal 10 3 2 6 5 2" xfId="32021"/>
    <cellStyle name="Normal 10 3 2 6 6" xfId="25581"/>
    <cellStyle name="Normal 10 3 2 7" xfId="3284"/>
    <cellStyle name="Normal 10 3 2 7 2" xfId="6504"/>
    <cellStyle name="Normal 10 3 2 7 2 2" xfId="22604"/>
    <cellStyle name="Normal 10 3 2 7 2 2 2" xfId="45191"/>
    <cellStyle name="Normal 10 3 2 7 2 3" xfId="12944"/>
    <cellStyle name="Normal 10 3 2 7 2 3 2" xfId="35531"/>
    <cellStyle name="Normal 10 3 2 7 2 4" xfId="29091"/>
    <cellStyle name="Normal 10 3 2 7 3" xfId="19384"/>
    <cellStyle name="Normal 10 3 2 7 3 2" xfId="41971"/>
    <cellStyle name="Normal 10 3 2 7 4" xfId="16164"/>
    <cellStyle name="Normal 10 3 2 7 4 2" xfId="38751"/>
    <cellStyle name="Normal 10 3 2 7 5" xfId="9724"/>
    <cellStyle name="Normal 10 3 2 7 5 2" xfId="32311"/>
    <cellStyle name="Normal 10 3 2 7 6" xfId="25871"/>
    <cellStyle name="Normal 10 3 2 8" xfId="641"/>
    <cellStyle name="Normal 10 3 2 8 2" xfId="3885"/>
    <cellStyle name="Normal 10 3 2 8 2 2" xfId="19985"/>
    <cellStyle name="Normal 10 3 2 8 2 2 2" xfId="42572"/>
    <cellStyle name="Normal 10 3 2 8 2 3" xfId="10325"/>
    <cellStyle name="Normal 10 3 2 8 2 3 2" xfId="32912"/>
    <cellStyle name="Normal 10 3 2 8 2 4" xfId="26472"/>
    <cellStyle name="Normal 10 3 2 8 3" xfId="16765"/>
    <cellStyle name="Normal 10 3 2 8 3 2" xfId="39352"/>
    <cellStyle name="Normal 10 3 2 8 4" xfId="13545"/>
    <cellStyle name="Normal 10 3 2 8 4 2" xfId="36132"/>
    <cellStyle name="Normal 10 3 2 8 5" xfId="7105"/>
    <cellStyle name="Normal 10 3 2 8 5 2" xfId="29692"/>
    <cellStyle name="Normal 10 3 2 8 6" xfId="23252"/>
    <cellStyle name="Normal 10 3 2 9" xfId="3574"/>
    <cellStyle name="Normal 10 3 2 9 2" xfId="19674"/>
    <cellStyle name="Normal 10 3 2 9 2 2" xfId="42261"/>
    <cellStyle name="Normal 10 3 2 9 3" xfId="10014"/>
    <cellStyle name="Normal 10 3 2 9 3 2" xfId="32601"/>
    <cellStyle name="Normal 10 3 2 9 4" xfId="26161"/>
    <cellStyle name="Normal 10 3 3" xfId="382"/>
    <cellStyle name="Normal 10 3 3 10" xfId="16549"/>
    <cellStyle name="Normal 10 3 3 10 2" xfId="39136"/>
    <cellStyle name="Normal 10 3 3 11" xfId="13329"/>
    <cellStyle name="Normal 10 3 3 11 2" xfId="35916"/>
    <cellStyle name="Normal 10 3 3 12" xfId="6889"/>
    <cellStyle name="Normal 10 3 3 12 2" xfId="29476"/>
    <cellStyle name="Normal 10 3 3 13" xfId="23036"/>
    <cellStyle name="Normal 10 3 3 2" xfId="1166"/>
    <cellStyle name="Normal 10 3 3 2 2" xfId="2480"/>
    <cellStyle name="Normal 10 3 3 2 2 2" xfId="5701"/>
    <cellStyle name="Normal 10 3 3 2 2 2 2" xfId="21801"/>
    <cellStyle name="Normal 10 3 3 2 2 2 2 2" xfId="44388"/>
    <cellStyle name="Normal 10 3 3 2 2 2 3" xfId="12141"/>
    <cellStyle name="Normal 10 3 3 2 2 2 3 2" xfId="34728"/>
    <cellStyle name="Normal 10 3 3 2 2 2 4" xfId="28288"/>
    <cellStyle name="Normal 10 3 3 2 2 3" xfId="18581"/>
    <cellStyle name="Normal 10 3 3 2 2 3 2" xfId="41168"/>
    <cellStyle name="Normal 10 3 3 2 2 4" xfId="15361"/>
    <cellStyle name="Normal 10 3 3 2 2 4 2" xfId="37948"/>
    <cellStyle name="Normal 10 3 3 2 2 5" xfId="8921"/>
    <cellStyle name="Normal 10 3 3 2 2 5 2" xfId="31508"/>
    <cellStyle name="Normal 10 3 3 2 2 6" xfId="25068"/>
    <cellStyle name="Normal 10 3 3 2 3" xfId="4393"/>
    <cellStyle name="Normal 10 3 3 2 3 2" xfId="20493"/>
    <cellStyle name="Normal 10 3 3 2 3 2 2" xfId="43080"/>
    <cellStyle name="Normal 10 3 3 2 3 3" xfId="10833"/>
    <cellStyle name="Normal 10 3 3 2 3 3 2" xfId="33420"/>
    <cellStyle name="Normal 10 3 3 2 3 4" xfId="26980"/>
    <cellStyle name="Normal 10 3 3 2 4" xfId="17273"/>
    <cellStyle name="Normal 10 3 3 2 4 2" xfId="39860"/>
    <cellStyle name="Normal 10 3 3 2 5" xfId="14053"/>
    <cellStyle name="Normal 10 3 3 2 5 2" xfId="36640"/>
    <cellStyle name="Normal 10 3 3 2 6" xfId="7613"/>
    <cellStyle name="Normal 10 3 3 2 6 2" xfId="30200"/>
    <cellStyle name="Normal 10 3 3 2 7" xfId="23760"/>
    <cellStyle name="Normal 10 3 3 3" xfId="1513"/>
    <cellStyle name="Normal 10 3 3 3 2" xfId="2827"/>
    <cellStyle name="Normal 10 3 3 3 2 2" xfId="6048"/>
    <cellStyle name="Normal 10 3 3 3 2 2 2" xfId="22148"/>
    <cellStyle name="Normal 10 3 3 3 2 2 2 2" xfId="44735"/>
    <cellStyle name="Normal 10 3 3 3 2 2 3" xfId="12488"/>
    <cellStyle name="Normal 10 3 3 3 2 2 3 2" xfId="35075"/>
    <cellStyle name="Normal 10 3 3 3 2 2 4" xfId="28635"/>
    <cellStyle name="Normal 10 3 3 3 2 3" xfId="18928"/>
    <cellStyle name="Normal 10 3 3 3 2 3 2" xfId="41515"/>
    <cellStyle name="Normal 10 3 3 3 2 4" xfId="15708"/>
    <cellStyle name="Normal 10 3 3 3 2 4 2" xfId="38295"/>
    <cellStyle name="Normal 10 3 3 3 2 5" xfId="9268"/>
    <cellStyle name="Normal 10 3 3 3 2 5 2" xfId="31855"/>
    <cellStyle name="Normal 10 3 3 3 2 6" xfId="25415"/>
    <cellStyle name="Normal 10 3 3 3 3" xfId="4740"/>
    <cellStyle name="Normal 10 3 3 3 3 2" xfId="20840"/>
    <cellStyle name="Normal 10 3 3 3 3 2 2" xfId="43427"/>
    <cellStyle name="Normal 10 3 3 3 3 3" xfId="11180"/>
    <cellStyle name="Normal 10 3 3 3 3 3 2" xfId="33767"/>
    <cellStyle name="Normal 10 3 3 3 3 4" xfId="27327"/>
    <cellStyle name="Normal 10 3 3 3 4" xfId="17620"/>
    <cellStyle name="Normal 10 3 3 3 4 2" xfId="40207"/>
    <cellStyle name="Normal 10 3 3 3 5" xfId="14400"/>
    <cellStyle name="Normal 10 3 3 3 5 2" xfId="36987"/>
    <cellStyle name="Normal 10 3 3 3 6" xfId="7960"/>
    <cellStyle name="Normal 10 3 3 3 6 2" xfId="30547"/>
    <cellStyle name="Normal 10 3 3 3 7" xfId="24107"/>
    <cellStyle name="Normal 10 3 3 4" xfId="1549"/>
    <cellStyle name="Normal 10 3 3 4 2" xfId="4775"/>
    <cellStyle name="Normal 10 3 3 4 2 2" xfId="20875"/>
    <cellStyle name="Normal 10 3 3 4 2 2 2" xfId="43462"/>
    <cellStyle name="Normal 10 3 3 4 2 3" xfId="11215"/>
    <cellStyle name="Normal 10 3 3 4 2 3 2" xfId="33802"/>
    <cellStyle name="Normal 10 3 3 4 2 4" xfId="27362"/>
    <cellStyle name="Normal 10 3 3 4 3" xfId="17655"/>
    <cellStyle name="Normal 10 3 3 4 3 2" xfId="40242"/>
    <cellStyle name="Normal 10 3 3 4 4" xfId="14435"/>
    <cellStyle name="Normal 10 3 3 4 4 2" xfId="37022"/>
    <cellStyle name="Normal 10 3 3 4 5" xfId="7995"/>
    <cellStyle name="Normal 10 3 3 4 5 2" xfId="30582"/>
    <cellStyle name="Normal 10 3 3 4 6" xfId="24142"/>
    <cellStyle name="Normal 10 3 3 5" xfId="2133"/>
    <cellStyle name="Normal 10 3 3 5 2" xfId="5354"/>
    <cellStyle name="Normal 10 3 3 5 2 2" xfId="21454"/>
    <cellStyle name="Normal 10 3 3 5 2 2 2" xfId="44041"/>
    <cellStyle name="Normal 10 3 3 5 2 3" xfId="11794"/>
    <cellStyle name="Normal 10 3 3 5 2 3 2" xfId="34381"/>
    <cellStyle name="Normal 10 3 3 5 2 4" xfId="27941"/>
    <cellStyle name="Normal 10 3 3 5 3" xfId="18234"/>
    <cellStyle name="Normal 10 3 3 5 3 2" xfId="40821"/>
    <cellStyle name="Normal 10 3 3 5 4" xfId="15014"/>
    <cellStyle name="Normal 10 3 3 5 4 2" xfId="37601"/>
    <cellStyle name="Normal 10 3 3 5 5" xfId="8574"/>
    <cellStyle name="Normal 10 3 3 5 5 2" xfId="31161"/>
    <cellStyle name="Normal 10 3 3 5 6" xfId="24721"/>
    <cellStyle name="Normal 10 3 3 6" xfId="3089"/>
    <cellStyle name="Normal 10 3 3 6 2" xfId="6309"/>
    <cellStyle name="Normal 10 3 3 6 2 2" xfId="22409"/>
    <cellStyle name="Normal 10 3 3 6 2 2 2" xfId="44996"/>
    <cellStyle name="Normal 10 3 3 6 2 3" xfId="12749"/>
    <cellStyle name="Normal 10 3 3 6 2 3 2" xfId="35336"/>
    <cellStyle name="Normal 10 3 3 6 2 4" xfId="28896"/>
    <cellStyle name="Normal 10 3 3 6 3" xfId="19189"/>
    <cellStyle name="Normal 10 3 3 6 3 2" xfId="41776"/>
    <cellStyle name="Normal 10 3 3 6 4" xfId="15969"/>
    <cellStyle name="Normal 10 3 3 6 4 2" xfId="38556"/>
    <cellStyle name="Normal 10 3 3 6 5" xfId="9529"/>
    <cellStyle name="Normal 10 3 3 6 5 2" xfId="32116"/>
    <cellStyle name="Normal 10 3 3 6 6" xfId="25676"/>
    <cellStyle name="Normal 10 3 3 7" xfId="3379"/>
    <cellStyle name="Normal 10 3 3 7 2" xfId="6599"/>
    <cellStyle name="Normal 10 3 3 7 2 2" xfId="22699"/>
    <cellStyle name="Normal 10 3 3 7 2 2 2" xfId="45286"/>
    <cellStyle name="Normal 10 3 3 7 2 3" xfId="13039"/>
    <cellStyle name="Normal 10 3 3 7 2 3 2" xfId="35626"/>
    <cellStyle name="Normal 10 3 3 7 2 4" xfId="29186"/>
    <cellStyle name="Normal 10 3 3 7 3" xfId="19479"/>
    <cellStyle name="Normal 10 3 3 7 3 2" xfId="42066"/>
    <cellStyle name="Normal 10 3 3 7 4" xfId="16259"/>
    <cellStyle name="Normal 10 3 3 7 4 2" xfId="38846"/>
    <cellStyle name="Normal 10 3 3 7 5" xfId="9819"/>
    <cellStyle name="Normal 10 3 3 7 5 2" xfId="32406"/>
    <cellStyle name="Normal 10 3 3 7 6" xfId="25966"/>
    <cellStyle name="Normal 10 3 3 8" xfId="814"/>
    <cellStyle name="Normal 10 3 3 8 2" xfId="4046"/>
    <cellStyle name="Normal 10 3 3 8 2 2" xfId="20146"/>
    <cellStyle name="Normal 10 3 3 8 2 2 2" xfId="42733"/>
    <cellStyle name="Normal 10 3 3 8 2 3" xfId="10486"/>
    <cellStyle name="Normal 10 3 3 8 2 3 2" xfId="33073"/>
    <cellStyle name="Normal 10 3 3 8 2 4" xfId="26633"/>
    <cellStyle name="Normal 10 3 3 8 3" xfId="16926"/>
    <cellStyle name="Normal 10 3 3 8 3 2" xfId="39513"/>
    <cellStyle name="Normal 10 3 3 8 4" xfId="13706"/>
    <cellStyle name="Normal 10 3 3 8 4 2" xfId="36293"/>
    <cellStyle name="Normal 10 3 3 8 5" xfId="7266"/>
    <cellStyle name="Normal 10 3 3 8 5 2" xfId="29853"/>
    <cellStyle name="Normal 10 3 3 8 6" xfId="23413"/>
    <cellStyle name="Normal 10 3 3 9" xfId="3669"/>
    <cellStyle name="Normal 10 3 3 9 2" xfId="19769"/>
    <cellStyle name="Normal 10 3 3 9 2 2" xfId="42356"/>
    <cellStyle name="Normal 10 3 3 9 3" xfId="10109"/>
    <cellStyle name="Normal 10 3 3 9 3 2" xfId="32696"/>
    <cellStyle name="Normal 10 3 3 9 4" xfId="26256"/>
    <cellStyle name="Normal 10 3 4" xfId="881"/>
    <cellStyle name="Normal 10 3 4 2" xfId="2200"/>
    <cellStyle name="Normal 10 3 4 2 2" xfId="5421"/>
    <cellStyle name="Normal 10 3 4 2 2 2" xfId="21521"/>
    <cellStyle name="Normal 10 3 4 2 2 2 2" xfId="44108"/>
    <cellStyle name="Normal 10 3 4 2 2 3" xfId="11861"/>
    <cellStyle name="Normal 10 3 4 2 2 3 2" xfId="34448"/>
    <cellStyle name="Normal 10 3 4 2 2 4" xfId="28008"/>
    <cellStyle name="Normal 10 3 4 2 3" xfId="18301"/>
    <cellStyle name="Normal 10 3 4 2 3 2" xfId="40888"/>
    <cellStyle name="Normal 10 3 4 2 4" xfId="15081"/>
    <cellStyle name="Normal 10 3 4 2 4 2" xfId="37668"/>
    <cellStyle name="Normal 10 3 4 2 5" xfId="8641"/>
    <cellStyle name="Normal 10 3 4 2 5 2" xfId="31228"/>
    <cellStyle name="Normal 10 3 4 2 6" xfId="24788"/>
    <cellStyle name="Normal 10 3 4 3" xfId="4113"/>
    <cellStyle name="Normal 10 3 4 3 2" xfId="20213"/>
    <cellStyle name="Normal 10 3 4 3 2 2" xfId="42800"/>
    <cellStyle name="Normal 10 3 4 3 3" xfId="10553"/>
    <cellStyle name="Normal 10 3 4 3 3 2" xfId="33140"/>
    <cellStyle name="Normal 10 3 4 3 4" xfId="26700"/>
    <cellStyle name="Normal 10 3 4 4" xfId="16993"/>
    <cellStyle name="Normal 10 3 4 4 2" xfId="39580"/>
    <cellStyle name="Normal 10 3 4 5" xfId="13773"/>
    <cellStyle name="Normal 10 3 4 5 2" xfId="36360"/>
    <cellStyle name="Normal 10 3 4 6" xfId="7333"/>
    <cellStyle name="Normal 10 3 4 6 2" xfId="29920"/>
    <cellStyle name="Normal 10 3 4 7" xfId="23480"/>
    <cellStyle name="Normal 10 3 5" xfId="1233"/>
    <cellStyle name="Normal 10 3 5 2" xfId="2547"/>
    <cellStyle name="Normal 10 3 5 2 2" xfId="5768"/>
    <cellStyle name="Normal 10 3 5 2 2 2" xfId="21868"/>
    <cellStyle name="Normal 10 3 5 2 2 2 2" xfId="44455"/>
    <cellStyle name="Normal 10 3 5 2 2 3" xfId="12208"/>
    <cellStyle name="Normal 10 3 5 2 2 3 2" xfId="34795"/>
    <cellStyle name="Normal 10 3 5 2 2 4" xfId="28355"/>
    <cellStyle name="Normal 10 3 5 2 3" xfId="18648"/>
    <cellStyle name="Normal 10 3 5 2 3 2" xfId="41235"/>
    <cellStyle name="Normal 10 3 5 2 4" xfId="15428"/>
    <cellStyle name="Normal 10 3 5 2 4 2" xfId="38015"/>
    <cellStyle name="Normal 10 3 5 2 5" xfId="8988"/>
    <cellStyle name="Normal 10 3 5 2 5 2" xfId="31575"/>
    <cellStyle name="Normal 10 3 5 2 6" xfId="25135"/>
    <cellStyle name="Normal 10 3 5 3" xfId="4460"/>
    <cellStyle name="Normal 10 3 5 3 2" xfId="20560"/>
    <cellStyle name="Normal 10 3 5 3 2 2" xfId="43147"/>
    <cellStyle name="Normal 10 3 5 3 3" xfId="10900"/>
    <cellStyle name="Normal 10 3 5 3 3 2" xfId="33487"/>
    <cellStyle name="Normal 10 3 5 3 4" xfId="27047"/>
    <cellStyle name="Normal 10 3 5 4" xfId="17340"/>
    <cellStyle name="Normal 10 3 5 4 2" xfId="39927"/>
    <cellStyle name="Normal 10 3 5 5" xfId="14120"/>
    <cellStyle name="Normal 10 3 5 5 2" xfId="36707"/>
    <cellStyle name="Normal 10 3 5 6" xfId="7680"/>
    <cellStyle name="Normal 10 3 5 6 2" xfId="30267"/>
    <cellStyle name="Normal 10 3 5 7" xfId="23827"/>
    <cellStyle name="Normal 10 3 6" xfId="1550"/>
    <cellStyle name="Normal 10 3 6 2" xfId="4776"/>
    <cellStyle name="Normal 10 3 6 2 2" xfId="20876"/>
    <cellStyle name="Normal 10 3 6 2 2 2" xfId="43463"/>
    <cellStyle name="Normal 10 3 6 2 3" xfId="11216"/>
    <cellStyle name="Normal 10 3 6 2 3 2" xfId="33803"/>
    <cellStyle name="Normal 10 3 6 2 4" xfId="27363"/>
    <cellStyle name="Normal 10 3 6 3" xfId="17656"/>
    <cellStyle name="Normal 10 3 6 3 2" xfId="40243"/>
    <cellStyle name="Normal 10 3 6 4" xfId="14436"/>
    <cellStyle name="Normal 10 3 6 4 2" xfId="37023"/>
    <cellStyle name="Normal 10 3 6 5" xfId="7996"/>
    <cellStyle name="Normal 10 3 6 5 2" xfId="30583"/>
    <cellStyle name="Normal 10 3 6 6" xfId="24143"/>
    <cellStyle name="Normal 10 3 7" xfId="1852"/>
    <cellStyle name="Normal 10 3 7 2" xfId="5074"/>
    <cellStyle name="Normal 10 3 7 2 2" xfId="21174"/>
    <cellStyle name="Normal 10 3 7 2 2 2" xfId="43761"/>
    <cellStyle name="Normal 10 3 7 2 3" xfId="11514"/>
    <cellStyle name="Normal 10 3 7 2 3 2" xfId="34101"/>
    <cellStyle name="Normal 10 3 7 2 4" xfId="27661"/>
    <cellStyle name="Normal 10 3 7 3" xfId="17954"/>
    <cellStyle name="Normal 10 3 7 3 2" xfId="40541"/>
    <cellStyle name="Normal 10 3 7 4" xfId="14734"/>
    <cellStyle name="Normal 10 3 7 4 2" xfId="37321"/>
    <cellStyle name="Normal 10 3 7 5" xfId="8294"/>
    <cellStyle name="Normal 10 3 7 5 2" xfId="30881"/>
    <cellStyle name="Normal 10 3 7 6" xfId="24441"/>
    <cellStyle name="Normal 10 3 8" xfId="2895"/>
    <cellStyle name="Normal 10 3 8 2" xfId="6116"/>
    <cellStyle name="Normal 10 3 8 2 2" xfId="22216"/>
    <cellStyle name="Normal 10 3 8 2 2 2" xfId="44803"/>
    <cellStyle name="Normal 10 3 8 2 3" xfId="12556"/>
    <cellStyle name="Normal 10 3 8 2 3 2" xfId="35143"/>
    <cellStyle name="Normal 10 3 8 2 4" xfId="28703"/>
    <cellStyle name="Normal 10 3 8 3" xfId="18996"/>
    <cellStyle name="Normal 10 3 8 3 2" xfId="41583"/>
    <cellStyle name="Normal 10 3 8 4" xfId="15776"/>
    <cellStyle name="Normal 10 3 8 4 2" xfId="38363"/>
    <cellStyle name="Normal 10 3 8 5" xfId="9336"/>
    <cellStyle name="Normal 10 3 8 5 2" xfId="31923"/>
    <cellStyle name="Normal 10 3 8 6" xfId="25483"/>
    <cellStyle name="Normal 10 3 9" xfId="3186"/>
    <cellStyle name="Normal 10 3 9 2" xfId="6406"/>
    <cellStyle name="Normal 10 3 9 2 2" xfId="22506"/>
    <cellStyle name="Normal 10 3 9 2 2 2" xfId="45093"/>
    <cellStyle name="Normal 10 3 9 2 3" xfId="12846"/>
    <cellStyle name="Normal 10 3 9 2 3 2" xfId="35433"/>
    <cellStyle name="Normal 10 3 9 2 4" xfId="28993"/>
    <cellStyle name="Normal 10 3 9 3" xfId="19286"/>
    <cellStyle name="Normal 10 3 9 3 2" xfId="41873"/>
    <cellStyle name="Normal 10 3 9 4" xfId="16066"/>
    <cellStyle name="Normal 10 3 9 4 2" xfId="38653"/>
    <cellStyle name="Normal 10 3 9 5" xfId="9626"/>
    <cellStyle name="Normal 10 3 9 5 2" xfId="32213"/>
    <cellStyle name="Normal 10 3 9 6" xfId="25773"/>
    <cellStyle name="Normal 10 4" xfId="232"/>
    <cellStyle name="Normal 10 4 10" xfId="519"/>
    <cellStyle name="Normal 10 4 10 2" xfId="3806"/>
    <cellStyle name="Normal 10 4 10 2 2" xfId="19906"/>
    <cellStyle name="Normal 10 4 10 2 2 2" xfId="42493"/>
    <cellStyle name="Normal 10 4 10 2 3" xfId="10246"/>
    <cellStyle name="Normal 10 4 10 2 3 2" xfId="32833"/>
    <cellStyle name="Normal 10 4 10 2 4" xfId="26393"/>
    <cellStyle name="Normal 10 4 10 3" xfId="16686"/>
    <cellStyle name="Normal 10 4 10 3 2" xfId="39273"/>
    <cellStyle name="Normal 10 4 10 4" xfId="13466"/>
    <cellStyle name="Normal 10 4 10 4 2" xfId="36053"/>
    <cellStyle name="Normal 10 4 10 5" xfId="7026"/>
    <cellStyle name="Normal 10 4 10 5 2" xfId="29613"/>
    <cellStyle name="Normal 10 4 10 6" xfId="23173"/>
    <cellStyle name="Normal 10 4 11" xfId="3520"/>
    <cellStyle name="Normal 10 4 11 2" xfId="19620"/>
    <cellStyle name="Normal 10 4 11 2 2" xfId="42207"/>
    <cellStyle name="Normal 10 4 11 3" xfId="9960"/>
    <cellStyle name="Normal 10 4 11 3 2" xfId="32547"/>
    <cellStyle name="Normal 10 4 11 4" xfId="26107"/>
    <cellStyle name="Normal 10 4 12" xfId="16400"/>
    <cellStyle name="Normal 10 4 12 2" xfId="38987"/>
    <cellStyle name="Normal 10 4 13" xfId="13180"/>
    <cellStyle name="Normal 10 4 13 2" xfId="35767"/>
    <cellStyle name="Normal 10 4 14" xfId="6740"/>
    <cellStyle name="Normal 10 4 14 2" xfId="29327"/>
    <cellStyle name="Normal 10 4 15" xfId="22887"/>
    <cellStyle name="Normal 10 4 2" xfId="330"/>
    <cellStyle name="Normal 10 4 2 10" xfId="16497"/>
    <cellStyle name="Normal 10 4 2 10 2" xfId="39084"/>
    <cellStyle name="Normal 10 4 2 11" xfId="13277"/>
    <cellStyle name="Normal 10 4 2 11 2" xfId="35864"/>
    <cellStyle name="Normal 10 4 2 12" xfId="6837"/>
    <cellStyle name="Normal 10 4 2 12 2" xfId="29424"/>
    <cellStyle name="Normal 10 4 2 13" xfId="22984"/>
    <cellStyle name="Normal 10 4 2 2" xfId="1042"/>
    <cellStyle name="Normal 10 4 2 2 2" xfId="2356"/>
    <cellStyle name="Normal 10 4 2 2 2 2" xfId="5577"/>
    <cellStyle name="Normal 10 4 2 2 2 2 2" xfId="21677"/>
    <cellStyle name="Normal 10 4 2 2 2 2 2 2" xfId="44264"/>
    <cellStyle name="Normal 10 4 2 2 2 2 3" xfId="12017"/>
    <cellStyle name="Normal 10 4 2 2 2 2 3 2" xfId="34604"/>
    <cellStyle name="Normal 10 4 2 2 2 2 4" xfId="28164"/>
    <cellStyle name="Normal 10 4 2 2 2 3" xfId="18457"/>
    <cellStyle name="Normal 10 4 2 2 2 3 2" xfId="41044"/>
    <cellStyle name="Normal 10 4 2 2 2 4" xfId="15237"/>
    <cellStyle name="Normal 10 4 2 2 2 4 2" xfId="37824"/>
    <cellStyle name="Normal 10 4 2 2 2 5" xfId="8797"/>
    <cellStyle name="Normal 10 4 2 2 2 5 2" xfId="31384"/>
    <cellStyle name="Normal 10 4 2 2 2 6" xfId="24944"/>
    <cellStyle name="Normal 10 4 2 2 3" xfId="4269"/>
    <cellStyle name="Normal 10 4 2 2 3 2" xfId="20369"/>
    <cellStyle name="Normal 10 4 2 2 3 2 2" xfId="42956"/>
    <cellStyle name="Normal 10 4 2 2 3 3" xfId="10709"/>
    <cellStyle name="Normal 10 4 2 2 3 3 2" xfId="33296"/>
    <cellStyle name="Normal 10 4 2 2 3 4" xfId="26856"/>
    <cellStyle name="Normal 10 4 2 2 4" xfId="17149"/>
    <cellStyle name="Normal 10 4 2 2 4 2" xfId="39736"/>
    <cellStyle name="Normal 10 4 2 2 5" xfId="13929"/>
    <cellStyle name="Normal 10 4 2 2 5 2" xfId="36516"/>
    <cellStyle name="Normal 10 4 2 2 6" xfId="7489"/>
    <cellStyle name="Normal 10 4 2 2 6 2" xfId="30076"/>
    <cellStyle name="Normal 10 4 2 2 7" xfId="23636"/>
    <cellStyle name="Normal 10 4 2 3" xfId="1389"/>
    <cellStyle name="Normal 10 4 2 3 2" xfId="2703"/>
    <cellStyle name="Normal 10 4 2 3 2 2" xfId="5924"/>
    <cellStyle name="Normal 10 4 2 3 2 2 2" xfId="22024"/>
    <cellStyle name="Normal 10 4 2 3 2 2 2 2" xfId="44611"/>
    <cellStyle name="Normal 10 4 2 3 2 2 3" xfId="12364"/>
    <cellStyle name="Normal 10 4 2 3 2 2 3 2" xfId="34951"/>
    <cellStyle name="Normal 10 4 2 3 2 2 4" xfId="28511"/>
    <cellStyle name="Normal 10 4 2 3 2 3" xfId="18804"/>
    <cellStyle name="Normal 10 4 2 3 2 3 2" xfId="41391"/>
    <cellStyle name="Normal 10 4 2 3 2 4" xfId="15584"/>
    <cellStyle name="Normal 10 4 2 3 2 4 2" xfId="38171"/>
    <cellStyle name="Normal 10 4 2 3 2 5" xfId="9144"/>
    <cellStyle name="Normal 10 4 2 3 2 5 2" xfId="31731"/>
    <cellStyle name="Normal 10 4 2 3 2 6" xfId="25291"/>
    <cellStyle name="Normal 10 4 2 3 3" xfId="4616"/>
    <cellStyle name="Normal 10 4 2 3 3 2" xfId="20716"/>
    <cellStyle name="Normal 10 4 2 3 3 2 2" xfId="43303"/>
    <cellStyle name="Normal 10 4 2 3 3 3" xfId="11056"/>
    <cellStyle name="Normal 10 4 2 3 3 3 2" xfId="33643"/>
    <cellStyle name="Normal 10 4 2 3 3 4" xfId="27203"/>
    <cellStyle name="Normal 10 4 2 3 4" xfId="17496"/>
    <cellStyle name="Normal 10 4 2 3 4 2" xfId="40083"/>
    <cellStyle name="Normal 10 4 2 3 5" xfId="14276"/>
    <cellStyle name="Normal 10 4 2 3 5 2" xfId="36863"/>
    <cellStyle name="Normal 10 4 2 3 6" xfId="7836"/>
    <cellStyle name="Normal 10 4 2 3 6 2" xfId="30423"/>
    <cellStyle name="Normal 10 4 2 3 7" xfId="23983"/>
    <cellStyle name="Normal 10 4 2 4" xfId="1551"/>
    <cellStyle name="Normal 10 4 2 4 2" xfId="4777"/>
    <cellStyle name="Normal 10 4 2 4 2 2" xfId="20877"/>
    <cellStyle name="Normal 10 4 2 4 2 2 2" xfId="43464"/>
    <cellStyle name="Normal 10 4 2 4 2 3" xfId="11217"/>
    <cellStyle name="Normal 10 4 2 4 2 3 2" xfId="33804"/>
    <cellStyle name="Normal 10 4 2 4 2 4" xfId="27364"/>
    <cellStyle name="Normal 10 4 2 4 3" xfId="17657"/>
    <cellStyle name="Normal 10 4 2 4 3 2" xfId="40244"/>
    <cellStyle name="Normal 10 4 2 4 4" xfId="14437"/>
    <cellStyle name="Normal 10 4 2 4 4 2" xfId="37024"/>
    <cellStyle name="Normal 10 4 2 4 5" xfId="7997"/>
    <cellStyle name="Normal 10 4 2 4 5 2" xfId="30584"/>
    <cellStyle name="Normal 10 4 2 4 6" xfId="24144"/>
    <cellStyle name="Normal 10 4 2 5" xfId="2008"/>
    <cellStyle name="Normal 10 4 2 5 2" xfId="5230"/>
    <cellStyle name="Normal 10 4 2 5 2 2" xfId="21330"/>
    <cellStyle name="Normal 10 4 2 5 2 2 2" xfId="43917"/>
    <cellStyle name="Normal 10 4 2 5 2 3" xfId="11670"/>
    <cellStyle name="Normal 10 4 2 5 2 3 2" xfId="34257"/>
    <cellStyle name="Normal 10 4 2 5 2 4" xfId="27817"/>
    <cellStyle name="Normal 10 4 2 5 3" xfId="18110"/>
    <cellStyle name="Normal 10 4 2 5 3 2" xfId="40697"/>
    <cellStyle name="Normal 10 4 2 5 4" xfId="14890"/>
    <cellStyle name="Normal 10 4 2 5 4 2" xfId="37477"/>
    <cellStyle name="Normal 10 4 2 5 5" xfId="8450"/>
    <cellStyle name="Normal 10 4 2 5 5 2" xfId="31037"/>
    <cellStyle name="Normal 10 4 2 5 6" xfId="24597"/>
    <cellStyle name="Normal 10 4 2 6" xfId="3037"/>
    <cellStyle name="Normal 10 4 2 6 2" xfId="6257"/>
    <cellStyle name="Normal 10 4 2 6 2 2" xfId="22357"/>
    <cellStyle name="Normal 10 4 2 6 2 2 2" xfId="44944"/>
    <cellStyle name="Normal 10 4 2 6 2 3" xfId="12697"/>
    <cellStyle name="Normal 10 4 2 6 2 3 2" xfId="35284"/>
    <cellStyle name="Normal 10 4 2 6 2 4" xfId="28844"/>
    <cellStyle name="Normal 10 4 2 6 3" xfId="19137"/>
    <cellStyle name="Normal 10 4 2 6 3 2" xfId="41724"/>
    <cellStyle name="Normal 10 4 2 6 4" xfId="15917"/>
    <cellStyle name="Normal 10 4 2 6 4 2" xfId="38504"/>
    <cellStyle name="Normal 10 4 2 6 5" xfId="9477"/>
    <cellStyle name="Normal 10 4 2 6 5 2" xfId="32064"/>
    <cellStyle name="Normal 10 4 2 6 6" xfId="25624"/>
    <cellStyle name="Normal 10 4 2 7" xfId="3327"/>
    <cellStyle name="Normal 10 4 2 7 2" xfId="6547"/>
    <cellStyle name="Normal 10 4 2 7 2 2" xfId="22647"/>
    <cellStyle name="Normal 10 4 2 7 2 2 2" xfId="45234"/>
    <cellStyle name="Normal 10 4 2 7 2 3" xfId="12987"/>
    <cellStyle name="Normal 10 4 2 7 2 3 2" xfId="35574"/>
    <cellStyle name="Normal 10 4 2 7 2 4" xfId="29134"/>
    <cellStyle name="Normal 10 4 2 7 3" xfId="19427"/>
    <cellStyle name="Normal 10 4 2 7 3 2" xfId="42014"/>
    <cellStyle name="Normal 10 4 2 7 4" xfId="16207"/>
    <cellStyle name="Normal 10 4 2 7 4 2" xfId="38794"/>
    <cellStyle name="Normal 10 4 2 7 5" xfId="9767"/>
    <cellStyle name="Normal 10 4 2 7 5 2" xfId="32354"/>
    <cellStyle name="Normal 10 4 2 7 6" xfId="25914"/>
    <cellStyle name="Normal 10 4 2 8" xfId="678"/>
    <cellStyle name="Normal 10 4 2 8 2" xfId="3922"/>
    <cellStyle name="Normal 10 4 2 8 2 2" xfId="20022"/>
    <cellStyle name="Normal 10 4 2 8 2 2 2" xfId="42609"/>
    <cellStyle name="Normal 10 4 2 8 2 3" xfId="10362"/>
    <cellStyle name="Normal 10 4 2 8 2 3 2" xfId="32949"/>
    <cellStyle name="Normal 10 4 2 8 2 4" xfId="26509"/>
    <cellStyle name="Normal 10 4 2 8 3" xfId="16802"/>
    <cellStyle name="Normal 10 4 2 8 3 2" xfId="39389"/>
    <cellStyle name="Normal 10 4 2 8 4" xfId="13582"/>
    <cellStyle name="Normal 10 4 2 8 4 2" xfId="36169"/>
    <cellStyle name="Normal 10 4 2 8 5" xfId="7142"/>
    <cellStyle name="Normal 10 4 2 8 5 2" xfId="29729"/>
    <cellStyle name="Normal 10 4 2 8 6" xfId="23289"/>
    <cellStyle name="Normal 10 4 2 9" xfId="3617"/>
    <cellStyle name="Normal 10 4 2 9 2" xfId="19717"/>
    <cellStyle name="Normal 10 4 2 9 2 2" xfId="42304"/>
    <cellStyle name="Normal 10 4 2 9 3" xfId="10057"/>
    <cellStyle name="Normal 10 4 2 9 3 2" xfId="32644"/>
    <cellStyle name="Normal 10 4 2 9 4" xfId="26204"/>
    <cellStyle name="Normal 10 4 3" xfId="426"/>
    <cellStyle name="Normal 10 4 3 10" xfId="13373"/>
    <cellStyle name="Normal 10 4 3 10 2" xfId="35960"/>
    <cellStyle name="Normal 10 4 3 11" xfId="6933"/>
    <cellStyle name="Normal 10 4 3 11 2" xfId="29520"/>
    <cellStyle name="Normal 10 4 3 12" xfId="23080"/>
    <cellStyle name="Normal 10 4 3 2" xfId="1126"/>
    <cellStyle name="Normal 10 4 3 2 2" xfId="2440"/>
    <cellStyle name="Normal 10 4 3 2 2 2" xfId="5661"/>
    <cellStyle name="Normal 10 4 3 2 2 2 2" xfId="21761"/>
    <cellStyle name="Normal 10 4 3 2 2 2 2 2" xfId="44348"/>
    <cellStyle name="Normal 10 4 3 2 2 2 3" xfId="12101"/>
    <cellStyle name="Normal 10 4 3 2 2 2 3 2" xfId="34688"/>
    <cellStyle name="Normal 10 4 3 2 2 2 4" xfId="28248"/>
    <cellStyle name="Normal 10 4 3 2 2 3" xfId="18541"/>
    <cellStyle name="Normal 10 4 3 2 2 3 2" xfId="41128"/>
    <cellStyle name="Normal 10 4 3 2 2 4" xfId="15321"/>
    <cellStyle name="Normal 10 4 3 2 2 4 2" xfId="37908"/>
    <cellStyle name="Normal 10 4 3 2 2 5" xfId="8881"/>
    <cellStyle name="Normal 10 4 3 2 2 5 2" xfId="31468"/>
    <cellStyle name="Normal 10 4 3 2 2 6" xfId="25028"/>
    <cellStyle name="Normal 10 4 3 2 3" xfId="4353"/>
    <cellStyle name="Normal 10 4 3 2 3 2" xfId="20453"/>
    <cellStyle name="Normal 10 4 3 2 3 2 2" xfId="43040"/>
    <cellStyle name="Normal 10 4 3 2 3 3" xfId="10793"/>
    <cellStyle name="Normal 10 4 3 2 3 3 2" xfId="33380"/>
    <cellStyle name="Normal 10 4 3 2 3 4" xfId="26940"/>
    <cellStyle name="Normal 10 4 3 2 4" xfId="17233"/>
    <cellStyle name="Normal 10 4 3 2 4 2" xfId="39820"/>
    <cellStyle name="Normal 10 4 3 2 5" xfId="14013"/>
    <cellStyle name="Normal 10 4 3 2 5 2" xfId="36600"/>
    <cellStyle name="Normal 10 4 3 2 6" xfId="7573"/>
    <cellStyle name="Normal 10 4 3 2 6 2" xfId="30160"/>
    <cellStyle name="Normal 10 4 3 2 7" xfId="23720"/>
    <cellStyle name="Normal 10 4 3 3" xfId="1473"/>
    <cellStyle name="Normal 10 4 3 3 2" xfId="2787"/>
    <cellStyle name="Normal 10 4 3 3 2 2" xfId="6008"/>
    <cellStyle name="Normal 10 4 3 3 2 2 2" xfId="22108"/>
    <cellStyle name="Normal 10 4 3 3 2 2 2 2" xfId="44695"/>
    <cellStyle name="Normal 10 4 3 3 2 2 3" xfId="12448"/>
    <cellStyle name="Normal 10 4 3 3 2 2 3 2" xfId="35035"/>
    <cellStyle name="Normal 10 4 3 3 2 2 4" xfId="28595"/>
    <cellStyle name="Normal 10 4 3 3 2 3" xfId="18888"/>
    <cellStyle name="Normal 10 4 3 3 2 3 2" xfId="41475"/>
    <cellStyle name="Normal 10 4 3 3 2 4" xfId="15668"/>
    <cellStyle name="Normal 10 4 3 3 2 4 2" xfId="38255"/>
    <cellStyle name="Normal 10 4 3 3 2 5" xfId="9228"/>
    <cellStyle name="Normal 10 4 3 3 2 5 2" xfId="31815"/>
    <cellStyle name="Normal 10 4 3 3 2 6" xfId="25375"/>
    <cellStyle name="Normal 10 4 3 3 3" xfId="4700"/>
    <cellStyle name="Normal 10 4 3 3 3 2" xfId="20800"/>
    <cellStyle name="Normal 10 4 3 3 3 2 2" xfId="43387"/>
    <cellStyle name="Normal 10 4 3 3 3 3" xfId="11140"/>
    <cellStyle name="Normal 10 4 3 3 3 3 2" xfId="33727"/>
    <cellStyle name="Normal 10 4 3 3 3 4" xfId="27287"/>
    <cellStyle name="Normal 10 4 3 3 4" xfId="17580"/>
    <cellStyle name="Normal 10 4 3 3 4 2" xfId="40167"/>
    <cellStyle name="Normal 10 4 3 3 5" xfId="14360"/>
    <cellStyle name="Normal 10 4 3 3 5 2" xfId="36947"/>
    <cellStyle name="Normal 10 4 3 3 6" xfId="7920"/>
    <cellStyle name="Normal 10 4 3 3 6 2" xfId="30507"/>
    <cellStyle name="Normal 10 4 3 3 7" xfId="24067"/>
    <cellStyle name="Normal 10 4 3 4" xfId="2093"/>
    <cellStyle name="Normal 10 4 3 4 2" xfId="5314"/>
    <cellStyle name="Normal 10 4 3 4 2 2" xfId="21414"/>
    <cellStyle name="Normal 10 4 3 4 2 2 2" xfId="44001"/>
    <cellStyle name="Normal 10 4 3 4 2 3" xfId="11754"/>
    <cellStyle name="Normal 10 4 3 4 2 3 2" xfId="34341"/>
    <cellStyle name="Normal 10 4 3 4 2 4" xfId="27901"/>
    <cellStyle name="Normal 10 4 3 4 3" xfId="18194"/>
    <cellStyle name="Normal 10 4 3 4 3 2" xfId="40781"/>
    <cellStyle name="Normal 10 4 3 4 4" xfId="14974"/>
    <cellStyle name="Normal 10 4 3 4 4 2" xfId="37561"/>
    <cellStyle name="Normal 10 4 3 4 5" xfId="8534"/>
    <cellStyle name="Normal 10 4 3 4 5 2" xfId="31121"/>
    <cellStyle name="Normal 10 4 3 4 6" xfId="24681"/>
    <cellStyle name="Normal 10 4 3 5" xfId="3133"/>
    <cellStyle name="Normal 10 4 3 5 2" xfId="6353"/>
    <cellStyle name="Normal 10 4 3 5 2 2" xfId="22453"/>
    <cellStyle name="Normal 10 4 3 5 2 2 2" xfId="45040"/>
    <cellStyle name="Normal 10 4 3 5 2 3" xfId="12793"/>
    <cellStyle name="Normal 10 4 3 5 2 3 2" xfId="35380"/>
    <cellStyle name="Normal 10 4 3 5 2 4" xfId="28940"/>
    <cellStyle name="Normal 10 4 3 5 3" xfId="19233"/>
    <cellStyle name="Normal 10 4 3 5 3 2" xfId="41820"/>
    <cellStyle name="Normal 10 4 3 5 4" xfId="16013"/>
    <cellStyle name="Normal 10 4 3 5 4 2" xfId="38600"/>
    <cellStyle name="Normal 10 4 3 5 5" xfId="9573"/>
    <cellStyle name="Normal 10 4 3 5 5 2" xfId="32160"/>
    <cellStyle name="Normal 10 4 3 5 6" xfId="25720"/>
    <cellStyle name="Normal 10 4 3 6" xfId="3423"/>
    <cellStyle name="Normal 10 4 3 6 2" xfId="6643"/>
    <cellStyle name="Normal 10 4 3 6 2 2" xfId="22743"/>
    <cellStyle name="Normal 10 4 3 6 2 2 2" xfId="45330"/>
    <cellStyle name="Normal 10 4 3 6 2 3" xfId="13083"/>
    <cellStyle name="Normal 10 4 3 6 2 3 2" xfId="35670"/>
    <cellStyle name="Normal 10 4 3 6 2 4" xfId="29230"/>
    <cellStyle name="Normal 10 4 3 6 3" xfId="19523"/>
    <cellStyle name="Normal 10 4 3 6 3 2" xfId="42110"/>
    <cellStyle name="Normal 10 4 3 6 4" xfId="16303"/>
    <cellStyle name="Normal 10 4 3 6 4 2" xfId="38890"/>
    <cellStyle name="Normal 10 4 3 6 5" xfId="9863"/>
    <cellStyle name="Normal 10 4 3 6 5 2" xfId="32450"/>
    <cellStyle name="Normal 10 4 3 6 6" xfId="26010"/>
    <cellStyle name="Normal 10 4 3 7" xfId="774"/>
    <cellStyle name="Normal 10 4 3 7 2" xfId="4006"/>
    <cellStyle name="Normal 10 4 3 7 2 2" xfId="20106"/>
    <cellStyle name="Normal 10 4 3 7 2 2 2" xfId="42693"/>
    <cellStyle name="Normal 10 4 3 7 2 3" xfId="10446"/>
    <cellStyle name="Normal 10 4 3 7 2 3 2" xfId="33033"/>
    <cellStyle name="Normal 10 4 3 7 2 4" xfId="26593"/>
    <cellStyle name="Normal 10 4 3 7 3" xfId="16886"/>
    <cellStyle name="Normal 10 4 3 7 3 2" xfId="39473"/>
    <cellStyle name="Normal 10 4 3 7 4" xfId="13666"/>
    <cellStyle name="Normal 10 4 3 7 4 2" xfId="36253"/>
    <cellStyle name="Normal 10 4 3 7 5" xfId="7226"/>
    <cellStyle name="Normal 10 4 3 7 5 2" xfId="29813"/>
    <cellStyle name="Normal 10 4 3 7 6" xfId="23373"/>
    <cellStyle name="Normal 10 4 3 8" xfId="3713"/>
    <cellStyle name="Normal 10 4 3 8 2" xfId="19813"/>
    <cellStyle name="Normal 10 4 3 8 2 2" xfId="42400"/>
    <cellStyle name="Normal 10 4 3 8 3" xfId="10153"/>
    <cellStyle name="Normal 10 4 3 8 3 2" xfId="32740"/>
    <cellStyle name="Normal 10 4 3 8 4" xfId="26300"/>
    <cellStyle name="Normal 10 4 3 9" xfId="16593"/>
    <cellStyle name="Normal 10 4 3 9 2" xfId="39180"/>
    <cellStyle name="Normal 10 4 4" xfId="921"/>
    <cellStyle name="Normal 10 4 4 2" xfId="2240"/>
    <cellStyle name="Normal 10 4 4 2 2" xfId="5461"/>
    <cellStyle name="Normal 10 4 4 2 2 2" xfId="21561"/>
    <cellStyle name="Normal 10 4 4 2 2 2 2" xfId="44148"/>
    <cellStyle name="Normal 10 4 4 2 2 3" xfId="11901"/>
    <cellStyle name="Normal 10 4 4 2 2 3 2" xfId="34488"/>
    <cellStyle name="Normal 10 4 4 2 2 4" xfId="28048"/>
    <cellStyle name="Normal 10 4 4 2 3" xfId="18341"/>
    <cellStyle name="Normal 10 4 4 2 3 2" xfId="40928"/>
    <cellStyle name="Normal 10 4 4 2 4" xfId="15121"/>
    <cellStyle name="Normal 10 4 4 2 4 2" xfId="37708"/>
    <cellStyle name="Normal 10 4 4 2 5" xfId="8681"/>
    <cellStyle name="Normal 10 4 4 2 5 2" xfId="31268"/>
    <cellStyle name="Normal 10 4 4 2 6" xfId="24828"/>
    <cellStyle name="Normal 10 4 4 3" xfId="4153"/>
    <cellStyle name="Normal 10 4 4 3 2" xfId="20253"/>
    <cellStyle name="Normal 10 4 4 3 2 2" xfId="42840"/>
    <cellStyle name="Normal 10 4 4 3 3" xfId="10593"/>
    <cellStyle name="Normal 10 4 4 3 3 2" xfId="33180"/>
    <cellStyle name="Normal 10 4 4 3 4" xfId="26740"/>
    <cellStyle name="Normal 10 4 4 4" xfId="17033"/>
    <cellStyle name="Normal 10 4 4 4 2" xfId="39620"/>
    <cellStyle name="Normal 10 4 4 5" xfId="13813"/>
    <cellStyle name="Normal 10 4 4 5 2" xfId="36400"/>
    <cellStyle name="Normal 10 4 4 6" xfId="7373"/>
    <cellStyle name="Normal 10 4 4 6 2" xfId="29960"/>
    <cellStyle name="Normal 10 4 4 7" xfId="23520"/>
    <cellStyle name="Normal 10 4 5" xfId="1273"/>
    <cellStyle name="Normal 10 4 5 2" xfId="2587"/>
    <cellStyle name="Normal 10 4 5 2 2" xfId="5808"/>
    <cellStyle name="Normal 10 4 5 2 2 2" xfId="21908"/>
    <cellStyle name="Normal 10 4 5 2 2 2 2" xfId="44495"/>
    <cellStyle name="Normal 10 4 5 2 2 3" xfId="12248"/>
    <cellStyle name="Normal 10 4 5 2 2 3 2" xfId="34835"/>
    <cellStyle name="Normal 10 4 5 2 2 4" xfId="28395"/>
    <cellStyle name="Normal 10 4 5 2 3" xfId="18688"/>
    <cellStyle name="Normal 10 4 5 2 3 2" xfId="41275"/>
    <cellStyle name="Normal 10 4 5 2 4" xfId="15468"/>
    <cellStyle name="Normal 10 4 5 2 4 2" xfId="38055"/>
    <cellStyle name="Normal 10 4 5 2 5" xfId="9028"/>
    <cellStyle name="Normal 10 4 5 2 5 2" xfId="31615"/>
    <cellStyle name="Normal 10 4 5 2 6" xfId="25175"/>
    <cellStyle name="Normal 10 4 5 3" xfId="4500"/>
    <cellStyle name="Normal 10 4 5 3 2" xfId="20600"/>
    <cellStyle name="Normal 10 4 5 3 2 2" xfId="43187"/>
    <cellStyle name="Normal 10 4 5 3 3" xfId="10940"/>
    <cellStyle name="Normal 10 4 5 3 3 2" xfId="33527"/>
    <cellStyle name="Normal 10 4 5 3 4" xfId="27087"/>
    <cellStyle name="Normal 10 4 5 4" xfId="17380"/>
    <cellStyle name="Normal 10 4 5 4 2" xfId="39967"/>
    <cellStyle name="Normal 10 4 5 5" xfId="14160"/>
    <cellStyle name="Normal 10 4 5 5 2" xfId="36747"/>
    <cellStyle name="Normal 10 4 5 6" xfId="7720"/>
    <cellStyle name="Normal 10 4 5 6 2" xfId="30307"/>
    <cellStyle name="Normal 10 4 5 7" xfId="23867"/>
    <cellStyle name="Normal 10 4 6" xfId="1552"/>
    <cellStyle name="Normal 10 4 6 2" xfId="4778"/>
    <cellStyle name="Normal 10 4 6 2 2" xfId="20878"/>
    <cellStyle name="Normal 10 4 6 2 2 2" xfId="43465"/>
    <cellStyle name="Normal 10 4 6 2 3" xfId="11218"/>
    <cellStyle name="Normal 10 4 6 2 3 2" xfId="33805"/>
    <cellStyle name="Normal 10 4 6 2 4" xfId="27365"/>
    <cellStyle name="Normal 10 4 6 3" xfId="17658"/>
    <cellStyle name="Normal 10 4 6 3 2" xfId="40245"/>
    <cellStyle name="Normal 10 4 6 4" xfId="14438"/>
    <cellStyle name="Normal 10 4 6 4 2" xfId="37025"/>
    <cellStyle name="Normal 10 4 6 5" xfId="7998"/>
    <cellStyle name="Normal 10 4 6 5 2" xfId="30585"/>
    <cellStyle name="Normal 10 4 6 6" xfId="24145"/>
    <cellStyle name="Normal 10 4 7" xfId="1892"/>
    <cellStyle name="Normal 10 4 7 2" xfId="5114"/>
    <cellStyle name="Normal 10 4 7 2 2" xfId="21214"/>
    <cellStyle name="Normal 10 4 7 2 2 2" xfId="43801"/>
    <cellStyle name="Normal 10 4 7 2 3" xfId="11554"/>
    <cellStyle name="Normal 10 4 7 2 3 2" xfId="34141"/>
    <cellStyle name="Normal 10 4 7 2 4" xfId="27701"/>
    <cellStyle name="Normal 10 4 7 3" xfId="17994"/>
    <cellStyle name="Normal 10 4 7 3 2" xfId="40581"/>
    <cellStyle name="Normal 10 4 7 4" xfId="14774"/>
    <cellStyle name="Normal 10 4 7 4 2" xfId="37361"/>
    <cellStyle name="Normal 10 4 7 5" xfId="8334"/>
    <cellStyle name="Normal 10 4 7 5 2" xfId="30921"/>
    <cellStyle name="Normal 10 4 7 6" xfId="24481"/>
    <cellStyle name="Normal 10 4 8" xfId="2939"/>
    <cellStyle name="Normal 10 4 8 2" xfId="6160"/>
    <cellStyle name="Normal 10 4 8 2 2" xfId="22260"/>
    <cellStyle name="Normal 10 4 8 2 2 2" xfId="44847"/>
    <cellStyle name="Normal 10 4 8 2 3" xfId="12600"/>
    <cellStyle name="Normal 10 4 8 2 3 2" xfId="35187"/>
    <cellStyle name="Normal 10 4 8 2 4" xfId="28747"/>
    <cellStyle name="Normal 10 4 8 3" xfId="19040"/>
    <cellStyle name="Normal 10 4 8 3 2" xfId="41627"/>
    <cellStyle name="Normal 10 4 8 4" xfId="15820"/>
    <cellStyle name="Normal 10 4 8 4 2" xfId="38407"/>
    <cellStyle name="Normal 10 4 8 5" xfId="9380"/>
    <cellStyle name="Normal 10 4 8 5 2" xfId="31967"/>
    <cellStyle name="Normal 10 4 8 6" xfId="25527"/>
    <cellStyle name="Normal 10 4 9" xfId="3230"/>
    <cellStyle name="Normal 10 4 9 2" xfId="6450"/>
    <cellStyle name="Normal 10 4 9 2 2" xfId="22550"/>
    <cellStyle name="Normal 10 4 9 2 2 2" xfId="45137"/>
    <cellStyle name="Normal 10 4 9 2 3" xfId="12890"/>
    <cellStyle name="Normal 10 4 9 2 3 2" xfId="35477"/>
    <cellStyle name="Normal 10 4 9 2 4" xfId="29037"/>
    <cellStyle name="Normal 10 4 9 3" xfId="19330"/>
    <cellStyle name="Normal 10 4 9 3 2" xfId="41917"/>
    <cellStyle name="Normal 10 4 9 4" xfId="16110"/>
    <cellStyle name="Normal 10 4 9 4 2" xfId="38697"/>
    <cellStyle name="Normal 10 4 9 5" xfId="9670"/>
    <cellStyle name="Normal 10 4 9 5 2" xfId="32257"/>
    <cellStyle name="Normal 10 4 9 6" xfId="25817"/>
    <cellStyle name="Normal 10 5" xfId="265"/>
    <cellStyle name="Normal 10 5 10" xfId="16432"/>
    <cellStyle name="Normal 10 5 10 2" xfId="39019"/>
    <cellStyle name="Normal 10 5 11" xfId="13212"/>
    <cellStyle name="Normal 10 5 11 2" xfId="35799"/>
    <cellStyle name="Normal 10 5 12" xfId="6772"/>
    <cellStyle name="Normal 10 5 12 2" xfId="29359"/>
    <cellStyle name="Normal 10 5 13" xfId="22919"/>
    <cellStyle name="Normal 10 5 2" xfId="971"/>
    <cellStyle name="Normal 10 5 2 2" xfId="2289"/>
    <cellStyle name="Normal 10 5 2 2 2" xfId="5510"/>
    <cellStyle name="Normal 10 5 2 2 2 2" xfId="21610"/>
    <cellStyle name="Normal 10 5 2 2 2 2 2" xfId="44197"/>
    <cellStyle name="Normal 10 5 2 2 2 3" xfId="11950"/>
    <cellStyle name="Normal 10 5 2 2 2 3 2" xfId="34537"/>
    <cellStyle name="Normal 10 5 2 2 2 4" xfId="28097"/>
    <cellStyle name="Normal 10 5 2 2 3" xfId="18390"/>
    <cellStyle name="Normal 10 5 2 2 3 2" xfId="40977"/>
    <cellStyle name="Normal 10 5 2 2 4" xfId="15170"/>
    <cellStyle name="Normal 10 5 2 2 4 2" xfId="37757"/>
    <cellStyle name="Normal 10 5 2 2 5" xfId="8730"/>
    <cellStyle name="Normal 10 5 2 2 5 2" xfId="31317"/>
    <cellStyle name="Normal 10 5 2 2 6" xfId="24877"/>
    <cellStyle name="Normal 10 5 2 3" xfId="4202"/>
    <cellStyle name="Normal 10 5 2 3 2" xfId="20302"/>
    <cellStyle name="Normal 10 5 2 3 2 2" xfId="42889"/>
    <cellStyle name="Normal 10 5 2 3 3" xfId="10642"/>
    <cellStyle name="Normal 10 5 2 3 3 2" xfId="33229"/>
    <cellStyle name="Normal 10 5 2 3 4" xfId="26789"/>
    <cellStyle name="Normal 10 5 2 4" xfId="17082"/>
    <cellStyle name="Normal 10 5 2 4 2" xfId="39669"/>
    <cellStyle name="Normal 10 5 2 5" xfId="13862"/>
    <cellStyle name="Normal 10 5 2 5 2" xfId="36449"/>
    <cellStyle name="Normal 10 5 2 6" xfId="7422"/>
    <cellStyle name="Normal 10 5 2 6 2" xfId="30009"/>
    <cellStyle name="Normal 10 5 2 7" xfId="23569"/>
    <cellStyle name="Normal 10 5 3" xfId="1322"/>
    <cellStyle name="Normal 10 5 3 2" xfId="2636"/>
    <cellStyle name="Normal 10 5 3 2 2" xfId="5857"/>
    <cellStyle name="Normal 10 5 3 2 2 2" xfId="21957"/>
    <cellStyle name="Normal 10 5 3 2 2 2 2" xfId="44544"/>
    <cellStyle name="Normal 10 5 3 2 2 3" xfId="12297"/>
    <cellStyle name="Normal 10 5 3 2 2 3 2" xfId="34884"/>
    <cellStyle name="Normal 10 5 3 2 2 4" xfId="28444"/>
    <cellStyle name="Normal 10 5 3 2 3" xfId="18737"/>
    <cellStyle name="Normal 10 5 3 2 3 2" xfId="41324"/>
    <cellStyle name="Normal 10 5 3 2 4" xfId="15517"/>
    <cellStyle name="Normal 10 5 3 2 4 2" xfId="38104"/>
    <cellStyle name="Normal 10 5 3 2 5" xfId="9077"/>
    <cellStyle name="Normal 10 5 3 2 5 2" xfId="31664"/>
    <cellStyle name="Normal 10 5 3 2 6" xfId="25224"/>
    <cellStyle name="Normal 10 5 3 3" xfId="4549"/>
    <cellStyle name="Normal 10 5 3 3 2" xfId="20649"/>
    <cellStyle name="Normal 10 5 3 3 2 2" xfId="43236"/>
    <cellStyle name="Normal 10 5 3 3 3" xfId="10989"/>
    <cellStyle name="Normal 10 5 3 3 3 2" xfId="33576"/>
    <cellStyle name="Normal 10 5 3 3 4" xfId="27136"/>
    <cellStyle name="Normal 10 5 3 4" xfId="17429"/>
    <cellStyle name="Normal 10 5 3 4 2" xfId="40016"/>
    <cellStyle name="Normal 10 5 3 5" xfId="14209"/>
    <cellStyle name="Normal 10 5 3 5 2" xfId="36796"/>
    <cellStyle name="Normal 10 5 3 6" xfId="7769"/>
    <cellStyle name="Normal 10 5 3 6 2" xfId="30356"/>
    <cellStyle name="Normal 10 5 3 7" xfId="23916"/>
    <cellStyle name="Normal 10 5 4" xfId="1553"/>
    <cellStyle name="Normal 10 5 4 2" xfId="4779"/>
    <cellStyle name="Normal 10 5 4 2 2" xfId="20879"/>
    <cellStyle name="Normal 10 5 4 2 2 2" xfId="43466"/>
    <cellStyle name="Normal 10 5 4 2 3" xfId="11219"/>
    <cellStyle name="Normal 10 5 4 2 3 2" xfId="33806"/>
    <cellStyle name="Normal 10 5 4 2 4" xfId="27366"/>
    <cellStyle name="Normal 10 5 4 3" xfId="17659"/>
    <cellStyle name="Normal 10 5 4 3 2" xfId="40246"/>
    <cellStyle name="Normal 10 5 4 4" xfId="14439"/>
    <cellStyle name="Normal 10 5 4 4 2" xfId="37026"/>
    <cellStyle name="Normal 10 5 4 5" xfId="7999"/>
    <cellStyle name="Normal 10 5 4 5 2" xfId="30586"/>
    <cellStyle name="Normal 10 5 4 6" xfId="24146"/>
    <cellStyle name="Normal 10 5 5" xfId="1941"/>
    <cellStyle name="Normal 10 5 5 2" xfId="5163"/>
    <cellStyle name="Normal 10 5 5 2 2" xfId="21263"/>
    <cellStyle name="Normal 10 5 5 2 2 2" xfId="43850"/>
    <cellStyle name="Normal 10 5 5 2 3" xfId="11603"/>
    <cellStyle name="Normal 10 5 5 2 3 2" xfId="34190"/>
    <cellStyle name="Normal 10 5 5 2 4" xfId="27750"/>
    <cellStyle name="Normal 10 5 5 3" xfId="18043"/>
    <cellStyle name="Normal 10 5 5 3 2" xfId="40630"/>
    <cellStyle name="Normal 10 5 5 4" xfId="14823"/>
    <cellStyle name="Normal 10 5 5 4 2" xfId="37410"/>
    <cellStyle name="Normal 10 5 5 5" xfId="8383"/>
    <cellStyle name="Normal 10 5 5 5 2" xfId="30970"/>
    <cellStyle name="Normal 10 5 5 6" xfId="24530"/>
    <cellStyle name="Normal 10 5 6" xfId="2972"/>
    <cellStyle name="Normal 10 5 6 2" xfId="6192"/>
    <cellStyle name="Normal 10 5 6 2 2" xfId="22292"/>
    <cellStyle name="Normal 10 5 6 2 2 2" xfId="44879"/>
    <cellStyle name="Normal 10 5 6 2 3" xfId="12632"/>
    <cellStyle name="Normal 10 5 6 2 3 2" xfId="35219"/>
    <cellStyle name="Normal 10 5 6 2 4" xfId="28779"/>
    <cellStyle name="Normal 10 5 6 3" xfId="19072"/>
    <cellStyle name="Normal 10 5 6 3 2" xfId="41659"/>
    <cellStyle name="Normal 10 5 6 4" xfId="15852"/>
    <cellStyle name="Normal 10 5 6 4 2" xfId="38439"/>
    <cellStyle name="Normal 10 5 6 5" xfId="9412"/>
    <cellStyle name="Normal 10 5 6 5 2" xfId="31999"/>
    <cellStyle name="Normal 10 5 6 6" xfId="25559"/>
    <cellStyle name="Normal 10 5 7" xfId="3262"/>
    <cellStyle name="Normal 10 5 7 2" xfId="6482"/>
    <cellStyle name="Normal 10 5 7 2 2" xfId="22582"/>
    <cellStyle name="Normal 10 5 7 2 2 2" xfId="45169"/>
    <cellStyle name="Normal 10 5 7 2 3" xfId="12922"/>
    <cellStyle name="Normal 10 5 7 2 3 2" xfId="35509"/>
    <cellStyle name="Normal 10 5 7 2 4" xfId="29069"/>
    <cellStyle name="Normal 10 5 7 3" xfId="19362"/>
    <cellStyle name="Normal 10 5 7 3 2" xfId="41949"/>
    <cellStyle name="Normal 10 5 7 4" xfId="16142"/>
    <cellStyle name="Normal 10 5 7 4 2" xfId="38729"/>
    <cellStyle name="Normal 10 5 7 5" xfId="9702"/>
    <cellStyle name="Normal 10 5 7 5 2" xfId="32289"/>
    <cellStyle name="Normal 10 5 7 6" xfId="25849"/>
    <cellStyle name="Normal 10 5 8" xfId="586"/>
    <cellStyle name="Normal 10 5 8 2" xfId="3855"/>
    <cellStyle name="Normal 10 5 8 2 2" xfId="19955"/>
    <cellStyle name="Normal 10 5 8 2 2 2" xfId="42542"/>
    <cellStyle name="Normal 10 5 8 2 3" xfId="10295"/>
    <cellStyle name="Normal 10 5 8 2 3 2" xfId="32882"/>
    <cellStyle name="Normal 10 5 8 2 4" xfId="26442"/>
    <cellStyle name="Normal 10 5 8 3" xfId="16735"/>
    <cellStyle name="Normal 10 5 8 3 2" xfId="39322"/>
    <cellStyle name="Normal 10 5 8 4" xfId="13515"/>
    <cellStyle name="Normal 10 5 8 4 2" xfId="36102"/>
    <cellStyle name="Normal 10 5 8 5" xfId="7075"/>
    <cellStyle name="Normal 10 5 8 5 2" xfId="29662"/>
    <cellStyle name="Normal 10 5 8 6" xfId="23222"/>
    <cellStyle name="Normal 10 5 9" xfId="3552"/>
    <cellStyle name="Normal 10 5 9 2" xfId="19652"/>
    <cellStyle name="Normal 10 5 9 2 2" xfId="42239"/>
    <cellStyle name="Normal 10 5 9 3" xfId="9992"/>
    <cellStyle name="Normal 10 5 9 3 2" xfId="32579"/>
    <cellStyle name="Normal 10 5 9 4" xfId="26139"/>
    <cellStyle name="Normal 10 6" xfId="349"/>
    <cellStyle name="Normal 10 6 10" xfId="13296"/>
    <cellStyle name="Normal 10 6 10 2" xfId="35883"/>
    <cellStyle name="Normal 10 6 11" xfId="6856"/>
    <cellStyle name="Normal 10 6 11 2" xfId="29443"/>
    <cellStyle name="Normal 10 6 12" xfId="23003"/>
    <cellStyle name="Normal 10 6 2" xfId="1072"/>
    <cellStyle name="Normal 10 6 2 2" xfId="2386"/>
    <cellStyle name="Normal 10 6 2 2 2" xfId="5607"/>
    <cellStyle name="Normal 10 6 2 2 2 2" xfId="21707"/>
    <cellStyle name="Normal 10 6 2 2 2 2 2" xfId="44294"/>
    <cellStyle name="Normal 10 6 2 2 2 3" xfId="12047"/>
    <cellStyle name="Normal 10 6 2 2 2 3 2" xfId="34634"/>
    <cellStyle name="Normal 10 6 2 2 2 4" xfId="28194"/>
    <cellStyle name="Normal 10 6 2 2 3" xfId="18487"/>
    <cellStyle name="Normal 10 6 2 2 3 2" xfId="41074"/>
    <cellStyle name="Normal 10 6 2 2 4" xfId="15267"/>
    <cellStyle name="Normal 10 6 2 2 4 2" xfId="37854"/>
    <cellStyle name="Normal 10 6 2 2 5" xfId="8827"/>
    <cellStyle name="Normal 10 6 2 2 5 2" xfId="31414"/>
    <cellStyle name="Normal 10 6 2 2 6" xfId="24974"/>
    <cellStyle name="Normal 10 6 2 3" xfId="4299"/>
    <cellStyle name="Normal 10 6 2 3 2" xfId="20399"/>
    <cellStyle name="Normal 10 6 2 3 2 2" xfId="42986"/>
    <cellStyle name="Normal 10 6 2 3 3" xfId="10739"/>
    <cellStyle name="Normal 10 6 2 3 3 2" xfId="33326"/>
    <cellStyle name="Normal 10 6 2 3 4" xfId="26886"/>
    <cellStyle name="Normal 10 6 2 4" xfId="17179"/>
    <cellStyle name="Normal 10 6 2 4 2" xfId="39766"/>
    <cellStyle name="Normal 10 6 2 5" xfId="13959"/>
    <cellStyle name="Normal 10 6 2 5 2" xfId="36546"/>
    <cellStyle name="Normal 10 6 2 6" xfId="7519"/>
    <cellStyle name="Normal 10 6 2 6 2" xfId="30106"/>
    <cellStyle name="Normal 10 6 2 7" xfId="23666"/>
    <cellStyle name="Normal 10 6 3" xfId="1419"/>
    <cellStyle name="Normal 10 6 3 2" xfId="2733"/>
    <cellStyle name="Normal 10 6 3 2 2" xfId="5954"/>
    <cellStyle name="Normal 10 6 3 2 2 2" xfId="22054"/>
    <cellStyle name="Normal 10 6 3 2 2 2 2" xfId="44641"/>
    <cellStyle name="Normal 10 6 3 2 2 3" xfId="12394"/>
    <cellStyle name="Normal 10 6 3 2 2 3 2" xfId="34981"/>
    <cellStyle name="Normal 10 6 3 2 2 4" xfId="28541"/>
    <cellStyle name="Normal 10 6 3 2 3" xfId="18834"/>
    <cellStyle name="Normal 10 6 3 2 3 2" xfId="41421"/>
    <cellStyle name="Normal 10 6 3 2 4" xfId="15614"/>
    <cellStyle name="Normal 10 6 3 2 4 2" xfId="38201"/>
    <cellStyle name="Normal 10 6 3 2 5" xfId="9174"/>
    <cellStyle name="Normal 10 6 3 2 5 2" xfId="31761"/>
    <cellStyle name="Normal 10 6 3 2 6" xfId="25321"/>
    <cellStyle name="Normal 10 6 3 3" xfId="4646"/>
    <cellStyle name="Normal 10 6 3 3 2" xfId="20746"/>
    <cellStyle name="Normal 10 6 3 3 2 2" xfId="43333"/>
    <cellStyle name="Normal 10 6 3 3 3" xfId="11086"/>
    <cellStyle name="Normal 10 6 3 3 3 2" xfId="33673"/>
    <cellStyle name="Normal 10 6 3 3 4" xfId="27233"/>
    <cellStyle name="Normal 10 6 3 4" xfId="17526"/>
    <cellStyle name="Normal 10 6 3 4 2" xfId="40113"/>
    <cellStyle name="Normal 10 6 3 5" xfId="14306"/>
    <cellStyle name="Normal 10 6 3 5 2" xfId="36893"/>
    <cellStyle name="Normal 10 6 3 6" xfId="7866"/>
    <cellStyle name="Normal 10 6 3 6 2" xfId="30453"/>
    <cellStyle name="Normal 10 6 3 7" xfId="24013"/>
    <cellStyle name="Normal 10 6 4" xfId="2038"/>
    <cellStyle name="Normal 10 6 4 2" xfId="5260"/>
    <cellStyle name="Normal 10 6 4 2 2" xfId="21360"/>
    <cellStyle name="Normal 10 6 4 2 2 2" xfId="43947"/>
    <cellStyle name="Normal 10 6 4 2 3" xfId="11700"/>
    <cellStyle name="Normal 10 6 4 2 3 2" xfId="34287"/>
    <cellStyle name="Normal 10 6 4 2 4" xfId="27847"/>
    <cellStyle name="Normal 10 6 4 3" xfId="18140"/>
    <cellStyle name="Normal 10 6 4 3 2" xfId="40727"/>
    <cellStyle name="Normal 10 6 4 4" xfId="14920"/>
    <cellStyle name="Normal 10 6 4 4 2" xfId="37507"/>
    <cellStyle name="Normal 10 6 4 5" xfId="8480"/>
    <cellStyle name="Normal 10 6 4 5 2" xfId="31067"/>
    <cellStyle name="Normal 10 6 4 6" xfId="24627"/>
    <cellStyle name="Normal 10 6 5" xfId="3056"/>
    <cellStyle name="Normal 10 6 5 2" xfId="6276"/>
    <cellStyle name="Normal 10 6 5 2 2" xfId="22376"/>
    <cellStyle name="Normal 10 6 5 2 2 2" xfId="44963"/>
    <cellStyle name="Normal 10 6 5 2 3" xfId="12716"/>
    <cellStyle name="Normal 10 6 5 2 3 2" xfId="35303"/>
    <cellStyle name="Normal 10 6 5 2 4" xfId="28863"/>
    <cellStyle name="Normal 10 6 5 3" xfId="19156"/>
    <cellStyle name="Normal 10 6 5 3 2" xfId="41743"/>
    <cellStyle name="Normal 10 6 5 4" xfId="15936"/>
    <cellStyle name="Normal 10 6 5 4 2" xfId="38523"/>
    <cellStyle name="Normal 10 6 5 5" xfId="9496"/>
    <cellStyle name="Normal 10 6 5 5 2" xfId="32083"/>
    <cellStyle name="Normal 10 6 5 6" xfId="25643"/>
    <cellStyle name="Normal 10 6 6" xfId="3346"/>
    <cellStyle name="Normal 10 6 6 2" xfId="6566"/>
    <cellStyle name="Normal 10 6 6 2 2" xfId="22666"/>
    <cellStyle name="Normal 10 6 6 2 2 2" xfId="45253"/>
    <cellStyle name="Normal 10 6 6 2 3" xfId="13006"/>
    <cellStyle name="Normal 10 6 6 2 3 2" xfId="35593"/>
    <cellStyle name="Normal 10 6 6 2 4" xfId="29153"/>
    <cellStyle name="Normal 10 6 6 3" xfId="19446"/>
    <cellStyle name="Normal 10 6 6 3 2" xfId="42033"/>
    <cellStyle name="Normal 10 6 6 4" xfId="16226"/>
    <cellStyle name="Normal 10 6 6 4 2" xfId="38813"/>
    <cellStyle name="Normal 10 6 6 5" xfId="9786"/>
    <cellStyle name="Normal 10 6 6 5 2" xfId="32373"/>
    <cellStyle name="Normal 10 6 6 6" xfId="25933"/>
    <cellStyle name="Normal 10 6 7" xfId="709"/>
    <cellStyle name="Normal 10 6 7 2" xfId="3952"/>
    <cellStyle name="Normal 10 6 7 2 2" xfId="20052"/>
    <cellStyle name="Normal 10 6 7 2 2 2" xfId="42639"/>
    <cellStyle name="Normal 10 6 7 2 3" xfId="10392"/>
    <cellStyle name="Normal 10 6 7 2 3 2" xfId="32979"/>
    <cellStyle name="Normal 10 6 7 2 4" xfId="26539"/>
    <cellStyle name="Normal 10 6 7 3" xfId="16832"/>
    <cellStyle name="Normal 10 6 7 3 2" xfId="39419"/>
    <cellStyle name="Normal 10 6 7 4" xfId="13612"/>
    <cellStyle name="Normal 10 6 7 4 2" xfId="36199"/>
    <cellStyle name="Normal 10 6 7 5" xfId="7172"/>
    <cellStyle name="Normal 10 6 7 5 2" xfId="29759"/>
    <cellStyle name="Normal 10 6 7 6" xfId="23319"/>
    <cellStyle name="Normal 10 6 8" xfId="3636"/>
    <cellStyle name="Normal 10 6 8 2" xfId="19736"/>
    <cellStyle name="Normal 10 6 8 2 2" xfId="42323"/>
    <cellStyle name="Normal 10 6 8 3" xfId="10076"/>
    <cellStyle name="Normal 10 6 8 3 2" xfId="32663"/>
    <cellStyle name="Normal 10 6 8 4" xfId="26223"/>
    <cellStyle name="Normal 10 6 9" xfId="16516"/>
    <cellStyle name="Normal 10 6 9 2" xfId="39103"/>
    <cellStyle name="Normal 10 7" xfId="754"/>
    <cellStyle name="Normal 10 7 2" xfId="1106"/>
    <cellStyle name="Normal 10 7 2 2" xfId="2420"/>
    <cellStyle name="Normal 10 7 2 2 2" xfId="5641"/>
    <cellStyle name="Normal 10 7 2 2 2 2" xfId="21741"/>
    <cellStyle name="Normal 10 7 2 2 2 2 2" xfId="44328"/>
    <cellStyle name="Normal 10 7 2 2 2 3" xfId="12081"/>
    <cellStyle name="Normal 10 7 2 2 2 3 2" xfId="34668"/>
    <cellStyle name="Normal 10 7 2 2 2 4" xfId="28228"/>
    <cellStyle name="Normal 10 7 2 2 3" xfId="18521"/>
    <cellStyle name="Normal 10 7 2 2 3 2" xfId="41108"/>
    <cellStyle name="Normal 10 7 2 2 4" xfId="15301"/>
    <cellStyle name="Normal 10 7 2 2 4 2" xfId="37888"/>
    <cellStyle name="Normal 10 7 2 2 5" xfId="8861"/>
    <cellStyle name="Normal 10 7 2 2 5 2" xfId="31448"/>
    <cellStyle name="Normal 10 7 2 2 6" xfId="25008"/>
    <cellStyle name="Normal 10 7 2 3" xfId="4333"/>
    <cellStyle name="Normal 10 7 2 3 2" xfId="20433"/>
    <cellStyle name="Normal 10 7 2 3 2 2" xfId="43020"/>
    <cellStyle name="Normal 10 7 2 3 3" xfId="10773"/>
    <cellStyle name="Normal 10 7 2 3 3 2" xfId="33360"/>
    <cellStyle name="Normal 10 7 2 3 4" xfId="26920"/>
    <cellStyle name="Normal 10 7 2 4" xfId="17213"/>
    <cellStyle name="Normal 10 7 2 4 2" xfId="39800"/>
    <cellStyle name="Normal 10 7 2 5" xfId="13993"/>
    <cellStyle name="Normal 10 7 2 5 2" xfId="36580"/>
    <cellStyle name="Normal 10 7 2 6" xfId="7553"/>
    <cellStyle name="Normal 10 7 2 6 2" xfId="30140"/>
    <cellStyle name="Normal 10 7 2 7" xfId="23700"/>
    <cellStyle name="Normal 10 7 3" xfId="1453"/>
    <cellStyle name="Normal 10 7 3 2" xfId="2767"/>
    <cellStyle name="Normal 10 7 3 2 2" xfId="5988"/>
    <cellStyle name="Normal 10 7 3 2 2 2" xfId="22088"/>
    <cellStyle name="Normal 10 7 3 2 2 2 2" xfId="44675"/>
    <cellStyle name="Normal 10 7 3 2 2 3" xfId="12428"/>
    <cellStyle name="Normal 10 7 3 2 2 3 2" xfId="35015"/>
    <cellStyle name="Normal 10 7 3 2 2 4" xfId="28575"/>
    <cellStyle name="Normal 10 7 3 2 3" xfId="18868"/>
    <cellStyle name="Normal 10 7 3 2 3 2" xfId="41455"/>
    <cellStyle name="Normal 10 7 3 2 4" xfId="15648"/>
    <cellStyle name="Normal 10 7 3 2 4 2" xfId="38235"/>
    <cellStyle name="Normal 10 7 3 2 5" xfId="9208"/>
    <cellStyle name="Normal 10 7 3 2 5 2" xfId="31795"/>
    <cellStyle name="Normal 10 7 3 2 6" xfId="25355"/>
    <cellStyle name="Normal 10 7 3 3" xfId="4680"/>
    <cellStyle name="Normal 10 7 3 3 2" xfId="20780"/>
    <cellStyle name="Normal 10 7 3 3 2 2" xfId="43367"/>
    <cellStyle name="Normal 10 7 3 3 3" xfId="11120"/>
    <cellStyle name="Normal 10 7 3 3 3 2" xfId="33707"/>
    <cellStyle name="Normal 10 7 3 3 4" xfId="27267"/>
    <cellStyle name="Normal 10 7 3 4" xfId="17560"/>
    <cellStyle name="Normal 10 7 3 4 2" xfId="40147"/>
    <cellStyle name="Normal 10 7 3 5" xfId="14340"/>
    <cellStyle name="Normal 10 7 3 5 2" xfId="36927"/>
    <cellStyle name="Normal 10 7 3 6" xfId="7900"/>
    <cellStyle name="Normal 10 7 3 6 2" xfId="30487"/>
    <cellStyle name="Normal 10 7 3 7" xfId="24047"/>
    <cellStyle name="Normal 10 7 4" xfId="2073"/>
    <cellStyle name="Normal 10 7 4 2" xfId="5294"/>
    <cellStyle name="Normal 10 7 4 2 2" xfId="21394"/>
    <cellStyle name="Normal 10 7 4 2 2 2" xfId="43981"/>
    <cellStyle name="Normal 10 7 4 2 3" xfId="11734"/>
    <cellStyle name="Normal 10 7 4 2 3 2" xfId="34321"/>
    <cellStyle name="Normal 10 7 4 2 4" xfId="27881"/>
    <cellStyle name="Normal 10 7 4 3" xfId="18174"/>
    <cellStyle name="Normal 10 7 4 3 2" xfId="40761"/>
    <cellStyle name="Normal 10 7 4 4" xfId="14954"/>
    <cellStyle name="Normal 10 7 4 4 2" xfId="37541"/>
    <cellStyle name="Normal 10 7 4 5" xfId="8514"/>
    <cellStyle name="Normal 10 7 4 5 2" xfId="31101"/>
    <cellStyle name="Normal 10 7 4 6" xfId="24661"/>
    <cellStyle name="Normal 10 7 5" xfId="3986"/>
    <cellStyle name="Normal 10 7 5 2" xfId="20086"/>
    <cellStyle name="Normal 10 7 5 2 2" xfId="42673"/>
    <cellStyle name="Normal 10 7 5 3" xfId="10426"/>
    <cellStyle name="Normal 10 7 5 3 2" xfId="33013"/>
    <cellStyle name="Normal 10 7 5 4" xfId="26573"/>
    <cellStyle name="Normal 10 7 6" xfId="16866"/>
    <cellStyle name="Normal 10 7 6 2" xfId="39453"/>
    <cellStyle name="Normal 10 7 7" xfId="13646"/>
    <cellStyle name="Normal 10 7 7 2" xfId="36233"/>
    <cellStyle name="Normal 10 7 8" xfId="7206"/>
    <cellStyle name="Normal 10 7 8 2" xfId="29793"/>
    <cellStyle name="Normal 10 7 9" xfId="23353"/>
    <cellStyle name="Normal 10 8" xfId="848"/>
    <cellStyle name="Normal 10 8 2" xfId="2167"/>
    <cellStyle name="Normal 10 8 2 2" xfId="5388"/>
    <cellStyle name="Normal 10 8 2 2 2" xfId="21488"/>
    <cellStyle name="Normal 10 8 2 2 2 2" xfId="44075"/>
    <cellStyle name="Normal 10 8 2 2 3" xfId="11828"/>
    <cellStyle name="Normal 10 8 2 2 3 2" xfId="34415"/>
    <cellStyle name="Normal 10 8 2 2 4" xfId="27975"/>
    <cellStyle name="Normal 10 8 2 3" xfId="18268"/>
    <cellStyle name="Normal 10 8 2 3 2" xfId="40855"/>
    <cellStyle name="Normal 10 8 2 4" xfId="15048"/>
    <cellStyle name="Normal 10 8 2 4 2" xfId="37635"/>
    <cellStyle name="Normal 10 8 2 5" xfId="8608"/>
    <cellStyle name="Normal 10 8 2 5 2" xfId="31195"/>
    <cellStyle name="Normal 10 8 2 6" xfId="24755"/>
    <cellStyle name="Normal 10 8 3" xfId="4080"/>
    <cellStyle name="Normal 10 8 3 2" xfId="20180"/>
    <cellStyle name="Normal 10 8 3 2 2" xfId="42767"/>
    <cellStyle name="Normal 10 8 3 3" xfId="10520"/>
    <cellStyle name="Normal 10 8 3 3 2" xfId="33107"/>
    <cellStyle name="Normal 10 8 3 4" xfId="26667"/>
    <cellStyle name="Normal 10 8 4" xfId="16960"/>
    <cellStyle name="Normal 10 8 4 2" xfId="39547"/>
    <cellStyle name="Normal 10 8 5" xfId="13740"/>
    <cellStyle name="Normal 10 8 5 2" xfId="36327"/>
    <cellStyle name="Normal 10 8 6" xfId="7300"/>
    <cellStyle name="Normal 10 8 6 2" xfId="29887"/>
    <cellStyle name="Normal 10 8 7" xfId="23447"/>
    <cellStyle name="Normal 10 9" xfId="1200"/>
    <cellStyle name="Normal 10 9 2" xfId="2514"/>
    <cellStyle name="Normal 10 9 2 2" xfId="5735"/>
    <cellStyle name="Normal 10 9 2 2 2" xfId="21835"/>
    <cellStyle name="Normal 10 9 2 2 2 2" xfId="44422"/>
    <cellStyle name="Normal 10 9 2 2 3" xfId="12175"/>
    <cellStyle name="Normal 10 9 2 2 3 2" xfId="34762"/>
    <cellStyle name="Normal 10 9 2 2 4" xfId="28322"/>
    <cellStyle name="Normal 10 9 2 3" xfId="18615"/>
    <cellStyle name="Normal 10 9 2 3 2" xfId="41202"/>
    <cellStyle name="Normal 10 9 2 4" xfId="15395"/>
    <cellStyle name="Normal 10 9 2 4 2" xfId="37982"/>
    <cellStyle name="Normal 10 9 2 5" xfId="8955"/>
    <cellStyle name="Normal 10 9 2 5 2" xfId="31542"/>
    <cellStyle name="Normal 10 9 2 6" xfId="25102"/>
    <cellStyle name="Normal 10 9 3" xfId="4427"/>
    <cellStyle name="Normal 10 9 3 2" xfId="20527"/>
    <cellStyle name="Normal 10 9 3 2 2" xfId="43114"/>
    <cellStyle name="Normal 10 9 3 3" xfId="10867"/>
    <cellStyle name="Normal 10 9 3 3 2" xfId="33454"/>
    <cellStyle name="Normal 10 9 3 4" xfId="27014"/>
    <cellStyle name="Normal 10 9 4" xfId="17307"/>
    <cellStyle name="Normal 10 9 4 2" xfId="39894"/>
    <cellStyle name="Normal 10 9 5" xfId="14087"/>
    <cellStyle name="Normal 10 9 5 2" xfId="36674"/>
    <cellStyle name="Normal 10 9 6" xfId="7647"/>
    <cellStyle name="Normal 10 9 6 2" xfId="30234"/>
    <cellStyle name="Normal 10 9 7" xfId="23794"/>
    <cellStyle name="Normal 11" xfId="108"/>
    <cellStyle name="Normal 11 2" xfId="126"/>
    <cellStyle name="Normal 12" xfId="110"/>
    <cellStyle name="Normal 12 10" xfId="1554"/>
    <cellStyle name="Normal 12 10 2" xfId="4780"/>
    <cellStyle name="Normal 12 10 2 2" xfId="20880"/>
    <cellStyle name="Normal 12 10 2 2 2" xfId="43467"/>
    <cellStyle name="Normal 12 10 2 3" xfId="11220"/>
    <cellStyle name="Normal 12 10 2 3 2" xfId="33807"/>
    <cellStyle name="Normal 12 10 2 4" xfId="27367"/>
    <cellStyle name="Normal 12 10 3" xfId="17660"/>
    <cellStyle name="Normal 12 10 3 2" xfId="40247"/>
    <cellStyle name="Normal 12 10 4" xfId="14440"/>
    <cellStyle name="Normal 12 10 4 2" xfId="37027"/>
    <cellStyle name="Normal 12 10 5" xfId="8000"/>
    <cellStyle name="Normal 12 10 5 2" xfId="30587"/>
    <cellStyle name="Normal 12 10 6" xfId="24147"/>
    <cellStyle name="Normal 12 11" xfId="1823"/>
    <cellStyle name="Normal 12 11 2" xfId="5045"/>
    <cellStyle name="Normal 12 11 2 2" xfId="21145"/>
    <cellStyle name="Normal 12 11 2 2 2" xfId="43732"/>
    <cellStyle name="Normal 12 11 2 3" xfId="11485"/>
    <cellStyle name="Normal 12 11 2 3 2" xfId="34072"/>
    <cellStyle name="Normal 12 11 2 4" xfId="27632"/>
    <cellStyle name="Normal 12 11 3" xfId="17925"/>
    <cellStyle name="Normal 12 11 3 2" xfId="40512"/>
    <cellStyle name="Normal 12 11 4" xfId="14705"/>
    <cellStyle name="Normal 12 11 4 2" xfId="37292"/>
    <cellStyle name="Normal 12 11 5" xfId="8265"/>
    <cellStyle name="Normal 12 11 5 2" xfId="30852"/>
    <cellStyle name="Normal 12 11 6" xfId="24412"/>
    <cellStyle name="Normal 12 12" xfId="2866"/>
    <cellStyle name="Normal 12 12 2" xfId="6087"/>
    <cellStyle name="Normal 12 12 2 2" xfId="22187"/>
    <cellStyle name="Normal 12 12 2 2 2" xfId="44774"/>
    <cellStyle name="Normal 12 12 2 3" xfId="12527"/>
    <cellStyle name="Normal 12 12 2 3 2" xfId="35114"/>
    <cellStyle name="Normal 12 12 2 4" xfId="28674"/>
    <cellStyle name="Normal 12 12 3" xfId="18967"/>
    <cellStyle name="Normal 12 12 3 2" xfId="41554"/>
    <cellStyle name="Normal 12 12 4" xfId="15747"/>
    <cellStyle name="Normal 12 12 4 2" xfId="38334"/>
    <cellStyle name="Normal 12 12 5" xfId="9307"/>
    <cellStyle name="Normal 12 12 5 2" xfId="31894"/>
    <cellStyle name="Normal 12 12 6" xfId="25454"/>
    <cellStyle name="Normal 12 13" xfId="3157"/>
    <cellStyle name="Normal 12 13 2" xfId="6377"/>
    <cellStyle name="Normal 12 13 2 2" xfId="22477"/>
    <cellStyle name="Normal 12 13 2 2 2" xfId="45064"/>
    <cellStyle name="Normal 12 13 2 3" xfId="12817"/>
    <cellStyle name="Normal 12 13 2 3 2" xfId="35404"/>
    <cellStyle name="Normal 12 13 2 4" xfId="28964"/>
    <cellStyle name="Normal 12 13 3" xfId="19257"/>
    <cellStyle name="Normal 12 13 3 2" xfId="41844"/>
    <cellStyle name="Normal 12 13 4" xfId="16037"/>
    <cellStyle name="Normal 12 13 4 2" xfId="38624"/>
    <cellStyle name="Normal 12 13 5" xfId="9597"/>
    <cellStyle name="Normal 12 13 5 2" xfId="32184"/>
    <cellStyle name="Normal 12 13 6" xfId="25744"/>
    <cellStyle name="Normal 12 14" xfId="450"/>
    <cellStyle name="Normal 12 14 2" xfId="3737"/>
    <cellStyle name="Normal 12 14 2 2" xfId="19837"/>
    <cellStyle name="Normal 12 14 2 2 2" xfId="42424"/>
    <cellStyle name="Normal 12 14 2 3" xfId="10177"/>
    <cellStyle name="Normal 12 14 2 3 2" xfId="32764"/>
    <cellStyle name="Normal 12 14 2 4" xfId="26324"/>
    <cellStyle name="Normal 12 14 3" xfId="16617"/>
    <cellStyle name="Normal 12 14 3 2" xfId="39204"/>
    <cellStyle name="Normal 12 14 4" xfId="13397"/>
    <cellStyle name="Normal 12 14 4 2" xfId="35984"/>
    <cellStyle name="Normal 12 14 5" xfId="6957"/>
    <cellStyle name="Normal 12 14 5 2" xfId="29544"/>
    <cellStyle name="Normal 12 14 6" xfId="23104"/>
    <cellStyle name="Normal 12 15" xfId="3447"/>
    <cellStyle name="Normal 12 15 2" xfId="19547"/>
    <cellStyle name="Normal 12 15 2 2" xfId="42134"/>
    <cellStyle name="Normal 12 15 3" xfId="9887"/>
    <cellStyle name="Normal 12 15 3 2" xfId="32474"/>
    <cellStyle name="Normal 12 15 4" xfId="26034"/>
    <cellStyle name="Normal 12 16" xfId="16327"/>
    <cellStyle name="Normal 12 16 2" xfId="38914"/>
    <cellStyle name="Normal 12 17" xfId="13107"/>
    <cellStyle name="Normal 12 17 2" xfId="35694"/>
    <cellStyle name="Normal 12 18" xfId="6667"/>
    <cellStyle name="Normal 12 18 2" xfId="29254"/>
    <cellStyle name="Normal 12 19" xfId="22814"/>
    <cellStyle name="Normal 12 2" xfId="127"/>
    <cellStyle name="Normal 12 2 10" xfId="2882"/>
    <cellStyle name="Normal 12 2 10 2" xfId="6103"/>
    <cellStyle name="Normal 12 2 10 2 2" xfId="22203"/>
    <cellStyle name="Normal 12 2 10 2 2 2" xfId="44790"/>
    <cellStyle name="Normal 12 2 10 2 3" xfId="12543"/>
    <cellStyle name="Normal 12 2 10 2 3 2" xfId="35130"/>
    <cellStyle name="Normal 12 2 10 2 4" xfId="28690"/>
    <cellStyle name="Normal 12 2 10 3" xfId="18983"/>
    <cellStyle name="Normal 12 2 10 3 2" xfId="41570"/>
    <cellStyle name="Normal 12 2 10 4" xfId="15763"/>
    <cellStyle name="Normal 12 2 10 4 2" xfId="38350"/>
    <cellStyle name="Normal 12 2 10 5" xfId="9323"/>
    <cellStyle name="Normal 12 2 10 5 2" xfId="31910"/>
    <cellStyle name="Normal 12 2 10 6" xfId="25470"/>
    <cellStyle name="Normal 12 2 11" xfId="3173"/>
    <cellStyle name="Normal 12 2 11 2" xfId="6393"/>
    <cellStyle name="Normal 12 2 11 2 2" xfId="22493"/>
    <cellStyle name="Normal 12 2 11 2 2 2" xfId="45080"/>
    <cellStyle name="Normal 12 2 11 2 3" xfId="12833"/>
    <cellStyle name="Normal 12 2 11 2 3 2" xfId="35420"/>
    <cellStyle name="Normal 12 2 11 2 4" xfId="28980"/>
    <cellStyle name="Normal 12 2 11 3" xfId="19273"/>
    <cellStyle name="Normal 12 2 11 3 2" xfId="41860"/>
    <cellStyle name="Normal 12 2 11 4" xfId="16053"/>
    <cellStyle name="Normal 12 2 11 4 2" xfId="38640"/>
    <cellStyle name="Normal 12 2 11 5" xfId="9613"/>
    <cellStyle name="Normal 12 2 11 5 2" xfId="32200"/>
    <cellStyle name="Normal 12 2 11 6" xfId="25760"/>
    <cellStyle name="Normal 12 2 12" xfId="466"/>
    <cellStyle name="Normal 12 2 12 2" xfId="3753"/>
    <cellStyle name="Normal 12 2 12 2 2" xfId="19853"/>
    <cellStyle name="Normal 12 2 12 2 2 2" xfId="42440"/>
    <cellStyle name="Normal 12 2 12 2 3" xfId="10193"/>
    <cellStyle name="Normal 12 2 12 2 3 2" xfId="32780"/>
    <cellStyle name="Normal 12 2 12 2 4" xfId="26340"/>
    <cellStyle name="Normal 12 2 12 3" xfId="16633"/>
    <cellStyle name="Normal 12 2 12 3 2" xfId="39220"/>
    <cellStyle name="Normal 12 2 12 4" xfId="13413"/>
    <cellStyle name="Normal 12 2 12 4 2" xfId="36000"/>
    <cellStyle name="Normal 12 2 12 5" xfId="6973"/>
    <cellStyle name="Normal 12 2 12 5 2" xfId="29560"/>
    <cellStyle name="Normal 12 2 12 6" xfId="23120"/>
    <cellStyle name="Normal 12 2 13" xfId="3463"/>
    <cellStyle name="Normal 12 2 13 2" xfId="19563"/>
    <cellStyle name="Normal 12 2 13 2 2" xfId="42150"/>
    <cellStyle name="Normal 12 2 13 3" xfId="9903"/>
    <cellStyle name="Normal 12 2 13 3 2" xfId="32490"/>
    <cellStyle name="Normal 12 2 13 4" xfId="26050"/>
    <cellStyle name="Normal 12 2 14" xfId="16343"/>
    <cellStyle name="Normal 12 2 14 2" xfId="38930"/>
    <cellStyle name="Normal 12 2 15" xfId="13123"/>
    <cellStyle name="Normal 12 2 15 2" xfId="35710"/>
    <cellStyle name="Normal 12 2 16" xfId="6683"/>
    <cellStyle name="Normal 12 2 16 2" xfId="29270"/>
    <cellStyle name="Normal 12 2 17" xfId="22830"/>
    <cellStyle name="Normal 12 2 2" xfId="211"/>
    <cellStyle name="Normal 12 2 2 10" xfId="503"/>
    <cellStyle name="Normal 12 2 2 10 2" xfId="3790"/>
    <cellStyle name="Normal 12 2 2 10 2 2" xfId="19890"/>
    <cellStyle name="Normal 12 2 2 10 2 2 2" xfId="42477"/>
    <cellStyle name="Normal 12 2 2 10 2 3" xfId="10230"/>
    <cellStyle name="Normal 12 2 2 10 2 3 2" xfId="32817"/>
    <cellStyle name="Normal 12 2 2 10 2 4" xfId="26377"/>
    <cellStyle name="Normal 12 2 2 10 3" xfId="16670"/>
    <cellStyle name="Normal 12 2 2 10 3 2" xfId="39257"/>
    <cellStyle name="Normal 12 2 2 10 4" xfId="13450"/>
    <cellStyle name="Normal 12 2 2 10 4 2" xfId="36037"/>
    <cellStyle name="Normal 12 2 2 10 5" xfId="7010"/>
    <cellStyle name="Normal 12 2 2 10 5 2" xfId="29597"/>
    <cellStyle name="Normal 12 2 2 10 6" xfId="23157"/>
    <cellStyle name="Normal 12 2 2 11" xfId="3500"/>
    <cellStyle name="Normal 12 2 2 11 2" xfId="19600"/>
    <cellStyle name="Normal 12 2 2 11 2 2" xfId="42187"/>
    <cellStyle name="Normal 12 2 2 11 3" xfId="9940"/>
    <cellStyle name="Normal 12 2 2 11 3 2" xfId="32527"/>
    <cellStyle name="Normal 12 2 2 11 4" xfId="26087"/>
    <cellStyle name="Normal 12 2 2 12" xfId="16380"/>
    <cellStyle name="Normal 12 2 2 12 2" xfId="38967"/>
    <cellStyle name="Normal 12 2 2 13" xfId="13160"/>
    <cellStyle name="Normal 12 2 2 13 2" xfId="35747"/>
    <cellStyle name="Normal 12 2 2 14" xfId="6720"/>
    <cellStyle name="Normal 12 2 2 14 2" xfId="29307"/>
    <cellStyle name="Normal 12 2 2 15" xfId="22867"/>
    <cellStyle name="Normal 12 2 2 2" xfId="310"/>
    <cellStyle name="Normal 12 2 2 2 10" xfId="13257"/>
    <cellStyle name="Normal 12 2 2 2 10 2" xfId="35844"/>
    <cellStyle name="Normal 12 2 2 2 11" xfId="6817"/>
    <cellStyle name="Normal 12 2 2 2 11 2" xfId="29404"/>
    <cellStyle name="Normal 12 2 2 2 12" xfId="22964"/>
    <cellStyle name="Normal 12 2 2 2 2" xfId="1029"/>
    <cellStyle name="Normal 12 2 2 2 2 2" xfId="2343"/>
    <cellStyle name="Normal 12 2 2 2 2 2 2" xfId="5564"/>
    <cellStyle name="Normal 12 2 2 2 2 2 2 2" xfId="21664"/>
    <cellStyle name="Normal 12 2 2 2 2 2 2 2 2" xfId="44251"/>
    <cellStyle name="Normal 12 2 2 2 2 2 2 3" xfId="12004"/>
    <cellStyle name="Normal 12 2 2 2 2 2 2 3 2" xfId="34591"/>
    <cellStyle name="Normal 12 2 2 2 2 2 2 4" xfId="28151"/>
    <cellStyle name="Normal 12 2 2 2 2 2 3" xfId="18444"/>
    <cellStyle name="Normal 12 2 2 2 2 2 3 2" xfId="41031"/>
    <cellStyle name="Normal 12 2 2 2 2 2 4" xfId="15224"/>
    <cellStyle name="Normal 12 2 2 2 2 2 4 2" xfId="37811"/>
    <cellStyle name="Normal 12 2 2 2 2 2 5" xfId="8784"/>
    <cellStyle name="Normal 12 2 2 2 2 2 5 2" xfId="31371"/>
    <cellStyle name="Normal 12 2 2 2 2 2 6" xfId="24931"/>
    <cellStyle name="Normal 12 2 2 2 2 3" xfId="4256"/>
    <cellStyle name="Normal 12 2 2 2 2 3 2" xfId="20356"/>
    <cellStyle name="Normal 12 2 2 2 2 3 2 2" xfId="42943"/>
    <cellStyle name="Normal 12 2 2 2 2 3 3" xfId="10696"/>
    <cellStyle name="Normal 12 2 2 2 2 3 3 2" xfId="33283"/>
    <cellStyle name="Normal 12 2 2 2 2 3 4" xfId="26843"/>
    <cellStyle name="Normal 12 2 2 2 2 4" xfId="17136"/>
    <cellStyle name="Normal 12 2 2 2 2 4 2" xfId="39723"/>
    <cellStyle name="Normal 12 2 2 2 2 5" xfId="13916"/>
    <cellStyle name="Normal 12 2 2 2 2 5 2" xfId="36503"/>
    <cellStyle name="Normal 12 2 2 2 2 6" xfId="7476"/>
    <cellStyle name="Normal 12 2 2 2 2 6 2" xfId="30063"/>
    <cellStyle name="Normal 12 2 2 2 2 7" xfId="23623"/>
    <cellStyle name="Normal 12 2 2 2 3" xfId="1376"/>
    <cellStyle name="Normal 12 2 2 2 3 2" xfId="2690"/>
    <cellStyle name="Normal 12 2 2 2 3 2 2" xfId="5911"/>
    <cellStyle name="Normal 12 2 2 2 3 2 2 2" xfId="22011"/>
    <cellStyle name="Normal 12 2 2 2 3 2 2 2 2" xfId="44598"/>
    <cellStyle name="Normal 12 2 2 2 3 2 2 3" xfId="12351"/>
    <cellStyle name="Normal 12 2 2 2 3 2 2 3 2" xfId="34938"/>
    <cellStyle name="Normal 12 2 2 2 3 2 2 4" xfId="28498"/>
    <cellStyle name="Normal 12 2 2 2 3 2 3" xfId="18791"/>
    <cellStyle name="Normal 12 2 2 2 3 2 3 2" xfId="41378"/>
    <cellStyle name="Normal 12 2 2 2 3 2 4" xfId="15571"/>
    <cellStyle name="Normal 12 2 2 2 3 2 4 2" xfId="38158"/>
    <cellStyle name="Normal 12 2 2 2 3 2 5" xfId="9131"/>
    <cellStyle name="Normal 12 2 2 2 3 2 5 2" xfId="31718"/>
    <cellStyle name="Normal 12 2 2 2 3 2 6" xfId="25278"/>
    <cellStyle name="Normal 12 2 2 2 3 3" xfId="4603"/>
    <cellStyle name="Normal 12 2 2 2 3 3 2" xfId="20703"/>
    <cellStyle name="Normal 12 2 2 2 3 3 2 2" xfId="43290"/>
    <cellStyle name="Normal 12 2 2 2 3 3 3" xfId="11043"/>
    <cellStyle name="Normal 12 2 2 2 3 3 3 2" xfId="33630"/>
    <cellStyle name="Normal 12 2 2 2 3 3 4" xfId="27190"/>
    <cellStyle name="Normal 12 2 2 2 3 4" xfId="17483"/>
    <cellStyle name="Normal 12 2 2 2 3 4 2" xfId="40070"/>
    <cellStyle name="Normal 12 2 2 2 3 5" xfId="14263"/>
    <cellStyle name="Normal 12 2 2 2 3 5 2" xfId="36850"/>
    <cellStyle name="Normal 12 2 2 2 3 6" xfId="7823"/>
    <cellStyle name="Normal 12 2 2 2 3 6 2" xfId="30410"/>
    <cellStyle name="Normal 12 2 2 2 3 7" xfId="23970"/>
    <cellStyle name="Normal 12 2 2 2 4" xfId="1995"/>
    <cellStyle name="Normal 12 2 2 2 4 2" xfId="5217"/>
    <cellStyle name="Normal 12 2 2 2 4 2 2" xfId="21317"/>
    <cellStyle name="Normal 12 2 2 2 4 2 2 2" xfId="43904"/>
    <cellStyle name="Normal 12 2 2 2 4 2 3" xfId="11657"/>
    <cellStyle name="Normal 12 2 2 2 4 2 3 2" xfId="34244"/>
    <cellStyle name="Normal 12 2 2 2 4 2 4" xfId="27804"/>
    <cellStyle name="Normal 12 2 2 2 4 3" xfId="18097"/>
    <cellStyle name="Normal 12 2 2 2 4 3 2" xfId="40684"/>
    <cellStyle name="Normal 12 2 2 2 4 4" xfId="14877"/>
    <cellStyle name="Normal 12 2 2 2 4 4 2" xfId="37464"/>
    <cellStyle name="Normal 12 2 2 2 4 5" xfId="8437"/>
    <cellStyle name="Normal 12 2 2 2 4 5 2" xfId="31024"/>
    <cellStyle name="Normal 12 2 2 2 4 6" xfId="24584"/>
    <cellStyle name="Normal 12 2 2 2 5" xfId="3017"/>
    <cellStyle name="Normal 12 2 2 2 5 2" xfId="6237"/>
    <cellStyle name="Normal 12 2 2 2 5 2 2" xfId="22337"/>
    <cellStyle name="Normal 12 2 2 2 5 2 2 2" xfId="44924"/>
    <cellStyle name="Normal 12 2 2 2 5 2 3" xfId="12677"/>
    <cellStyle name="Normal 12 2 2 2 5 2 3 2" xfId="35264"/>
    <cellStyle name="Normal 12 2 2 2 5 2 4" xfId="28824"/>
    <cellStyle name="Normal 12 2 2 2 5 3" xfId="19117"/>
    <cellStyle name="Normal 12 2 2 2 5 3 2" xfId="41704"/>
    <cellStyle name="Normal 12 2 2 2 5 4" xfId="15897"/>
    <cellStyle name="Normal 12 2 2 2 5 4 2" xfId="38484"/>
    <cellStyle name="Normal 12 2 2 2 5 5" xfId="9457"/>
    <cellStyle name="Normal 12 2 2 2 5 5 2" xfId="32044"/>
    <cellStyle name="Normal 12 2 2 2 5 6" xfId="25604"/>
    <cellStyle name="Normal 12 2 2 2 6" xfId="3307"/>
    <cellStyle name="Normal 12 2 2 2 6 2" xfId="6527"/>
    <cellStyle name="Normal 12 2 2 2 6 2 2" xfId="22627"/>
    <cellStyle name="Normal 12 2 2 2 6 2 2 2" xfId="45214"/>
    <cellStyle name="Normal 12 2 2 2 6 2 3" xfId="12967"/>
    <cellStyle name="Normal 12 2 2 2 6 2 3 2" xfId="35554"/>
    <cellStyle name="Normal 12 2 2 2 6 2 4" xfId="29114"/>
    <cellStyle name="Normal 12 2 2 2 6 3" xfId="19407"/>
    <cellStyle name="Normal 12 2 2 2 6 3 2" xfId="41994"/>
    <cellStyle name="Normal 12 2 2 2 6 4" xfId="16187"/>
    <cellStyle name="Normal 12 2 2 2 6 4 2" xfId="38774"/>
    <cellStyle name="Normal 12 2 2 2 6 5" xfId="9747"/>
    <cellStyle name="Normal 12 2 2 2 6 5 2" xfId="32334"/>
    <cellStyle name="Normal 12 2 2 2 6 6" xfId="25894"/>
    <cellStyle name="Normal 12 2 2 2 7" xfId="665"/>
    <cellStyle name="Normal 12 2 2 2 7 2" xfId="3909"/>
    <cellStyle name="Normal 12 2 2 2 7 2 2" xfId="20009"/>
    <cellStyle name="Normal 12 2 2 2 7 2 2 2" xfId="42596"/>
    <cellStyle name="Normal 12 2 2 2 7 2 3" xfId="10349"/>
    <cellStyle name="Normal 12 2 2 2 7 2 3 2" xfId="32936"/>
    <cellStyle name="Normal 12 2 2 2 7 2 4" xfId="26496"/>
    <cellStyle name="Normal 12 2 2 2 7 3" xfId="16789"/>
    <cellStyle name="Normal 12 2 2 2 7 3 2" xfId="39376"/>
    <cellStyle name="Normal 12 2 2 2 7 4" xfId="13569"/>
    <cellStyle name="Normal 12 2 2 2 7 4 2" xfId="36156"/>
    <cellStyle name="Normal 12 2 2 2 7 5" xfId="7129"/>
    <cellStyle name="Normal 12 2 2 2 7 5 2" xfId="29716"/>
    <cellStyle name="Normal 12 2 2 2 7 6" xfId="23276"/>
    <cellStyle name="Normal 12 2 2 2 8" xfId="3597"/>
    <cellStyle name="Normal 12 2 2 2 8 2" xfId="19697"/>
    <cellStyle name="Normal 12 2 2 2 8 2 2" xfId="42284"/>
    <cellStyle name="Normal 12 2 2 2 8 3" xfId="10037"/>
    <cellStyle name="Normal 12 2 2 2 8 3 2" xfId="32624"/>
    <cellStyle name="Normal 12 2 2 2 8 4" xfId="26184"/>
    <cellStyle name="Normal 12 2 2 2 9" xfId="16477"/>
    <cellStyle name="Normal 12 2 2 2 9 2" xfId="39064"/>
    <cellStyle name="Normal 12 2 2 3" xfId="406"/>
    <cellStyle name="Normal 12 2 2 3 10" xfId="13353"/>
    <cellStyle name="Normal 12 2 2 3 10 2" xfId="35940"/>
    <cellStyle name="Normal 12 2 2 3 11" xfId="6913"/>
    <cellStyle name="Normal 12 2 2 3 11 2" xfId="29500"/>
    <cellStyle name="Normal 12 2 2 3 12" xfId="23060"/>
    <cellStyle name="Normal 12 2 2 3 2" xfId="1188"/>
    <cellStyle name="Normal 12 2 2 3 2 2" xfId="2502"/>
    <cellStyle name="Normal 12 2 2 3 2 2 2" xfId="5723"/>
    <cellStyle name="Normal 12 2 2 3 2 2 2 2" xfId="21823"/>
    <cellStyle name="Normal 12 2 2 3 2 2 2 2 2" xfId="44410"/>
    <cellStyle name="Normal 12 2 2 3 2 2 2 3" xfId="12163"/>
    <cellStyle name="Normal 12 2 2 3 2 2 2 3 2" xfId="34750"/>
    <cellStyle name="Normal 12 2 2 3 2 2 2 4" xfId="28310"/>
    <cellStyle name="Normal 12 2 2 3 2 2 3" xfId="18603"/>
    <cellStyle name="Normal 12 2 2 3 2 2 3 2" xfId="41190"/>
    <cellStyle name="Normal 12 2 2 3 2 2 4" xfId="15383"/>
    <cellStyle name="Normal 12 2 2 3 2 2 4 2" xfId="37970"/>
    <cellStyle name="Normal 12 2 2 3 2 2 5" xfId="8943"/>
    <cellStyle name="Normal 12 2 2 3 2 2 5 2" xfId="31530"/>
    <cellStyle name="Normal 12 2 2 3 2 2 6" xfId="25090"/>
    <cellStyle name="Normal 12 2 2 3 2 3" xfId="4415"/>
    <cellStyle name="Normal 12 2 2 3 2 3 2" xfId="20515"/>
    <cellStyle name="Normal 12 2 2 3 2 3 2 2" xfId="43102"/>
    <cellStyle name="Normal 12 2 2 3 2 3 3" xfId="10855"/>
    <cellStyle name="Normal 12 2 2 3 2 3 3 2" xfId="33442"/>
    <cellStyle name="Normal 12 2 2 3 2 3 4" xfId="27002"/>
    <cellStyle name="Normal 12 2 2 3 2 4" xfId="17295"/>
    <cellStyle name="Normal 12 2 2 3 2 4 2" xfId="39882"/>
    <cellStyle name="Normal 12 2 2 3 2 5" xfId="14075"/>
    <cellStyle name="Normal 12 2 2 3 2 5 2" xfId="36662"/>
    <cellStyle name="Normal 12 2 2 3 2 6" xfId="7635"/>
    <cellStyle name="Normal 12 2 2 3 2 6 2" xfId="30222"/>
    <cellStyle name="Normal 12 2 2 3 2 7" xfId="23782"/>
    <cellStyle name="Normal 12 2 2 3 3" xfId="1535"/>
    <cellStyle name="Normal 12 2 2 3 3 2" xfId="2849"/>
    <cellStyle name="Normal 12 2 2 3 3 2 2" xfId="6070"/>
    <cellStyle name="Normal 12 2 2 3 3 2 2 2" xfId="22170"/>
    <cellStyle name="Normal 12 2 2 3 3 2 2 2 2" xfId="44757"/>
    <cellStyle name="Normal 12 2 2 3 3 2 2 3" xfId="12510"/>
    <cellStyle name="Normal 12 2 2 3 3 2 2 3 2" xfId="35097"/>
    <cellStyle name="Normal 12 2 2 3 3 2 2 4" xfId="28657"/>
    <cellStyle name="Normal 12 2 2 3 3 2 3" xfId="18950"/>
    <cellStyle name="Normal 12 2 2 3 3 2 3 2" xfId="41537"/>
    <cellStyle name="Normal 12 2 2 3 3 2 4" xfId="15730"/>
    <cellStyle name="Normal 12 2 2 3 3 2 4 2" xfId="38317"/>
    <cellStyle name="Normal 12 2 2 3 3 2 5" xfId="9290"/>
    <cellStyle name="Normal 12 2 2 3 3 2 5 2" xfId="31877"/>
    <cellStyle name="Normal 12 2 2 3 3 2 6" xfId="25437"/>
    <cellStyle name="Normal 12 2 2 3 3 3" xfId="4762"/>
    <cellStyle name="Normal 12 2 2 3 3 3 2" xfId="20862"/>
    <cellStyle name="Normal 12 2 2 3 3 3 2 2" xfId="43449"/>
    <cellStyle name="Normal 12 2 2 3 3 3 3" xfId="11202"/>
    <cellStyle name="Normal 12 2 2 3 3 3 3 2" xfId="33789"/>
    <cellStyle name="Normal 12 2 2 3 3 3 4" xfId="27349"/>
    <cellStyle name="Normal 12 2 2 3 3 4" xfId="17642"/>
    <cellStyle name="Normal 12 2 2 3 3 4 2" xfId="40229"/>
    <cellStyle name="Normal 12 2 2 3 3 5" xfId="14422"/>
    <cellStyle name="Normal 12 2 2 3 3 5 2" xfId="37009"/>
    <cellStyle name="Normal 12 2 2 3 3 6" xfId="7982"/>
    <cellStyle name="Normal 12 2 2 3 3 6 2" xfId="30569"/>
    <cellStyle name="Normal 12 2 2 3 3 7" xfId="24129"/>
    <cellStyle name="Normal 12 2 2 3 4" xfId="2155"/>
    <cellStyle name="Normal 12 2 2 3 4 2" xfId="5376"/>
    <cellStyle name="Normal 12 2 2 3 4 2 2" xfId="21476"/>
    <cellStyle name="Normal 12 2 2 3 4 2 2 2" xfId="44063"/>
    <cellStyle name="Normal 12 2 2 3 4 2 3" xfId="11816"/>
    <cellStyle name="Normal 12 2 2 3 4 2 3 2" xfId="34403"/>
    <cellStyle name="Normal 12 2 2 3 4 2 4" xfId="27963"/>
    <cellStyle name="Normal 12 2 2 3 4 3" xfId="18256"/>
    <cellStyle name="Normal 12 2 2 3 4 3 2" xfId="40843"/>
    <cellStyle name="Normal 12 2 2 3 4 4" xfId="15036"/>
    <cellStyle name="Normal 12 2 2 3 4 4 2" xfId="37623"/>
    <cellStyle name="Normal 12 2 2 3 4 5" xfId="8596"/>
    <cellStyle name="Normal 12 2 2 3 4 5 2" xfId="31183"/>
    <cellStyle name="Normal 12 2 2 3 4 6" xfId="24743"/>
    <cellStyle name="Normal 12 2 2 3 5" xfId="3113"/>
    <cellStyle name="Normal 12 2 2 3 5 2" xfId="6333"/>
    <cellStyle name="Normal 12 2 2 3 5 2 2" xfId="22433"/>
    <cellStyle name="Normal 12 2 2 3 5 2 2 2" xfId="45020"/>
    <cellStyle name="Normal 12 2 2 3 5 2 3" xfId="12773"/>
    <cellStyle name="Normal 12 2 2 3 5 2 3 2" xfId="35360"/>
    <cellStyle name="Normal 12 2 2 3 5 2 4" xfId="28920"/>
    <cellStyle name="Normal 12 2 2 3 5 3" xfId="19213"/>
    <cellStyle name="Normal 12 2 2 3 5 3 2" xfId="41800"/>
    <cellStyle name="Normal 12 2 2 3 5 4" xfId="15993"/>
    <cellStyle name="Normal 12 2 2 3 5 4 2" xfId="38580"/>
    <cellStyle name="Normal 12 2 2 3 5 5" xfId="9553"/>
    <cellStyle name="Normal 12 2 2 3 5 5 2" xfId="32140"/>
    <cellStyle name="Normal 12 2 2 3 5 6" xfId="25700"/>
    <cellStyle name="Normal 12 2 2 3 6" xfId="3403"/>
    <cellStyle name="Normal 12 2 2 3 6 2" xfId="6623"/>
    <cellStyle name="Normal 12 2 2 3 6 2 2" xfId="22723"/>
    <cellStyle name="Normal 12 2 2 3 6 2 2 2" xfId="45310"/>
    <cellStyle name="Normal 12 2 2 3 6 2 3" xfId="13063"/>
    <cellStyle name="Normal 12 2 2 3 6 2 3 2" xfId="35650"/>
    <cellStyle name="Normal 12 2 2 3 6 2 4" xfId="29210"/>
    <cellStyle name="Normal 12 2 2 3 6 3" xfId="19503"/>
    <cellStyle name="Normal 12 2 2 3 6 3 2" xfId="42090"/>
    <cellStyle name="Normal 12 2 2 3 6 4" xfId="16283"/>
    <cellStyle name="Normal 12 2 2 3 6 4 2" xfId="38870"/>
    <cellStyle name="Normal 12 2 2 3 6 5" xfId="9843"/>
    <cellStyle name="Normal 12 2 2 3 6 5 2" xfId="32430"/>
    <cellStyle name="Normal 12 2 2 3 6 6" xfId="25990"/>
    <cellStyle name="Normal 12 2 2 3 7" xfId="836"/>
    <cellStyle name="Normal 12 2 2 3 7 2" xfId="4068"/>
    <cellStyle name="Normal 12 2 2 3 7 2 2" xfId="20168"/>
    <cellStyle name="Normal 12 2 2 3 7 2 2 2" xfId="42755"/>
    <cellStyle name="Normal 12 2 2 3 7 2 3" xfId="10508"/>
    <cellStyle name="Normal 12 2 2 3 7 2 3 2" xfId="33095"/>
    <cellStyle name="Normal 12 2 2 3 7 2 4" xfId="26655"/>
    <cellStyle name="Normal 12 2 2 3 7 3" xfId="16948"/>
    <cellStyle name="Normal 12 2 2 3 7 3 2" xfId="39535"/>
    <cellStyle name="Normal 12 2 2 3 7 4" xfId="13728"/>
    <cellStyle name="Normal 12 2 2 3 7 4 2" xfId="36315"/>
    <cellStyle name="Normal 12 2 2 3 7 5" xfId="7288"/>
    <cellStyle name="Normal 12 2 2 3 7 5 2" xfId="29875"/>
    <cellStyle name="Normal 12 2 2 3 7 6" xfId="23435"/>
    <cellStyle name="Normal 12 2 2 3 8" xfId="3693"/>
    <cellStyle name="Normal 12 2 2 3 8 2" xfId="19793"/>
    <cellStyle name="Normal 12 2 2 3 8 2 2" xfId="42380"/>
    <cellStyle name="Normal 12 2 2 3 8 3" xfId="10133"/>
    <cellStyle name="Normal 12 2 2 3 8 3 2" xfId="32720"/>
    <cellStyle name="Normal 12 2 2 3 8 4" xfId="26280"/>
    <cellStyle name="Normal 12 2 2 3 9" xfId="16573"/>
    <cellStyle name="Normal 12 2 2 3 9 2" xfId="39160"/>
    <cellStyle name="Normal 12 2 2 4" xfId="905"/>
    <cellStyle name="Normal 12 2 2 4 2" xfId="2224"/>
    <cellStyle name="Normal 12 2 2 4 2 2" xfId="5445"/>
    <cellStyle name="Normal 12 2 2 4 2 2 2" xfId="21545"/>
    <cellStyle name="Normal 12 2 2 4 2 2 2 2" xfId="44132"/>
    <cellStyle name="Normal 12 2 2 4 2 2 3" xfId="11885"/>
    <cellStyle name="Normal 12 2 2 4 2 2 3 2" xfId="34472"/>
    <cellStyle name="Normal 12 2 2 4 2 2 4" xfId="28032"/>
    <cellStyle name="Normal 12 2 2 4 2 3" xfId="18325"/>
    <cellStyle name="Normal 12 2 2 4 2 3 2" xfId="40912"/>
    <cellStyle name="Normal 12 2 2 4 2 4" xfId="15105"/>
    <cellStyle name="Normal 12 2 2 4 2 4 2" xfId="37692"/>
    <cellStyle name="Normal 12 2 2 4 2 5" xfId="8665"/>
    <cellStyle name="Normal 12 2 2 4 2 5 2" xfId="31252"/>
    <cellStyle name="Normal 12 2 2 4 2 6" xfId="24812"/>
    <cellStyle name="Normal 12 2 2 4 3" xfId="4137"/>
    <cellStyle name="Normal 12 2 2 4 3 2" xfId="20237"/>
    <cellStyle name="Normal 12 2 2 4 3 2 2" xfId="42824"/>
    <cellStyle name="Normal 12 2 2 4 3 3" xfId="10577"/>
    <cellStyle name="Normal 12 2 2 4 3 3 2" xfId="33164"/>
    <cellStyle name="Normal 12 2 2 4 3 4" xfId="26724"/>
    <cellStyle name="Normal 12 2 2 4 4" xfId="17017"/>
    <cellStyle name="Normal 12 2 2 4 4 2" xfId="39604"/>
    <cellStyle name="Normal 12 2 2 4 5" xfId="13797"/>
    <cellStyle name="Normal 12 2 2 4 5 2" xfId="36384"/>
    <cellStyle name="Normal 12 2 2 4 6" xfId="7357"/>
    <cellStyle name="Normal 12 2 2 4 6 2" xfId="29944"/>
    <cellStyle name="Normal 12 2 2 4 7" xfId="23504"/>
    <cellStyle name="Normal 12 2 2 5" xfId="1257"/>
    <cellStyle name="Normal 12 2 2 5 2" xfId="2571"/>
    <cellStyle name="Normal 12 2 2 5 2 2" xfId="5792"/>
    <cellStyle name="Normal 12 2 2 5 2 2 2" xfId="21892"/>
    <cellStyle name="Normal 12 2 2 5 2 2 2 2" xfId="44479"/>
    <cellStyle name="Normal 12 2 2 5 2 2 3" xfId="12232"/>
    <cellStyle name="Normal 12 2 2 5 2 2 3 2" xfId="34819"/>
    <cellStyle name="Normal 12 2 2 5 2 2 4" xfId="28379"/>
    <cellStyle name="Normal 12 2 2 5 2 3" xfId="18672"/>
    <cellStyle name="Normal 12 2 2 5 2 3 2" xfId="41259"/>
    <cellStyle name="Normal 12 2 2 5 2 4" xfId="15452"/>
    <cellStyle name="Normal 12 2 2 5 2 4 2" xfId="38039"/>
    <cellStyle name="Normal 12 2 2 5 2 5" xfId="9012"/>
    <cellStyle name="Normal 12 2 2 5 2 5 2" xfId="31599"/>
    <cellStyle name="Normal 12 2 2 5 2 6" xfId="25159"/>
    <cellStyle name="Normal 12 2 2 5 3" xfId="4484"/>
    <cellStyle name="Normal 12 2 2 5 3 2" xfId="20584"/>
    <cellStyle name="Normal 12 2 2 5 3 2 2" xfId="43171"/>
    <cellStyle name="Normal 12 2 2 5 3 3" xfId="10924"/>
    <cellStyle name="Normal 12 2 2 5 3 3 2" xfId="33511"/>
    <cellStyle name="Normal 12 2 2 5 3 4" xfId="27071"/>
    <cellStyle name="Normal 12 2 2 5 4" xfId="17364"/>
    <cellStyle name="Normal 12 2 2 5 4 2" xfId="39951"/>
    <cellStyle name="Normal 12 2 2 5 5" xfId="14144"/>
    <cellStyle name="Normal 12 2 2 5 5 2" xfId="36731"/>
    <cellStyle name="Normal 12 2 2 5 6" xfId="7704"/>
    <cellStyle name="Normal 12 2 2 5 6 2" xfId="30291"/>
    <cellStyle name="Normal 12 2 2 5 7" xfId="23851"/>
    <cellStyle name="Normal 12 2 2 6" xfId="1555"/>
    <cellStyle name="Normal 12 2 2 6 2" xfId="4781"/>
    <cellStyle name="Normal 12 2 2 6 2 2" xfId="20881"/>
    <cellStyle name="Normal 12 2 2 6 2 2 2" xfId="43468"/>
    <cellStyle name="Normal 12 2 2 6 2 3" xfId="11221"/>
    <cellStyle name="Normal 12 2 2 6 2 3 2" xfId="33808"/>
    <cellStyle name="Normal 12 2 2 6 2 4" xfId="27368"/>
    <cellStyle name="Normal 12 2 2 6 3" xfId="17661"/>
    <cellStyle name="Normal 12 2 2 6 3 2" xfId="40248"/>
    <cellStyle name="Normal 12 2 2 6 4" xfId="14441"/>
    <cellStyle name="Normal 12 2 2 6 4 2" xfId="37028"/>
    <cellStyle name="Normal 12 2 2 6 5" xfId="8001"/>
    <cellStyle name="Normal 12 2 2 6 5 2" xfId="30588"/>
    <cellStyle name="Normal 12 2 2 6 6" xfId="24148"/>
    <cellStyle name="Normal 12 2 2 7" xfId="1876"/>
    <cellStyle name="Normal 12 2 2 7 2" xfId="5098"/>
    <cellStyle name="Normal 12 2 2 7 2 2" xfId="21198"/>
    <cellStyle name="Normal 12 2 2 7 2 2 2" xfId="43785"/>
    <cellStyle name="Normal 12 2 2 7 2 3" xfId="11538"/>
    <cellStyle name="Normal 12 2 2 7 2 3 2" xfId="34125"/>
    <cellStyle name="Normal 12 2 2 7 2 4" xfId="27685"/>
    <cellStyle name="Normal 12 2 2 7 3" xfId="17978"/>
    <cellStyle name="Normal 12 2 2 7 3 2" xfId="40565"/>
    <cellStyle name="Normal 12 2 2 7 4" xfId="14758"/>
    <cellStyle name="Normal 12 2 2 7 4 2" xfId="37345"/>
    <cellStyle name="Normal 12 2 2 7 5" xfId="8318"/>
    <cellStyle name="Normal 12 2 2 7 5 2" xfId="30905"/>
    <cellStyle name="Normal 12 2 2 7 6" xfId="24465"/>
    <cellStyle name="Normal 12 2 2 8" xfId="2919"/>
    <cellStyle name="Normal 12 2 2 8 2" xfId="6140"/>
    <cellStyle name="Normal 12 2 2 8 2 2" xfId="22240"/>
    <cellStyle name="Normal 12 2 2 8 2 2 2" xfId="44827"/>
    <cellStyle name="Normal 12 2 2 8 2 3" xfId="12580"/>
    <cellStyle name="Normal 12 2 2 8 2 3 2" xfId="35167"/>
    <cellStyle name="Normal 12 2 2 8 2 4" xfId="28727"/>
    <cellStyle name="Normal 12 2 2 8 3" xfId="19020"/>
    <cellStyle name="Normal 12 2 2 8 3 2" xfId="41607"/>
    <cellStyle name="Normal 12 2 2 8 4" xfId="15800"/>
    <cellStyle name="Normal 12 2 2 8 4 2" xfId="38387"/>
    <cellStyle name="Normal 12 2 2 8 5" xfId="9360"/>
    <cellStyle name="Normal 12 2 2 8 5 2" xfId="31947"/>
    <cellStyle name="Normal 12 2 2 8 6" xfId="25507"/>
    <cellStyle name="Normal 12 2 2 9" xfId="3210"/>
    <cellStyle name="Normal 12 2 2 9 2" xfId="6430"/>
    <cellStyle name="Normal 12 2 2 9 2 2" xfId="22530"/>
    <cellStyle name="Normal 12 2 2 9 2 2 2" xfId="45117"/>
    <cellStyle name="Normal 12 2 2 9 2 3" xfId="12870"/>
    <cellStyle name="Normal 12 2 2 9 2 3 2" xfId="35457"/>
    <cellStyle name="Normal 12 2 2 9 2 4" xfId="29017"/>
    <cellStyle name="Normal 12 2 2 9 3" xfId="19310"/>
    <cellStyle name="Normal 12 2 2 9 3 2" xfId="41897"/>
    <cellStyle name="Normal 12 2 2 9 4" xfId="16090"/>
    <cellStyle name="Normal 12 2 2 9 4 2" xfId="38677"/>
    <cellStyle name="Normal 12 2 2 9 5" xfId="9650"/>
    <cellStyle name="Normal 12 2 2 9 5 2" xfId="32237"/>
    <cellStyle name="Normal 12 2 2 9 6" xfId="25797"/>
    <cellStyle name="Normal 12 2 3" xfId="276"/>
    <cellStyle name="Normal 12 2 3 10" xfId="3563"/>
    <cellStyle name="Normal 12 2 3 10 2" xfId="19663"/>
    <cellStyle name="Normal 12 2 3 10 2 2" xfId="42250"/>
    <cellStyle name="Normal 12 2 3 10 3" xfId="10003"/>
    <cellStyle name="Normal 12 2 3 10 3 2" xfId="32590"/>
    <cellStyle name="Normal 12 2 3 10 4" xfId="26150"/>
    <cellStyle name="Normal 12 2 3 11" xfId="16443"/>
    <cellStyle name="Normal 12 2 3 11 2" xfId="39030"/>
    <cellStyle name="Normal 12 2 3 12" xfId="13223"/>
    <cellStyle name="Normal 12 2 3 12 2" xfId="35810"/>
    <cellStyle name="Normal 12 2 3 13" xfId="6783"/>
    <cellStyle name="Normal 12 2 3 13 2" xfId="29370"/>
    <cellStyle name="Normal 12 2 3 14" xfId="22930"/>
    <cellStyle name="Normal 12 2 3 2" xfId="702"/>
    <cellStyle name="Normal 12 2 3 2 2" xfId="1066"/>
    <cellStyle name="Normal 12 2 3 2 2 2" xfId="2380"/>
    <cellStyle name="Normal 12 2 3 2 2 2 2" xfId="5601"/>
    <cellStyle name="Normal 12 2 3 2 2 2 2 2" xfId="21701"/>
    <cellStyle name="Normal 12 2 3 2 2 2 2 2 2" xfId="44288"/>
    <cellStyle name="Normal 12 2 3 2 2 2 2 3" xfId="12041"/>
    <cellStyle name="Normal 12 2 3 2 2 2 2 3 2" xfId="34628"/>
    <cellStyle name="Normal 12 2 3 2 2 2 2 4" xfId="28188"/>
    <cellStyle name="Normal 12 2 3 2 2 2 3" xfId="18481"/>
    <cellStyle name="Normal 12 2 3 2 2 2 3 2" xfId="41068"/>
    <cellStyle name="Normal 12 2 3 2 2 2 4" xfId="15261"/>
    <cellStyle name="Normal 12 2 3 2 2 2 4 2" xfId="37848"/>
    <cellStyle name="Normal 12 2 3 2 2 2 5" xfId="8821"/>
    <cellStyle name="Normal 12 2 3 2 2 2 5 2" xfId="31408"/>
    <cellStyle name="Normal 12 2 3 2 2 2 6" xfId="24968"/>
    <cellStyle name="Normal 12 2 3 2 2 3" xfId="4293"/>
    <cellStyle name="Normal 12 2 3 2 2 3 2" xfId="20393"/>
    <cellStyle name="Normal 12 2 3 2 2 3 2 2" xfId="42980"/>
    <cellStyle name="Normal 12 2 3 2 2 3 3" xfId="10733"/>
    <cellStyle name="Normal 12 2 3 2 2 3 3 2" xfId="33320"/>
    <cellStyle name="Normal 12 2 3 2 2 3 4" xfId="26880"/>
    <cellStyle name="Normal 12 2 3 2 2 4" xfId="17173"/>
    <cellStyle name="Normal 12 2 3 2 2 4 2" xfId="39760"/>
    <cellStyle name="Normal 12 2 3 2 2 5" xfId="13953"/>
    <cellStyle name="Normal 12 2 3 2 2 5 2" xfId="36540"/>
    <cellStyle name="Normal 12 2 3 2 2 6" xfId="7513"/>
    <cellStyle name="Normal 12 2 3 2 2 6 2" xfId="30100"/>
    <cellStyle name="Normal 12 2 3 2 2 7" xfId="23660"/>
    <cellStyle name="Normal 12 2 3 2 3" xfId="1413"/>
    <cellStyle name="Normal 12 2 3 2 3 2" xfId="2727"/>
    <cellStyle name="Normal 12 2 3 2 3 2 2" xfId="5948"/>
    <cellStyle name="Normal 12 2 3 2 3 2 2 2" xfId="22048"/>
    <cellStyle name="Normal 12 2 3 2 3 2 2 2 2" xfId="44635"/>
    <cellStyle name="Normal 12 2 3 2 3 2 2 3" xfId="12388"/>
    <cellStyle name="Normal 12 2 3 2 3 2 2 3 2" xfId="34975"/>
    <cellStyle name="Normal 12 2 3 2 3 2 2 4" xfId="28535"/>
    <cellStyle name="Normal 12 2 3 2 3 2 3" xfId="18828"/>
    <cellStyle name="Normal 12 2 3 2 3 2 3 2" xfId="41415"/>
    <cellStyle name="Normal 12 2 3 2 3 2 4" xfId="15608"/>
    <cellStyle name="Normal 12 2 3 2 3 2 4 2" xfId="38195"/>
    <cellStyle name="Normal 12 2 3 2 3 2 5" xfId="9168"/>
    <cellStyle name="Normal 12 2 3 2 3 2 5 2" xfId="31755"/>
    <cellStyle name="Normal 12 2 3 2 3 2 6" xfId="25315"/>
    <cellStyle name="Normal 12 2 3 2 3 3" xfId="4640"/>
    <cellStyle name="Normal 12 2 3 2 3 3 2" xfId="20740"/>
    <cellStyle name="Normal 12 2 3 2 3 3 2 2" xfId="43327"/>
    <cellStyle name="Normal 12 2 3 2 3 3 3" xfId="11080"/>
    <cellStyle name="Normal 12 2 3 2 3 3 3 2" xfId="33667"/>
    <cellStyle name="Normal 12 2 3 2 3 3 4" xfId="27227"/>
    <cellStyle name="Normal 12 2 3 2 3 4" xfId="17520"/>
    <cellStyle name="Normal 12 2 3 2 3 4 2" xfId="40107"/>
    <cellStyle name="Normal 12 2 3 2 3 5" xfId="14300"/>
    <cellStyle name="Normal 12 2 3 2 3 5 2" xfId="36887"/>
    <cellStyle name="Normal 12 2 3 2 3 6" xfId="7860"/>
    <cellStyle name="Normal 12 2 3 2 3 6 2" xfId="30447"/>
    <cellStyle name="Normal 12 2 3 2 3 7" xfId="24007"/>
    <cellStyle name="Normal 12 2 3 2 4" xfId="2032"/>
    <cellStyle name="Normal 12 2 3 2 4 2" xfId="5254"/>
    <cellStyle name="Normal 12 2 3 2 4 2 2" xfId="21354"/>
    <cellStyle name="Normal 12 2 3 2 4 2 2 2" xfId="43941"/>
    <cellStyle name="Normal 12 2 3 2 4 2 3" xfId="11694"/>
    <cellStyle name="Normal 12 2 3 2 4 2 3 2" xfId="34281"/>
    <cellStyle name="Normal 12 2 3 2 4 2 4" xfId="27841"/>
    <cellStyle name="Normal 12 2 3 2 4 3" xfId="18134"/>
    <cellStyle name="Normal 12 2 3 2 4 3 2" xfId="40721"/>
    <cellStyle name="Normal 12 2 3 2 4 4" xfId="14914"/>
    <cellStyle name="Normal 12 2 3 2 4 4 2" xfId="37501"/>
    <cellStyle name="Normal 12 2 3 2 4 5" xfId="8474"/>
    <cellStyle name="Normal 12 2 3 2 4 5 2" xfId="31061"/>
    <cellStyle name="Normal 12 2 3 2 4 6" xfId="24621"/>
    <cellStyle name="Normal 12 2 3 2 5" xfId="3946"/>
    <cellStyle name="Normal 12 2 3 2 5 2" xfId="20046"/>
    <cellStyle name="Normal 12 2 3 2 5 2 2" xfId="42633"/>
    <cellStyle name="Normal 12 2 3 2 5 3" xfId="10386"/>
    <cellStyle name="Normal 12 2 3 2 5 3 2" xfId="32973"/>
    <cellStyle name="Normal 12 2 3 2 5 4" xfId="26533"/>
    <cellStyle name="Normal 12 2 3 2 6" xfId="16826"/>
    <cellStyle name="Normal 12 2 3 2 6 2" xfId="39413"/>
    <cellStyle name="Normal 12 2 3 2 7" xfId="13606"/>
    <cellStyle name="Normal 12 2 3 2 7 2" xfId="36193"/>
    <cellStyle name="Normal 12 2 3 2 8" xfId="7166"/>
    <cellStyle name="Normal 12 2 3 2 8 2" xfId="29753"/>
    <cellStyle name="Normal 12 2 3 2 9" xfId="23313"/>
    <cellStyle name="Normal 12 2 3 3" xfId="945"/>
    <cellStyle name="Normal 12 2 3 3 2" xfId="2264"/>
    <cellStyle name="Normal 12 2 3 3 2 2" xfId="5485"/>
    <cellStyle name="Normal 12 2 3 3 2 2 2" xfId="21585"/>
    <cellStyle name="Normal 12 2 3 3 2 2 2 2" xfId="44172"/>
    <cellStyle name="Normal 12 2 3 3 2 2 3" xfId="11925"/>
    <cellStyle name="Normal 12 2 3 3 2 2 3 2" xfId="34512"/>
    <cellStyle name="Normal 12 2 3 3 2 2 4" xfId="28072"/>
    <cellStyle name="Normal 12 2 3 3 2 3" xfId="18365"/>
    <cellStyle name="Normal 12 2 3 3 2 3 2" xfId="40952"/>
    <cellStyle name="Normal 12 2 3 3 2 4" xfId="15145"/>
    <cellStyle name="Normal 12 2 3 3 2 4 2" xfId="37732"/>
    <cellStyle name="Normal 12 2 3 3 2 5" xfId="8705"/>
    <cellStyle name="Normal 12 2 3 3 2 5 2" xfId="31292"/>
    <cellStyle name="Normal 12 2 3 3 2 6" xfId="24852"/>
    <cellStyle name="Normal 12 2 3 3 3" xfId="4177"/>
    <cellStyle name="Normal 12 2 3 3 3 2" xfId="20277"/>
    <cellStyle name="Normal 12 2 3 3 3 2 2" xfId="42864"/>
    <cellStyle name="Normal 12 2 3 3 3 3" xfId="10617"/>
    <cellStyle name="Normal 12 2 3 3 3 3 2" xfId="33204"/>
    <cellStyle name="Normal 12 2 3 3 3 4" xfId="26764"/>
    <cellStyle name="Normal 12 2 3 3 4" xfId="17057"/>
    <cellStyle name="Normal 12 2 3 3 4 2" xfId="39644"/>
    <cellStyle name="Normal 12 2 3 3 5" xfId="13837"/>
    <cellStyle name="Normal 12 2 3 3 5 2" xfId="36424"/>
    <cellStyle name="Normal 12 2 3 3 6" xfId="7397"/>
    <cellStyle name="Normal 12 2 3 3 6 2" xfId="29984"/>
    <cellStyle name="Normal 12 2 3 3 7" xfId="23544"/>
    <cellStyle name="Normal 12 2 3 4" xfId="1297"/>
    <cellStyle name="Normal 12 2 3 4 2" xfId="2611"/>
    <cellStyle name="Normal 12 2 3 4 2 2" xfId="5832"/>
    <cellStyle name="Normal 12 2 3 4 2 2 2" xfId="21932"/>
    <cellStyle name="Normal 12 2 3 4 2 2 2 2" xfId="44519"/>
    <cellStyle name="Normal 12 2 3 4 2 2 3" xfId="12272"/>
    <cellStyle name="Normal 12 2 3 4 2 2 3 2" xfId="34859"/>
    <cellStyle name="Normal 12 2 3 4 2 2 4" xfId="28419"/>
    <cellStyle name="Normal 12 2 3 4 2 3" xfId="18712"/>
    <cellStyle name="Normal 12 2 3 4 2 3 2" xfId="41299"/>
    <cellStyle name="Normal 12 2 3 4 2 4" xfId="15492"/>
    <cellStyle name="Normal 12 2 3 4 2 4 2" xfId="38079"/>
    <cellStyle name="Normal 12 2 3 4 2 5" xfId="9052"/>
    <cellStyle name="Normal 12 2 3 4 2 5 2" xfId="31639"/>
    <cellStyle name="Normal 12 2 3 4 2 6" xfId="25199"/>
    <cellStyle name="Normal 12 2 3 4 3" xfId="4524"/>
    <cellStyle name="Normal 12 2 3 4 3 2" xfId="20624"/>
    <cellStyle name="Normal 12 2 3 4 3 2 2" xfId="43211"/>
    <cellStyle name="Normal 12 2 3 4 3 3" xfId="10964"/>
    <cellStyle name="Normal 12 2 3 4 3 3 2" xfId="33551"/>
    <cellStyle name="Normal 12 2 3 4 3 4" xfId="27111"/>
    <cellStyle name="Normal 12 2 3 4 4" xfId="17404"/>
    <cellStyle name="Normal 12 2 3 4 4 2" xfId="39991"/>
    <cellStyle name="Normal 12 2 3 4 5" xfId="14184"/>
    <cellStyle name="Normal 12 2 3 4 5 2" xfId="36771"/>
    <cellStyle name="Normal 12 2 3 4 6" xfId="7744"/>
    <cellStyle name="Normal 12 2 3 4 6 2" xfId="30331"/>
    <cellStyle name="Normal 12 2 3 4 7" xfId="23891"/>
    <cellStyle name="Normal 12 2 3 5" xfId="1556"/>
    <cellStyle name="Normal 12 2 3 5 2" xfId="4782"/>
    <cellStyle name="Normal 12 2 3 5 2 2" xfId="20882"/>
    <cellStyle name="Normal 12 2 3 5 2 2 2" xfId="43469"/>
    <cellStyle name="Normal 12 2 3 5 2 3" xfId="11222"/>
    <cellStyle name="Normal 12 2 3 5 2 3 2" xfId="33809"/>
    <cellStyle name="Normal 12 2 3 5 2 4" xfId="27369"/>
    <cellStyle name="Normal 12 2 3 5 3" xfId="17662"/>
    <cellStyle name="Normal 12 2 3 5 3 2" xfId="40249"/>
    <cellStyle name="Normal 12 2 3 5 4" xfId="14442"/>
    <cellStyle name="Normal 12 2 3 5 4 2" xfId="37029"/>
    <cellStyle name="Normal 12 2 3 5 5" xfId="8002"/>
    <cellStyle name="Normal 12 2 3 5 5 2" xfId="30589"/>
    <cellStyle name="Normal 12 2 3 5 6" xfId="24149"/>
    <cellStyle name="Normal 12 2 3 6" xfId="1916"/>
    <cellStyle name="Normal 12 2 3 6 2" xfId="5138"/>
    <cellStyle name="Normal 12 2 3 6 2 2" xfId="21238"/>
    <cellStyle name="Normal 12 2 3 6 2 2 2" xfId="43825"/>
    <cellStyle name="Normal 12 2 3 6 2 3" xfId="11578"/>
    <cellStyle name="Normal 12 2 3 6 2 3 2" xfId="34165"/>
    <cellStyle name="Normal 12 2 3 6 2 4" xfId="27725"/>
    <cellStyle name="Normal 12 2 3 6 3" xfId="18018"/>
    <cellStyle name="Normal 12 2 3 6 3 2" xfId="40605"/>
    <cellStyle name="Normal 12 2 3 6 4" xfId="14798"/>
    <cellStyle name="Normal 12 2 3 6 4 2" xfId="37385"/>
    <cellStyle name="Normal 12 2 3 6 5" xfId="8358"/>
    <cellStyle name="Normal 12 2 3 6 5 2" xfId="30945"/>
    <cellStyle name="Normal 12 2 3 6 6" xfId="24505"/>
    <cellStyle name="Normal 12 2 3 7" xfId="2983"/>
    <cellStyle name="Normal 12 2 3 7 2" xfId="6203"/>
    <cellStyle name="Normal 12 2 3 7 2 2" xfId="22303"/>
    <cellStyle name="Normal 12 2 3 7 2 2 2" xfId="44890"/>
    <cellStyle name="Normal 12 2 3 7 2 3" xfId="12643"/>
    <cellStyle name="Normal 12 2 3 7 2 3 2" xfId="35230"/>
    <cellStyle name="Normal 12 2 3 7 2 4" xfId="28790"/>
    <cellStyle name="Normal 12 2 3 7 3" xfId="19083"/>
    <cellStyle name="Normal 12 2 3 7 3 2" xfId="41670"/>
    <cellStyle name="Normal 12 2 3 7 4" xfId="15863"/>
    <cellStyle name="Normal 12 2 3 7 4 2" xfId="38450"/>
    <cellStyle name="Normal 12 2 3 7 5" xfId="9423"/>
    <cellStyle name="Normal 12 2 3 7 5 2" xfId="32010"/>
    <cellStyle name="Normal 12 2 3 7 6" xfId="25570"/>
    <cellStyle name="Normal 12 2 3 8" xfId="3273"/>
    <cellStyle name="Normal 12 2 3 8 2" xfId="6493"/>
    <cellStyle name="Normal 12 2 3 8 2 2" xfId="22593"/>
    <cellStyle name="Normal 12 2 3 8 2 2 2" xfId="45180"/>
    <cellStyle name="Normal 12 2 3 8 2 3" xfId="12933"/>
    <cellStyle name="Normal 12 2 3 8 2 3 2" xfId="35520"/>
    <cellStyle name="Normal 12 2 3 8 2 4" xfId="29080"/>
    <cellStyle name="Normal 12 2 3 8 3" xfId="19373"/>
    <cellStyle name="Normal 12 2 3 8 3 2" xfId="41960"/>
    <cellStyle name="Normal 12 2 3 8 4" xfId="16153"/>
    <cellStyle name="Normal 12 2 3 8 4 2" xfId="38740"/>
    <cellStyle name="Normal 12 2 3 8 5" xfId="9713"/>
    <cellStyle name="Normal 12 2 3 8 5 2" xfId="32300"/>
    <cellStyle name="Normal 12 2 3 8 6" xfId="25860"/>
    <cellStyle name="Normal 12 2 3 9" xfId="543"/>
    <cellStyle name="Normal 12 2 3 9 2" xfId="3830"/>
    <cellStyle name="Normal 12 2 3 9 2 2" xfId="19930"/>
    <cellStyle name="Normal 12 2 3 9 2 2 2" xfId="42517"/>
    <cellStyle name="Normal 12 2 3 9 2 3" xfId="10270"/>
    <cellStyle name="Normal 12 2 3 9 2 3 2" xfId="32857"/>
    <cellStyle name="Normal 12 2 3 9 2 4" xfId="26417"/>
    <cellStyle name="Normal 12 2 3 9 3" xfId="16710"/>
    <cellStyle name="Normal 12 2 3 9 3 2" xfId="39297"/>
    <cellStyle name="Normal 12 2 3 9 4" xfId="13490"/>
    <cellStyle name="Normal 12 2 3 9 4 2" xfId="36077"/>
    <cellStyle name="Normal 12 2 3 9 5" xfId="7050"/>
    <cellStyle name="Normal 12 2 3 9 5 2" xfId="29637"/>
    <cellStyle name="Normal 12 2 3 9 6" xfId="23197"/>
    <cellStyle name="Normal 12 2 4" xfId="369"/>
    <cellStyle name="Normal 12 2 4 10" xfId="13316"/>
    <cellStyle name="Normal 12 2 4 10 2" xfId="35903"/>
    <cellStyle name="Normal 12 2 4 11" xfId="6876"/>
    <cellStyle name="Normal 12 2 4 11 2" xfId="29463"/>
    <cellStyle name="Normal 12 2 4 12" xfId="23023"/>
    <cellStyle name="Normal 12 2 4 2" xfId="992"/>
    <cellStyle name="Normal 12 2 4 2 2" xfId="2306"/>
    <cellStyle name="Normal 12 2 4 2 2 2" xfId="5527"/>
    <cellStyle name="Normal 12 2 4 2 2 2 2" xfId="21627"/>
    <cellStyle name="Normal 12 2 4 2 2 2 2 2" xfId="44214"/>
    <cellStyle name="Normal 12 2 4 2 2 2 3" xfId="11967"/>
    <cellStyle name="Normal 12 2 4 2 2 2 3 2" xfId="34554"/>
    <cellStyle name="Normal 12 2 4 2 2 2 4" xfId="28114"/>
    <cellStyle name="Normal 12 2 4 2 2 3" xfId="18407"/>
    <cellStyle name="Normal 12 2 4 2 2 3 2" xfId="40994"/>
    <cellStyle name="Normal 12 2 4 2 2 4" xfId="15187"/>
    <cellStyle name="Normal 12 2 4 2 2 4 2" xfId="37774"/>
    <cellStyle name="Normal 12 2 4 2 2 5" xfId="8747"/>
    <cellStyle name="Normal 12 2 4 2 2 5 2" xfId="31334"/>
    <cellStyle name="Normal 12 2 4 2 2 6" xfId="24894"/>
    <cellStyle name="Normal 12 2 4 2 3" xfId="4219"/>
    <cellStyle name="Normal 12 2 4 2 3 2" xfId="20319"/>
    <cellStyle name="Normal 12 2 4 2 3 2 2" xfId="42906"/>
    <cellStyle name="Normal 12 2 4 2 3 3" xfId="10659"/>
    <cellStyle name="Normal 12 2 4 2 3 3 2" xfId="33246"/>
    <cellStyle name="Normal 12 2 4 2 3 4" xfId="26806"/>
    <cellStyle name="Normal 12 2 4 2 4" xfId="17099"/>
    <cellStyle name="Normal 12 2 4 2 4 2" xfId="39686"/>
    <cellStyle name="Normal 12 2 4 2 5" xfId="13879"/>
    <cellStyle name="Normal 12 2 4 2 5 2" xfId="36466"/>
    <cellStyle name="Normal 12 2 4 2 6" xfId="7439"/>
    <cellStyle name="Normal 12 2 4 2 6 2" xfId="30026"/>
    <cellStyle name="Normal 12 2 4 2 7" xfId="23586"/>
    <cellStyle name="Normal 12 2 4 3" xfId="1339"/>
    <cellStyle name="Normal 12 2 4 3 2" xfId="2653"/>
    <cellStyle name="Normal 12 2 4 3 2 2" xfId="5874"/>
    <cellStyle name="Normal 12 2 4 3 2 2 2" xfId="21974"/>
    <cellStyle name="Normal 12 2 4 3 2 2 2 2" xfId="44561"/>
    <cellStyle name="Normal 12 2 4 3 2 2 3" xfId="12314"/>
    <cellStyle name="Normal 12 2 4 3 2 2 3 2" xfId="34901"/>
    <cellStyle name="Normal 12 2 4 3 2 2 4" xfId="28461"/>
    <cellStyle name="Normal 12 2 4 3 2 3" xfId="18754"/>
    <cellStyle name="Normal 12 2 4 3 2 3 2" xfId="41341"/>
    <cellStyle name="Normal 12 2 4 3 2 4" xfId="15534"/>
    <cellStyle name="Normal 12 2 4 3 2 4 2" xfId="38121"/>
    <cellStyle name="Normal 12 2 4 3 2 5" xfId="9094"/>
    <cellStyle name="Normal 12 2 4 3 2 5 2" xfId="31681"/>
    <cellStyle name="Normal 12 2 4 3 2 6" xfId="25241"/>
    <cellStyle name="Normal 12 2 4 3 3" xfId="4566"/>
    <cellStyle name="Normal 12 2 4 3 3 2" xfId="20666"/>
    <cellStyle name="Normal 12 2 4 3 3 2 2" xfId="43253"/>
    <cellStyle name="Normal 12 2 4 3 3 3" xfId="11006"/>
    <cellStyle name="Normal 12 2 4 3 3 3 2" xfId="33593"/>
    <cellStyle name="Normal 12 2 4 3 3 4" xfId="27153"/>
    <cellStyle name="Normal 12 2 4 3 4" xfId="17446"/>
    <cellStyle name="Normal 12 2 4 3 4 2" xfId="40033"/>
    <cellStyle name="Normal 12 2 4 3 5" xfId="14226"/>
    <cellStyle name="Normal 12 2 4 3 5 2" xfId="36813"/>
    <cellStyle name="Normal 12 2 4 3 6" xfId="7786"/>
    <cellStyle name="Normal 12 2 4 3 6 2" xfId="30373"/>
    <cellStyle name="Normal 12 2 4 3 7" xfId="23933"/>
    <cellStyle name="Normal 12 2 4 4" xfId="1958"/>
    <cellStyle name="Normal 12 2 4 4 2" xfId="5180"/>
    <cellStyle name="Normal 12 2 4 4 2 2" xfId="21280"/>
    <cellStyle name="Normal 12 2 4 4 2 2 2" xfId="43867"/>
    <cellStyle name="Normal 12 2 4 4 2 3" xfId="11620"/>
    <cellStyle name="Normal 12 2 4 4 2 3 2" xfId="34207"/>
    <cellStyle name="Normal 12 2 4 4 2 4" xfId="27767"/>
    <cellStyle name="Normal 12 2 4 4 3" xfId="18060"/>
    <cellStyle name="Normal 12 2 4 4 3 2" xfId="40647"/>
    <cellStyle name="Normal 12 2 4 4 4" xfId="14840"/>
    <cellStyle name="Normal 12 2 4 4 4 2" xfId="37427"/>
    <cellStyle name="Normal 12 2 4 4 5" xfId="8400"/>
    <cellStyle name="Normal 12 2 4 4 5 2" xfId="30987"/>
    <cellStyle name="Normal 12 2 4 4 6" xfId="24547"/>
    <cellStyle name="Normal 12 2 4 5" xfId="3076"/>
    <cellStyle name="Normal 12 2 4 5 2" xfId="6296"/>
    <cellStyle name="Normal 12 2 4 5 2 2" xfId="22396"/>
    <cellStyle name="Normal 12 2 4 5 2 2 2" xfId="44983"/>
    <cellStyle name="Normal 12 2 4 5 2 3" xfId="12736"/>
    <cellStyle name="Normal 12 2 4 5 2 3 2" xfId="35323"/>
    <cellStyle name="Normal 12 2 4 5 2 4" xfId="28883"/>
    <cellStyle name="Normal 12 2 4 5 3" xfId="19176"/>
    <cellStyle name="Normal 12 2 4 5 3 2" xfId="41763"/>
    <cellStyle name="Normal 12 2 4 5 4" xfId="15956"/>
    <cellStyle name="Normal 12 2 4 5 4 2" xfId="38543"/>
    <cellStyle name="Normal 12 2 4 5 5" xfId="9516"/>
    <cellStyle name="Normal 12 2 4 5 5 2" xfId="32103"/>
    <cellStyle name="Normal 12 2 4 5 6" xfId="25663"/>
    <cellStyle name="Normal 12 2 4 6" xfId="3366"/>
    <cellStyle name="Normal 12 2 4 6 2" xfId="6586"/>
    <cellStyle name="Normal 12 2 4 6 2 2" xfId="22686"/>
    <cellStyle name="Normal 12 2 4 6 2 2 2" xfId="45273"/>
    <cellStyle name="Normal 12 2 4 6 2 3" xfId="13026"/>
    <cellStyle name="Normal 12 2 4 6 2 3 2" xfId="35613"/>
    <cellStyle name="Normal 12 2 4 6 2 4" xfId="29173"/>
    <cellStyle name="Normal 12 2 4 6 3" xfId="19466"/>
    <cellStyle name="Normal 12 2 4 6 3 2" xfId="42053"/>
    <cellStyle name="Normal 12 2 4 6 4" xfId="16246"/>
    <cellStyle name="Normal 12 2 4 6 4 2" xfId="38833"/>
    <cellStyle name="Normal 12 2 4 6 5" xfId="9806"/>
    <cellStyle name="Normal 12 2 4 6 5 2" xfId="32393"/>
    <cellStyle name="Normal 12 2 4 6 6" xfId="25953"/>
    <cellStyle name="Normal 12 2 4 7" xfId="628"/>
    <cellStyle name="Normal 12 2 4 7 2" xfId="3872"/>
    <cellStyle name="Normal 12 2 4 7 2 2" xfId="19972"/>
    <cellStyle name="Normal 12 2 4 7 2 2 2" xfId="42559"/>
    <cellStyle name="Normal 12 2 4 7 2 3" xfId="10312"/>
    <cellStyle name="Normal 12 2 4 7 2 3 2" xfId="32899"/>
    <cellStyle name="Normal 12 2 4 7 2 4" xfId="26459"/>
    <cellStyle name="Normal 12 2 4 7 3" xfId="16752"/>
    <cellStyle name="Normal 12 2 4 7 3 2" xfId="39339"/>
    <cellStyle name="Normal 12 2 4 7 4" xfId="13532"/>
    <cellStyle name="Normal 12 2 4 7 4 2" xfId="36119"/>
    <cellStyle name="Normal 12 2 4 7 5" xfId="7092"/>
    <cellStyle name="Normal 12 2 4 7 5 2" xfId="29679"/>
    <cellStyle name="Normal 12 2 4 7 6" xfId="23239"/>
    <cellStyle name="Normal 12 2 4 8" xfId="3656"/>
    <cellStyle name="Normal 12 2 4 8 2" xfId="19756"/>
    <cellStyle name="Normal 12 2 4 8 2 2" xfId="42343"/>
    <cellStyle name="Normal 12 2 4 8 3" xfId="10096"/>
    <cellStyle name="Normal 12 2 4 8 3 2" xfId="32683"/>
    <cellStyle name="Normal 12 2 4 8 4" xfId="26243"/>
    <cellStyle name="Normal 12 2 4 9" xfId="16536"/>
    <cellStyle name="Normal 12 2 4 9 2" xfId="39123"/>
    <cellStyle name="Normal 12 2 5" xfId="798"/>
    <cellStyle name="Normal 12 2 5 2" xfId="1150"/>
    <cellStyle name="Normal 12 2 5 2 2" xfId="2464"/>
    <cellStyle name="Normal 12 2 5 2 2 2" xfId="5685"/>
    <cellStyle name="Normal 12 2 5 2 2 2 2" xfId="21785"/>
    <cellStyle name="Normal 12 2 5 2 2 2 2 2" xfId="44372"/>
    <cellStyle name="Normal 12 2 5 2 2 2 3" xfId="12125"/>
    <cellStyle name="Normal 12 2 5 2 2 2 3 2" xfId="34712"/>
    <cellStyle name="Normal 12 2 5 2 2 2 4" xfId="28272"/>
    <cellStyle name="Normal 12 2 5 2 2 3" xfId="18565"/>
    <cellStyle name="Normal 12 2 5 2 2 3 2" xfId="41152"/>
    <cellStyle name="Normal 12 2 5 2 2 4" xfId="15345"/>
    <cellStyle name="Normal 12 2 5 2 2 4 2" xfId="37932"/>
    <cellStyle name="Normal 12 2 5 2 2 5" xfId="8905"/>
    <cellStyle name="Normal 12 2 5 2 2 5 2" xfId="31492"/>
    <cellStyle name="Normal 12 2 5 2 2 6" xfId="25052"/>
    <cellStyle name="Normal 12 2 5 2 3" xfId="4377"/>
    <cellStyle name="Normal 12 2 5 2 3 2" xfId="20477"/>
    <cellStyle name="Normal 12 2 5 2 3 2 2" xfId="43064"/>
    <cellStyle name="Normal 12 2 5 2 3 3" xfId="10817"/>
    <cellStyle name="Normal 12 2 5 2 3 3 2" xfId="33404"/>
    <cellStyle name="Normal 12 2 5 2 3 4" xfId="26964"/>
    <cellStyle name="Normal 12 2 5 2 4" xfId="17257"/>
    <cellStyle name="Normal 12 2 5 2 4 2" xfId="39844"/>
    <cellStyle name="Normal 12 2 5 2 5" xfId="14037"/>
    <cellStyle name="Normal 12 2 5 2 5 2" xfId="36624"/>
    <cellStyle name="Normal 12 2 5 2 6" xfId="7597"/>
    <cellStyle name="Normal 12 2 5 2 6 2" xfId="30184"/>
    <cellStyle name="Normal 12 2 5 2 7" xfId="23744"/>
    <cellStyle name="Normal 12 2 5 3" xfId="1497"/>
    <cellStyle name="Normal 12 2 5 3 2" xfId="2811"/>
    <cellStyle name="Normal 12 2 5 3 2 2" xfId="6032"/>
    <cellStyle name="Normal 12 2 5 3 2 2 2" xfId="22132"/>
    <cellStyle name="Normal 12 2 5 3 2 2 2 2" xfId="44719"/>
    <cellStyle name="Normal 12 2 5 3 2 2 3" xfId="12472"/>
    <cellStyle name="Normal 12 2 5 3 2 2 3 2" xfId="35059"/>
    <cellStyle name="Normal 12 2 5 3 2 2 4" xfId="28619"/>
    <cellStyle name="Normal 12 2 5 3 2 3" xfId="18912"/>
    <cellStyle name="Normal 12 2 5 3 2 3 2" xfId="41499"/>
    <cellStyle name="Normal 12 2 5 3 2 4" xfId="15692"/>
    <cellStyle name="Normal 12 2 5 3 2 4 2" xfId="38279"/>
    <cellStyle name="Normal 12 2 5 3 2 5" xfId="9252"/>
    <cellStyle name="Normal 12 2 5 3 2 5 2" xfId="31839"/>
    <cellStyle name="Normal 12 2 5 3 2 6" xfId="25399"/>
    <cellStyle name="Normal 12 2 5 3 3" xfId="4724"/>
    <cellStyle name="Normal 12 2 5 3 3 2" xfId="20824"/>
    <cellStyle name="Normal 12 2 5 3 3 2 2" xfId="43411"/>
    <cellStyle name="Normal 12 2 5 3 3 3" xfId="11164"/>
    <cellStyle name="Normal 12 2 5 3 3 3 2" xfId="33751"/>
    <cellStyle name="Normal 12 2 5 3 3 4" xfId="27311"/>
    <cellStyle name="Normal 12 2 5 3 4" xfId="17604"/>
    <cellStyle name="Normal 12 2 5 3 4 2" xfId="40191"/>
    <cellStyle name="Normal 12 2 5 3 5" xfId="14384"/>
    <cellStyle name="Normal 12 2 5 3 5 2" xfId="36971"/>
    <cellStyle name="Normal 12 2 5 3 6" xfId="7944"/>
    <cellStyle name="Normal 12 2 5 3 6 2" xfId="30531"/>
    <cellStyle name="Normal 12 2 5 3 7" xfId="24091"/>
    <cellStyle name="Normal 12 2 5 4" xfId="2117"/>
    <cellStyle name="Normal 12 2 5 4 2" xfId="5338"/>
    <cellStyle name="Normal 12 2 5 4 2 2" xfId="21438"/>
    <cellStyle name="Normal 12 2 5 4 2 2 2" xfId="44025"/>
    <cellStyle name="Normal 12 2 5 4 2 3" xfId="11778"/>
    <cellStyle name="Normal 12 2 5 4 2 3 2" xfId="34365"/>
    <cellStyle name="Normal 12 2 5 4 2 4" xfId="27925"/>
    <cellStyle name="Normal 12 2 5 4 3" xfId="18218"/>
    <cellStyle name="Normal 12 2 5 4 3 2" xfId="40805"/>
    <cellStyle name="Normal 12 2 5 4 4" xfId="14998"/>
    <cellStyle name="Normal 12 2 5 4 4 2" xfId="37585"/>
    <cellStyle name="Normal 12 2 5 4 5" xfId="8558"/>
    <cellStyle name="Normal 12 2 5 4 5 2" xfId="31145"/>
    <cellStyle name="Normal 12 2 5 4 6" xfId="24705"/>
    <cellStyle name="Normal 12 2 5 5" xfId="4030"/>
    <cellStyle name="Normal 12 2 5 5 2" xfId="20130"/>
    <cellStyle name="Normal 12 2 5 5 2 2" xfId="42717"/>
    <cellStyle name="Normal 12 2 5 5 3" xfId="10470"/>
    <cellStyle name="Normal 12 2 5 5 3 2" xfId="33057"/>
    <cellStyle name="Normal 12 2 5 5 4" xfId="26617"/>
    <cellStyle name="Normal 12 2 5 6" xfId="16910"/>
    <cellStyle name="Normal 12 2 5 6 2" xfId="39497"/>
    <cellStyle name="Normal 12 2 5 7" xfId="13690"/>
    <cellStyle name="Normal 12 2 5 7 2" xfId="36277"/>
    <cellStyle name="Normal 12 2 5 8" xfId="7250"/>
    <cellStyle name="Normal 12 2 5 8 2" xfId="29837"/>
    <cellStyle name="Normal 12 2 5 9" xfId="23397"/>
    <cellStyle name="Normal 12 2 6" xfId="868"/>
    <cellStyle name="Normal 12 2 6 2" xfId="2187"/>
    <cellStyle name="Normal 12 2 6 2 2" xfId="5408"/>
    <cellStyle name="Normal 12 2 6 2 2 2" xfId="21508"/>
    <cellStyle name="Normal 12 2 6 2 2 2 2" xfId="44095"/>
    <cellStyle name="Normal 12 2 6 2 2 3" xfId="11848"/>
    <cellStyle name="Normal 12 2 6 2 2 3 2" xfId="34435"/>
    <cellStyle name="Normal 12 2 6 2 2 4" xfId="27995"/>
    <cellStyle name="Normal 12 2 6 2 3" xfId="18288"/>
    <cellStyle name="Normal 12 2 6 2 3 2" xfId="40875"/>
    <cellStyle name="Normal 12 2 6 2 4" xfId="15068"/>
    <cellStyle name="Normal 12 2 6 2 4 2" xfId="37655"/>
    <cellStyle name="Normal 12 2 6 2 5" xfId="8628"/>
    <cellStyle name="Normal 12 2 6 2 5 2" xfId="31215"/>
    <cellStyle name="Normal 12 2 6 2 6" xfId="24775"/>
    <cellStyle name="Normal 12 2 6 3" xfId="4100"/>
    <cellStyle name="Normal 12 2 6 3 2" xfId="20200"/>
    <cellStyle name="Normal 12 2 6 3 2 2" xfId="42787"/>
    <cellStyle name="Normal 12 2 6 3 3" xfId="10540"/>
    <cellStyle name="Normal 12 2 6 3 3 2" xfId="33127"/>
    <cellStyle name="Normal 12 2 6 3 4" xfId="26687"/>
    <cellStyle name="Normal 12 2 6 4" xfId="16980"/>
    <cellStyle name="Normal 12 2 6 4 2" xfId="39567"/>
    <cellStyle name="Normal 12 2 6 5" xfId="13760"/>
    <cellStyle name="Normal 12 2 6 5 2" xfId="36347"/>
    <cellStyle name="Normal 12 2 6 6" xfId="7320"/>
    <cellStyle name="Normal 12 2 6 6 2" xfId="29907"/>
    <cellStyle name="Normal 12 2 6 7" xfId="23467"/>
    <cellStyle name="Normal 12 2 7" xfId="1220"/>
    <cellStyle name="Normal 12 2 7 2" xfId="2534"/>
    <cellStyle name="Normal 12 2 7 2 2" xfId="5755"/>
    <cellStyle name="Normal 12 2 7 2 2 2" xfId="21855"/>
    <cellStyle name="Normal 12 2 7 2 2 2 2" xfId="44442"/>
    <cellStyle name="Normal 12 2 7 2 2 3" xfId="12195"/>
    <cellStyle name="Normal 12 2 7 2 2 3 2" xfId="34782"/>
    <cellStyle name="Normal 12 2 7 2 2 4" xfId="28342"/>
    <cellStyle name="Normal 12 2 7 2 3" xfId="18635"/>
    <cellStyle name="Normal 12 2 7 2 3 2" xfId="41222"/>
    <cellStyle name="Normal 12 2 7 2 4" xfId="15415"/>
    <cellStyle name="Normal 12 2 7 2 4 2" xfId="38002"/>
    <cellStyle name="Normal 12 2 7 2 5" xfId="8975"/>
    <cellStyle name="Normal 12 2 7 2 5 2" xfId="31562"/>
    <cellStyle name="Normal 12 2 7 2 6" xfId="25122"/>
    <cellStyle name="Normal 12 2 7 3" xfId="4447"/>
    <cellStyle name="Normal 12 2 7 3 2" xfId="20547"/>
    <cellStyle name="Normal 12 2 7 3 2 2" xfId="43134"/>
    <cellStyle name="Normal 12 2 7 3 3" xfId="10887"/>
    <cellStyle name="Normal 12 2 7 3 3 2" xfId="33474"/>
    <cellStyle name="Normal 12 2 7 3 4" xfId="27034"/>
    <cellStyle name="Normal 12 2 7 4" xfId="17327"/>
    <cellStyle name="Normal 12 2 7 4 2" xfId="39914"/>
    <cellStyle name="Normal 12 2 7 5" xfId="14107"/>
    <cellStyle name="Normal 12 2 7 5 2" xfId="36694"/>
    <cellStyle name="Normal 12 2 7 6" xfId="7667"/>
    <cellStyle name="Normal 12 2 7 6 2" xfId="30254"/>
    <cellStyle name="Normal 12 2 7 7" xfId="23814"/>
    <cellStyle name="Normal 12 2 8" xfId="1557"/>
    <cellStyle name="Normal 12 2 8 2" xfId="4783"/>
    <cellStyle name="Normal 12 2 8 2 2" xfId="20883"/>
    <cellStyle name="Normal 12 2 8 2 2 2" xfId="43470"/>
    <cellStyle name="Normal 12 2 8 2 3" xfId="11223"/>
    <cellStyle name="Normal 12 2 8 2 3 2" xfId="33810"/>
    <cellStyle name="Normal 12 2 8 2 4" xfId="27370"/>
    <cellStyle name="Normal 12 2 8 3" xfId="17663"/>
    <cellStyle name="Normal 12 2 8 3 2" xfId="40250"/>
    <cellStyle name="Normal 12 2 8 4" xfId="14443"/>
    <cellStyle name="Normal 12 2 8 4 2" xfId="37030"/>
    <cellStyle name="Normal 12 2 8 5" xfId="8003"/>
    <cellStyle name="Normal 12 2 8 5 2" xfId="30590"/>
    <cellStyle name="Normal 12 2 8 6" xfId="24150"/>
    <cellStyle name="Normal 12 2 9" xfId="1839"/>
    <cellStyle name="Normal 12 2 9 2" xfId="5061"/>
    <cellStyle name="Normal 12 2 9 2 2" xfId="21161"/>
    <cellStyle name="Normal 12 2 9 2 2 2" xfId="43748"/>
    <cellStyle name="Normal 12 2 9 2 3" xfId="11501"/>
    <cellStyle name="Normal 12 2 9 2 3 2" xfId="34088"/>
    <cellStyle name="Normal 12 2 9 2 4" xfId="27648"/>
    <cellStyle name="Normal 12 2 9 3" xfId="17941"/>
    <cellStyle name="Normal 12 2 9 3 2" xfId="40528"/>
    <cellStyle name="Normal 12 2 9 4" xfId="14721"/>
    <cellStyle name="Normal 12 2 9 4 2" xfId="37308"/>
    <cellStyle name="Normal 12 2 9 5" xfId="8281"/>
    <cellStyle name="Normal 12 2 9 5 2" xfId="30868"/>
    <cellStyle name="Normal 12 2 9 6" xfId="24428"/>
    <cellStyle name="Normal 12 3" xfId="145"/>
    <cellStyle name="Normal 12 3 10" xfId="483"/>
    <cellStyle name="Normal 12 3 10 2" xfId="3770"/>
    <cellStyle name="Normal 12 3 10 2 2" xfId="19870"/>
    <cellStyle name="Normal 12 3 10 2 2 2" xfId="42457"/>
    <cellStyle name="Normal 12 3 10 2 3" xfId="10210"/>
    <cellStyle name="Normal 12 3 10 2 3 2" xfId="32797"/>
    <cellStyle name="Normal 12 3 10 2 4" xfId="26357"/>
    <cellStyle name="Normal 12 3 10 3" xfId="16650"/>
    <cellStyle name="Normal 12 3 10 3 2" xfId="39237"/>
    <cellStyle name="Normal 12 3 10 4" xfId="13430"/>
    <cellStyle name="Normal 12 3 10 4 2" xfId="36017"/>
    <cellStyle name="Normal 12 3 10 5" xfId="6990"/>
    <cellStyle name="Normal 12 3 10 5 2" xfId="29577"/>
    <cellStyle name="Normal 12 3 10 6" xfId="23137"/>
    <cellStyle name="Normal 12 3 11" xfId="3480"/>
    <cellStyle name="Normal 12 3 11 2" xfId="19580"/>
    <cellStyle name="Normal 12 3 11 2 2" xfId="42167"/>
    <cellStyle name="Normal 12 3 11 3" xfId="9920"/>
    <cellStyle name="Normal 12 3 11 3 2" xfId="32507"/>
    <cellStyle name="Normal 12 3 11 4" xfId="26067"/>
    <cellStyle name="Normal 12 3 12" xfId="16360"/>
    <cellStyle name="Normal 12 3 12 2" xfId="38947"/>
    <cellStyle name="Normal 12 3 13" xfId="13140"/>
    <cellStyle name="Normal 12 3 13 2" xfId="35727"/>
    <cellStyle name="Normal 12 3 14" xfId="6700"/>
    <cellStyle name="Normal 12 3 14 2" xfId="29287"/>
    <cellStyle name="Normal 12 3 15" xfId="22847"/>
    <cellStyle name="Normal 12 3 2" xfId="291"/>
    <cellStyle name="Normal 12 3 2 10" xfId="13238"/>
    <cellStyle name="Normal 12 3 2 10 2" xfId="35825"/>
    <cellStyle name="Normal 12 3 2 11" xfId="6798"/>
    <cellStyle name="Normal 12 3 2 11 2" xfId="29385"/>
    <cellStyle name="Normal 12 3 2 12" xfId="22945"/>
    <cellStyle name="Normal 12 3 2 2" xfId="1009"/>
    <cellStyle name="Normal 12 3 2 2 2" xfId="2323"/>
    <cellStyle name="Normal 12 3 2 2 2 2" xfId="5544"/>
    <cellStyle name="Normal 12 3 2 2 2 2 2" xfId="21644"/>
    <cellStyle name="Normal 12 3 2 2 2 2 2 2" xfId="44231"/>
    <cellStyle name="Normal 12 3 2 2 2 2 3" xfId="11984"/>
    <cellStyle name="Normal 12 3 2 2 2 2 3 2" xfId="34571"/>
    <cellStyle name="Normal 12 3 2 2 2 2 4" xfId="28131"/>
    <cellStyle name="Normal 12 3 2 2 2 3" xfId="18424"/>
    <cellStyle name="Normal 12 3 2 2 2 3 2" xfId="41011"/>
    <cellStyle name="Normal 12 3 2 2 2 4" xfId="15204"/>
    <cellStyle name="Normal 12 3 2 2 2 4 2" xfId="37791"/>
    <cellStyle name="Normal 12 3 2 2 2 5" xfId="8764"/>
    <cellStyle name="Normal 12 3 2 2 2 5 2" xfId="31351"/>
    <cellStyle name="Normal 12 3 2 2 2 6" xfId="24911"/>
    <cellStyle name="Normal 12 3 2 2 3" xfId="4236"/>
    <cellStyle name="Normal 12 3 2 2 3 2" xfId="20336"/>
    <cellStyle name="Normal 12 3 2 2 3 2 2" xfId="42923"/>
    <cellStyle name="Normal 12 3 2 2 3 3" xfId="10676"/>
    <cellStyle name="Normal 12 3 2 2 3 3 2" xfId="33263"/>
    <cellStyle name="Normal 12 3 2 2 3 4" xfId="26823"/>
    <cellStyle name="Normal 12 3 2 2 4" xfId="17116"/>
    <cellStyle name="Normal 12 3 2 2 4 2" xfId="39703"/>
    <cellStyle name="Normal 12 3 2 2 5" xfId="13896"/>
    <cellStyle name="Normal 12 3 2 2 5 2" xfId="36483"/>
    <cellStyle name="Normal 12 3 2 2 6" xfId="7456"/>
    <cellStyle name="Normal 12 3 2 2 6 2" xfId="30043"/>
    <cellStyle name="Normal 12 3 2 2 7" xfId="23603"/>
    <cellStyle name="Normal 12 3 2 3" xfId="1356"/>
    <cellStyle name="Normal 12 3 2 3 2" xfId="2670"/>
    <cellStyle name="Normal 12 3 2 3 2 2" xfId="5891"/>
    <cellStyle name="Normal 12 3 2 3 2 2 2" xfId="21991"/>
    <cellStyle name="Normal 12 3 2 3 2 2 2 2" xfId="44578"/>
    <cellStyle name="Normal 12 3 2 3 2 2 3" xfId="12331"/>
    <cellStyle name="Normal 12 3 2 3 2 2 3 2" xfId="34918"/>
    <cellStyle name="Normal 12 3 2 3 2 2 4" xfId="28478"/>
    <cellStyle name="Normal 12 3 2 3 2 3" xfId="18771"/>
    <cellStyle name="Normal 12 3 2 3 2 3 2" xfId="41358"/>
    <cellStyle name="Normal 12 3 2 3 2 4" xfId="15551"/>
    <cellStyle name="Normal 12 3 2 3 2 4 2" xfId="38138"/>
    <cellStyle name="Normal 12 3 2 3 2 5" xfId="9111"/>
    <cellStyle name="Normal 12 3 2 3 2 5 2" xfId="31698"/>
    <cellStyle name="Normal 12 3 2 3 2 6" xfId="25258"/>
    <cellStyle name="Normal 12 3 2 3 3" xfId="4583"/>
    <cellStyle name="Normal 12 3 2 3 3 2" xfId="20683"/>
    <cellStyle name="Normal 12 3 2 3 3 2 2" xfId="43270"/>
    <cellStyle name="Normal 12 3 2 3 3 3" xfId="11023"/>
    <cellStyle name="Normal 12 3 2 3 3 3 2" xfId="33610"/>
    <cellStyle name="Normal 12 3 2 3 3 4" xfId="27170"/>
    <cellStyle name="Normal 12 3 2 3 4" xfId="17463"/>
    <cellStyle name="Normal 12 3 2 3 4 2" xfId="40050"/>
    <cellStyle name="Normal 12 3 2 3 5" xfId="14243"/>
    <cellStyle name="Normal 12 3 2 3 5 2" xfId="36830"/>
    <cellStyle name="Normal 12 3 2 3 6" xfId="7803"/>
    <cellStyle name="Normal 12 3 2 3 6 2" xfId="30390"/>
    <cellStyle name="Normal 12 3 2 3 7" xfId="23950"/>
    <cellStyle name="Normal 12 3 2 4" xfId="1975"/>
    <cellStyle name="Normal 12 3 2 4 2" xfId="5197"/>
    <cellStyle name="Normal 12 3 2 4 2 2" xfId="21297"/>
    <cellStyle name="Normal 12 3 2 4 2 2 2" xfId="43884"/>
    <cellStyle name="Normal 12 3 2 4 2 3" xfId="11637"/>
    <cellStyle name="Normal 12 3 2 4 2 3 2" xfId="34224"/>
    <cellStyle name="Normal 12 3 2 4 2 4" xfId="27784"/>
    <cellStyle name="Normal 12 3 2 4 3" xfId="18077"/>
    <cellStyle name="Normal 12 3 2 4 3 2" xfId="40664"/>
    <cellStyle name="Normal 12 3 2 4 4" xfId="14857"/>
    <cellStyle name="Normal 12 3 2 4 4 2" xfId="37444"/>
    <cellStyle name="Normal 12 3 2 4 5" xfId="8417"/>
    <cellStyle name="Normal 12 3 2 4 5 2" xfId="31004"/>
    <cellStyle name="Normal 12 3 2 4 6" xfId="24564"/>
    <cellStyle name="Normal 12 3 2 5" xfId="2998"/>
    <cellStyle name="Normal 12 3 2 5 2" xfId="6218"/>
    <cellStyle name="Normal 12 3 2 5 2 2" xfId="22318"/>
    <cellStyle name="Normal 12 3 2 5 2 2 2" xfId="44905"/>
    <cellStyle name="Normal 12 3 2 5 2 3" xfId="12658"/>
    <cellStyle name="Normal 12 3 2 5 2 3 2" xfId="35245"/>
    <cellStyle name="Normal 12 3 2 5 2 4" xfId="28805"/>
    <cellStyle name="Normal 12 3 2 5 3" xfId="19098"/>
    <cellStyle name="Normal 12 3 2 5 3 2" xfId="41685"/>
    <cellStyle name="Normal 12 3 2 5 4" xfId="15878"/>
    <cellStyle name="Normal 12 3 2 5 4 2" xfId="38465"/>
    <cellStyle name="Normal 12 3 2 5 5" xfId="9438"/>
    <cellStyle name="Normal 12 3 2 5 5 2" xfId="32025"/>
    <cellStyle name="Normal 12 3 2 5 6" xfId="25585"/>
    <cellStyle name="Normal 12 3 2 6" xfId="3288"/>
    <cellStyle name="Normal 12 3 2 6 2" xfId="6508"/>
    <cellStyle name="Normal 12 3 2 6 2 2" xfId="22608"/>
    <cellStyle name="Normal 12 3 2 6 2 2 2" xfId="45195"/>
    <cellStyle name="Normal 12 3 2 6 2 3" xfId="12948"/>
    <cellStyle name="Normal 12 3 2 6 2 3 2" xfId="35535"/>
    <cellStyle name="Normal 12 3 2 6 2 4" xfId="29095"/>
    <cellStyle name="Normal 12 3 2 6 3" xfId="19388"/>
    <cellStyle name="Normal 12 3 2 6 3 2" xfId="41975"/>
    <cellStyle name="Normal 12 3 2 6 4" xfId="16168"/>
    <cellStyle name="Normal 12 3 2 6 4 2" xfId="38755"/>
    <cellStyle name="Normal 12 3 2 6 5" xfId="9728"/>
    <cellStyle name="Normal 12 3 2 6 5 2" xfId="32315"/>
    <cellStyle name="Normal 12 3 2 6 6" xfId="25875"/>
    <cellStyle name="Normal 12 3 2 7" xfId="645"/>
    <cellStyle name="Normal 12 3 2 7 2" xfId="3889"/>
    <cellStyle name="Normal 12 3 2 7 2 2" xfId="19989"/>
    <cellStyle name="Normal 12 3 2 7 2 2 2" xfId="42576"/>
    <cellStyle name="Normal 12 3 2 7 2 3" xfId="10329"/>
    <cellStyle name="Normal 12 3 2 7 2 3 2" xfId="32916"/>
    <cellStyle name="Normal 12 3 2 7 2 4" xfId="26476"/>
    <cellStyle name="Normal 12 3 2 7 3" xfId="16769"/>
    <cellStyle name="Normal 12 3 2 7 3 2" xfId="39356"/>
    <cellStyle name="Normal 12 3 2 7 4" xfId="13549"/>
    <cellStyle name="Normal 12 3 2 7 4 2" xfId="36136"/>
    <cellStyle name="Normal 12 3 2 7 5" xfId="7109"/>
    <cellStyle name="Normal 12 3 2 7 5 2" xfId="29696"/>
    <cellStyle name="Normal 12 3 2 7 6" xfId="23256"/>
    <cellStyle name="Normal 12 3 2 8" xfId="3578"/>
    <cellStyle name="Normal 12 3 2 8 2" xfId="19678"/>
    <cellStyle name="Normal 12 3 2 8 2 2" xfId="42265"/>
    <cellStyle name="Normal 12 3 2 8 3" xfId="10018"/>
    <cellStyle name="Normal 12 3 2 8 3 2" xfId="32605"/>
    <cellStyle name="Normal 12 3 2 8 4" xfId="26165"/>
    <cellStyle name="Normal 12 3 2 9" xfId="16458"/>
    <cellStyle name="Normal 12 3 2 9 2" xfId="39045"/>
    <cellStyle name="Normal 12 3 3" xfId="386"/>
    <cellStyle name="Normal 12 3 3 10" xfId="13333"/>
    <cellStyle name="Normal 12 3 3 10 2" xfId="35920"/>
    <cellStyle name="Normal 12 3 3 11" xfId="6893"/>
    <cellStyle name="Normal 12 3 3 11 2" xfId="29480"/>
    <cellStyle name="Normal 12 3 3 12" xfId="23040"/>
    <cellStyle name="Normal 12 3 3 2" xfId="1170"/>
    <cellStyle name="Normal 12 3 3 2 2" xfId="2484"/>
    <cellStyle name="Normal 12 3 3 2 2 2" xfId="5705"/>
    <cellStyle name="Normal 12 3 3 2 2 2 2" xfId="21805"/>
    <cellStyle name="Normal 12 3 3 2 2 2 2 2" xfId="44392"/>
    <cellStyle name="Normal 12 3 3 2 2 2 3" xfId="12145"/>
    <cellStyle name="Normal 12 3 3 2 2 2 3 2" xfId="34732"/>
    <cellStyle name="Normal 12 3 3 2 2 2 4" xfId="28292"/>
    <cellStyle name="Normal 12 3 3 2 2 3" xfId="18585"/>
    <cellStyle name="Normal 12 3 3 2 2 3 2" xfId="41172"/>
    <cellStyle name="Normal 12 3 3 2 2 4" xfId="15365"/>
    <cellStyle name="Normal 12 3 3 2 2 4 2" xfId="37952"/>
    <cellStyle name="Normal 12 3 3 2 2 5" xfId="8925"/>
    <cellStyle name="Normal 12 3 3 2 2 5 2" xfId="31512"/>
    <cellStyle name="Normal 12 3 3 2 2 6" xfId="25072"/>
    <cellStyle name="Normal 12 3 3 2 3" xfId="4397"/>
    <cellStyle name="Normal 12 3 3 2 3 2" xfId="20497"/>
    <cellStyle name="Normal 12 3 3 2 3 2 2" xfId="43084"/>
    <cellStyle name="Normal 12 3 3 2 3 3" xfId="10837"/>
    <cellStyle name="Normal 12 3 3 2 3 3 2" xfId="33424"/>
    <cellStyle name="Normal 12 3 3 2 3 4" xfId="26984"/>
    <cellStyle name="Normal 12 3 3 2 4" xfId="17277"/>
    <cellStyle name="Normal 12 3 3 2 4 2" xfId="39864"/>
    <cellStyle name="Normal 12 3 3 2 5" xfId="14057"/>
    <cellStyle name="Normal 12 3 3 2 5 2" xfId="36644"/>
    <cellStyle name="Normal 12 3 3 2 6" xfId="7617"/>
    <cellStyle name="Normal 12 3 3 2 6 2" xfId="30204"/>
    <cellStyle name="Normal 12 3 3 2 7" xfId="23764"/>
    <cellStyle name="Normal 12 3 3 3" xfId="1517"/>
    <cellStyle name="Normal 12 3 3 3 2" xfId="2831"/>
    <cellStyle name="Normal 12 3 3 3 2 2" xfId="6052"/>
    <cellStyle name="Normal 12 3 3 3 2 2 2" xfId="22152"/>
    <cellStyle name="Normal 12 3 3 3 2 2 2 2" xfId="44739"/>
    <cellStyle name="Normal 12 3 3 3 2 2 3" xfId="12492"/>
    <cellStyle name="Normal 12 3 3 3 2 2 3 2" xfId="35079"/>
    <cellStyle name="Normal 12 3 3 3 2 2 4" xfId="28639"/>
    <cellStyle name="Normal 12 3 3 3 2 3" xfId="18932"/>
    <cellStyle name="Normal 12 3 3 3 2 3 2" xfId="41519"/>
    <cellStyle name="Normal 12 3 3 3 2 4" xfId="15712"/>
    <cellStyle name="Normal 12 3 3 3 2 4 2" xfId="38299"/>
    <cellStyle name="Normal 12 3 3 3 2 5" xfId="9272"/>
    <cellStyle name="Normal 12 3 3 3 2 5 2" xfId="31859"/>
    <cellStyle name="Normal 12 3 3 3 2 6" xfId="25419"/>
    <cellStyle name="Normal 12 3 3 3 3" xfId="4744"/>
    <cellStyle name="Normal 12 3 3 3 3 2" xfId="20844"/>
    <cellStyle name="Normal 12 3 3 3 3 2 2" xfId="43431"/>
    <cellStyle name="Normal 12 3 3 3 3 3" xfId="11184"/>
    <cellStyle name="Normal 12 3 3 3 3 3 2" xfId="33771"/>
    <cellStyle name="Normal 12 3 3 3 3 4" xfId="27331"/>
    <cellStyle name="Normal 12 3 3 3 4" xfId="17624"/>
    <cellStyle name="Normal 12 3 3 3 4 2" xfId="40211"/>
    <cellStyle name="Normal 12 3 3 3 5" xfId="14404"/>
    <cellStyle name="Normal 12 3 3 3 5 2" xfId="36991"/>
    <cellStyle name="Normal 12 3 3 3 6" xfId="7964"/>
    <cellStyle name="Normal 12 3 3 3 6 2" xfId="30551"/>
    <cellStyle name="Normal 12 3 3 3 7" xfId="24111"/>
    <cellStyle name="Normal 12 3 3 4" xfId="2137"/>
    <cellStyle name="Normal 12 3 3 4 2" xfId="5358"/>
    <cellStyle name="Normal 12 3 3 4 2 2" xfId="21458"/>
    <cellStyle name="Normal 12 3 3 4 2 2 2" xfId="44045"/>
    <cellStyle name="Normal 12 3 3 4 2 3" xfId="11798"/>
    <cellStyle name="Normal 12 3 3 4 2 3 2" xfId="34385"/>
    <cellStyle name="Normal 12 3 3 4 2 4" xfId="27945"/>
    <cellStyle name="Normal 12 3 3 4 3" xfId="18238"/>
    <cellStyle name="Normal 12 3 3 4 3 2" xfId="40825"/>
    <cellStyle name="Normal 12 3 3 4 4" xfId="15018"/>
    <cellStyle name="Normal 12 3 3 4 4 2" xfId="37605"/>
    <cellStyle name="Normal 12 3 3 4 5" xfId="8578"/>
    <cellStyle name="Normal 12 3 3 4 5 2" xfId="31165"/>
    <cellStyle name="Normal 12 3 3 4 6" xfId="24725"/>
    <cellStyle name="Normal 12 3 3 5" xfId="3093"/>
    <cellStyle name="Normal 12 3 3 5 2" xfId="6313"/>
    <cellStyle name="Normal 12 3 3 5 2 2" xfId="22413"/>
    <cellStyle name="Normal 12 3 3 5 2 2 2" xfId="45000"/>
    <cellStyle name="Normal 12 3 3 5 2 3" xfId="12753"/>
    <cellStyle name="Normal 12 3 3 5 2 3 2" xfId="35340"/>
    <cellStyle name="Normal 12 3 3 5 2 4" xfId="28900"/>
    <cellStyle name="Normal 12 3 3 5 3" xfId="19193"/>
    <cellStyle name="Normal 12 3 3 5 3 2" xfId="41780"/>
    <cellStyle name="Normal 12 3 3 5 4" xfId="15973"/>
    <cellStyle name="Normal 12 3 3 5 4 2" xfId="38560"/>
    <cellStyle name="Normal 12 3 3 5 5" xfId="9533"/>
    <cellStyle name="Normal 12 3 3 5 5 2" xfId="32120"/>
    <cellStyle name="Normal 12 3 3 5 6" xfId="25680"/>
    <cellStyle name="Normal 12 3 3 6" xfId="3383"/>
    <cellStyle name="Normal 12 3 3 6 2" xfId="6603"/>
    <cellStyle name="Normal 12 3 3 6 2 2" xfId="22703"/>
    <cellStyle name="Normal 12 3 3 6 2 2 2" xfId="45290"/>
    <cellStyle name="Normal 12 3 3 6 2 3" xfId="13043"/>
    <cellStyle name="Normal 12 3 3 6 2 3 2" xfId="35630"/>
    <cellStyle name="Normal 12 3 3 6 2 4" xfId="29190"/>
    <cellStyle name="Normal 12 3 3 6 3" xfId="19483"/>
    <cellStyle name="Normal 12 3 3 6 3 2" xfId="42070"/>
    <cellStyle name="Normal 12 3 3 6 4" xfId="16263"/>
    <cellStyle name="Normal 12 3 3 6 4 2" xfId="38850"/>
    <cellStyle name="Normal 12 3 3 6 5" xfId="9823"/>
    <cellStyle name="Normal 12 3 3 6 5 2" xfId="32410"/>
    <cellStyle name="Normal 12 3 3 6 6" xfId="25970"/>
    <cellStyle name="Normal 12 3 3 7" xfId="818"/>
    <cellStyle name="Normal 12 3 3 7 2" xfId="4050"/>
    <cellStyle name="Normal 12 3 3 7 2 2" xfId="20150"/>
    <cellStyle name="Normal 12 3 3 7 2 2 2" xfId="42737"/>
    <cellStyle name="Normal 12 3 3 7 2 3" xfId="10490"/>
    <cellStyle name="Normal 12 3 3 7 2 3 2" xfId="33077"/>
    <cellStyle name="Normal 12 3 3 7 2 4" xfId="26637"/>
    <cellStyle name="Normal 12 3 3 7 3" xfId="16930"/>
    <cellStyle name="Normal 12 3 3 7 3 2" xfId="39517"/>
    <cellStyle name="Normal 12 3 3 7 4" xfId="13710"/>
    <cellStyle name="Normal 12 3 3 7 4 2" xfId="36297"/>
    <cellStyle name="Normal 12 3 3 7 5" xfId="7270"/>
    <cellStyle name="Normal 12 3 3 7 5 2" xfId="29857"/>
    <cellStyle name="Normal 12 3 3 7 6" xfId="23417"/>
    <cellStyle name="Normal 12 3 3 8" xfId="3673"/>
    <cellStyle name="Normal 12 3 3 8 2" xfId="19773"/>
    <cellStyle name="Normal 12 3 3 8 2 2" xfId="42360"/>
    <cellStyle name="Normal 12 3 3 8 3" xfId="10113"/>
    <cellStyle name="Normal 12 3 3 8 3 2" xfId="32700"/>
    <cellStyle name="Normal 12 3 3 8 4" xfId="26260"/>
    <cellStyle name="Normal 12 3 3 9" xfId="16553"/>
    <cellStyle name="Normal 12 3 3 9 2" xfId="39140"/>
    <cellStyle name="Normal 12 3 4" xfId="885"/>
    <cellStyle name="Normal 12 3 4 2" xfId="2204"/>
    <cellStyle name="Normal 12 3 4 2 2" xfId="5425"/>
    <cellStyle name="Normal 12 3 4 2 2 2" xfId="21525"/>
    <cellStyle name="Normal 12 3 4 2 2 2 2" xfId="44112"/>
    <cellStyle name="Normal 12 3 4 2 2 3" xfId="11865"/>
    <cellStyle name="Normal 12 3 4 2 2 3 2" xfId="34452"/>
    <cellStyle name="Normal 12 3 4 2 2 4" xfId="28012"/>
    <cellStyle name="Normal 12 3 4 2 3" xfId="18305"/>
    <cellStyle name="Normal 12 3 4 2 3 2" xfId="40892"/>
    <cellStyle name="Normal 12 3 4 2 4" xfId="15085"/>
    <cellStyle name="Normal 12 3 4 2 4 2" xfId="37672"/>
    <cellStyle name="Normal 12 3 4 2 5" xfId="8645"/>
    <cellStyle name="Normal 12 3 4 2 5 2" xfId="31232"/>
    <cellStyle name="Normal 12 3 4 2 6" xfId="24792"/>
    <cellStyle name="Normal 12 3 4 3" xfId="4117"/>
    <cellStyle name="Normal 12 3 4 3 2" xfId="20217"/>
    <cellStyle name="Normal 12 3 4 3 2 2" xfId="42804"/>
    <cellStyle name="Normal 12 3 4 3 3" xfId="10557"/>
    <cellStyle name="Normal 12 3 4 3 3 2" xfId="33144"/>
    <cellStyle name="Normal 12 3 4 3 4" xfId="26704"/>
    <cellStyle name="Normal 12 3 4 4" xfId="16997"/>
    <cellStyle name="Normal 12 3 4 4 2" xfId="39584"/>
    <cellStyle name="Normal 12 3 4 5" xfId="13777"/>
    <cellStyle name="Normal 12 3 4 5 2" xfId="36364"/>
    <cellStyle name="Normal 12 3 4 6" xfId="7337"/>
    <cellStyle name="Normal 12 3 4 6 2" xfId="29924"/>
    <cellStyle name="Normal 12 3 4 7" xfId="23484"/>
    <cellStyle name="Normal 12 3 5" xfId="1237"/>
    <cellStyle name="Normal 12 3 5 2" xfId="2551"/>
    <cellStyle name="Normal 12 3 5 2 2" xfId="5772"/>
    <cellStyle name="Normal 12 3 5 2 2 2" xfId="21872"/>
    <cellStyle name="Normal 12 3 5 2 2 2 2" xfId="44459"/>
    <cellStyle name="Normal 12 3 5 2 2 3" xfId="12212"/>
    <cellStyle name="Normal 12 3 5 2 2 3 2" xfId="34799"/>
    <cellStyle name="Normal 12 3 5 2 2 4" xfId="28359"/>
    <cellStyle name="Normal 12 3 5 2 3" xfId="18652"/>
    <cellStyle name="Normal 12 3 5 2 3 2" xfId="41239"/>
    <cellStyle name="Normal 12 3 5 2 4" xfId="15432"/>
    <cellStyle name="Normal 12 3 5 2 4 2" xfId="38019"/>
    <cellStyle name="Normal 12 3 5 2 5" xfId="8992"/>
    <cellStyle name="Normal 12 3 5 2 5 2" xfId="31579"/>
    <cellStyle name="Normal 12 3 5 2 6" xfId="25139"/>
    <cellStyle name="Normal 12 3 5 3" xfId="4464"/>
    <cellStyle name="Normal 12 3 5 3 2" xfId="20564"/>
    <cellStyle name="Normal 12 3 5 3 2 2" xfId="43151"/>
    <cellStyle name="Normal 12 3 5 3 3" xfId="10904"/>
    <cellStyle name="Normal 12 3 5 3 3 2" xfId="33491"/>
    <cellStyle name="Normal 12 3 5 3 4" xfId="27051"/>
    <cellStyle name="Normal 12 3 5 4" xfId="17344"/>
    <cellStyle name="Normal 12 3 5 4 2" xfId="39931"/>
    <cellStyle name="Normal 12 3 5 5" xfId="14124"/>
    <cellStyle name="Normal 12 3 5 5 2" xfId="36711"/>
    <cellStyle name="Normal 12 3 5 6" xfId="7684"/>
    <cellStyle name="Normal 12 3 5 6 2" xfId="30271"/>
    <cellStyle name="Normal 12 3 5 7" xfId="23831"/>
    <cellStyle name="Normal 12 3 6" xfId="1558"/>
    <cellStyle name="Normal 12 3 6 2" xfId="4784"/>
    <cellStyle name="Normal 12 3 6 2 2" xfId="20884"/>
    <cellStyle name="Normal 12 3 6 2 2 2" xfId="43471"/>
    <cellStyle name="Normal 12 3 6 2 3" xfId="11224"/>
    <cellStyle name="Normal 12 3 6 2 3 2" xfId="33811"/>
    <cellStyle name="Normal 12 3 6 2 4" xfId="27371"/>
    <cellStyle name="Normal 12 3 6 3" xfId="17664"/>
    <cellStyle name="Normal 12 3 6 3 2" xfId="40251"/>
    <cellStyle name="Normal 12 3 6 4" xfId="14444"/>
    <cellStyle name="Normal 12 3 6 4 2" xfId="37031"/>
    <cellStyle name="Normal 12 3 6 5" xfId="8004"/>
    <cellStyle name="Normal 12 3 6 5 2" xfId="30591"/>
    <cellStyle name="Normal 12 3 6 6" xfId="24151"/>
    <cellStyle name="Normal 12 3 7" xfId="1856"/>
    <cellStyle name="Normal 12 3 7 2" xfId="5078"/>
    <cellStyle name="Normal 12 3 7 2 2" xfId="21178"/>
    <cellStyle name="Normal 12 3 7 2 2 2" xfId="43765"/>
    <cellStyle name="Normal 12 3 7 2 3" xfId="11518"/>
    <cellStyle name="Normal 12 3 7 2 3 2" xfId="34105"/>
    <cellStyle name="Normal 12 3 7 2 4" xfId="27665"/>
    <cellStyle name="Normal 12 3 7 3" xfId="17958"/>
    <cellStyle name="Normal 12 3 7 3 2" xfId="40545"/>
    <cellStyle name="Normal 12 3 7 4" xfId="14738"/>
    <cellStyle name="Normal 12 3 7 4 2" xfId="37325"/>
    <cellStyle name="Normal 12 3 7 5" xfId="8298"/>
    <cellStyle name="Normal 12 3 7 5 2" xfId="30885"/>
    <cellStyle name="Normal 12 3 7 6" xfId="24445"/>
    <cellStyle name="Normal 12 3 8" xfId="2899"/>
    <cellStyle name="Normal 12 3 8 2" xfId="6120"/>
    <cellStyle name="Normal 12 3 8 2 2" xfId="22220"/>
    <cellStyle name="Normal 12 3 8 2 2 2" xfId="44807"/>
    <cellStyle name="Normal 12 3 8 2 3" xfId="12560"/>
    <cellStyle name="Normal 12 3 8 2 3 2" xfId="35147"/>
    <cellStyle name="Normal 12 3 8 2 4" xfId="28707"/>
    <cellStyle name="Normal 12 3 8 3" xfId="19000"/>
    <cellStyle name="Normal 12 3 8 3 2" xfId="41587"/>
    <cellStyle name="Normal 12 3 8 4" xfId="15780"/>
    <cellStyle name="Normal 12 3 8 4 2" xfId="38367"/>
    <cellStyle name="Normal 12 3 8 5" xfId="9340"/>
    <cellStyle name="Normal 12 3 8 5 2" xfId="31927"/>
    <cellStyle name="Normal 12 3 8 6" xfId="25487"/>
    <cellStyle name="Normal 12 3 9" xfId="3190"/>
    <cellStyle name="Normal 12 3 9 2" xfId="6410"/>
    <cellStyle name="Normal 12 3 9 2 2" xfId="22510"/>
    <cellStyle name="Normal 12 3 9 2 2 2" xfId="45097"/>
    <cellStyle name="Normal 12 3 9 2 3" xfId="12850"/>
    <cellStyle name="Normal 12 3 9 2 3 2" xfId="35437"/>
    <cellStyle name="Normal 12 3 9 2 4" xfId="28997"/>
    <cellStyle name="Normal 12 3 9 3" xfId="19290"/>
    <cellStyle name="Normal 12 3 9 3 2" xfId="41877"/>
    <cellStyle name="Normal 12 3 9 4" xfId="16070"/>
    <cellStyle name="Normal 12 3 9 4 2" xfId="38657"/>
    <cellStyle name="Normal 12 3 9 5" xfId="9630"/>
    <cellStyle name="Normal 12 3 9 5 2" xfId="32217"/>
    <cellStyle name="Normal 12 3 9 6" xfId="25777"/>
    <cellStyle name="Normal 12 4" xfId="236"/>
    <cellStyle name="Normal 12 4 10" xfId="523"/>
    <cellStyle name="Normal 12 4 10 2" xfId="3810"/>
    <cellStyle name="Normal 12 4 10 2 2" xfId="19910"/>
    <cellStyle name="Normal 12 4 10 2 2 2" xfId="42497"/>
    <cellStyle name="Normal 12 4 10 2 3" xfId="10250"/>
    <cellStyle name="Normal 12 4 10 2 3 2" xfId="32837"/>
    <cellStyle name="Normal 12 4 10 2 4" xfId="26397"/>
    <cellStyle name="Normal 12 4 10 3" xfId="16690"/>
    <cellStyle name="Normal 12 4 10 3 2" xfId="39277"/>
    <cellStyle name="Normal 12 4 10 4" xfId="13470"/>
    <cellStyle name="Normal 12 4 10 4 2" xfId="36057"/>
    <cellStyle name="Normal 12 4 10 5" xfId="7030"/>
    <cellStyle name="Normal 12 4 10 5 2" xfId="29617"/>
    <cellStyle name="Normal 12 4 10 6" xfId="23177"/>
    <cellStyle name="Normal 12 4 11" xfId="3524"/>
    <cellStyle name="Normal 12 4 11 2" xfId="19624"/>
    <cellStyle name="Normal 12 4 11 2 2" xfId="42211"/>
    <cellStyle name="Normal 12 4 11 3" xfId="9964"/>
    <cellStyle name="Normal 12 4 11 3 2" xfId="32551"/>
    <cellStyle name="Normal 12 4 11 4" xfId="26111"/>
    <cellStyle name="Normal 12 4 12" xfId="16404"/>
    <cellStyle name="Normal 12 4 12 2" xfId="38991"/>
    <cellStyle name="Normal 12 4 13" xfId="13184"/>
    <cellStyle name="Normal 12 4 13 2" xfId="35771"/>
    <cellStyle name="Normal 12 4 14" xfId="6744"/>
    <cellStyle name="Normal 12 4 14 2" xfId="29331"/>
    <cellStyle name="Normal 12 4 15" xfId="22891"/>
    <cellStyle name="Normal 12 4 2" xfId="334"/>
    <cellStyle name="Normal 12 4 2 10" xfId="13281"/>
    <cellStyle name="Normal 12 4 2 10 2" xfId="35868"/>
    <cellStyle name="Normal 12 4 2 11" xfId="6841"/>
    <cellStyle name="Normal 12 4 2 11 2" xfId="29428"/>
    <cellStyle name="Normal 12 4 2 12" xfId="22988"/>
    <cellStyle name="Normal 12 4 2 2" xfId="1046"/>
    <cellStyle name="Normal 12 4 2 2 2" xfId="2360"/>
    <cellStyle name="Normal 12 4 2 2 2 2" xfId="5581"/>
    <cellStyle name="Normal 12 4 2 2 2 2 2" xfId="21681"/>
    <cellStyle name="Normal 12 4 2 2 2 2 2 2" xfId="44268"/>
    <cellStyle name="Normal 12 4 2 2 2 2 3" xfId="12021"/>
    <cellStyle name="Normal 12 4 2 2 2 2 3 2" xfId="34608"/>
    <cellStyle name="Normal 12 4 2 2 2 2 4" xfId="28168"/>
    <cellStyle name="Normal 12 4 2 2 2 3" xfId="18461"/>
    <cellStyle name="Normal 12 4 2 2 2 3 2" xfId="41048"/>
    <cellStyle name="Normal 12 4 2 2 2 4" xfId="15241"/>
    <cellStyle name="Normal 12 4 2 2 2 4 2" xfId="37828"/>
    <cellStyle name="Normal 12 4 2 2 2 5" xfId="8801"/>
    <cellStyle name="Normal 12 4 2 2 2 5 2" xfId="31388"/>
    <cellStyle name="Normal 12 4 2 2 2 6" xfId="24948"/>
    <cellStyle name="Normal 12 4 2 2 3" xfId="4273"/>
    <cellStyle name="Normal 12 4 2 2 3 2" xfId="20373"/>
    <cellStyle name="Normal 12 4 2 2 3 2 2" xfId="42960"/>
    <cellStyle name="Normal 12 4 2 2 3 3" xfId="10713"/>
    <cellStyle name="Normal 12 4 2 2 3 3 2" xfId="33300"/>
    <cellStyle name="Normal 12 4 2 2 3 4" xfId="26860"/>
    <cellStyle name="Normal 12 4 2 2 4" xfId="17153"/>
    <cellStyle name="Normal 12 4 2 2 4 2" xfId="39740"/>
    <cellStyle name="Normal 12 4 2 2 5" xfId="13933"/>
    <cellStyle name="Normal 12 4 2 2 5 2" xfId="36520"/>
    <cellStyle name="Normal 12 4 2 2 6" xfId="7493"/>
    <cellStyle name="Normal 12 4 2 2 6 2" xfId="30080"/>
    <cellStyle name="Normal 12 4 2 2 7" xfId="23640"/>
    <cellStyle name="Normal 12 4 2 3" xfId="1393"/>
    <cellStyle name="Normal 12 4 2 3 2" xfId="2707"/>
    <cellStyle name="Normal 12 4 2 3 2 2" xfId="5928"/>
    <cellStyle name="Normal 12 4 2 3 2 2 2" xfId="22028"/>
    <cellStyle name="Normal 12 4 2 3 2 2 2 2" xfId="44615"/>
    <cellStyle name="Normal 12 4 2 3 2 2 3" xfId="12368"/>
    <cellStyle name="Normal 12 4 2 3 2 2 3 2" xfId="34955"/>
    <cellStyle name="Normal 12 4 2 3 2 2 4" xfId="28515"/>
    <cellStyle name="Normal 12 4 2 3 2 3" xfId="18808"/>
    <cellStyle name="Normal 12 4 2 3 2 3 2" xfId="41395"/>
    <cellStyle name="Normal 12 4 2 3 2 4" xfId="15588"/>
    <cellStyle name="Normal 12 4 2 3 2 4 2" xfId="38175"/>
    <cellStyle name="Normal 12 4 2 3 2 5" xfId="9148"/>
    <cellStyle name="Normal 12 4 2 3 2 5 2" xfId="31735"/>
    <cellStyle name="Normal 12 4 2 3 2 6" xfId="25295"/>
    <cellStyle name="Normal 12 4 2 3 3" xfId="4620"/>
    <cellStyle name="Normal 12 4 2 3 3 2" xfId="20720"/>
    <cellStyle name="Normal 12 4 2 3 3 2 2" xfId="43307"/>
    <cellStyle name="Normal 12 4 2 3 3 3" xfId="11060"/>
    <cellStyle name="Normal 12 4 2 3 3 3 2" xfId="33647"/>
    <cellStyle name="Normal 12 4 2 3 3 4" xfId="27207"/>
    <cellStyle name="Normal 12 4 2 3 4" xfId="17500"/>
    <cellStyle name="Normal 12 4 2 3 4 2" xfId="40087"/>
    <cellStyle name="Normal 12 4 2 3 5" xfId="14280"/>
    <cellStyle name="Normal 12 4 2 3 5 2" xfId="36867"/>
    <cellStyle name="Normal 12 4 2 3 6" xfId="7840"/>
    <cellStyle name="Normal 12 4 2 3 6 2" xfId="30427"/>
    <cellStyle name="Normal 12 4 2 3 7" xfId="23987"/>
    <cellStyle name="Normal 12 4 2 4" xfId="2012"/>
    <cellStyle name="Normal 12 4 2 4 2" xfId="5234"/>
    <cellStyle name="Normal 12 4 2 4 2 2" xfId="21334"/>
    <cellStyle name="Normal 12 4 2 4 2 2 2" xfId="43921"/>
    <cellStyle name="Normal 12 4 2 4 2 3" xfId="11674"/>
    <cellStyle name="Normal 12 4 2 4 2 3 2" xfId="34261"/>
    <cellStyle name="Normal 12 4 2 4 2 4" xfId="27821"/>
    <cellStyle name="Normal 12 4 2 4 3" xfId="18114"/>
    <cellStyle name="Normal 12 4 2 4 3 2" xfId="40701"/>
    <cellStyle name="Normal 12 4 2 4 4" xfId="14894"/>
    <cellStyle name="Normal 12 4 2 4 4 2" xfId="37481"/>
    <cellStyle name="Normal 12 4 2 4 5" xfId="8454"/>
    <cellStyle name="Normal 12 4 2 4 5 2" xfId="31041"/>
    <cellStyle name="Normal 12 4 2 4 6" xfId="24601"/>
    <cellStyle name="Normal 12 4 2 5" xfId="3041"/>
    <cellStyle name="Normal 12 4 2 5 2" xfId="6261"/>
    <cellStyle name="Normal 12 4 2 5 2 2" xfId="22361"/>
    <cellStyle name="Normal 12 4 2 5 2 2 2" xfId="44948"/>
    <cellStyle name="Normal 12 4 2 5 2 3" xfId="12701"/>
    <cellStyle name="Normal 12 4 2 5 2 3 2" xfId="35288"/>
    <cellStyle name="Normal 12 4 2 5 2 4" xfId="28848"/>
    <cellStyle name="Normal 12 4 2 5 3" xfId="19141"/>
    <cellStyle name="Normal 12 4 2 5 3 2" xfId="41728"/>
    <cellStyle name="Normal 12 4 2 5 4" xfId="15921"/>
    <cellStyle name="Normal 12 4 2 5 4 2" xfId="38508"/>
    <cellStyle name="Normal 12 4 2 5 5" xfId="9481"/>
    <cellStyle name="Normal 12 4 2 5 5 2" xfId="32068"/>
    <cellStyle name="Normal 12 4 2 5 6" xfId="25628"/>
    <cellStyle name="Normal 12 4 2 6" xfId="3331"/>
    <cellStyle name="Normal 12 4 2 6 2" xfId="6551"/>
    <cellStyle name="Normal 12 4 2 6 2 2" xfId="22651"/>
    <cellStyle name="Normal 12 4 2 6 2 2 2" xfId="45238"/>
    <cellStyle name="Normal 12 4 2 6 2 3" xfId="12991"/>
    <cellStyle name="Normal 12 4 2 6 2 3 2" xfId="35578"/>
    <cellStyle name="Normal 12 4 2 6 2 4" xfId="29138"/>
    <cellStyle name="Normal 12 4 2 6 3" xfId="19431"/>
    <cellStyle name="Normal 12 4 2 6 3 2" xfId="42018"/>
    <cellStyle name="Normal 12 4 2 6 4" xfId="16211"/>
    <cellStyle name="Normal 12 4 2 6 4 2" xfId="38798"/>
    <cellStyle name="Normal 12 4 2 6 5" xfId="9771"/>
    <cellStyle name="Normal 12 4 2 6 5 2" xfId="32358"/>
    <cellStyle name="Normal 12 4 2 6 6" xfId="25918"/>
    <cellStyle name="Normal 12 4 2 7" xfId="682"/>
    <cellStyle name="Normal 12 4 2 7 2" xfId="3926"/>
    <cellStyle name="Normal 12 4 2 7 2 2" xfId="20026"/>
    <cellStyle name="Normal 12 4 2 7 2 2 2" xfId="42613"/>
    <cellStyle name="Normal 12 4 2 7 2 3" xfId="10366"/>
    <cellStyle name="Normal 12 4 2 7 2 3 2" xfId="32953"/>
    <cellStyle name="Normal 12 4 2 7 2 4" xfId="26513"/>
    <cellStyle name="Normal 12 4 2 7 3" xfId="16806"/>
    <cellStyle name="Normal 12 4 2 7 3 2" xfId="39393"/>
    <cellStyle name="Normal 12 4 2 7 4" xfId="13586"/>
    <cellStyle name="Normal 12 4 2 7 4 2" xfId="36173"/>
    <cellStyle name="Normal 12 4 2 7 5" xfId="7146"/>
    <cellStyle name="Normal 12 4 2 7 5 2" xfId="29733"/>
    <cellStyle name="Normal 12 4 2 7 6" xfId="23293"/>
    <cellStyle name="Normal 12 4 2 8" xfId="3621"/>
    <cellStyle name="Normal 12 4 2 8 2" xfId="19721"/>
    <cellStyle name="Normal 12 4 2 8 2 2" xfId="42308"/>
    <cellStyle name="Normal 12 4 2 8 3" xfId="10061"/>
    <cellStyle name="Normal 12 4 2 8 3 2" xfId="32648"/>
    <cellStyle name="Normal 12 4 2 8 4" xfId="26208"/>
    <cellStyle name="Normal 12 4 2 9" xfId="16501"/>
    <cellStyle name="Normal 12 4 2 9 2" xfId="39088"/>
    <cellStyle name="Normal 12 4 3" xfId="430"/>
    <cellStyle name="Normal 12 4 3 10" xfId="13377"/>
    <cellStyle name="Normal 12 4 3 10 2" xfId="35964"/>
    <cellStyle name="Normal 12 4 3 11" xfId="6937"/>
    <cellStyle name="Normal 12 4 3 11 2" xfId="29524"/>
    <cellStyle name="Normal 12 4 3 12" xfId="23084"/>
    <cellStyle name="Normal 12 4 3 2" xfId="1130"/>
    <cellStyle name="Normal 12 4 3 2 2" xfId="2444"/>
    <cellStyle name="Normal 12 4 3 2 2 2" xfId="5665"/>
    <cellStyle name="Normal 12 4 3 2 2 2 2" xfId="21765"/>
    <cellStyle name="Normal 12 4 3 2 2 2 2 2" xfId="44352"/>
    <cellStyle name="Normal 12 4 3 2 2 2 3" xfId="12105"/>
    <cellStyle name="Normal 12 4 3 2 2 2 3 2" xfId="34692"/>
    <cellStyle name="Normal 12 4 3 2 2 2 4" xfId="28252"/>
    <cellStyle name="Normal 12 4 3 2 2 3" xfId="18545"/>
    <cellStyle name="Normal 12 4 3 2 2 3 2" xfId="41132"/>
    <cellStyle name="Normal 12 4 3 2 2 4" xfId="15325"/>
    <cellStyle name="Normal 12 4 3 2 2 4 2" xfId="37912"/>
    <cellStyle name="Normal 12 4 3 2 2 5" xfId="8885"/>
    <cellStyle name="Normal 12 4 3 2 2 5 2" xfId="31472"/>
    <cellStyle name="Normal 12 4 3 2 2 6" xfId="25032"/>
    <cellStyle name="Normal 12 4 3 2 3" xfId="4357"/>
    <cellStyle name="Normal 12 4 3 2 3 2" xfId="20457"/>
    <cellStyle name="Normal 12 4 3 2 3 2 2" xfId="43044"/>
    <cellStyle name="Normal 12 4 3 2 3 3" xfId="10797"/>
    <cellStyle name="Normal 12 4 3 2 3 3 2" xfId="33384"/>
    <cellStyle name="Normal 12 4 3 2 3 4" xfId="26944"/>
    <cellStyle name="Normal 12 4 3 2 4" xfId="17237"/>
    <cellStyle name="Normal 12 4 3 2 4 2" xfId="39824"/>
    <cellStyle name="Normal 12 4 3 2 5" xfId="14017"/>
    <cellStyle name="Normal 12 4 3 2 5 2" xfId="36604"/>
    <cellStyle name="Normal 12 4 3 2 6" xfId="7577"/>
    <cellStyle name="Normal 12 4 3 2 6 2" xfId="30164"/>
    <cellStyle name="Normal 12 4 3 2 7" xfId="23724"/>
    <cellStyle name="Normal 12 4 3 3" xfId="1477"/>
    <cellStyle name="Normal 12 4 3 3 2" xfId="2791"/>
    <cellStyle name="Normal 12 4 3 3 2 2" xfId="6012"/>
    <cellStyle name="Normal 12 4 3 3 2 2 2" xfId="22112"/>
    <cellStyle name="Normal 12 4 3 3 2 2 2 2" xfId="44699"/>
    <cellStyle name="Normal 12 4 3 3 2 2 3" xfId="12452"/>
    <cellStyle name="Normal 12 4 3 3 2 2 3 2" xfId="35039"/>
    <cellStyle name="Normal 12 4 3 3 2 2 4" xfId="28599"/>
    <cellStyle name="Normal 12 4 3 3 2 3" xfId="18892"/>
    <cellStyle name="Normal 12 4 3 3 2 3 2" xfId="41479"/>
    <cellStyle name="Normal 12 4 3 3 2 4" xfId="15672"/>
    <cellStyle name="Normal 12 4 3 3 2 4 2" xfId="38259"/>
    <cellStyle name="Normal 12 4 3 3 2 5" xfId="9232"/>
    <cellStyle name="Normal 12 4 3 3 2 5 2" xfId="31819"/>
    <cellStyle name="Normal 12 4 3 3 2 6" xfId="25379"/>
    <cellStyle name="Normal 12 4 3 3 3" xfId="4704"/>
    <cellStyle name="Normal 12 4 3 3 3 2" xfId="20804"/>
    <cellStyle name="Normal 12 4 3 3 3 2 2" xfId="43391"/>
    <cellStyle name="Normal 12 4 3 3 3 3" xfId="11144"/>
    <cellStyle name="Normal 12 4 3 3 3 3 2" xfId="33731"/>
    <cellStyle name="Normal 12 4 3 3 3 4" xfId="27291"/>
    <cellStyle name="Normal 12 4 3 3 4" xfId="17584"/>
    <cellStyle name="Normal 12 4 3 3 4 2" xfId="40171"/>
    <cellStyle name="Normal 12 4 3 3 5" xfId="14364"/>
    <cellStyle name="Normal 12 4 3 3 5 2" xfId="36951"/>
    <cellStyle name="Normal 12 4 3 3 6" xfId="7924"/>
    <cellStyle name="Normal 12 4 3 3 6 2" xfId="30511"/>
    <cellStyle name="Normal 12 4 3 3 7" xfId="24071"/>
    <cellStyle name="Normal 12 4 3 4" xfId="2097"/>
    <cellStyle name="Normal 12 4 3 4 2" xfId="5318"/>
    <cellStyle name="Normal 12 4 3 4 2 2" xfId="21418"/>
    <cellStyle name="Normal 12 4 3 4 2 2 2" xfId="44005"/>
    <cellStyle name="Normal 12 4 3 4 2 3" xfId="11758"/>
    <cellStyle name="Normal 12 4 3 4 2 3 2" xfId="34345"/>
    <cellStyle name="Normal 12 4 3 4 2 4" xfId="27905"/>
    <cellStyle name="Normal 12 4 3 4 3" xfId="18198"/>
    <cellStyle name="Normal 12 4 3 4 3 2" xfId="40785"/>
    <cellStyle name="Normal 12 4 3 4 4" xfId="14978"/>
    <cellStyle name="Normal 12 4 3 4 4 2" xfId="37565"/>
    <cellStyle name="Normal 12 4 3 4 5" xfId="8538"/>
    <cellStyle name="Normal 12 4 3 4 5 2" xfId="31125"/>
    <cellStyle name="Normal 12 4 3 4 6" xfId="24685"/>
    <cellStyle name="Normal 12 4 3 5" xfId="3137"/>
    <cellStyle name="Normal 12 4 3 5 2" xfId="6357"/>
    <cellStyle name="Normal 12 4 3 5 2 2" xfId="22457"/>
    <cellStyle name="Normal 12 4 3 5 2 2 2" xfId="45044"/>
    <cellStyle name="Normal 12 4 3 5 2 3" xfId="12797"/>
    <cellStyle name="Normal 12 4 3 5 2 3 2" xfId="35384"/>
    <cellStyle name="Normal 12 4 3 5 2 4" xfId="28944"/>
    <cellStyle name="Normal 12 4 3 5 3" xfId="19237"/>
    <cellStyle name="Normal 12 4 3 5 3 2" xfId="41824"/>
    <cellStyle name="Normal 12 4 3 5 4" xfId="16017"/>
    <cellStyle name="Normal 12 4 3 5 4 2" xfId="38604"/>
    <cellStyle name="Normal 12 4 3 5 5" xfId="9577"/>
    <cellStyle name="Normal 12 4 3 5 5 2" xfId="32164"/>
    <cellStyle name="Normal 12 4 3 5 6" xfId="25724"/>
    <cellStyle name="Normal 12 4 3 6" xfId="3427"/>
    <cellStyle name="Normal 12 4 3 6 2" xfId="6647"/>
    <cellStyle name="Normal 12 4 3 6 2 2" xfId="22747"/>
    <cellStyle name="Normal 12 4 3 6 2 2 2" xfId="45334"/>
    <cellStyle name="Normal 12 4 3 6 2 3" xfId="13087"/>
    <cellStyle name="Normal 12 4 3 6 2 3 2" xfId="35674"/>
    <cellStyle name="Normal 12 4 3 6 2 4" xfId="29234"/>
    <cellStyle name="Normal 12 4 3 6 3" xfId="19527"/>
    <cellStyle name="Normal 12 4 3 6 3 2" xfId="42114"/>
    <cellStyle name="Normal 12 4 3 6 4" xfId="16307"/>
    <cellStyle name="Normal 12 4 3 6 4 2" xfId="38894"/>
    <cellStyle name="Normal 12 4 3 6 5" xfId="9867"/>
    <cellStyle name="Normal 12 4 3 6 5 2" xfId="32454"/>
    <cellStyle name="Normal 12 4 3 6 6" xfId="26014"/>
    <cellStyle name="Normal 12 4 3 7" xfId="778"/>
    <cellStyle name="Normal 12 4 3 7 2" xfId="4010"/>
    <cellStyle name="Normal 12 4 3 7 2 2" xfId="20110"/>
    <cellStyle name="Normal 12 4 3 7 2 2 2" xfId="42697"/>
    <cellStyle name="Normal 12 4 3 7 2 3" xfId="10450"/>
    <cellStyle name="Normal 12 4 3 7 2 3 2" xfId="33037"/>
    <cellStyle name="Normal 12 4 3 7 2 4" xfId="26597"/>
    <cellStyle name="Normal 12 4 3 7 3" xfId="16890"/>
    <cellStyle name="Normal 12 4 3 7 3 2" xfId="39477"/>
    <cellStyle name="Normal 12 4 3 7 4" xfId="13670"/>
    <cellStyle name="Normal 12 4 3 7 4 2" xfId="36257"/>
    <cellStyle name="Normal 12 4 3 7 5" xfId="7230"/>
    <cellStyle name="Normal 12 4 3 7 5 2" xfId="29817"/>
    <cellStyle name="Normal 12 4 3 7 6" xfId="23377"/>
    <cellStyle name="Normal 12 4 3 8" xfId="3717"/>
    <cellStyle name="Normal 12 4 3 8 2" xfId="19817"/>
    <cellStyle name="Normal 12 4 3 8 2 2" xfId="42404"/>
    <cellStyle name="Normal 12 4 3 8 3" xfId="10157"/>
    <cellStyle name="Normal 12 4 3 8 3 2" xfId="32744"/>
    <cellStyle name="Normal 12 4 3 8 4" xfId="26304"/>
    <cellStyle name="Normal 12 4 3 9" xfId="16597"/>
    <cellStyle name="Normal 12 4 3 9 2" xfId="39184"/>
    <cellStyle name="Normal 12 4 4" xfId="925"/>
    <cellStyle name="Normal 12 4 4 2" xfId="2244"/>
    <cellStyle name="Normal 12 4 4 2 2" xfId="5465"/>
    <cellStyle name="Normal 12 4 4 2 2 2" xfId="21565"/>
    <cellStyle name="Normal 12 4 4 2 2 2 2" xfId="44152"/>
    <cellStyle name="Normal 12 4 4 2 2 3" xfId="11905"/>
    <cellStyle name="Normal 12 4 4 2 2 3 2" xfId="34492"/>
    <cellStyle name="Normal 12 4 4 2 2 4" xfId="28052"/>
    <cellStyle name="Normal 12 4 4 2 3" xfId="18345"/>
    <cellStyle name="Normal 12 4 4 2 3 2" xfId="40932"/>
    <cellStyle name="Normal 12 4 4 2 4" xfId="15125"/>
    <cellStyle name="Normal 12 4 4 2 4 2" xfId="37712"/>
    <cellStyle name="Normal 12 4 4 2 5" xfId="8685"/>
    <cellStyle name="Normal 12 4 4 2 5 2" xfId="31272"/>
    <cellStyle name="Normal 12 4 4 2 6" xfId="24832"/>
    <cellStyle name="Normal 12 4 4 3" xfId="4157"/>
    <cellStyle name="Normal 12 4 4 3 2" xfId="20257"/>
    <cellStyle name="Normal 12 4 4 3 2 2" xfId="42844"/>
    <cellStyle name="Normal 12 4 4 3 3" xfId="10597"/>
    <cellStyle name="Normal 12 4 4 3 3 2" xfId="33184"/>
    <cellStyle name="Normal 12 4 4 3 4" xfId="26744"/>
    <cellStyle name="Normal 12 4 4 4" xfId="17037"/>
    <cellStyle name="Normal 12 4 4 4 2" xfId="39624"/>
    <cellStyle name="Normal 12 4 4 5" xfId="13817"/>
    <cellStyle name="Normal 12 4 4 5 2" xfId="36404"/>
    <cellStyle name="Normal 12 4 4 6" xfId="7377"/>
    <cellStyle name="Normal 12 4 4 6 2" xfId="29964"/>
    <cellStyle name="Normal 12 4 4 7" xfId="23524"/>
    <cellStyle name="Normal 12 4 5" xfId="1277"/>
    <cellStyle name="Normal 12 4 5 2" xfId="2591"/>
    <cellStyle name="Normal 12 4 5 2 2" xfId="5812"/>
    <cellStyle name="Normal 12 4 5 2 2 2" xfId="21912"/>
    <cellStyle name="Normal 12 4 5 2 2 2 2" xfId="44499"/>
    <cellStyle name="Normal 12 4 5 2 2 3" xfId="12252"/>
    <cellStyle name="Normal 12 4 5 2 2 3 2" xfId="34839"/>
    <cellStyle name="Normal 12 4 5 2 2 4" xfId="28399"/>
    <cellStyle name="Normal 12 4 5 2 3" xfId="18692"/>
    <cellStyle name="Normal 12 4 5 2 3 2" xfId="41279"/>
    <cellStyle name="Normal 12 4 5 2 4" xfId="15472"/>
    <cellStyle name="Normal 12 4 5 2 4 2" xfId="38059"/>
    <cellStyle name="Normal 12 4 5 2 5" xfId="9032"/>
    <cellStyle name="Normal 12 4 5 2 5 2" xfId="31619"/>
    <cellStyle name="Normal 12 4 5 2 6" xfId="25179"/>
    <cellStyle name="Normal 12 4 5 3" xfId="4504"/>
    <cellStyle name="Normal 12 4 5 3 2" xfId="20604"/>
    <cellStyle name="Normal 12 4 5 3 2 2" xfId="43191"/>
    <cellStyle name="Normal 12 4 5 3 3" xfId="10944"/>
    <cellStyle name="Normal 12 4 5 3 3 2" xfId="33531"/>
    <cellStyle name="Normal 12 4 5 3 4" xfId="27091"/>
    <cellStyle name="Normal 12 4 5 4" xfId="17384"/>
    <cellStyle name="Normal 12 4 5 4 2" xfId="39971"/>
    <cellStyle name="Normal 12 4 5 5" xfId="14164"/>
    <cellStyle name="Normal 12 4 5 5 2" xfId="36751"/>
    <cellStyle name="Normal 12 4 5 6" xfId="7724"/>
    <cellStyle name="Normal 12 4 5 6 2" xfId="30311"/>
    <cellStyle name="Normal 12 4 5 7" xfId="23871"/>
    <cellStyle name="Normal 12 4 6" xfId="1559"/>
    <cellStyle name="Normal 12 4 6 2" xfId="4785"/>
    <cellStyle name="Normal 12 4 6 2 2" xfId="20885"/>
    <cellStyle name="Normal 12 4 6 2 2 2" xfId="43472"/>
    <cellStyle name="Normal 12 4 6 2 3" xfId="11225"/>
    <cellStyle name="Normal 12 4 6 2 3 2" xfId="33812"/>
    <cellStyle name="Normal 12 4 6 2 4" xfId="27372"/>
    <cellStyle name="Normal 12 4 6 3" xfId="17665"/>
    <cellStyle name="Normal 12 4 6 3 2" xfId="40252"/>
    <cellStyle name="Normal 12 4 6 4" xfId="14445"/>
    <cellStyle name="Normal 12 4 6 4 2" xfId="37032"/>
    <cellStyle name="Normal 12 4 6 5" xfId="8005"/>
    <cellStyle name="Normal 12 4 6 5 2" xfId="30592"/>
    <cellStyle name="Normal 12 4 6 6" xfId="24152"/>
    <cellStyle name="Normal 12 4 7" xfId="1896"/>
    <cellStyle name="Normal 12 4 7 2" xfId="5118"/>
    <cellStyle name="Normal 12 4 7 2 2" xfId="21218"/>
    <cellStyle name="Normal 12 4 7 2 2 2" xfId="43805"/>
    <cellStyle name="Normal 12 4 7 2 3" xfId="11558"/>
    <cellStyle name="Normal 12 4 7 2 3 2" xfId="34145"/>
    <cellStyle name="Normal 12 4 7 2 4" xfId="27705"/>
    <cellStyle name="Normal 12 4 7 3" xfId="17998"/>
    <cellStyle name="Normal 12 4 7 3 2" xfId="40585"/>
    <cellStyle name="Normal 12 4 7 4" xfId="14778"/>
    <cellStyle name="Normal 12 4 7 4 2" xfId="37365"/>
    <cellStyle name="Normal 12 4 7 5" xfId="8338"/>
    <cellStyle name="Normal 12 4 7 5 2" xfId="30925"/>
    <cellStyle name="Normal 12 4 7 6" xfId="24485"/>
    <cellStyle name="Normal 12 4 8" xfId="2943"/>
    <cellStyle name="Normal 12 4 8 2" xfId="6164"/>
    <cellStyle name="Normal 12 4 8 2 2" xfId="22264"/>
    <cellStyle name="Normal 12 4 8 2 2 2" xfId="44851"/>
    <cellStyle name="Normal 12 4 8 2 3" xfId="12604"/>
    <cellStyle name="Normal 12 4 8 2 3 2" xfId="35191"/>
    <cellStyle name="Normal 12 4 8 2 4" xfId="28751"/>
    <cellStyle name="Normal 12 4 8 3" xfId="19044"/>
    <cellStyle name="Normal 12 4 8 3 2" xfId="41631"/>
    <cellStyle name="Normal 12 4 8 4" xfId="15824"/>
    <cellStyle name="Normal 12 4 8 4 2" xfId="38411"/>
    <cellStyle name="Normal 12 4 8 5" xfId="9384"/>
    <cellStyle name="Normal 12 4 8 5 2" xfId="31971"/>
    <cellStyle name="Normal 12 4 8 6" xfId="25531"/>
    <cellStyle name="Normal 12 4 9" xfId="3234"/>
    <cellStyle name="Normal 12 4 9 2" xfId="6454"/>
    <cellStyle name="Normal 12 4 9 2 2" xfId="22554"/>
    <cellStyle name="Normal 12 4 9 2 2 2" xfId="45141"/>
    <cellStyle name="Normal 12 4 9 2 3" xfId="12894"/>
    <cellStyle name="Normal 12 4 9 2 3 2" xfId="35481"/>
    <cellStyle name="Normal 12 4 9 2 4" xfId="29041"/>
    <cellStyle name="Normal 12 4 9 3" xfId="19334"/>
    <cellStyle name="Normal 12 4 9 3 2" xfId="41921"/>
    <cellStyle name="Normal 12 4 9 4" xfId="16114"/>
    <cellStyle name="Normal 12 4 9 4 2" xfId="38701"/>
    <cellStyle name="Normal 12 4 9 5" xfId="9674"/>
    <cellStyle name="Normal 12 4 9 5 2" xfId="32261"/>
    <cellStyle name="Normal 12 4 9 6" xfId="25821"/>
    <cellStyle name="Normal 12 5" xfId="254"/>
    <cellStyle name="Normal 12 5 2" xfId="975"/>
    <cellStyle name="Normal 12 5 2 2" xfId="2293"/>
    <cellStyle name="Normal 12 5 2 2 2" xfId="5514"/>
    <cellStyle name="Normal 12 5 2 2 2 2" xfId="21614"/>
    <cellStyle name="Normal 12 5 2 2 2 2 2" xfId="44201"/>
    <cellStyle name="Normal 12 5 2 2 2 3" xfId="11954"/>
    <cellStyle name="Normal 12 5 2 2 2 3 2" xfId="34541"/>
    <cellStyle name="Normal 12 5 2 2 2 4" xfId="28101"/>
    <cellStyle name="Normal 12 5 2 2 3" xfId="18394"/>
    <cellStyle name="Normal 12 5 2 2 3 2" xfId="40981"/>
    <cellStyle name="Normal 12 5 2 2 4" xfId="15174"/>
    <cellStyle name="Normal 12 5 2 2 4 2" xfId="37761"/>
    <cellStyle name="Normal 12 5 2 2 5" xfId="8734"/>
    <cellStyle name="Normal 12 5 2 2 5 2" xfId="31321"/>
    <cellStyle name="Normal 12 5 2 2 6" xfId="24881"/>
    <cellStyle name="Normal 12 5 2 3" xfId="4206"/>
    <cellStyle name="Normal 12 5 2 3 2" xfId="20306"/>
    <cellStyle name="Normal 12 5 2 3 2 2" xfId="42893"/>
    <cellStyle name="Normal 12 5 2 3 3" xfId="10646"/>
    <cellStyle name="Normal 12 5 2 3 3 2" xfId="33233"/>
    <cellStyle name="Normal 12 5 2 3 4" xfId="26793"/>
    <cellStyle name="Normal 12 5 2 4" xfId="17086"/>
    <cellStyle name="Normal 12 5 2 4 2" xfId="39673"/>
    <cellStyle name="Normal 12 5 2 5" xfId="13866"/>
    <cellStyle name="Normal 12 5 2 5 2" xfId="36453"/>
    <cellStyle name="Normal 12 5 2 6" xfId="7426"/>
    <cellStyle name="Normal 12 5 2 6 2" xfId="30013"/>
    <cellStyle name="Normal 12 5 2 7" xfId="23573"/>
    <cellStyle name="Normal 12 5 3" xfId="1326"/>
    <cellStyle name="Normal 12 5 3 2" xfId="2640"/>
    <cellStyle name="Normal 12 5 3 2 2" xfId="5861"/>
    <cellStyle name="Normal 12 5 3 2 2 2" xfId="21961"/>
    <cellStyle name="Normal 12 5 3 2 2 2 2" xfId="44548"/>
    <cellStyle name="Normal 12 5 3 2 2 3" xfId="12301"/>
    <cellStyle name="Normal 12 5 3 2 2 3 2" xfId="34888"/>
    <cellStyle name="Normal 12 5 3 2 2 4" xfId="28448"/>
    <cellStyle name="Normal 12 5 3 2 3" xfId="18741"/>
    <cellStyle name="Normal 12 5 3 2 3 2" xfId="41328"/>
    <cellStyle name="Normal 12 5 3 2 4" xfId="15521"/>
    <cellStyle name="Normal 12 5 3 2 4 2" xfId="38108"/>
    <cellStyle name="Normal 12 5 3 2 5" xfId="9081"/>
    <cellStyle name="Normal 12 5 3 2 5 2" xfId="31668"/>
    <cellStyle name="Normal 12 5 3 2 6" xfId="25228"/>
    <cellStyle name="Normal 12 5 3 3" xfId="4553"/>
    <cellStyle name="Normal 12 5 3 3 2" xfId="20653"/>
    <cellStyle name="Normal 12 5 3 3 2 2" xfId="43240"/>
    <cellStyle name="Normal 12 5 3 3 3" xfId="10993"/>
    <cellStyle name="Normal 12 5 3 3 3 2" xfId="33580"/>
    <cellStyle name="Normal 12 5 3 3 4" xfId="27140"/>
    <cellStyle name="Normal 12 5 3 4" xfId="17433"/>
    <cellStyle name="Normal 12 5 3 4 2" xfId="40020"/>
    <cellStyle name="Normal 12 5 3 5" xfId="14213"/>
    <cellStyle name="Normal 12 5 3 5 2" xfId="36800"/>
    <cellStyle name="Normal 12 5 3 6" xfId="7773"/>
    <cellStyle name="Normal 12 5 3 6 2" xfId="30360"/>
    <cellStyle name="Normal 12 5 3 7" xfId="23920"/>
    <cellStyle name="Normal 12 5 4" xfId="1560"/>
    <cellStyle name="Normal 12 5 4 2" xfId="4786"/>
    <cellStyle name="Normal 12 5 4 2 2" xfId="20886"/>
    <cellStyle name="Normal 12 5 4 2 2 2" xfId="43473"/>
    <cellStyle name="Normal 12 5 4 2 3" xfId="11226"/>
    <cellStyle name="Normal 12 5 4 2 3 2" xfId="33813"/>
    <cellStyle name="Normal 12 5 4 2 4" xfId="27373"/>
    <cellStyle name="Normal 12 5 4 3" xfId="17666"/>
    <cellStyle name="Normal 12 5 4 3 2" xfId="40253"/>
    <cellStyle name="Normal 12 5 4 4" xfId="14446"/>
    <cellStyle name="Normal 12 5 4 4 2" xfId="37033"/>
    <cellStyle name="Normal 12 5 4 5" xfId="8006"/>
    <cellStyle name="Normal 12 5 4 5 2" xfId="30593"/>
    <cellStyle name="Normal 12 5 4 6" xfId="24153"/>
    <cellStyle name="Normal 12 5 5" xfId="1945"/>
    <cellStyle name="Normal 12 5 5 2" xfId="5167"/>
    <cellStyle name="Normal 12 5 5 2 2" xfId="21267"/>
    <cellStyle name="Normal 12 5 5 2 2 2" xfId="43854"/>
    <cellStyle name="Normal 12 5 5 2 3" xfId="11607"/>
    <cellStyle name="Normal 12 5 5 2 3 2" xfId="34194"/>
    <cellStyle name="Normal 12 5 5 2 4" xfId="27754"/>
    <cellStyle name="Normal 12 5 5 3" xfId="18047"/>
    <cellStyle name="Normal 12 5 5 3 2" xfId="40634"/>
    <cellStyle name="Normal 12 5 5 4" xfId="14827"/>
    <cellStyle name="Normal 12 5 5 4 2" xfId="37414"/>
    <cellStyle name="Normal 12 5 5 5" xfId="8387"/>
    <cellStyle name="Normal 12 5 5 5 2" xfId="30974"/>
    <cellStyle name="Normal 12 5 5 6" xfId="24534"/>
    <cellStyle name="Normal 12 5 6" xfId="2961"/>
    <cellStyle name="Normal 12 5 7" xfId="590"/>
    <cellStyle name="Normal 12 5 7 2" xfId="3859"/>
    <cellStyle name="Normal 12 5 7 2 2" xfId="19959"/>
    <cellStyle name="Normal 12 5 7 2 2 2" xfId="42546"/>
    <cellStyle name="Normal 12 5 7 2 3" xfId="10299"/>
    <cellStyle name="Normal 12 5 7 2 3 2" xfId="32886"/>
    <cellStyle name="Normal 12 5 7 2 4" xfId="26446"/>
    <cellStyle name="Normal 12 5 7 3" xfId="16739"/>
    <cellStyle name="Normal 12 5 7 3 2" xfId="39326"/>
    <cellStyle name="Normal 12 5 7 4" xfId="13519"/>
    <cellStyle name="Normal 12 5 7 4 2" xfId="36106"/>
    <cellStyle name="Normal 12 5 7 5" xfId="7079"/>
    <cellStyle name="Normal 12 5 7 5 2" xfId="29666"/>
    <cellStyle name="Normal 12 5 7 6" xfId="23226"/>
    <cellStyle name="Normal 12 6" xfId="271"/>
    <cellStyle name="Normal 12 6 10" xfId="13218"/>
    <cellStyle name="Normal 12 6 10 2" xfId="35805"/>
    <cellStyle name="Normal 12 6 11" xfId="6778"/>
    <cellStyle name="Normal 12 6 11 2" xfId="29365"/>
    <cellStyle name="Normal 12 6 12" xfId="22925"/>
    <cellStyle name="Normal 12 6 2" xfId="1090"/>
    <cellStyle name="Normal 12 6 2 2" xfId="2404"/>
    <cellStyle name="Normal 12 6 2 2 2" xfId="5625"/>
    <cellStyle name="Normal 12 6 2 2 2 2" xfId="21725"/>
    <cellStyle name="Normal 12 6 2 2 2 2 2" xfId="44312"/>
    <cellStyle name="Normal 12 6 2 2 2 3" xfId="12065"/>
    <cellStyle name="Normal 12 6 2 2 2 3 2" xfId="34652"/>
    <cellStyle name="Normal 12 6 2 2 2 4" xfId="28212"/>
    <cellStyle name="Normal 12 6 2 2 3" xfId="18505"/>
    <cellStyle name="Normal 12 6 2 2 3 2" xfId="41092"/>
    <cellStyle name="Normal 12 6 2 2 4" xfId="15285"/>
    <cellStyle name="Normal 12 6 2 2 4 2" xfId="37872"/>
    <cellStyle name="Normal 12 6 2 2 5" xfId="8845"/>
    <cellStyle name="Normal 12 6 2 2 5 2" xfId="31432"/>
    <cellStyle name="Normal 12 6 2 2 6" xfId="24992"/>
    <cellStyle name="Normal 12 6 2 3" xfId="4317"/>
    <cellStyle name="Normal 12 6 2 3 2" xfId="20417"/>
    <cellStyle name="Normal 12 6 2 3 2 2" xfId="43004"/>
    <cellStyle name="Normal 12 6 2 3 3" xfId="10757"/>
    <cellStyle name="Normal 12 6 2 3 3 2" xfId="33344"/>
    <cellStyle name="Normal 12 6 2 3 4" xfId="26904"/>
    <cellStyle name="Normal 12 6 2 4" xfId="17197"/>
    <cellStyle name="Normal 12 6 2 4 2" xfId="39784"/>
    <cellStyle name="Normal 12 6 2 5" xfId="13977"/>
    <cellStyle name="Normal 12 6 2 5 2" xfId="36564"/>
    <cellStyle name="Normal 12 6 2 6" xfId="7537"/>
    <cellStyle name="Normal 12 6 2 6 2" xfId="30124"/>
    <cellStyle name="Normal 12 6 2 7" xfId="23684"/>
    <cellStyle name="Normal 12 6 3" xfId="1437"/>
    <cellStyle name="Normal 12 6 3 2" xfId="2751"/>
    <cellStyle name="Normal 12 6 3 2 2" xfId="5972"/>
    <cellStyle name="Normal 12 6 3 2 2 2" xfId="22072"/>
    <cellStyle name="Normal 12 6 3 2 2 2 2" xfId="44659"/>
    <cellStyle name="Normal 12 6 3 2 2 3" xfId="12412"/>
    <cellStyle name="Normal 12 6 3 2 2 3 2" xfId="34999"/>
    <cellStyle name="Normal 12 6 3 2 2 4" xfId="28559"/>
    <cellStyle name="Normal 12 6 3 2 3" xfId="18852"/>
    <cellStyle name="Normal 12 6 3 2 3 2" xfId="41439"/>
    <cellStyle name="Normal 12 6 3 2 4" xfId="15632"/>
    <cellStyle name="Normal 12 6 3 2 4 2" xfId="38219"/>
    <cellStyle name="Normal 12 6 3 2 5" xfId="9192"/>
    <cellStyle name="Normal 12 6 3 2 5 2" xfId="31779"/>
    <cellStyle name="Normal 12 6 3 2 6" xfId="25339"/>
    <cellStyle name="Normal 12 6 3 3" xfId="4664"/>
    <cellStyle name="Normal 12 6 3 3 2" xfId="20764"/>
    <cellStyle name="Normal 12 6 3 3 2 2" xfId="43351"/>
    <cellStyle name="Normal 12 6 3 3 3" xfId="11104"/>
    <cellStyle name="Normal 12 6 3 3 3 2" xfId="33691"/>
    <cellStyle name="Normal 12 6 3 3 4" xfId="27251"/>
    <cellStyle name="Normal 12 6 3 4" xfId="17544"/>
    <cellStyle name="Normal 12 6 3 4 2" xfId="40131"/>
    <cellStyle name="Normal 12 6 3 5" xfId="14324"/>
    <cellStyle name="Normal 12 6 3 5 2" xfId="36911"/>
    <cellStyle name="Normal 12 6 3 6" xfId="7884"/>
    <cellStyle name="Normal 12 6 3 6 2" xfId="30471"/>
    <cellStyle name="Normal 12 6 3 7" xfId="24031"/>
    <cellStyle name="Normal 12 6 4" xfId="2057"/>
    <cellStyle name="Normal 12 6 4 2" xfId="5278"/>
    <cellStyle name="Normal 12 6 4 2 2" xfId="21378"/>
    <cellStyle name="Normal 12 6 4 2 2 2" xfId="43965"/>
    <cellStyle name="Normal 12 6 4 2 3" xfId="11718"/>
    <cellStyle name="Normal 12 6 4 2 3 2" xfId="34305"/>
    <cellStyle name="Normal 12 6 4 2 4" xfId="27865"/>
    <cellStyle name="Normal 12 6 4 3" xfId="18158"/>
    <cellStyle name="Normal 12 6 4 3 2" xfId="40745"/>
    <cellStyle name="Normal 12 6 4 4" xfId="14938"/>
    <cellStyle name="Normal 12 6 4 4 2" xfId="37525"/>
    <cellStyle name="Normal 12 6 4 5" xfId="8498"/>
    <cellStyle name="Normal 12 6 4 5 2" xfId="31085"/>
    <cellStyle name="Normal 12 6 4 6" xfId="24645"/>
    <cellStyle name="Normal 12 6 5" xfId="2978"/>
    <cellStyle name="Normal 12 6 5 2" xfId="6198"/>
    <cellStyle name="Normal 12 6 5 2 2" xfId="22298"/>
    <cellStyle name="Normal 12 6 5 2 2 2" xfId="44885"/>
    <cellStyle name="Normal 12 6 5 2 3" xfId="12638"/>
    <cellStyle name="Normal 12 6 5 2 3 2" xfId="35225"/>
    <cellStyle name="Normal 12 6 5 2 4" xfId="28785"/>
    <cellStyle name="Normal 12 6 5 3" xfId="19078"/>
    <cellStyle name="Normal 12 6 5 3 2" xfId="41665"/>
    <cellStyle name="Normal 12 6 5 4" xfId="15858"/>
    <cellStyle name="Normal 12 6 5 4 2" xfId="38445"/>
    <cellStyle name="Normal 12 6 5 5" xfId="9418"/>
    <cellStyle name="Normal 12 6 5 5 2" xfId="32005"/>
    <cellStyle name="Normal 12 6 5 6" xfId="25565"/>
    <cellStyle name="Normal 12 6 6" xfId="3268"/>
    <cellStyle name="Normal 12 6 6 2" xfId="6488"/>
    <cellStyle name="Normal 12 6 6 2 2" xfId="22588"/>
    <cellStyle name="Normal 12 6 6 2 2 2" xfId="45175"/>
    <cellStyle name="Normal 12 6 6 2 3" xfId="12928"/>
    <cellStyle name="Normal 12 6 6 2 3 2" xfId="35515"/>
    <cellStyle name="Normal 12 6 6 2 4" xfId="29075"/>
    <cellStyle name="Normal 12 6 6 3" xfId="19368"/>
    <cellStyle name="Normal 12 6 6 3 2" xfId="41955"/>
    <cellStyle name="Normal 12 6 6 4" xfId="16148"/>
    <cellStyle name="Normal 12 6 6 4 2" xfId="38735"/>
    <cellStyle name="Normal 12 6 6 5" xfId="9708"/>
    <cellStyle name="Normal 12 6 6 5 2" xfId="32295"/>
    <cellStyle name="Normal 12 6 6 6" xfId="25855"/>
    <cellStyle name="Normal 12 6 7" xfId="738"/>
    <cellStyle name="Normal 12 6 7 2" xfId="3970"/>
    <cellStyle name="Normal 12 6 7 2 2" xfId="20070"/>
    <cellStyle name="Normal 12 6 7 2 2 2" xfId="42657"/>
    <cellStyle name="Normal 12 6 7 2 3" xfId="10410"/>
    <cellStyle name="Normal 12 6 7 2 3 2" xfId="32997"/>
    <cellStyle name="Normal 12 6 7 2 4" xfId="26557"/>
    <cellStyle name="Normal 12 6 7 3" xfId="16850"/>
    <cellStyle name="Normal 12 6 7 3 2" xfId="39437"/>
    <cellStyle name="Normal 12 6 7 4" xfId="13630"/>
    <cellStyle name="Normal 12 6 7 4 2" xfId="36217"/>
    <cellStyle name="Normal 12 6 7 5" xfId="7190"/>
    <cellStyle name="Normal 12 6 7 5 2" xfId="29777"/>
    <cellStyle name="Normal 12 6 7 6" xfId="23337"/>
    <cellStyle name="Normal 12 6 8" xfId="3558"/>
    <cellStyle name="Normal 12 6 8 2" xfId="19658"/>
    <cellStyle name="Normal 12 6 8 2 2" xfId="42245"/>
    <cellStyle name="Normal 12 6 8 3" xfId="9998"/>
    <cellStyle name="Normal 12 6 8 3 2" xfId="32585"/>
    <cellStyle name="Normal 12 6 8 4" xfId="26145"/>
    <cellStyle name="Normal 12 6 9" xfId="16438"/>
    <cellStyle name="Normal 12 6 9 2" xfId="39025"/>
    <cellStyle name="Normal 12 7" xfId="353"/>
    <cellStyle name="Normal 12 7 10" xfId="13300"/>
    <cellStyle name="Normal 12 7 10 2" xfId="35887"/>
    <cellStyle name="Normal 12 7 11" xfId="6860"/>
    <cellStyle name="Normal 12 7 11 2" xfId="29447"/>
    <cellStyle name="Normal 12 7 12" xfId="23007"/>
    <cellStyle name="Normal 12 7 2" xfId="1110"/>
    <cellStyle name="Normal 12 7 2 2" xfId="2424"/>
    <cellStyle name="Normal 12 7 2 2 2" xfId="5645"/>
    <cellStyle name="Normal 12 7 2 2 2 2" xfId="21745"/>
    <cellStyle name="Normal 12 7 2 2 2 2 2" xfId="44332"/>
    <cellStyle name="Normal 12 7 2 2 2 3" xfId="12085"/>
    <cellStyle name="Normal 12 7 2 2 2 3 2" xfId="34672"/>
    <cellStyle name="Normal 12 7 2 2 2 4" xfId="28232"/>
    <cellStyle name="Normal 12 7 2 2 3" xfId="18525"/>
    <cellStyle name="Normal 12 7 2 2 3 2" xfId="41112"/>
    <cellStyle name="Normal 12 7 2 2 4" xfId="15305"/>
    <cellStyle name="Normal 12 7 2 2 4 2" xfId="37892"/>
    <cellStyle name="Normal 12 7 2 2 5" xfId="8865"/>
    <cellStyle name="Normal 12 7 2 2 5 2" xfId="31452"/>
    <cellStyle name="Normal 12 7 2 2 6" xfId="25012"/>
    <cellStyle name="Normal 12 7 2 3" xfId="4337"/>
    <cellStyle name="Normal 12 7 2 3 2" xfId="20437"/>
    <cellStyle name="Normal 12 7 2 3 2 2" xfId="43024"/>
    <cellStyle name="Normal 12 7 2 3 3" xfId="10777"/>
    <cellStyle name="Normal 12 7 2 3 3 2" xfId="33364"/>
    <cellStyle name="Normal 12 7 2 3 4" xfId="26924"/>
    <cellStyle name="Normal 12 7 2 4" xfId="17217"/>
    <cellStyle name="Normal 12 7 2 4 2" xfId="39804"/>
    <cellStyle name="Normal 12 7 2 5" xfId="13997"/>
    <cellStyle name="Normal 12 7 2 5 2" xfId="36584"/>
    <cellStyle name="Normal 12 7 2 6" xfId="7557"/>
    <cellStyle name="Normal 12 7 2 6 2" xfId="30144"/>
    <cellStyle name="Normal 12 7 2 7" xfId="23704"/>
    <cellStyle name="Normal 12 7 3" xfId="1457"/>
    <cellStyle name="Normal 12 7 3 2" xfId="2771"/>
    <cellStyle name="Normal 12 7 3 2 2" xfId="5992"/>
    <cellStyle name="Normal 12 7 3 2 2 2" xfId="22092"/>
    <cellStyle name="Normal 12 7 3 2 2 2 2" xfId="44679"/>
    <cellStyle name="Normal 12 7 3 2 2 3" xfId="12432"/>
    <cellStyle name="Normal 12 7 3 2 2 3 2" xfId="35019"/>
    <cellStyle name="Normal 12 7 3 2 2 4" xfId="28579"/>
    <cellStyle name="Normal 12 7 3 2 3" xfId="18872"/>
    <cellStyle name="Normal 12 7 3 2 3 2" xfId="41459"/>
    <cellStyle name="Normal 12 7 3 2 4" xfId="15652"/>
    <cellStyle name="Normal 12 7 3 2 4 2" xfId="38239"/>
    <cellStyle name="Normal 12 7 3 2 5" xfId="9212"/>
    <cellStyle name="Normal 12 7 3 2 5 2" xfId="31799"/>
    <cellStyle name="Normal 12 7 3 2 6" xfId="25359"/>
    <cellStyle name="Normal 12 7 3 3" xfId="4684"/>
    <cellStyle name="Normal 12 7 3 3 2" xfId="20784"/>
    <cellStyle name="Normal 12 7 3 3 2 2" xfId="43371"/>
    <cellStyle name="Normal 12 7 3 3 3" xfId="11124"/>
    <cellStyle name="Normal 12 7 3 3 3 2" xfId="33711"/>
    <cellStyle name="Normal 12 7 3 3 4" xfId="27271"/>
    <cellStyle name="Normal 12 7 3 4" xfId="17564"/>
    <cellStyle name="Normal 12 7 3 4 2" xfId="40151"/>
    <cellStyle name="Normal 12 7 3 5" xfId="14344"/>
    <cellStyle name="Normal 12 7 3 5 2" xfId="36931"/>
    <cellStyle name="Normal 12 7 3 6" xfId="7904"/>
    <cellStyle name="Normal 12 7 3 6 2" xfId="30491"/>
    <cellStyle name="Normal 12 7 3 7" xfId="24051"/>
    <cellStyle name="Normal 12 7 4" xfId="2077"/>
    <cellStyle name="Normal 12 7 4 2" xfId="5298"/>
    <cellStyle name="Normal 12 7 4 2 2" xfId="21398"/>
    <cellStyle name="Normal 12 7 4 2 2 2" xfId="43985"/>
    <cellStyle name="Normal 12 7 4 2 3" xfId="11738"/>
    <cellStyle name="Normal 12 7 4 2 3 2" xfId="34325"/>
    <cellStyle name="Normal 12 7 4 2 4" xfId="27885"/>
    <cellStyle name="Normal 12 7 4 3" xfId="18178"/>
    <cellStyle name="Normal 12 7 4 3 2" xfId="40765"/>
    <cellStyle name="Normal 12 7 4 4" xfId="14958"/>
    <cellStyle name="Normal 12 7 4 4 2" xfId="37545"/>
    <cellStyle name="Normal 12 7 4 5" xfId="8518"/>
    <cellStyle name="Normal 12 7 4 5 2" xfId="31105"/>
    <cellStyle name="Normal 12 7 4 6" xfId="24665"/>
    <cellStyle name="Normal 12 7 5" xfId="3060"/>
    <cellStyle name="Normal 12 7 5 2" xfId="6280"/>
    <cellStyle name="Normal 12 7 5 2 2" xfId="22380"/>
    <cellStyle name="Normal 12 7 5 2 2 2" xfId="44967"/>
    <cellStyle name="Normal 12 7 5 2 3" xfId="12720"/>
    <cellStyle name="Normal 12 7 5 2 3 2" xfId="35307"/>
    <cellStyle name="Normal 12 7 5 2 4" xfId="28867"/>
    <cellStyle name="Normal 12 7 5 3" xfId="19160"/>
    <cellStyle name="Normal 12 7 5 3 2" xfId="41747"/>
    <cellStyle name="Normal 12 7 5 4" xfId="15940"/>
    <cellStyle name="Normal 12 7 5 4 2" xfId="38527"/>
    <cellStyle name="Normal 12 7 5 5" xfId="9500"/>
    <cellStyle name="Normal 12 7 5 5 2" xfId="32087"/>
    <cellStyle name="Normal 12 7 5 6" xfId="25647"/>
    <cellStyle name="Normal 12 7 6" xfId="3350"/>
    <cellStyle name="Normal 12 7 6 2" xfId="6570"/>
    <cellStyle name="Normal 12 7 6 2 2" xfId="22670"/>
    <cellStyle name="Normal 12 7 6 2 2 2" xfId="45257"/>
    <cellStyle name="Normal 12 7 6 2 3" xfId="13010"/>
    <cellStyle name="Normal 12 7 6 2 3 2" xfId="35597"/>
    <cellStyle name="Normal 12 7 6 2 4" xfId="29157"/>
    <cellStyle name="Normal 12 7 6 3" xfId="19450"/>
    <cellStyle name="Normal 12 7 6 3 2" xfId="42037"/>
    <cellStyle name="Normal 12 7 6 4" xfId="16230"/>
    <cellStyle name="Normal 12 7 6 4 2" xfId="38817"/>
    <cellStyle name="Normal 12 7 6 5" xfId="9790"/>
    <cellStyle name="Normal 12 7 6 5 2" xfId="32377"/>
    <cellStyle name="Normal 12 7 6 6" xfId="25937"/>
    <cellStyle name="Normal 12 7 7" xfId="758"/>
    <cellStyle name="Normal 12 7 7 2" xfId="3990"/>
    <cellStyle name="Normal 12 7 7 2 2" xfId="20090"/>
    <cellStyle name="Normal 12 7 7 2 2 2" xfId="42677"/>
    <cellStyle name="Normal 12 7 7 2 3" xfId="10430"/>
    <cellStyle name="Normal 12 7 7 2 3 2" xfId="33017"/>
    <cellStyle name="Normal 12 7 7 2 4" xfId="26577"/>
    <cellStyle name="Normal 12 7 7 3" xfId="16870"/>
    <cellStyle name="Normal 12 7 7 3 2" xfId="39457"/>
    <cellStyle name="Normal 12 7 7 4" xfId="13650"/>
    <cellStyle name="Normal 12 7 7 4 2" xfId="36237"/>
    <cellStyle name="Normal 12 7 7 5" xfId="7210"/>
    <cellStyle name="Normal 12 7 7 5 2" xfId="29797"/>
    <cellStyle name="Normal 12 7 7 6" xfId="23357"/>
    <cellStyle name="Normal 12 7 8" xfId="3640"/>
    <cellStyle name="Normal 12 7 8 2" xfId="19740"/>
    <cellStyle name="Normal 12 7 8 2 2" xfId="42327"/>
    <cellStyle name="Normal 12 7 8 3" xfId="10080"/>
    <cellStyle name="Normal 12 7 8 3 2" xfId="32667"/>
    <cellStyle name="Normal 12 7 8 4" xfId="26227"/>
    <cellStyle name="Normal 12 7 9" xfId="16520"/>
    <cellStyle name="Normal 12 7 9 2" xfId="39107"/>
    <cellStyle name="Normal 12 8" xfId="852"/>
    <cellStyle name="Normal 12 8 2" xfId="2171"/>
    <cellStyle name="Normal 12 8 2 2" xfId="5392"/>
    <cellStyle name="Normal 12 8 2 2 2" xfId="21492"/>
    <cellStyle name="Normal 12 8 2 2 2 2" xfId="44079"/>
    <cellStyle name="Normal 12 8 2 2 3" xfId="11832"/>
    <cellStyle name="Normal 12 8 2 2 3 2" xfId="34419"/>
    <cellStyle name="Normal 12 8 2 2 4" xfId="27979"/>
    <cellStyle name="Normal 12 8 2 3" xfId="18272"/>
    <cellStyle name="Normal 12 8 2 3 2" xfId="40859"/>
    <cellStyle name="Normal 12 8 2 4" xfId="15052"/>
    <cellStyle name="Normal 12 8 2 4 2" xfId="37639"/>
    <cellStyle name="Normal 12 8 2 5" xfId="8612"/>
    <cellStyle name="Normal 12 8 2 5 2" xfId="31199"/>
    <cellStyle name="Normal 12 8 2 6" xfId="24759"/>
    <cellStyle name="Normal 12 8 3" xfId="4084"/>
    <cellStyle name="Normal 12 8 3 2" xfId="20184"/>
    <cellStyle name="Normal 12 8 3 2 2" xfId="42771"/>
    <cellStyle name="Normal 12 8 3 3" xfId="10524"/>
    <cellStyle name="Normal 12 8 3 3 2" xfId="33111"/>
    <cellStyle name="Normal 12 8 3 4" xfId="26671"/>
    <cellStyle name="Normal 12 8 4" xfId="16964"/>
    <cellStyle name="Normal 12 8 4 2" xfId="39551"/>
    <cellStyle name="Normal 12 8 5" xfId="13744"/>
    <cellStyle name="Normal 12 8 5 2" xfId="36331"/>
    <cellStyle name="Normal 12 8 6" xfId="7304"/>
    <cellStyle name="Normal 12 8 6 2" xfId="29891"/>
    <cellStyle name="Normal 12 8 7" xfId="23451"/>
    <cellStyle name="Normal 12 9" xfId="1204"/>
    <cellStyle name="Normal 12 9 2" xfId="2518"/>
    <cellStyle name="Normal 12 9 2 2" xfId="5739"/>
    <cellStyle name="Normal 12 9 2 2 2" xfId="21839"/>
    <cellStyle name="Normal 12 9 2 2 2 2" xfId="44426"/>
    <cellStyle name="Normal 12 9 2 2 3" xfId="12179"/>
    <cellStyle name="Normal 12 9 2 2 3 2" xfId="34766"/>
    <cellStyle name="Normal 12 9 2 2 4" xfId="28326"/>
    <cellStyle name="Normal 12 9 2 3" xfId="18619"/>
    <cellStyle name="Normal 12 9 2 3 2" xfId="41206"/>
    <cellStyle name="Normal 12 9 2 4" xfId="15399"/>
    <cellStyle name="Normal 12 9 2 4 2" xfId="37986"/>
    <cellStyle name="Normal 12 9 2 5" xfId="8959"/>
    <cellStyle name="Normal 12 9 2 5 2" xfId="31546"/>
    <cellStyle name="Normal 12 9 2 6" xfId="25106"/>
    <cellStyle name="Normal 12 9 3" xfId="4431"/>
    <cellStyle name="Normal 12 9 3 2" xfId="20531"/>
    <cellStyle name="Normal 12 9 3 2 2" xfId="43118"/>
    <cellStyle name="Normal 12 9 3 3" xfId="10871"/>
    <cellStyle name="Normal 12 9 3 3 2" xfId="33458"/>
    <cellStyle name="Normal 12 9 3 4" xfId="27018"/>
    <cellStyle name="Normal 12 9 4" xfId="17311"/>
    <cellStyle name="Normal 12 9 4 2" xfId="39898"/>
    <cellStyle name="Normal 12 9 5" xfId="14091"/>
    <cellStyle name="Normal 12 9 5 2" xfId="36678"/>
    <cellStyle name="Normal 12 9 6" xfId="7651"/>
    <cellStyle name="Normal 12 9 6 2" xfId="30238"/>
    <cellStyle name="Normal 12 9 7" xfId="23798"/>
    <cellStyle name="Normal 13" xfId="111"/>
    <cellStyle name="Normal 13 10" xfId="1561"/>
    <cellStyle name="Normal 13 10 2" xfId="4787"/>
    <cellStyle name="Normal 13 10 2 2" xfId="20887"/>
    <cellStyle name="Normal 13 10 2 2 2" xfId="43474"/>
    <cellStyle name="Normal 13 10 2 3" xfId="11227"/>
    <cellStyle name="Normal 13 10 2 3 2" xfId="33814"/>
    <cellStyle name="Normal 13 10 2 4" xfId="27374"/>
    <cellStyle name="Normal 13 10 3" xfId="17667"/>
    <cellStyle name="Normal 13 10 3 2" xfId="40254"/>
    <cellStyle name="Normal 13 10 4" xfId="14447"/>
    <cellStyle name="Normal 13 10 4 2" xfId="37034"/>
    <cellStyle name="Normal 13 10 5" xfId="8007"/>
    <cellStyle name="Normal 13 10 5 2" xfId="30594"/>
    <cellStyle name="Normal 13 10 6" xfId="24154"/>
    <cellStyle name="Normal 13 11" xfId="1824"/>
    <cellStyle name="Normal 13 11 2" xfId="5046"/>
    <cellStyle name="Normal 13 11 2 2" xfId="21146"/>
    <cellStyle name="Normal 13 11 2 2 2" xfId="43733"/>
    <cellStyle name="Normal 13 11 2 3" xfId="11486"/>
    <cellStyle name="Normal 13 11 2 3 2" xfId="34073"/>
    <cellStyle name="Normal 13 11 2 4" xfId="27633"/>
    <cellStyle name="Normal 13 11 3" xfId="17926"/>
    <cellStyle name="Normal 13 11 3 2" xfId="40513"/>
    <cellStyle name="Normal 13 11 4" xfId="14706"/>
    <cellStyle name="Normal 13 11 4 2" xfId="37293"/>
    <cellStyle name="Normal 13 11 5" xfId="8266"/>
    <cellStyle name="Normal 13 11 5 2" xfId="30853"/>
    <cellStyle name="Normal 13 11 6" xfId="24413"/>
    <cellStyle name="Normal 13 12" xfId="2867"/>
    <cellStyle name="Normal 13 12 2" xfId="6088"/>
    <cellStyle name="Normal 13 12 2 2" xfId="22188"/>
    <cellStyle name="Normal 13 12 2 2 2" xfId="44775"/>
    <cellStyle name="Normal 13 12 2 3" xfId="12528"/>
    <cellStyle name="Normal 13 12 2 3 2" xfId="35115"/>
    <cellStyle name="Normal 13 12 2 4" xfId="28675"/>
    <cellStyle name="Normal 13 12 3" xfId="18968"/>
    <cellStyle name="Normal 13 12 3 2" xfId="41555"/>
    <cellStyle name="Normal 13 12 4" xfId="15748"/>
    <cellStyle name="Normal 13 12 4 2" xfId="38335"/>
    <cellStyle name="Normal 13 12 5" xfId="9308"/>
    <cellStyle name="Normal 13 12 5 2" xfId="31895"/>
    <cellStyle name="Normal 13 12 6" xfId="25455"/>
    <cellStyle name="Normal 13 13" xfId="3158"/>
    <cellStyle name="Normal 13 13 2" xfId="6378"/>
    <cellStyle name="Normal 13 13 2 2" xfId="22478"/>
    <cellStyle name="Normal 13 13 2 2 2" xfId="45065"/>
    <cellStyle name="Normal 13 13 2 3" xfId="12818"/>
    <cellStyle name="Normal 13 13 2 3 2" xfId="35405"/>
    <cellStyle name="Normal 13 13 2 4" xfId="28965"/>
    <cellStyle name="Normal 13 13 3" xfId="19258"/>
    <cellStyle name="Normal 13 13 3 2" xfId="41845"/>
    <cellStyle name="Normal 13 13 4" xfId="16038"/>
    <cellStyle name="Normal 13 13 4 2" xfId="38625"/>
    <cellStyle name="Normal 13 13 5" xfId="9598"/>
    <cellStyle name="Normal 13 13 5 2" xfId="32185"/>
    <cellStyle name="Normal 13 13 6" xfId="25745"/>
    <cellStyle name="Normal 13 14" xfId="451"/>
    <cellStyle name="Normal 13 14 2" xfId="3738"/>
    <cellStyle name="Normal 13 14 2 2" xfId="19838"/>
    <cellStyle name="Normal 13 14 2 2 2" xfId="42425"/>
    <cellStyle name="Normal 13 14 2 3" xfId="10178"/>
    <cellStyle name="Normal 13 14 2 3 2" xfId="32765"/>
    <cellStyle name="Normal 13 14 2 4" xfId="26325"/>
    <cellStyle name="Normal 13 14 3" xfId="16618"/>
    <cellStyle name="Normal 13 14 3 2" xfId="39205"/>
    <cellStyle name="Normal 13 14 4" xfId="13398"/>
    <cellStyle name="Normal 13 14 4 2" xfId="35985"/>
    <cellStyle name="Normal 13 14 5" xfId="6958"/>
    <cellStyle name="Normal 13 14 5 2" xfId="29545"/>
    <cellStyle name="Normal 13 14 6" xfId="23105"/>
    <cellStyle name="Normal 13 15" xfId="3448"/>
    <cellStyle name="Normal 13 15 2" xfId="19548"/>
    <cellStyle name="Normal 13 15 2 2" xfId="42135"/>
    <cellStyle name="Normal 13 15 3" xfId="9888"/>
    <cellStyle name="Normal 13 15 3 2" xfId="32475"/>
    <cellStyle name="Normal 13 15 4" xfId="26035"/>
    <cellStyle name="Normal 13 16" xfId="16328"/>
    <cellStyle name="Normal 13 16 2" xfId="38915"/>
    <cellStyle name="Normal 13 17" xfId="13108"/>
    <cellStyle name="Normal 13 17 2" xfId="35695"/>
    <cellStyle name="Normal 13 18" xfId="6668"/>
    <cellStyle name="Normal 13 18 2" xfId="29255"/>
    <cellStyle name="Normal 13 19" xfId="22815"/>
    <cellStyle name="Normal 13 2" xfId="128"/>
    <cellStyle name="Normal 13 2 10" xfId="2883"/>
    <cellStyle name="Normal 13 2 10 2" xfId="6104"/>
    <cellStyle name="Normal 13 2 10 2 2" xfId="22204"/>
    <cellStyle name="Normal 13 2 10 2 2 2" xfId="44791"/>
    <cellStyle name="Normal 13 2 10 2 3" xfId="12544"/>
    <cellStyle name="Normal 13 2 10 2 3 2" xfId="35131"/>
    <cellStyle name="Normal 13 2 10 2 4" xfId="28691"/>
    <cellStyle name="Normal 13 2 10 3" xfId="18984"/>
    <cellStyle name="Normal 13 2 10 3 2" xfId="41571"/>
    <cellStyle name="Normal 13 2 10 4" xfId="15764"/>
    <cellStyle name="Normal 13 2 10 4 2" xfId="38351"/>
    <cellStyle name="Normal 13 2 10 5" xfId="9324"/>
    <cellStyle name="Normal 13 2 10 5 2" xfId="31911"/>
    <cellStyle name="Normal 13 2 10 6" xfId="25471"/>
    <cellStyle name="Normal 13 2 11" xfId="3174"/>
    <cellStyle name="Normal 13 2 11 2" xfId="6394"/>
    <cellStyle name="Normal 13 2 11 2 2" xfId="22494"/>
    <cellStyle name="Normal 13 2 11 2 2 2" xfId="45081"/>
    <cellStyle name="Normal 13 2 11 2 3" xfId="12834"/>
    <cellStyle name="Normal 13 2 11 2 3 2" xfId="35421"/>
    <cellStyle name="Normal 13 2 11 2 4" xfId="28981"/>
    <cellStyle name="Normal 13 2 11 3" xfId="19274"/>
    <cellStyle name="Normal 13 2 11 3 2" xfId="41861"/>
    <cellStyle name="Normal 13 2 11 4" xfId="16054"/>
    <cellStyle name="Normal 13 2 11 4 2" xfId="38641"/>
    <cellStyle name="Normal 13 2 11 5" xfId="9614"/>
    <cellStyle name="Normal 13 2 11 5 2" xfId="32201"/>
    <cellStyle name="Normal 13 2 11 6" xfId="25761"/>
    <cellStyle name="Normal 13 2 12" xfId="467"/>
    <cellStyle name="Normal 13 2 12 2" xfId="3754"/>
    <cellStyle name="Normal 13 2 12 2 2" xfId="19854"/>
    <cellStyle name="Normal 13 2 12 2 2 2" xfId="42441"/>
    <cellStyle name="Normal 13 2 12 2 3" xfId="10194"/>
    <cellStyle name="Normal 13 2 12 2 3 2" xfId="32781"/>
    <cellStyle name="Normal 13 2 12 2 4" xfId="26341"/>
    <cellStyle name="Normal 13 2 12 3" xfId="16634"/>
    <cellStyle name="Normal 13 2 12 3 2" xfId="39221"/>
    <cellStyle name="Normal 13 2 12 4" xfId="13414"/>
    <cellStyle name="Normal 13 2 12 4 2" xfId="36001"/>
    <cellStyle name="Normal 13 2 12 5" xfId="6974"/>
    <cellStyle name="Normal 13 2 12 5 2" xfId="29561"/>
    <cellStyle name="Normal 13 2 12 6" xfId="23121"/>
    <cellStyle name="Normal 13 2 13" xfId="3464"/>
    <cellStyle name="Normal 13 2 13 2" xfId="19564"/>
    <cellStyle name="Normal 13 2 13 2 2" xfId="42151"/>
    <cellStyle name="Normal 13 2 13 3" xfId="9904"/>
    <cellStyle name="Normal 13 2 13 3 2" xfId="32491"/>
    <cellStyle name="Normal 13 2 13 4" xfId="26051"/>
    <cellStyle name="Normal 13 2 14" xfId="16344"/>
    <cellStyle name="Normal 13 2 14 2" xfId="38931"/>
    <cellStyle name="Normal 13 2 15" xfId="13124"/>
    <cellStyle name="Normal 13 2 15 2" xfId="35711"/>
    <cellStyle name="Normal 13 2 16" xfId="6684"/>
    <cellStyle name="Normal 13 2 16 2" xfId="29271"/>
    <cellStyle name="Normal 13 2 17" xfId="22831"/>
    <cellStyle name="Normal 13 2 2" xfId="212"/>
    <cellStyle name="Normal 13 2 2 10" xfId="504"/>
    <cellStyle name="Normal 13 2 2 10 2" xfId="3791"/>
    <cellStyle name="Normal 13 2 2 10 2 2" xfId="19891"/>
    <cellStyle name="Normal 13 2 2 10 2 2 2" xfId="42478"/>
    <cellStyle name="Normal 13 2 2 10 2 3" xfId="10231"/>
    <cellStyle name="Normal 13 2 2 10 2 3 2" xfId="32818"/>
    <cellStyle name="Normal 13 2 2 10 2 4" xfId="26378"/>
    <cellStyle name="Normal 13 2 2 10 3" xfId="16671"/>
    <cellStyle name="Normal 13 2 2 10 3 2" xfId="39258"/>
    <cellStyle name="Normal 13 2 2 10 4" xfId="13451"/>
    <cellStyle name="Normal 13 2 2 10 4 2" xfId="36038"/>
    <cellStyle name="Normal 13 2 2 10 5" xfId="7011"/>
    <cellStyle name="Normal 13 2 2 10 5 2" xfId="29598"/>
    <cellStyle name="Normal 13 2 2 10 6" xfId="23158"/>
    <cellStyle name="Normal 13 2 2 11" xfId="3501"/>
    <cellStyle name="Normal 13 2 2 11 2" xfId="19601"/>
    <cellStyle name="Normal 13 2 2 11 2 2" xfId="42188"/>
    <cellStyle name="Normal 13 2 2 11 3" xfId="9941"/>
    <cellStyle name="Normal 13 2 2 11 3 2" xfId="32528"/>
    <cellStyle name="Normal 13 2 2 11 4" xfId="26088"/>
    <cellStyle name="Normal 13 2 2 12" xfId="16381"/>
    <cellStyle name="Normal 13 2 2 12 2" xfId="38968"/>
    <cellStyle name="Normal 13 2 2 13" xfId="13161"/>
    <cellStyle name="Normal 13 2 2 13 2" xfId="35748"/>
    <cellStyle name="Normal 13 2 2 14" xfId="6721"/>
    <cellStyle name="Normal 13 2 2 14 2" xfId="29308"/>
    <cellStyle name="Normal 13 2 2 15" xfId="22868"/>
    <cellStyle name="Normal 13 2 2 2" xfId="311"/>
    <cellStyle name="Normal 13 2 2 2 10" xfId="13258"/>
    <cellStyle name="Normal 13 2 2 2 10 2" xfId="35845"/>
    <cellStyle name="Normal 13 2 2 2 11" xfId="6818"/>
    <cellStyle name="Normal 13 2 2 2 11 2" xfId="29405"/>
    <cellStyle name="Normal 13 2 2 2 12" xfId="22965"/>
    <cellStyle name="Normal 13 2 2 2 2" xfId="1030"/>
    <cellStyle name="Normal 13 2 2 2 2 2" xfId="2344"/>
    <cellStyle name="Normal 13 2 2 2 2 2 2" xfId="5565"/>
    <cellStyle name="Normal 13 2 2 2 2 2 2 2" xfId="21665"/>
    <cellStyle name="Normal 13 2 2 2 2 2 2 2 2" xfId="44252"/>
    <cellStyle name="Normal 13 2 2 2 2 2 2 3" xfId="12005"/>
    <cellStyle name="Normal 13 2 2 2 2 2 2 3 2" xfId="34592"/>
    <cellStyle name="Normal 13 2 2 2 2 2 2 4" xfId="28152"/>
    <cellStyle name="Normal 13 2 2 2 2 2 3" xfId="18445"/>
    <cellStyle name="Normal 13 2 2 2 2 2 3 2" xfId="41032"/>
    <cellStyle name="Normal 13 2 2 2 2 2 4" xfId="15225"/>
    <cellStyle name="Normal 13 2 2 2 2 2 4 2" xfId="37812"/>
    <cellStyle name="Normal 13 2 2 2 2 2 5" xfId="8785"/>
    <cellStyle name="Normal 13 2 2 2 2 2 5 2" xfId="31372"/>
    <cellStyle name="Normal 13 2 2 2 2 2 6" xfId="24932"/>
    <cellStyle name="Normal 13 2 2 2 2 3" xfId="4257"/>
    <cellStyle name="Normal 13 2 2 2 2 3 2" xfId="20357"/>
    <cellStyle name="Normal 13 2 2 2 2 3 2 2" xfId="42944"/>
    <cellStyle name="Normal 13 2 2 2 2 3 3" xfId="10697"/>
    <cellStyle name="Normal 13 2 2 2 2 3 3 2" xfId="33284"/>
    <cellStyle name="Normal 13 2 2 2 2 3 4" xfId="26844"/>
    <cellStyle name="Normal 13 2 2 2 2 4" xfId="17137"/>
    <cellStyle name="Normal 13 2 2 2 2 4 2" xfId="39724"/>
    <cellStyle name="Normal 13 2 2 2 2 5" xfId="13917"/>
    <cellStyle name="Normal 13 2 2 2 2 5 2" xfId="36504"/>
    <cellStyle name="Normal 13 2 2 2 2 6" xfId="7477"/>
    <cellStyle name="Normal 13 2 2 2 2 6 2" xfId="30064"/>
    <cellStyle name="Normal 13 2 2 2 2 7" xfId="23624"/>
    <cellStyle name="Normal 13 2 2 2 3" xfId="1377"/>
    <cellStyle name="Normal 13 2 2 2 3 2" xfId="2691"/>
    <cellStyle name="Normal 13 2 2 2 3 2 2" xfId="5912"/>
    <cellStyle name="Normal 13 2 2 2 3 2 2 2" xfId="22012"/>
    <cellStyle name="Normal 13 2 2 2 3 2 2 2 2" xfId="44599"/>
    <cellStyle name="Normal 13 2 2 2 3 2 2 3" xfId="12352"/>
    <cellStyle name="Normal 13 2 2 2 3 2 2 3 2" xfId="34939"/>
    <cellStyle name="Normal 13 2 2 2 3 2 2 4" xfId="28499"/>
    <cellStyle name="Normal 13 2 2 2 3 2 3" xfId="18792"/>
    <cellStyle name="Normal 13 2 2 2 3 2 3 2" xfId="41379"/>
    <cellStyle name="Normal 13 2 2 2 3 2 4" xfId="15572"/>
    <cellStyle name="Normal 13 2 2 2 3 2 4 2" xfId="38159"/>
    <cellStyle name="Normal 13 2 2 2 3 2 5" xfId="9132"/>
    <cellStyle name="Normal 13 2 2 2 3 2 5 2" xfId="31719"/>
    <cellStyle name="Normal 13 2 2 2 3 2 6" xfId="25279"/>
    <cellStyle name="Normal 13 2 2 2 3 3" xfId="4604"/>
    <cellStyle name="Normal 13 2 2 2 3 3 2" xfId="20704"/>
    <cellStyle name="Normal 13 2 2 2 3 3 2 2" xfId="43291"/>
    <cellStyle name="Normal 13 2 2 2 3 3 3" xfId="11044"/>
    <cellStyle name="Normal 13 2 2 2 3 3 3 2" xfId="33631"/>
    <cellStyle name="Normal 13 2 2 2 3 3 4" xfId="27191"/>
    <cellStyle name="Normal 13 2 2 2 3 4" xfId="17484"/>
    <cellStyle name="Normal 13 2 2 2 3 4 2" xfId="40071"/>
    <cellStyle name="Normal 13 2 2 2 3 5" xfId="14264"/>
    <cellStyle name="Normal 13 2 2 2 3 5 2" xfId="36851"/>
    <cellStyle name="Normal 13 2 2 2 3 6" xfId="7824"/>
    <cellStyle name="Normal 13 2 2 2 3 6 2" xfId="30411"/>
    <cellStyle name="Normal 13 2 2 2 3 7" xfId="23971"/>
    <cellStyle name="Normal 13 2 2 2 4" xfId="1996"/>
    <cellStyle name="Normal 13 2 2 2 4 2" xfId="5218"/>
    <cellStyle name="Normal 13 2 2 2 4 2 2" xfId="21318"/>
    <cellStyle name="Normal 13 2 2 2 4 2 2 2" xfId="43905"/>
    <cellStyle name="Normal 13 2 2 2 4 2 3" xfId="11658"/>
    <cellStyle name="Normal 13 2 2 2 4 2 3 2" xfId="34245"/>
    <cellStyle name="Normal 13 2 2 2 4 2 4" xfId="27805"/>
    <cellStyle name="Normal 13 2 2 2 4 3" xfId="18098"/>
    <cellStyle name="Normal 13 2 2 2 4 3 2" xfId="40685"/>
    <cellStyle name="Normal 13 2 2 2 4 4" xfId="14878"/>
    <cellStyle name="Normal 13 2 2 2 4 4 2" xfId="37465"/>
    <cellStyle name="Normal 13 2 2 2 4 5" xfId="8438"/>
    <cellStyle name="Normal 13 2 2 2 4 5 2" xfId="31025"/>
    <cellStyle name="Normal 13 2 2 2 4 6" xfId="24585"/>
    <cellStyle name="Normal 13 2 2 2 5" xfId="3018"/>
    <cellStyle name="Normal 13 2 2 2 5 2" xfId="6238"/>
    <cellStyle name="Normal 13 2 2 2 5 2 2" xfId="22338"/>
    <cellStyle name="Normal 13 2 2 2 5 2 2 2" xfId="44925"/>
    <cellStyle name="Normal 13 2 2 2 5 2 3" xfId="12678"/>
    <cellStyle name="Normal 13 2 2 2 5 2 3 2" xfId="35265"/>
    <cellStyle name="Normal 13 2 2 2 5 2 4" xfId="28825"/>
    <cellStyle name="Normal 13 2 2 2 5 3" xfId="19118"/>
    <cellStyle name="Normal 13 2 2 2 5 3 2" xfId="41705"/>
    <cellStyle name="Normal 13 2 2 2 5 4" xfId="15898"/>
    <cellStyle name="Normal 13 2 2 2 5 4 2" xfId="38485"/>
    <cellStyle name="Normal 13 2 2 2 5 5" xfId="9458"/>
    <cellStyle name="Normal 13 2 2 2 5 5 2" xfId="32045"/>
    <cellStyle name="Normal 13 2 2 2 5 6" xfId="25605"/>
    <cellStyle name="Normal 13 2 2 2 6" xfId="3308"/>
    <cellStyle name="Normal 13 2 2 2 6 2" xfId="6528"/>
    <cellStyle name="Normal 13 2 2 2 6 2 2" xfId="22628"/>
    <cellStyle name="Normal 13 2 2 2 6 2 2 2" xfId="45215"/>
    <cellStyle name="Normal 13 2 2 2 6 2 3" xfId="12968"/>
    <cellStyle name="Normal 13 2 2 2 6 2 3 2" xfId="35555"/>
    <cellStyle name="Normal 13 2 2 2 6 2 4" xfId="29115"/>
    <cellStyle name="Normal 13 2 2 2 6 3" xfId="19408"/>
    <cellStyle name="Normal 13 2 2 2 6 3 2" xfId="41995"/>
    <cellStyle name="Normal 13 2 2 2 6 4" xfId="16188"/>
    <cellStyle name="Normal 13 2 2 2 6 4 2" xfId="38775"/>
    <cellStyle name="Normal 13 2 2 2 6 5" xfId="9748"/>
    <cellStyle name="Normal 13 2 2 2 6 5 2" xfId="32335"/>
    <cellStyle name="Normal 13 2 2 2 6 6" xfId="25895"/>
    <cellStyle name="Normal 13 2 2 2 7" xfId="666"/>
    <cellStyle name="Normal 13 2 2 2 7 2" xfId="3910"/>
    <cellStyle name="Normal 13 2 2 2 7 2 2" xfId="20010"/>
    <cellStyle name="Normal 13 2 2 2 7 2 2 2" xfId="42597"/>
    <cellStyle name="Normal 13 2 2 2 7 2 3" xfId="10350"/>
    <cellStyle name="Normal 13 2 2 2 7 2 3 2" xfId="32937"/>
    <cellStyle name="Normal 13 2 2 2 7 2 4" xfId="26497"/>
    <cellStyle name="Normal 13 2 2 2 7 3" xfId="16790"/>
    <cellStyle name="Normal 13 2 2 2 7 3 2" xfId="39377"/>
    <cellStyle name="Normal 13 2 2 2 7 4" xfId="13570"/>
    <cellStyle name="Normal 13 2 2 2 7 4 2" xfId="36157"/>
    <cellStyle name="Normal 13 2 2 2 7 5" xfId="7130"/>
    <cellStyle name="Normal 13 2 2 2 7 5 2" xfId="29717"/>
    <cellStyle name="Normal 13 2 2 2 7 6" xfId="23277"/>
    <cellStyle name="Normal 13 2 2 2 8" xfId="3598"/>
    <cellStyle name="Normal 13 2 2 2 8 2" xfId="19698"/>
    <cellStyle name="Normal 13 2 2 2 8 2 2" xfId="42285"/>
    <cellStyle name="Normal 13 2 2 2 8 3" xfId="10038"/>
    <cellStyle name="Normal 13 2 2 2 8 3 2" xfId="32625"/>
    <cellStyle name="Normal 13 2 2 2 8 4" xfId="26185"/>
    <cellStyle name="Normal 13 2 2 2 9" xfId="16478"/>
    <cellStyle name="Normal 13 2 2 2 9 2" xfId="39065"/>
    <cellStyle name="Normal 13 2 2 3" xfId="407"/>
    <cellStyle name="Normal 13 2 2 3 10" xfId="13354"/>
    <cellStyle name="Normal 13 2 2 3 10 2" xfId="35941"/>
    <cellStyle name="Normal 13 2 2 3 11" xfId="6914"/>
    <cellStyle name="Normal 13 2 2 3 11 2" xfId="29501"/>
    <cellStyle name="Normal 13 2 2 3 12" xfId="23061"/>
    <cellStyle name="Normal 13 2 2 3 2" xfId="1189"/>
    <cellStyle name="Normal 13 2 2 3 2 2" xfId="2503"/>
    <cellStyle name="Normal 13 2 2 3 2 2 2" xfId="5724"/>
    <cellStyle name="Normal 13 2 2 3 2 2 2 2" xfId="21824"/>
    <cellStyle name="Normal 13 2 2 3 2 2 2 2 2" xfId="44411"/>
    <cellStyle name="Normal 13 2 2 3 2 2 2 3" xfId="12164"/>
    <cellStyle name="Normal 13 2 2 3 2 2 2 3 2" xfId="34751"/>
    <cellStyle name="Normal 13 2 2 3 2 2 2 4" xfId="28311"/>
    <cellStyle name="Normal 13 2 2 3 2 2 3" xfId="18604"/>
    <cellStyle name="Normal 13 2 2 3 2 2 3 2" xfId="41191"/>
    <cellStyle name="Normal 13 2 2 3 2 2 4" xfId="15384"/>
    <cellStyle name="Normal 13 2 2 3 2 2 4 2" xfId="37971"/>
    <cellStyle name="Normal 13 2 2 3 2 2 5" xfId="8944"/>
    <cellStyle name="Normal 13 2 2 3 2 2 5 2" xfId="31531"/>
    <cellStyle name="Normal 13 2 2 3 2 2 6" xfId="25091"/>
    <cellStyle name="Normal 13 2 2 3 2 3" xfId="4416"/>
    <cellStyle name="Normal 13 2 2 3 2 3 2" xfId="20516"/>
    <cellStyle name="Normal 13 2 2 3 2 3 2 2" xfId="43103"/>
    <cellStyle name="Normal 13 2 2 3 2 3 3" xfId="10856"/>
    <cellStyle name="Normal 13 2 2 3 2 3 3 2" xfId="33443"/>
    <cellStyle name="Normal 13 2 2 3 2 3 4" xfId="27003"/>
    <cellStyle name="Normal 13 2 2 3 2 4" xfId="17296"/>
    <cellStyle name="Normal 13 2 2 3 2 4 2" xfId="39883"/>
    <cellStyle name="Normal 13 2 2 3 2 5" xfId="14076"/>
    <cellStyle name="Normal 13 2 2 3 2 5 2" xfId="36663"/>
    <cellStyle name="Normal 13 2 2 3 2 6" xfId="7636"/>
    <cellStyle name="Normal 13 2 2 3 2 6 2" xfId="30223"/>
    <cellStyle name="Normal 13 2 2 3 2 7" xfId="23783"/>
    <cellStyle name="Normal 13 2 2 3 3" xfId="1536"/>
    <cellStyle name="Normal 13 2 2 3 3 2" xfId="2850"/>
    <cellStyle name="Normal 13 2 2 3 3 2 2" xfId="6071"/>
    <cellStyle name="Normal 13 2 2 3 3 2 2 2" xfId="22171"/>
    <cellStyle name="Normal 13 2 2 3 3 2 2 2 2" xfId="44758"/>
    <cellStyle name="Normal 13 2 2 3 3 2 2 3" xfId="12511"/>
    <cellStyle name="Normal 13 2 2 3 3 2 2 3 2" xfId="35098"/>
    <cellStyle name="Normal 13 2 2 3 3 2 2 4" xfId="28658"/>
    <cellStyle name="Normal 13 2 2 3 3 2 3" xfId="18951"/>
    <cellStyle name="Normal 13 2 2 3 3 2 3 2" xfId="41538"/>
    <cellStyle name="Normal 13 2 2 3 3 2 4" xfId="15731"/>
    <cellStyle name="Normal 13 2 2 3 3 2 4 2" xfId="38318"/>
    <cellStyle name="Normal 13 2 2 3 3 2 5" xfId="9291"/>
    <cellStyle name="Normal 13 2 2 3 3 2 5 2" xfId="31878"/>
    <cellStyle name="Normal 13 2 2 3 3 2 6" xfId="25438"/>
    <cellStyle name="Normal 13 2 2 3 3 3" xfId="4763"/>
    <cellStyle name="Normal 13 2 2 3 3 3 2" xfId="20863"/>
    <cellStyle name="Normal 13 2 2 3 3 3 2 2" xfId="43450"/>
    <cellStyle name="Normal 13 2 2 3 3 3 3" xfId="11203"/>
    <cellStyle name="Normal 13 2 2 3 3 3 3 2" xfId="33790"/>
    <cellStyle name="Normal 13 2 2 3 3 3 4" xfId="27350"/>
    <cellStyle name="Normal 13 2 2 3 3 4" xfId="17643"/>
    <cellStyle name="Normal 13 2 2 3 3 4 2" xfId="40230"/>
    <cellStyle name="Normal 13 2 2 3 3 5" xfId="14423"/>
    <cellStyle name="Normal 13 2 2 3 3 5 2" xfId="37010"/>
    <cellStyle name="Normal 13 2 2 3 3 6" xfId="7983"/>
    <cellStyle name="Normal 13 2 2 3 3 6 2" xfId="30570"/>
    <cellStyle name="Normal 13 2 2 3 3 7" xfId="24130"/>
    <cellStyle name="Normal 13 2 2 3 4" xfId="2156"/>
    <cellStyle name="Normal 13 2 2 3 4 2" xfId="5377"/>
    <cellStyle name="Normal 13 2 2 3 4 2 2" xfId="21477"/>
    <cellStyle name="Normal 13 2 2 3 4 2 2 2" xfId="44064"/>
    <cellStyle name="Normal 13 2 2 3 4 2 3" xfId="11817"/>
    <cellStyle name="Normal 13 2 2 3 4 2 3 2" xfId="34404"/>
    <cellStyle name="Normal 13 2 2 3 4 2 4" xfId="27964"/>
    <cellStyle name="Normal 13 2 2 3 4 3" xfId="18257"/>
    <cellStyle name="Normal 13 2 2 3 4 3 2" xfId="40844"/>
    <cellStyle name="Normal 13 2 2 3 4 4" xfId="15037"/>
    <cellStyle name="Normal 13 2 2 3 4 4 2" xfId="37624"/>
    <cellStyle name="Normal 13 2 2 3 4 5" xfId="8597"/>
    <cellStyle name="Normal 13 2 2 3 4 5 2" xfId="31184"/>
    <cellStyle name="Normal 13 2 2 3 4 6" xfId="24744"/>
    <cellStyle name="Normal 13 2 2 3 5" xfId="3114"/>
    <cellStyle name="Normal 13 2 2 3 5 2" xfId="6334"/>
    <cellStyle name="Normal 13 2 2 3 5 2 2" xfId="22434"/>
    <cellStyle name="Normal 13 2 2 3 5 2 2 2" xfId="45021"/>
    <cellStyle name="Normal 13 2 2 3 5 2 3" xfId="12774"/>
    <cellStyle name="Normal 13 2 2 3 5 2 3 2" xfId="35361"/>
    <cellStyle name="Normal 13 2 2 3 5 2 4" xfId="28921"/>
    <cellStyle name="Normal 13 2 2 3 5 3" xfId="19214"/>
    <cellStyle name="Normal 13 2 2 3 5 3 2" xfId="41801"/>
    <cellStyle name="Normal 13 2 2 3 5 4" xfId="15994"/>
    <cellStyle name="Normal 13 2 2 3 5 4 2" xfId="38581"/>
    <cellStyle name="Normal 13 2 2 3 5 5" xfId="9554"/>
    <cellStyle name="Normal 13 2 2 3 5 5 2" xfId="32141"/>
    <cellStyle name="Normal 13 2 2 3 5 6" xfId="25701"/>
    <cellStyle name="Normal 13 2 2 3 6" xfId="3404"/>
    <cellStyle name="Normal 13 2 2 3 6 2" xfId="6624"/>
    <cellStyle name="Normal 13 2 2 3 6 2 2" xfId="22724"/>
    <cellStyle name="Normal 13 2 2 3 6 2 2 2" xfId="45311"/>
    <cellStyle name="Normal 13 2 2 3 6 2 3" xfId="13064"/>
    <cellStyle name="Normal 13 2 2 3 6 2 3 2" xfId="35651"/>
    <cellStyle name="Normal 13 2 2 3 6 2 4" xfId="29211"/>
    <cellStyle name="Normal 13 2 2 3 6 3" xfId="19504"/>
    <cellStyle name="Normal 13 2 2 3 6 3 2" xfId="42091"/>
    <cellStyle name="Normal 13 2 2 3 6 4" xfId="16284"/>
    <cellStyle name="Normal 13 2 2 3 6 4 2" xfId="38871"/>
    <cellStyle name="Normal 13 2 2 3 6 5" xfId="9844"/>
    <cellStyle name="Normal 13 2 2 3 6 5 2" xfId="32431"/>
    <cellStyle name="Normal 13 2 2 3 6 6" xfId="25991"/>
    <cellStyle name="Normal 13 2 2 3 7" xfId="837"/>
    <cellStyle name="Normal 13 2 2 3 7 2" xfId="4069"/>
    <cellStyle name="Normal 13 2 2 3 7 2 2" xfId="20169"/>
    <cellStyle name="Normal 13 2 2 3 7 2 2 2" xfId="42756"/>
    <cellStyle name="Normal 13 2 2 3 7 2 3" xfId="10509"/>
    <cellStyle name="Normal 13 2 2 3 7 2 3 2" xfId="33096"/>
    <cellStyle name="Normal 13 2 2 3 7 2 4" xfId="26656"/>
    <cellStyle name="Normal 13 2 2 3 7 3" xfId="16949"/>
    <cellStyle name="Normal 13 2 2 3 7 3 2" xfId="39536"/>
    <cellStyle name="Normal 13 2 2 3 7 4" xfId="13729"/>
    <cellStyle name="Normal 13 2 2 3 7 4 2" xfId="36316"/>
    <cellStyle name="Normal 13 2 2 3 7 5" xfId="7289"/>
    <cellStyle name="Normal 13 2 2 3 7 5 2" xfId="29876"/>
    <cellStyle name="Normal 13 2 2 3 7 6" xfId="23436"/>
    <cellStyle name="Normal 13 2 2 3 8" xfId="3694"/>
    <cellStyle name="Normal 13 2 2 3 8 2" xfId="19794"/>
    <cellStyle name="Normal 13 2 2 3 8 2 2" xfId="42381"/>
    <cellStyle name="Normal 13 2 2 3 8 3" xfId="10134"/>
    <cellStyle name="Normal 13 2 2 3 8 3 2" xfId="32721"/>
    <cellStyle name="Normal 13 2 2 3 8 4" xfId="26281"/>
    <cellStyle name="Normal 13 2 2 3 9" xfId="16574"/>
    <cellStyle name="Normal 13 2 2 3 9 2" xfId="39161"/>
    <cellStyle name="Normal 13 2 2 4" xfId="906"/>
    <cellStyle name="Normal 13 2 2 4 2" xfId="2225"/>
    <cellStyle name="Normal 13 2 2 4 2 2" xfId="5446"/>
    <cellStyle name="Normal 13 2 2 4 2 2 2" xfId="21546"/>
    <cellStyle name="Normal 13 2 2 4 2 2 2 2" xfId="44133"/>
    <cellStyle name="Normal 13 2 2 4 2 2 3" xfId="11886"/>
    <cellStyle name="Normal 13 2 2 4 2 2 3 2" xfId="34473"/>
    <cellStyle name="Normal 13 2 2 4 2 2 4" xfId="28033"/>
    <cellStyle name="Normal 13 2 2 4 2 3" xfId="18326"/>
    <cellStyle name="Normal 13 2 2 4 2 3 2" xfId="40913"/>
    <cellStyle name="Normal 13 2 2 4 2 4" xfId="15106"/>
    <cellStyle name="Normal 13 2 2 4 2 4 2" xfId="37693"/>
    <cellStyle name="Normal 13 2 2 4 2 5" xfId="8666"/>
    <cellStyle name="Normal 13 2 2 4 2 5 2" xfId="31253"/>
    <cellStyle name="Normal 13 2 2 4 2 6" xfId="24813"/>
    <cellStyle name="Normal 13 2 2 4 3" xfId="4138"/>
    <cellStyle name="Normal 13 2 2 4 3 2" xfId="20238"/>
    <cellStyle name="Normal 13 2 2 4 3 2 2" xfId="42825"/>
    <cellStyle name="Normal 13 2 2 4 3 3" xfId="10578"/>
    <cellStyle name="Normal 13 2 2 4 3 3 2" xfId="33165"/>
    <cellStyle name="Normal 13 2 2 4 3 4" xfId="26725"/>
    <cellStyle name="Normal 13 2 2 4 4" xfId="17018"/>
    <cellStyle name="Normal 13 2 2 4 4 2" xfId="39605"/>
    <cellStyle name="Normal 13 2 2 4 5" xfId="13798"/>
    <cellStyle name="Normal 13 2 2 4 5 2" xfId="36385"/>
    <cellStyle name="Normal 13 2 2 4 6" xfId="7358"/>
    <cellStyle name="Normal 13 2 2 4 6 2" xfId="29945"/>
    <cellStyle name="Normal 13 2 2 4 7" xfId="23505"/>
    <cellStyle name="Normal 13 2 2 5" xfId="1258"/>
    <cellStyle name="Normal 13 2 2 5 2" xfId="2572"/>
    <cellStyle name="Normal 13 2 2 5 2 2" xfId="5793"/>
    <cellStyle name="Normal 13 2 2 5 2 2 2" xfId="21893"/>
    <cellStyle name="Normal 13 2 2 5 2 2 2 2" xfId="44480"/>
    <cellStyle name="Normal 13 2 2 5 2 2 3" xfId="12233"/>
    <cellStyle name="Normal 13 2 2 5 2 2 3 2" xfId="34820"/>
    <cellStyle name="Normal 13 2 2 5 2 2 4" xfId="28380"/>
    <cellStyle name="Normal 13 2 2 5 2 3" xfId="18673"/>
    <cellStyle name="Normal 13 2 2 5 2 3 2" xfId="41260"/>
    <cellStyle name="Normal 13 2 2 5 2 4" xfId="15453"/>
    <cellStyle name="Normal 13 2 2 5 2 4 2" xfId="38040"/>
    <cellStyle name="Normal 13 2 2 5 2 5" xfId="9013"/>
    <cellStyle name="Normal 13 2 2 5 2 5 2" xfId="31600"/>
    <cellStyle name="Normal 13 2 2 5 2 6" xfId="25160"/>
    <cellStyle name="Normal 13 2 2 5 3" xfId="4485"/>
    <cellStyle name="Normal 13 2 2 5 3 2" xfId="20585"/>
    <cellStyle name="Normal 13 2 2 5 3 2 2" xfId="43172"/>
    <cellStyle name="Normal 13 2 2 5 3 3" xfId="10925"/>
    <cellStyle name="Normal 13 2 2 5 3 3 2" xfId="33512"/>
    <cellStyle name="Normal 13 2 2 5 3 4" xfId="27072"/>
    <cellStyle name="Normal 13 2 2 5 4" xfId="17365"/>
    <cellStyle name="Normal 13 2 2 5 4 2" xfId="39952"/>
    <cellStyle name="Normal 13 2 2 5 5" xfId="14145"/>
    <cellStyle name="Normal 13 2 2 5 5 2" xfId="36732"/>
    <cellStyle name="Normal 13 2 2 5 6" xfId="7705"/>
    <cellStyle name="Normal 13 2 2 5 6 2" xfId="30292"/>
    <cellStyle name="Normal 13 2 2 5 7" xfId="23852"/>
    <cellStyle name="Normal 13 2 2 6" xfId="1562"/>
    <cellStyle name="Normal 13 2 2 6 2" xfId="4788"/>
    <cellStyle name="Normal 13 2 2 6 2 2" xfId="20888"/>
    <cellStyle name="Normal 13 2 2 6 2 2 2" xfId="43475"/>
    <cellStyle name="Normal 13 2 2 6 2 3" xfId="11228"/>
    <cellStyle name="Normal 13 2 2 6 2 3 2" xfId="33815"/>
    <cellStyle name="Normal 13 2 2 6 2 4" xfId="27375"/>
    <cellStyle name="Normal 13 2 2 6 3" xfId="17668"/>
    <cellStyle name="Normal 13 2 2 6 3 2" xfId="40255"/>
    <cellStyle name="Normal 13 2 2 6 4" xfId="14448"/>
    <cellStyle name="Normal 13 2 2 6 4 2" xfId="37035"/>
    <cellStyle name="Normal 13 2 2 6 5" xfId="8008"/>
    <cellStyle name="Normal 13 2 2 6 5 2" xfId="30595"/>
    <cellStyle name="Normal 13 2 2 6 6" xfId="24155"/>
    <cellStyle name="Normal 13 2 2 7" xfId="1877"/>
    <cellStyle name="Normal 13 2 2 7 2" xfId="5099"/>
    <cellStyle name="Normal 13 2 2 7 2 2" xfId="21199"/>
    <cellStyle name="Normal 13 2 2 7 2 2 2" xfId="43786"/>
    <cellStyle name="Normal 13 2 2 7 2 3" xfId="11539"/>
    <cellStyle name="Normal 13 2 2 7 2 3 2" xfId="34126"/>
    <cellStyle name="Normal 13 2 2 7 2 4" xfId="27686"/>
    <cellStyle name="Normal 13 2 2 7 3" xfId="17979"/>
    <cellStyle name="Normal 13 2 2 7 3 2" xfId="40566"/>
    <cellStyle name="Normal 13 2 2 7 4" xfId="14759"/>
    <cellStyle name="Normal 13 2 2 7 4 2" xfId="37346"/>
    <cellStyle name="Normal 13 2 2 7 5" xfId="8319"/>
    <cellStyle name="Normal 13 2 2 7 5 2" xfId="30906"/>
    <cellStyle name="Normal 13 2 2 7 6" xfId="24466"/>
    <cellStyle name="Normal 13 2 2 8" xfId="2920"/>
    <cellStyle name="Normal 13 2 2 8 2" xfId="6141"/>
    <cellStyle name="Normal 13 2 2 8 2 2" xfId="22241"/>
    <cellStyle name="Normal 13 2 2 8 2 2 2" xfId="44828"/>
    <cellStyle name="Normal 13 2 2 8 2 3" xfId="12581"/>
    <cellStyle name="Normal 13 2 2 8 2 3 2" xfId="35168"/>
    <cellStyle name="Normal 13 2 2 8 2 4" xfId="28728"/>
    <cellStyle name="Normal 13 2 2 8 3" xfId="19021"/>
    <cellStyle name="Normal 13 2 2 8 3 2" xfId="41608"/>
    <cellStyle name="Normal 13 2 2 8 4" xfId="15801"/>
    <cellStyle name="Normal 13 2 2 8 4 2" xfId="38388"/>
    <cellStyle name="Normal 13 2 2 8 5" xfId="9361"/>
    <cellStyle name="Normal 13 2 2 8 5 2" xfId="31948"/>
    <cellStyle name="Normal 13 2 2 8 6" xfId="25508"/>
    <cellStyle name="Normal 13 2 2 9" xfId="3211"/>
    <cellStyle name="Normal 13 2 2 9 2" xfId="6431"/>
    <cellStyle name="Normal 13 2 2 9 2 2" xfId="22531"/>
    <cellStyle name="Normal 13 2 2 9 2 2 2" xfId="45118"/>
    <cellStyle name="Normal 13 2 2 9 2 3" xfId="12871"/>
    <cellStyle name="Normal 13 2 2 9 2 3 2" xfId="35458"/>
    <cellStyle name="Normal 13 2 2 9 2 4" xfId="29018"/>
    <cellStyle name="Normal 13 2 2 9 3" xfId="19311"/>
    <cellStyle name="Normal 13 2 2 9 3 2" xfId="41898"/>
    <cellStyle name="Normal 13 2 2 9 4" xfId="16091"/>
    <cellStyle name="Normal 13 2 2 9 4 2" xfId="38678"/>
    <cellStyle name="Normal 13 2 2 9 5" xfId="9651"/>
    <cellStyle name="Normal 13 2 2 9 5 2" xfId="32238"/>
    <cellStyle name="Normal 13 2 2 9 6" xfId="25798"/>
    <cellStyle name="Normal 13 2 3" xfId="277"/>
    <cellStyle name="Normal 13 2 3 10" xfId="3564"/>
    <cellStyle name="Normal 13 2 3 10 2" xfId="19664"/>
    <cellStyle name="Normal 13 2 3 10 2 2" xfId="42251"/>
    <cellStyle name="Normal 13 2 3 10 3" xfId="10004"/>
    <cellStyle name="Normal 13 2 3 10 3 2" xfId="32591"/>
    <cellStyle name="Normal 13 2 3 10 4" xfId="26151"/>
    <cellStyle name="Normal 13 2 3 11" xfId="16444"/>
    <cellStyle name="Normal 13 2 3 11 2" xfId="39031"/>
    <cellStyle name="Normal 13 2 3 12" xfId="13224"/>
    <cellStyle name="Normal 13 2 3 12 2" xfId="35811"/>
    <cellStyle name="Normal 13 2 3 13" xfId="6784"/>
    <cellStyle name="Normal 13 2 3 13 2" xfId="29371"/>
    <cellStyle name="Normal 13 2 3 14" xfId="22931"/>
    <cellStyle name="Normal 13 2 3 2" xfId="703"/>
    <cellStyle name="Normal 13 2 3 2 2" xfId="1067"/>
    <cellStyle name="Normal 13 2 3 2 2 2" xfId="2381"/>
    <cellStyle name="Normal 13 2 3 2 2 2 2" xfId="5602"/>
    <cellStyle name="Normal 13 2 3 2 2 2 2 2" xfId="21702"/>
    <cellStyle name="Normal 13 2 3 2 2 2 2 2 2" xfId="44289"/>
    <cellStyle name="Normal 13 2 3 2 2 2 2 3" xfId="12042"/>
    <cellStyle name="Normal 13 2 3 2 2 2 2 3 2" xfId="34629"/>
    <cellStyle name="Normal 13 2 3 2 2 2 2 4" xfId="28189"/>
    <cellStyle name="Normal 13 2 3 2 2 2 3" xfId="18482"/>
    <cellStyle name="Normal 13 2 3 2 2 2 3 2" xfId="41069"/>
    <cellStyle name="Normal 13 2 3 2 2 2 4" xfId="15262"/>
    <cellStyle name="Normal 13 2 3 2 2 2 4 2" xfId="37849"/>
    <cellStyle name="Normal 13 2 3 2 2 2 5" xfId="8822"/>
    <cellStyle name="Normal 13 2 3 2 2 2 5 2" xfId="31409"/>
    <cellStyle name="Normal 13 2 3 2 2 2 6" xfId="24969"/>
    <cellStyle name="Normal 13 2 3 2 2 3" xfId="4294"/>
    <cellStyle name="Normal 13 2 3 2 2 3 2" xfId="20394"/>
    <cellStyle name="Normal 13 2 3 2 2 3 2 2" xfId="42981"/>
    <cellStyle name="Normal 13 2 3 2 2 3 3" xfId="10734"/>
    <cellStyle name="Normal 13 2 3 2 2 3 3 2" xfId="33321"/>
    <cellStyle name="Normal 13 2 3 2 2 3 4" xfId="26881"/>
    <cellStyle name="Normal 13 2 3 2 2 4" xfId="17174"/>
    <cellStyle name="Normal 13 2 3 2 2 4 2" xfId="39761"/>
    <cellStyle name="Normal 13 2 3 2 2 5" xfId="13954"/>
    <cellStyle name="Normal 13 2 3 2 2 5 2" xfId="36541"/>
    <cellStyle name="Normal 13 2 3 2 2 6" xfId="7514"/>
    <cellStyle name="Normal 13 2 3 2 2 6 2" xfId="30101"/>
    <cellStyle name="Normal 13 2 3 2 2 7" xfId="23661"/>
    <cellStyle name="Normal 13 2 3 2 3" xfId="1414"/>
    <cellStyle name="Normal 13 2 3 2 3 2" xfId="2728"/>
    <cellStyle name="Normal 13 2 3 2 3 2 2" xfId="5949"/>
    <cellStyle name="Normal 13 2 3 2 3 2 2 2" xfId="22049"/>
    <cellStyle name="Normal 13 2 3 2 3 2 2 2 2" xfId="44636"/>
    <cellStyle name="Normal 13 2 3 2 3 2 2 3" xfId="12389"/>
    <cellStyle name="Normal 13 2 3 2 3 2 2 3 2" xfId="34976"/>
    <cellStyle name="Normal 13 2 3 2 3 2 2 4" xfId="28536"/>
    <cellStyle name="Normal 13 2 3 2 3 2 3" xfId="18829"/>
    <cellStyle name="Normal 13 2 3 2 3 2 3 2" xfId="41416"/>
    <cellStyle name="Normal 13 2 3 2 3 2 4" xfId="15609"/>
    <cellStyle name="Normal 13 2 3 2 3 2 4 2" xfId="38196"/>
    <cellStyle name="Normal 13 2 3 2 3 2 5" xfId="9169"/>
    <cellStyle name="Normal 13 2 3 2 3 2 5 2" xfId="31756"/>
    <cellStyle name="Normal 13 2 3 2 3 2 6" xfId="25316"/>
    <cellStyle name="Normal 13 2 3 2 3 3" xfId="4641"/>
    <cellStyle name="Normal 13 2 3 2 3 3 2" xfId="20741"/>
    <cellStyle name="Normal 13 2 3 2 3 3 2 2" xfId="43328"/>
    <cellStyle name="Normal 13 2 3 2 3 3 3" xfId="11081"/>
    <cellStyle name="Normal 13 2 3 2 3 3 3 2" xfId="33668"/>
    <cellStyle name="Normal 13 2 3 2 3 3 4" xfId="27228"/>
    <cellStyle name="Normal 13 2 3 2 3 4" xfId="17521"/>
    <cellStyle name="Normal 13 2 3 2 3 4 2" xfId="40108"/>
    <cellStyle name="Normal 13 2 3 2 3 5" xfId="14301"/>
    <cellStyle name="Normal 13 2 3 2 3 5 2" xfId="36888"/>
    <cellStyle name="Normal 13 2 3 2 3 6" xfId="7861"/>
    <cellStyle name="Normal 13 2 3 2 3 6 2" xfId="30448"/>
    <cellStyle name="Normal 13 2 3 2 3 7" xfId="24008"/>
    <cellStyle name="Normal 13 2 3 2 4" xfId="2033"/>
    <cellStyle name="Normal 13 2 3 2 4 2" xfId="5255"/>
    <cellStyle name="Normal 13 2 3 2 4 2 2" xfId="21355"/>
    <cellStyle name="Normal 13 2 3 2 4 2 2 2" xfId="43942"/>
    <cellStyle name="Normal 13 2 3 2 4 2 3" xfId="11695"/>
    <cellStyle name="Normal 13 2 3 2 4 2 3 2" xfId="34282"/>
    <cellStyle name="Normal 13 2 3 2 4 2 4" xfId="27842"/>
    <cellStyle name="Normal 13 2 3 2 4 3" xfId="18135"/>
    <cellStyle name="Normal 13 2 3 2 4 3 2" xfId="40722"/>
    <cellStyle name="Normal 13 2 3 2 4 4" xfId="14915"/>
    <cellStyle name="Normal 13 2 3 2 4 4 2" xfId="37502"/>
    <cellStyle name="Normal 13 2 3 2 4 5" xfId="8475"/>
    <cellStyle name="Normal 13 2 3 2 4 5 2" xfId="31062"/>
    <cellStyle name="Normal 13 2 3 2 4 6" xfId="24622"/>
    <cellStyle name="Normal 13 2 3 2 5" xfId="3947"/>
    <cellStyle name="Normal 13 2 3 2 5 2" xfId="20047"/>
    <cellStyle name="Normal 13 2 3 2 5 2 2" xfId="42634"/>
    <cellStyle name="Normal 13 2 3 2 5 3" xfId="10387"/>
    <cellStyle name="Normal 13 2 3 2 5 3 2" xfId="32974"/>
    <cellStyle name="Normal 13 2 3 2 5 4" xfId="26534"/>
    <cellStyle name="Normal 13 2 3 2 6" xfId="16827"/>
    <cellStyle name="Normal 13 2 3 2 6 2" xfId="39414"/>
    <cellStyle name="Normal 13 2 3 2 7" xfId="13607"/>
    <cellStyle name="Normal 13 2 3 2 7 2" xfId="36194"/>
    <cellStyle name="Normal 13 2 3 2 8" xfId="7167"/>
    <cellStyle name="Normal 13 2 3 2 8 2" xfId="29754"/>
    <cellStyle name="Normal 13 2 3 2 9" xfId="23314"/>
    <cellStyle name="Normal 13 2 3 3" xfId="946"/>
    <cellStyle name="Normal 13 2 3 3 2" xfId="2265"/>
    <cellStyle name="Normal 13 2 3 3 2 2" xfId="5486"/>
    <cellStyle name="Normal 13 2 3 3 2 2 2" xfId="21586"/>
    <cellStyle name="Normal 13 2 3 3 2 2 2 2" xfId="44173"/>
    <cellStyle name="Normal 13 2 3 3 2 2 3" xfId="11926"/>
    <cellStyle name="Normal 13 2 3 3 2 2 3 2" xfId="34513"/>
    <cellStyle name="Normal 13 2 3 3 2 2 4" xfId="28073"/>
    <cellStyle name="Normal 13 2 3 3 2 3" xfId="18366"/>
    <cellStyle name="Normal 13 2 3 3 2 3 2" xfId="40953"/>
    <cellStyle name="Normal 13 2 3 3 2 4" xfId="15146"/>
    <cellStyle name="Normal 13 2 3 3 2 4 2" xfId="37733"/>
    <cellStyle name="Normal 13 2 3 3 2 5" xfId="8706"/>
    <cellStyle name="Normal 13 2 3 3 2 5 2" xfId="31293"/>
    <cellStyle name="Normal 13 2 3 3 2 6" xfId="24853"/>
    <cellStyle name="Normal 13 2 3 3 3" xfId="4178"/>
    <cellStyle name="Normal 13 2 3 3 3 2" xfId="20278"/>
    <cellStyle name="Normal 13 2 3 3 3 2 2" xfId="42865"/>
    <cellStyle name="Normal 13 2 3 3 3 3" xfId="10618"/>
    <cellStyle name="Normal 13 2 3 3 3 3 2" xfId="33205"/>
    <cellStyle name="Normal 13 2 3 3 3 4" xfId="26765"/>
    <cellStyle name="Normal 13 2 3 3 4" xfId="17058"/>
    <cellStyle name="Normal 13 2 3 3 4 2" xfId="39645"/>
    <cellStyle name="Normal 13 2 3 3 5" xfId="13838"/>
    <cellStyle name="Normal 13 2 3 3 5 2" xfId="36425"/>
    <cellStyle name="Normal 13 2 3 3 6" xfId="7398"/>
    <cellStyle name="Normal 13 2 3 3 6 2" xfId="29985"/>
    <cellStyle name="Normal 13 2 3 3 7" xfId="23545"/>
    <cellStyle name="Normal 13 2 3 4" xfId="1298"/>
    <cellStyle name="Normal 13 2 3 4 2" xfId="2612"/>
    <cellStyle name="Normal 13 2 3 4 2 2" xfId="5833"/>
    <cellStyle name="Normal 13 2 3 4 2 2 2" xfId="21933"/>
    <cellStyle name="Normal 13 2 3 4 2 2 2 2" xfId="44520"/>
    <cellStyle name="Normal 13 2 3 4 2 2 3" xfId="12273"/>
    <cellStyle name="Normal 13 2 3 4 2 2 3 2" xfId="34860"/>
    <cellStyle name="Normal 13 2 3 4 2 2 4" xfId="28420"/>
    <cellStyle name="Normal 13 2 3 4 2 3" xfId="18713"/>
    <cellStyle name="Normal 13 2 3 4 2 3 2" xfId="41300"/>
    <cellStyle name="Normal 13 2 3 4 2 4" xfId="15493"/>
    <cellStyle name="Normal 13 2 3 4 2 4 2" xfId="38080"/>
    <cellStyle name="Normal 13 2 3 4 2 5" xfId="9053"/>
    <cellStyle name="Normal 13 2 3 4 2 5 2" xfId="31640"/>
    <cellStyle name="Normal 13 2 3 4 2 6" xfId="25200"/>
    <cellStyle name="Normal 13 2 3 4 3" xfId="4525"/>
    <cellStyle name="Normal 13 2 3 4 3 2" xfId="20625"/>
    <cellStyle name="Normal 13 2 3 4 3 2 2" xfId="43212"/>
    <cellStyle name="Normal 13 2 3 4 3 3" xfId="10965"/>
    <cellStyle name="Normal 13 2 3 4 3 3 2" xfId="33552"/>
    <cellStyle name="Normal 13 2 3 4 3 4" xfId="27112"/>
    <cellStyle name="Normal 13 2 3 4 4" xfId="17405"/>
    <cellStyle name="Normal 13 2 3 4 4 2" xfId="39992"/>
    <cellStyle name="Normal 13 2 3 4 5" xfId="14185"/>
    <cellStyle name="Normal 13 2 3 4 5 2" xfId="36772"/>
    <cellStyle name="Normal 13 2 3 4 6" xfId="7745"/>
    <cellStyle name="Normal 13 2 3 4 6 2" xfId="30332"/>
    <cellStyle name="Normal 13 2 3 4 7" xfId="23892"/>
    <cellStyle name="Normal 13 2 3 5" xfId="1563"/>
    <cellStyle name="Normal 13 2 3 5 2" xfId="4789"/>
    <cellStyle name="Normal 13 2 3 5 2 2" xfId="20889"/>
    <cellStyle name="Normal 13 2 3 5 2 2 2" xfId="43476"/>
    <cellStyle name="Normal 13 2 3 5 2 3" xfId="11229"/>
    <cellStyle name="Normal 13 2 3 5 2 3 2" xfId="33816"/>
    <cellStyle name="Normal 13 2 3 5 2 4" xfId="27376"/>
    <cellStyle name="Normal 13 2 3 5 3" xfId="17669"/>
    <cellStyle name="Normal 13 2 3 5 3 2" xfId="40256"/>
    <cellStyle name="Normal 13 2 3 5 4" xfId="14449"/>
    <cellStyle name="Normal 13 2 3 5 4 2" xfId="37036"/>
    <cellStyle name="Normal 13 2 3 5 5" xfId="8009"/>
    <cellStyle name="Normal 13 2 3 5 5 2" xfId="30596"/>
    <cellStyle name="Normal 13 2 3 5 6" xfId="24156"/>
    <cellStyle name="Normal 13 2 3 6" xfId="1917"/>
    <cellStyle name="Normal 13 2 3 6 2" xfId="5139"/>
    <cellStyle name="Normal 13 2 3 6 2 2" xfId="21239"/>
    <cellStyle name="Normal 13 2 3 6 2 2 2" xfId="43826"/>
    <cellStyle name="Normal 13 2 3 6 2 3" xfId="11579"/>
    <cellStyle name="Normal 13 2 3 6 2 3 2" xfId="34166"/>
    <cellStyle name="Normal 13 2 3 6 2 4" xfId="27726"/>
    <cellStyle name="Normal 13 2 3 6 3" xfId="18019"/>
    <cellStyle name="Normal 13 2 3 6 3 2" xfId="40606"/>
    <cellStyle name="Normal 13 2 3 6 4" xfId="14799"/>
    <cellStyle name="Normal 13 2 3 6 4 2" xfId="37386"/>
    <cellStyle name="Normal 13 2 3 6 5" xfId="8359"/>
    <cellStyle name="Normal 13 2 3 6 5 2" xfId="30946"/>
    <cellStyle name="Normal 13 2 3 6 6" xfId="24506"/>
    <cellStyle name="Normal 13 2 3 7" xfId="2984"/>
    <cellStyle name="Normal 13 2 3 7 2" xfId="6204"/>
    <cellStyle name="Normal 13 2 3 7 2 2" xfId="22304"/>
    <cellStyle name="Normal 13 2 3 7 2 2 2" xfId="44891"/>
    <cellStyle name="Normal 13 2 3 7 2 3" xfId="12644"/>
    <cellStyle name="Normal 13 2 3 7 2 3 2" xfId="35231"/>
    <cellStyle name="Normal 13 2 3 7 2 4" xfId="28791"/>
    <cellStyle name="Normal 13 2 3 7 3" xfId="19084"/>
    <cellStyle name="Normal 13 2 3 7 3 2" xfId="41671"/>
    <cellStyle name="Normal 13 2 3 7 4" xfId="15864"/>
    <cellStyle name="Normal 13 2 3 7 4 2" xfId="38451"/>
    <cellStyle name="Normal 13 2 3 7 5" xfId="9424"/>
    <cellStyle name="Normal 13 2 3 7 5 2" xfId="32011"/>
    <cellStyle name="Normal 13 2 3 7 6" xfId="25571"/>
    <cellStyle name="Normal 13 2 3 8" xfId="3274"/>
    <cellStyle name="Normal 13 2 3 8 2" xfId="6494"/>
    <cellStyle name="Normal 13 2 3 8 2 2" xfId="22594"/>
    <cellStyle name="Normal 13 2 3 8 2 2 2" xfId="45181"/>
    <cellStyle name="Normal 13 2 3 8 2 3" xfId="12934"/>
    <cellStyle name="Normal 13 2 3 8 2 3 2" xfId="35521"/>
    <cellStyle name="Normal 13 2 3 8 2 4" xfId="29081"/>
    <cellStyle name="Normal 13 2 3 8 3" xfId="19374"/>
    <cellStyle name="Normal 13 2 3 8 3 2" xfId="41961"/>
    <cellStyle name="Normal 13 2 3 8 4" xfId="16154"/>
    <cellStyle name="Normal 13 2 3 8 4 2" xfId="38741"/>
    <cellStyle name="Normal 13 2 3 8 5" xfId="9714"/>
    <cellStyle name="Normal 13 2 3 8 5 2" xfId="32301"/>
    <cellStyle name="Normal 13 2 3 8 6" xfId="25861"/>
    <cellStyle name="Normal 13 2 3 9" xfId="544"/>
    <cellStyle name="Normal 13 2 3 9 2" xfId="3831"/>
    <cellStyle name="Normal 13 2 3 9 2 2" xfId="19931"/>
    <cellStyle name="Normal 13 2 3 9 2 2 2" xfId="42518"/>
    <cellStyle name="Normal 13 2 3 9 2 3" xfId="10271"/>
    <cellStyle name="Normal 13 2 3 9 2 3 2" xfId="32858"/>
    <cellStyle name="Normal 13 2 3 9 2 4" xfId="26418"/>
    <cellStyle name="Normal 13 2 3 9 3" xfId="16711"/>
    <cellStyle name="Normal 13 2 3 9 3 2" xfId="39298"/>
    <cellStyle name="Normal 13 2 3 9 4" xfId="13491"/>
    <cellStyle name="Normal 13 2 3 9 4 2" xfId="36078"/>
    <cellStyle name="Normal 13 2 3 9 5" xfId="7051"/>
    <cellStyle name="Normal 13 2 3 9 5 2" xfId="29638"/>
    <cellStyle name="Normal 13 2 3 9 6" xfId="23198"/>
    <cellStyle name="Normal 13 2 4" xfId="370"/>
    <cellStyle name="Normal 13 2 4 10" xfId="13317"/>
    <cellStyle name="Normal 13 2 4 10 2" xfId="35904"/>
    <cellStyle name="Normal 13 2 4 11" xfId="6877"/>
    <cellStyle name="Normal 13 2 4 11 2" xfId="29464"/>
    <cellStyle name="Normal 13 2 4 12" xfId="23024"/>
    <cellStyle name="Normal 13 2 4 2" xfId="993"/>
    <cellStyle name="Normal 13 2 4 2 2" xfId="2307"/>
    <cellStyle name="Normal 13 2 4 2 2 2" xfId="5528"/>
    <cellStyle name="Normal 13 2 4 2 2 2 2" xfId="21628"/>
    <cellStyle name="Normal 13 2 4 2 2 2 2 2" xfId="44215"/>
    <cellStyle name="Normal 13 2 4 2 2 2 3" xfId="11968"/>
    <cellStyle name="Normal 13 2 4 2 2 2 3 2" xfId="34555"/>
    <cellStyle name="Normal 13 2 4 2 2 2 4" xfId="28115"/>
    <cellStyle name="Normal 13 2 4 2 2 3" xfId="18408"/>
    <cellStyle name="Normal 13 2 4 2 2 3 2" xfId="40995"/>
    <cellStyle name="Normal 13 2 4 2 2 4" xfId="15188"/>
    <cellStyle name="Normal 13 2 4 2 2 4 2" xfId="37775"/>
    <cellStyle name="Normal 13 2 4 2 2 5" xfId="8748"/>
    <cellStyle name="Normal 13 2 4 2 2 5 2" xfId="31335"/>
    <cellStyle name="Normal 13 2 4 2 2 6" xfId="24895"/>
    <cellStyle name="Normal 13 2 4 2 3" xfId="4220"/>
    <cellStyle name="Normal 13 2 4 2 3 2" xfId="20320"/>
    <cellStyle name="Normal 13 2 4 2 3 2 2" xfId="42907"/>
    <cellStyle name="Normal 13 2 4 2 3 3" xfId="10660"/>
    <cellStyle name="Normal 13 2 4 2 3 3 2" xfId="33247"/>
    <cellStyle name="Normal 13 2 4 2 3 4" xfId="26807"/>
    <cellStyle name="Normal 13 2 4 2 4" xfId="17100"/>
    <cellStyle name="Normal 13 2 4 2 4 2" xfId="39687"/>
    <cellStyle name="Normal 13 2 4 2 5" xfId="13880"/>
    <cellStyle name="Normal 13 2 4 2 5 2" xfId="36467"/>
    <cellStyle name="Normal 13 2 4 2 6" xfId="7440"/>
    <cellStyle name="Normal 13 2 4 2 6 2" xfId="30027"/>
    <cellStyle name="Normal 13 2 4 2 7" xfId="23587"/>
    <cellStyle name="Normal 13 2 4 3" xfId="1340"/>
    <cellStyle name="Normal 13 2 4 3 2" xfId="2654"/>
    <cellStyle name="Normal 13 2 4 3 2 2" xfId="5875"/>
    <cellStyle name="Normal 13 2 4 3 2 2 2" xfId="21975"/>
    <cellStyle name="Normal 13 2 4 3 2 2 2 2" xfId="44562"/>
    <cellStyle name="Normal 13 2 4 3 2 2 3" xfId="12315"/>
    <cellStyle name="Normal 13 2 4 3 2 2 3 2" xfId="34902"/>
    <cellStyle name="Normal 13 2 4 3 2 2 4" xfId="28462"/>
    <cellStyle name="Normal 13 2 4 3 2 3" xfId="18755"/>
    <cellStyle name="Normal 13 2 4 3 2 3 2" xfId="41342"/>
    <cellStyle name="Normal 13 2 4 3 2 4" xfId="15535"/>
    <cellStyle name="Normal 13 2 4 3 2 4 2" xfId="38122"/>
    <cellStyle name="Normal 13 2 4 3 2 5" xfId="9095"/>
    <cellStyle name="Normal 13 2 4 3 2 5 2" xfId="31682"/>
    <cellStyle name="Normal 13 2 4 3 2 6" xfId="25242"/>
    <cellStyle name="Normal 13 2 4 3 3" xfId="4567"/>
    <cellStyle name="Normal 13 2 4 3 3 2" xfId="20667"/>
    <cellStyle name="Normal 13 2 4 3 3 2 2" xfId="43254"/>
    <cellStyle name="Normal 13 2 4 3 3 3" xfId="11007"/>
    <cellStyle name="Normal 13 2 4 3 3 3 2" xfId="33594"/>
    <cellStyle name="Normal 13 2 4 3 3 4" xfId="27154"/>
    <cellStyle name="Normal 13 2 4 3 4" xfId="17447"/>
    <cellStyle name="Normal 13 2 4 3 4 2" xfId="40034"/>
    <cellStyle name="Normal 13 2 4 3 5" xfId="14227"/>
    <cellStyle name="Normal 13 2 4 3 5 2" xfId="36814"/>
    <cellStyle name="Normal 13 2 4 3 6" xfId="7787"/>
    <cellStyle name="Normal 13 2 4 3 6 2" xfId="30374"/>
    <cellStyle name="Normal 13 2 4 3 7" xfId="23934"/>
    <cellStyle name="Normal 13 2 4 4" xfId="1959"/>
    <cellStyle name="Normal 13 2 4 4 2" xfId="5181"/>
    <cellStyle name="Normal 13 2 4 4 2 2" xfId="21281"/>
    <cellStyle name="Normal 13 2 4 4 2 2 2" xfId="43868"/>
    <cellStyle name="Normal 13 2 4 4 2 3" xfId="11621"/>
    <cellStyle name="Normal 13 2 4 4 2 3 2" xfId="34208"/>
    <cellStyle name="Normal 13 2 4 4 2 4" xfId="27768"/>
    <cellStyle name="Normal 13 2 4 4 3" xfId="18061"/>
    <cellStyle name="Normal 13 2 4 4 3 2" xfId="40648"/>
    <cellStyle name="Normal 13 2 4 4 4" xfId="14841"/>
    <cellStyle name="Normal 13 2 4 4 4 2" xfId="37428"/>
    <cellStyle name="Normal 13 2 4 4 5" xfId="8401"/>
    <cellStyle name="Normal 13 2 4 4 5 2" xfId="30988"/>
    <cellStyle name="Normal 13 2 4 4 6" xfId="24548"/>
    <cellStyle name="Normal 13 2 4 5" xfId="3077"/>
    <cellStyle name="Normal 13 2 4 5 2" xfId="6297"/>
    <cellStyle name="Normal 13 2 4 5 2 2" xfId="22397"/>
    <cellStyle name="Normal 13 2 4 5 2 2 2" xfId="44984"/>
    <cellStyle name="Normal 13 2 4 5 2 3" xfId="12737"/>
    <cellStyle name="Normal 13 2 4 5 2 3 2" xfId="35324"/>
    <cellStyle name="Normal 13 2 4 5 2 4" xfId="28884"/>
    <cellStyle name="Normal 13 2 4 5 3" xfId="19177"/>
    <cellStyle name="Normal 13 2 4 5 3 2" xfId="41764"/>
    <cellStyle name="Normal 13 2 4 5 4" xfId="15957"/>
    <cellStyle name="Normal 13 2 4 5 4 2" xfId="38544"/>
    <cellStyle name="Normal 13 2 4 5 5" xfId="9517"/>
    <cellStyle name="Normal 13 2 4 5 5 2" xfId="32104"/>
    <cellStyle name="Normal 13 2 4 5 6" xfId="25664"/>
    <cellStyle name="Normal 13 2 4 6" xfId="3367"/>
    <cellStyle name="Normal 13 2 4 6 2" xfId="6587"/>
    <cellStyle name="Normal 13 2 4 6 2 2" xfId="22687"/>
    <cellStyle name="Normal 13 2 4 6 2 2 2" xfId="45274"/>
    <cellStyle name="Normal 13 2 4 6 2 3" xfId="13027"/>
    <cellStyle name="Normal 13 2 4 6 2 3 2" xfId="35614"/>
    <cellStyle name="Normal 13 2 4 6 2 4" xfId="29174"/>
    <cellStyle name="Normal 13 2 4 6 3" xfId="19467"/>
    <cellStyle name="Normal 13 2 4 6 3 2" xfId="42054"/>
    <cellStyle name="Normal 13 2 4 6 4" xfId="16247"/>
    <cellStyle name="Normal 13 2 4 6 4 2" xfId="38834"/>
    <cellStyle name="Normal 13 2 4 6 5" xfId="9807"/>
    <cellStyle name="Normal 13 2 4 6 5 2" xfId="32394"/>
    <cellStyle name="Normal 13 2 4 6 6" xfId="25954"/>
    <cellStyle name="Normal 13 2 4 7" xfId="629"/>
    <cellStyle name="Normal 13 2 4 7 2" xfId="3873"/>
    <cellStyle name="Normal 13 2 4 7 2 2" xfId="19973"/>
    <cellStyle name="Normal 13 2 4 7 2 2 2" xfId="42560"/>
    <cellStyle name="Normal 13 2 4 7 2 3" xfId="10313"/>
    <cellStyle name="Normal 13 2 4 7 2 3 2" xfId="32900"/>
    <cellStyle name="Normal 13 2 4 7 2 4" xfId="26460"/>
    <cellStyle name="Normal 13 2 4 7 3" xfId="16753"/>
    <cellStyle name="Normal 13 2 4 7 3 2" xfId="39340"/>
    <cellStyle name="Normal 13 2 4 7 4" xfId="13533"/>
    <cellStyle name="Normal 13 2 4 7 4 2" xfId="36120"/>
    <cellStyle name="Normal 13 2 4 7 5" xfId="7093"/>
    <cellStyle name="Normal 13 2 4 7 5 2" xfId="29680"/>
    <cellStyle name="Normal 13 2 4 7 6" xfId="23240"/>
    <cellStyle name="Normal 13 2 4 8" xfId="3657"/>
    <cellStyle name="Normal 13 2 4 8 2" xfId="19757"/>
    <cellStyle name="Normal 13 2 4 8 2 2" xfId="42344"/>
    <cellStyle name="Normal 13 2 4 8 3" xfId="10097"/>
    <cellStyle name="Normal 13 2 4 8 3 2" xfId="32684"/>
    <cellStyle name="Normal 13 2 4 8 4" xfId="26244"/>
    <cellStyle name="Normal 13 2 4 9" xfId="16537"/>
    <cellStyle name="Normal 13 2 4 9 2" xfId="39124"/>
    <cellStyle name="Normal 13 2 5" xfId="799"/>
    <cellStyle name="Normal 13 2 5 2" xfId="1151"/>
    <cellStyle name="Normal 13 2 5 2 2" xfId="2465"/>
    <cellStyle name="Normal 13 2 5 2 2 2" xfId="5686"/>
    <cellStyle name="Normal 13 2 5 2 2 2 2" xfId="21786"/>
    <cellStyle name="Normal 13 2 5 2 2 2 2 2" xfId="44373"/>
    <cellStyle name="Normal 13 2 5 2 2 2 3" xfId="12126"/>
    <cellStyle name="Normal 13 2 5 2 2 2 3 2" xfId="34713"/>
    <cellStyle name="Normal 13 2 5 2 2 2 4" xfId="28273"/>
    <cellStyle name="Normal 13 2 5 2 2 3" xfId="18566"/>
    <cellStyle name="Normal 13 2 5 2 2 3 2" xfId="41153"/>
    <cellStyle name="Normal 13 2 5 2 2 4" xfId="15346"/>
    <cellStyle name="Normal 13 2 5 2 2 4 2" xfId="37933"/>
    <cellStyle name="Normal 13 2 5 2 2 5" xfId="8906"/>
    <cellStyle name="Normal 13 2 5 2 2 5 2" xfId="31493"/>
    <cellStyle name="Normal 13 2 5 2 2 6" xfId="25053"/>
    <cellStyle name="Normal 13 2 5 2 3" xfId="4378"/>
    <cellStyle name="Normal 13 2 5 2 3 2" xfId="20478"/>
    <cellStyle name="Normal 13 2 5 2 3 2 2" xfId="43065"/>
    <cellStyle name="Normal 13 2 5 2 3 3" xfId="10818"/>
    <cellStyle name="Normal 13 2 5 2 3 3 2" xfId="33405"/>
    <cellStyle name="Normal 13 2 5 2 3 4" xfId="26965"/>
    <cellStyle name="Normal 13 2 5 2 4" xfId="17258"/>
    <cellStyle name="Normal 13 2 5 2 4 2" xfId="39845"/>
    <cellStyle name="Normal 13 2 5 2 5" xfId="14038"/>
    <cellStyle name="Normal 13 2 5 2 5 2" xfId="36625"/>
    <cellStyle name="Normal 13 2 5 2 6" xfId="7598"/>
    <cellStyle name="Normal 13 2 5 2 6 2" xfId="30185"/>
    <cellStyle name="Normal 13 2 5 2 7" xfId="23745"/>
    <cellStyle name="Normal 13 2 5 3" xfId="1498"/>
    <cellStyle name="Normal 13 2 5 3 2" xfId="2812"/>
    <cellStyle name="Normal 13 2 5 3 2 2" xfId="6033"/>
    <cellStyle name="Normal 13 2 5 3 2 2 2" xfId="22133"/>
    <cellStyle name="Normal 13 2 5 3 2 2 2 2" xfId="44720"/>
    <cellStyle name="Normal 13 2 5 3 2 2 3" xfId="12473"/>
    <cellStyle name="Normal 13 2 5 3 2 2 3 2" xfId="35060"/>
    <cellStyle name="Normal 13 2 5 3 2 2 4" xfId="28620"/>
    <cellStyle name="Normal 13 2 5 3 2 3" xfId="18913"/>
    <cellStyle name="Normal 13 2 5 3 2 3 2" xfId="41500"/>
    <cellStyle name="Normal 13 2 5 3 2 4" xfId="15693"/>
    <cellStyle name="Normal 13 2 5 3 2 4 2" xfId="38280"/>
    <cellStyle name="Normal 13 2 5 3 2 5" xfId="9253"/>
    <cellStyle name="Normal 13 2 5 3 2 5 2" xfId="31840"/>
    <cellStyle name="Normal 13 2 5 3 2 6" xfId="25400"/>
    <cellStyle name="Normal 13 2 5 3 3" xfId="4725"/>
    <cellStyle name="Normal 13 2 5 3 3 2" xfId="20825"/>
    <cellStyle name="Normal 13 2 5 3 3 2 2" xfId="43412"/>
    <cellStyle name="Normal 13 2 5 3 3 3" xfId="11165"/>
    <cellStyle name="Normal 13 2 5 3 3 3 2" xfId="33752"/>
    <cellStyle name="Normal 13 2 5 3 3 4" xfId="27312"/>
    <cellStyle name="Normal 13 2 5 3 4" xfId="17605"/>
    <cellStyle name="Normal 13 2 5 3 4 2" xfId="40192"/>
    <cellStyle name="Normal 13 2 5 3 5" xfId="14385"/>
    <cellStyle name="Normal 13 2 5 3 5 2" xfId="36972"/>
    <cellStyle name="Normal 13 2 5 3 6" xfId="7945"/>
    <cellStyle name="Normal 13 2 5 3 6 2" xfId="30532"/>
    <cellStyle name="Normal 13 2 5 3 7" xfId="24092"/>
    <cellStyle name="Normal 13 2 5 4" xfId="2118"/>
    <cellStyle name="Normal 13 2 5 4 2" xfId="5339"/>
    <cellStyle name="Normal 13 2 5 4 2 2" xfId="21439"/>
    <cellStyle name="Normal 13 2 5 4 2 2 2" xfId="44026"/>
    <cellStyle name="Normal 13 2 5 4 2 3" xfId="11779"/>
    <cellStyle name="Normal 13 2 5 4 2 3 2" xfId="34366"/>
    <cellStyle name="Normal 13 2 5 4 2 4" xfId="27926"/>
    <cellStyle name="Normal 13 2 5 4 3" xfId="18219"/>
    <cellStyle name="Normal 13 2 5 4 3 2" xfId="40806"/>
    <cellStyle name="Normal 13 2 5 4 4" xfId="14999"/>
    <cellStyle name="Normal 13 2 5 4 4 2" xfId="37586"/>
    <cellStyle name="Normal 13 2 5 4 5" xfId="8559"/>
    <cellStyle name="Normal 13 2 5 4 5 2" xfId="31146"/>
    <cellStyle name="Normal 13 2 5 4 6" xfId="24706"/>
    <cellStyle name="Normal 13 2 5 5" xfId="4031"/>
    <cellStyle name="Normal 13 2 5 5 2" xfId="20131"/>
    <cellStyle name="Normal 13 2 5 5 2 2" xfId="42718"/>
    <cellStyle name="Normal 13 2 5 5 3" xfId="10471"/>
    <cellStyle name="Normal 13 2 5 5 3 2" xfId="33058"/>
    <cellStyle name="Normal 13 2 5 5 4" xfId="26618"/>
    <cellStyle name="Normal 13 2 5 6" xfId="16911"/>
    <cellStyle name="Normal 13 2 5 6 2" xfId="39498"/>
    <cellStyle name="Normal 13 2 5 7" xfId="13691"/>
    <cellStyle name="Normal 13 2 5 7 2" xfId="36278"/>
    <cellStyle name="Normal 13 2 5 8" xfId="7251"/>
    <cellStyle name="Normal 13 2 5 8 2" xfId="29838"/>
    <cellStyle name="Normal 13 2 5 9" xfId="23398"/>
    <cellStyle name="Normal 13 2 6" xfId="869"/>
    <cellStyle name="Normal 13 2 6 2" xfId="2188"/>
    <cellStyle name="Normal 13 2 6 2 2" xfId="5409"/>
    <cellStyle name="Normal 13 2 6 2 2 2" xfId="21509"/>
    <cellStyle name="Normal 13 2 6 2 2 2 2" xfId="44096"/>
    <cellStyle name="Normal 13 2 6 2 2 3" xfId="11849"/>
    <cellStyle name="Normal 13 2 6 2 2 3 2" xfId="34436"/>
    <cellStyle name="Normal 13 2 6 2 2 4" xfId="27996"/>
    <cellStyle name="Normal 13 2 6 2 3" xfId="18289"/>
    <cellStyle name="Normal 13 2 6 2 3 2" xfId="40876"/>
    <cellStyle name="Normal 13 2 6 2 4" xfId="15069"/>
    <cellStyle name="Normal 13 2 6 2 4 2" xfId="37656"/>
    <cellStyle name="Normal 13 2 6 2 5" xfId="8629"/>
    <cellStyle name="Normal 13 2 6 2 5 2" xfId="31216"/>
    <cellStyle name="Normal 13 2 6 2 6" xfId="24776"/>
    <cellStyle name="Normal 13 2 6 3" xfId="4101"/>
    <cellStyle name="Normal 13 2 6 3 2" xfId="20201"/>
    <cellStyle name="Normal 13 2 6 3 2 2" xfId="42788"/>
    <cellStyle name="Normal 13 2 6 3 3" xfId="10541"/>
    <cellStyle name="Normal 13 2 6 3 3 2" xfId="33128"/>
    <cellStyle name="Normal 13 2 6 3 4" xfId="26688"/>
    <cellStyle name="Normal 13 2 6 4" xfId="16981"/>
    <cellStyle name="Normal 13 2 6 4 2" xfId="39568"/>
    <cellStyle name="Normal 13 2 6 5" xfId="13761"/>
    <cellStyle name="Normal 13 2 6 5 2" xfId="36348"/>
    <cellStyle name="Normal 13 2 6 6" xfId="7321"/>
    <cellStyle name="Normal 13 2 6 6 2" xfId="29908"/>
    <cellStyle name="Normal 13 2 6 7" xfId="23468"/>
    <cellStyle name="Normal 13 2 7" xfId="1221"/>
    <cellStyle name="Normal 13 2 7 2" xfId="2535"/>
    <cellStyle name="Normal 13 2 7 2 2" xfId="5756"/>
    <cellStyle name="Normal 13 2 7 2 2 2" xfId="21856"/>
    <cellStyle name="Normal 13 2 7 2 2 2 2" xfId="44443"/>
    <cellStyle name="Normal 13 2 7 2 2 3" xfId="12196"/>
    <cellStyle name="Normal 13 2 7 2 2 3 2" xfId="34783"/>
    <cellStyle name="Normal 13 2 7 2 2 4" xfId="28343"/>
    <cellStyle name="Normal 13 2 7 2 3" xfId="18636"/>
    <cellStyle name="Normal 13 2 7 2 3 2" xfId="41223"/>
    <cellStyle name="Normal 13 2 7 2 4" xfId="15416"/>
    <cellStyle name="Normal 13 2 7 2 4 2" xfId="38003"/>
    <cellStyle name="Normal 13 2 7 2 5" xfId="8976"/>
    <cellStyle name="Normal 13 2 7 2 5 2" xfId="31563"/>
    <cellStyle name="Normal 13 2 7 2 6" xfId="25123"/>
    <cellStyle name="Normal 13 2 7 3" xfId="4448"/>
    <cellStyle name="Normal 13 2 7 3 2" xfId="20548"/>
    <cellStyle name="Normal 13 2 7 3 2 2" xfId="43135"/>
    <cellStyle name="Normal 13 2 7 3 3" xfId="10888"/>
    <cellStyle name="Normal 13 2 7 3 3 2" xfId="33475"/>
    <cellStyle name="Normal 13 2 7 3 4" xfId="27035"/>
    <cellStyle name="Normal 13 2 7 4" xfId="17328"/>
    <cellStyle name="Normal 13 2 7 4 2" xfId="39915"/>
    <cellStyle name="Normal 13 2 7 5" xfId="14108"/>
    <cellStyle name="Normal 13 2 7 5 2" xfId="36695"/>
    <cellStyle name="Normal 13 2 7 6" xfId="7668"/>
    <cellStyle name="Normal 13 2 7 6 2" xfId="30255"/>
    <cellStyle name="Normal 13 2 7 7" xfId="23815"/>
    <cellStyle name="Normal 13 2 8" xfId="1564"/>
    <cellStyle name="Normal 13 2 8 2" xfId="4790"/>
    <cellStyle name="Normal 13 2 8 2 2" xfId="20890"/>
    <cellStyle name="Normal 13 2 8 2 2 2" xfId="43477"/>
    <cellStyle name="Normal 13 2 8 2 3" xfId="11230"/>
    <cellStyle name="Normal 13 2 8 2 3 2" xfId="33817"/>
    <cellStyle name="Normal 13 2 8 2 4" xfId="27377"/>
    <cellStyle name="Normal 13 2 8 3" xfId="17670"/>
    <cellStyle name="Normal 13 2 8 3 2" xfId="40257"/>
    <cellStyle name="Normal 13 2 8 4" xfId="14450"/>
    <cellStyle name="Normal 13 2 8 4 2" xfId="37037"/>
    <cellStyle name="Normal 13 2 8 5" xfId="8010"/>
    <cellStyle name="Normal 13 2 8 5 2" xfId="30597"/>
    <cellStyle name="Normal 13 2 8 6" xfId="24157"/>
    <cellStyle name="Normal 13 2 9" xfId="1840"/>
    <cellStyle name="Normal 13 2 9 2" xfId="5062"/>
    <cellStyle name="Normal 13 2 9 2 2" xfId="21162"/>
    <cellStyle name="Normal 13 2 9 2 2 2" xfId="43749"/>
    <cellStyle name="Normal 13 2 9 2 3" xfId="11502"/>
    <cellStyle name="Normal 13 2 9 2 3 2" xfId="34089"/>
    <cellStyle name="Normal 13 2 9 2 4" xfId="27649"/>
    <cellStyle name="Normal 13 2 9 3" xfId="17942"/>
    <cellStyle name="Normal 13 2 9 3 2" xfId="40529"/>
    <cellStyle name="Normal 13 2 9 4" xfId="14722"/>
    <cellStyle name="Normal 13 2 9 4 2" xfId="37309"/>
    <cellStyle name="Normal 13 2 9 5" xfId="8282"/>
    <cellStyle name="Normal 13 2 9 5 2" xfId="30869"/>
    <cellStyle name="Normal 13 2 9 6" xfId="24429"/>
    <cellStyle name="Normal 13 3" xfId="146"/>
    <cellStyle name="Normal 13 3 10" xfId="484"/>
    <cellStyle name="Normal 13 3 10 2" xfId="3771"/>
    <cellStyle name="Normal 13 3 10 2 2" xfId="19871"/>
    <cellStyle name="Normal 13 3 10 2 2 2" xfId="42458"/>
    <cellStyle name="Normal 13 3 10 2 3" xfId="10211"/>
    <cellStyle name="Normal 13 3 10 2 3 2" xfId="32798"/>
    <cellStyle name="Normal 13 3 10 2 4" xfId="26358"/>
    <cellStyle name="Normal 13 3 10 3" xfId="16651"/>
    <cellStyle name="Normal 13 3 10 3 2" xfId="39238"/>
    <cellStyle name="Normal 13 3 10 4" xfId="13431"/>
    <cellStyle name="Normal 13 3 10 4 2" xfId="36018"/>
    <cellStyle name="Normal 13 3 10 5" xfId="6991"/>
    <cellStyle name="Normal 13 3 10 5 2" xfId="29578"/>
    <cellStyle name="Normal 13 3 10 6" xfId="23138"/>
    <cellStyle name="Normal 13 3 11" xfId="3481"/>
    <cellStyle name="Normal 13 3 11 2" xfId="19581"/>
    <cellStyle name="Normal 13 3 11 2 2" xfId="42168"/>
    <cellStyle name="Normal 13 3 11 3" xfId="9921"/>
    <cellStyle name="Normal 13 3 11 3 2" xfId="32508"/>
    <cellStyle name="Normal 13 3 11 4" xfId="26068"/>
    <cellStyle name="Normal 13 3 12" xfId="16361"/>
    <cellStyle name="Normal 13 3 12 2" xfId="38948"/>
    <cellStyle name="Normal 13 3 13" xfId="13141"/>
    <cellStyle name="Normal 13 3 13 2" xfId="35728"/>
    <cellStyle name="Normal 13 3 14" xfId="6701"/>
    <cellStyle name="Normal 13 3 14 2" xfId="29288"/>
    <cellStyle name="Normal 13 3 15" xfId="22848"/>
    <cellStyle name="Normal 13 3 2" xfId="292"/>
    <cellStyle name="Normal 13 3 2 10" xfId="13239"/>
    <cellStyle name="Normal 13 3 2 10 2" xfId="35826"/>
    <cellStyle name="Normal 13 3 2 11" xfId="6799"/>
    <cellStyle name="Normal 13 3 2 11 2" xfId="29386"/>
    <cellStyle name="Normal 13 3 2 12" xfId="22946"/>
    <cellStyle name="Normal 13 3 2 2" xfId="1010"/>
    <cellStyle name="Normal 13 3 2 2 2" xfId="2324"/>
    <cellStyle name="Normal 13 3 2 2 2 2" xfId="5545"/>
    <cellStyle name="Normal 13 3 2 2 2 2 2" xfId="21645"/>
    <cellStyle name="Normal 13 3 2 2 2 2 2 2" xfId="44232"/>
    <cellStyle name="Normal 13 3 2 2 2 2 3" xfId="11985"/>
    <cellStyle name="Normal 13 3 2 2 2 2 3 2" xfId="34572"/>
    <cellStyle name="Normal 13 3 2 2 2 2 4" xfId="28132"/>
    <cellStyle name="Normal 13 3 2 2 2 3" xfId="18425"/>
    <cellStyle name="Normal 13 3 2 2 2 3 2" xfId="41012"/>
    <cellStyle name="Normal 13 3 2 2 2 4" xfId="15205"/>
    <cellStyle name="Normal 13 3 2 2 2 4 2" xfId="37792"/>
    <cellStyle name="Normal 13 3 2 2 2 5" xfId="8765"/>
    <cellStyle name="Normal 13 3 2 2 2 5 2" xfId="31352"/>
    <cellStyle name="Normal 13 3 2 2 2 6" xfId="24912"/>
    <cellStyle name="Normal 13 3 2 2 3" xfId="4237"/>
    <cellStyle name="Normal 13 3 2 2 3 2" xfId="20337"/>
    <cellStyle name="Normal 13 3 2 2 3 2 2" xfId="42924"/>
    <cellStyle name="Normal 13 3 2 2 3 3" xfId="10677"/>
    <cellStyle name="Normal 13 3 2 2 3 3 2" xfId="33264"/>
    <cellStyle name="Normal 13 3 2 2 3 4" xfId="26824"/>
    <cellStyle name="Normal 13 3 2 2 4" xfId="17117"/>
    <cellStyle name="Normal 13 3 2 2 4 2" xfId="39704"/>
    <cellStyle name="Normal 13 3 2 2 5" xfId="13897"/>
    <cellStyle name="Normal 13 3 2 2 5 2" xfId="36484"/>
    <cellStyle name="Normal 13 3 2 2 6" xfId="7457"/>
    <cellStyle name="Normal 13 3 2 2 6 2" xfId="30044"/>
    <cellStyle name="Normal 13 3 2 2 7" xfId="23604"/>
    <cellStyle name="Normal 13 3 2 3" xfId="1357"/>
    <cellStyle name="Normal 13 3 2 3 2" xfId="2671"/>
    <cellStyle name="Normal 13 3 2 3 2 2" xfId="5892"/>
    <cellStyle name="Normal 13 3 2 3 2 2 2" xfId="21992"/>
    <cellStyle name="Normal 13 3 2 3 2 2 2 2" xfId="44579"/>
    <cellStyle name="Normal 13 3 2 3 2 2 3" xfId="12332"/>
    <cellStyle name="Normal 13 3 2 3 2 2 3 2" xfId="34919"/>
    <cellStyle name="Normal 13 3 2 3 2 2 4" xfId="28479"/>
    <cellStyle name="Normal 13 3 2 3 2 3" xfId="18772"/>
    <cellStyle name="Normal 13 3 2 3 2 3 2" xfId="41359"/>
    <cellStyle name="Normal 13 3 2 3 2 4" xfId="15552"/>
    <cellStyle name="Normal 13 3 2 3 2 4 2" xfId="38139"/>
    <cellStyle name="Normal 13 3 2 3 2 5" xfId="9112"/>
    <cellStyle name="Normal 13 3 2 3 2 5 2" xfId="31699"/>
    <cellStyle name="Normal 13 3 2 3 2 6" xfId="25259"/>
    <cellStyle name="Normal 13 3 2 3 3" xfId="4584"/>
    <cellStyle name="Normal 13 3 2 3 3 2" xfId="20684"/>
    <cellStyle name="Normal 13 3 2 3 3 2 2" xfId="43271"/>
    <cellStyle name="Normal 13 3 2 3 3 3" xfId="11024"/>
    <cellStyle name="Normal 13 3 2 3 3 3 2" xfId="33611"/>
    <cellStyle name="Normal 13 3 2 3 3 4" xfId="27171"/>
    <cellStyle name="Normal 13 3 2 3 4" xfId="17464"/>
    <cellStyle name="Normal 13 3 2 3 4 2" xfId="40051"/>
    <cellStyle name="Normal 13 3 2 3 5" xfId="14244"/>
    <cellStyle name="Normal 13 3 2 3 5 2" xfId="36831"/>
    <cellStyle name="Normal 13 3 2 3 6" xfId="7804"/>
    <cellStyle name="Normal 13 3 2 3 6 2" xfId="30391"/>
    <cellStyle name="Normal 13 3 2 3 7" xfId="23951"/>
    <cellStyle name="Normal 13 3 2 4" xfId="1976"/>
    <cellStyle name="Normal 13 3 2 4 2" xfId="5198"/>
    <cellStyle name="Normal 13 3 2 4 2 2" xfId="21298"/>
    <cellStyle name="Normal 13 3 2 4 2 2 2" xfId="43885"/>
    <cellStyle name="Normal 13 3 2 4 2 3" xfId="11638"/>
    <cellStyle name="Normal 13 3 2 4 2 3 2" xfId="34225"/>
    <cellStyle name="Normal 13 3 2 4 2 4" xfId="27785"/>
    <cellStyle name="Normal 13 3 2 4 3" xfId="18078"/>
    <cellStyle name="Normal 13 3 2 4 3 2" xfId="40665"/>
    <cellStyle name="Normal 13 3 2 4 4" xfId="14858"/>
    <cellStyle name="Normal 13 3 2 4 4 2" xfId="37445"/>
    <cellStyle name="Normal 13 3 2 4 5" xfId="8418"/>
    <cellStyle name="Normal 13 3 2 4 5 2" xfId="31005"/>
    <cellStyle name="Normal 13 3 2 4 6" xfId="24565"/>
    <cellStyle name="Normal 13 3 2 5" xfId="2999"/>
    <cellStyle name="Normal 13 3 2 5 2" xfId="6219"/>
    <cellStyle name="Normal 13 3 2 5 2 2" xfId="22319"/>
    <cellStyle name="Normal 13 3 2 5 2 2 2" xfId="44906"/>
    <cellStyle name="Normal 13 3 2 5 2 3" xfId="12659"/>
    <cellStyle name="Normal 13 3 2 5 2 3 2" xfId="35246"/>
    <cellStyle name="Normal 13 3 2 5 2 4" xfId="28806"/>
    <cellStyle name="Normal 13 3 2 5 3" xfId="19099"/>
    <cellStyle name="Normal 13 3 2 5 3 2" xfId="41686"/>
    <cellStyle name="Normal 13 3 2 5 4" xfId="15879"/>
    <cellStyle name="Normal 13 3 2 5 4 2" xfId="38466"/>
    <cellStyle name="Normal 13 3 2 5 5" xfId="9439"/>
    <cellStyle name="Normal 13 3 2 5 5 2" xfId="32026"/>
    <cellStyle name="Normal 13 3 2 5 6" xfId="25586"/>
    <cellStyle name="Normal 13 3 2 6" xfId="3289"/>
    <cellStyle name="Normal 13 3 2 6 2" xfId="6509"/>
    <cellStyle name="Normal 13 3 2 6 2 2" xfId="22609"/>
    <cellStyle name="Normal 13 3 2 6 2 2 2" xfId="45196"/>
    <cellStyle name="Normal 13 3 2 6 2 3" xfId="12949"/>
    <cellStyle name="Normal 13 3 2 6 2 3 2" xfId="35536"/>
    <cellStyle name="Normal 13 3 2 6 2 4" xfId="29096"/>
    <cellStyle name="Normal 13 3 2 6 3" xfId="19389"/>
    <cellStyle name="Normal 13 3 2 6 3 2" xfId="41976"/>
    <cellStyle name="Normal 13 3 2 6 4" xfId="16169"/>
    <cellStyle name="Normal 13 3 2 6 4 2" xfId="38756"/>
    <cellStyle name="Normal 13 3 2 6 5" xfId="9729"/>
    <cellStyle name="Normal 13 3 2 6 5 2" xfId="32316"/>
    <cellStyle name="Normal 13 3 2 6 6" xfId="25876"/>
    <cellStyle name="Normal 13 3 2 7" xfId="646"/>
    <cellStyle name="Normal 13 3 2 7 2" xfId="3890"/>
    <cellStyle name="Normal 13 3 2 7 2 2" xfId="19990"/>
    <cellStyle name="Normal 13 3 2 7 2 2 2" xfId="42577"/>
    <cellStyle name="Normal 13 3 2 7 2 3" xfId="10330"/>
    <cellStyle name="Normal 13 3 2 7 2 3 2" xfId="32917"/>
    <cellStyle name="Normal 13 3 2 7 2 4" xfId="26477"/>
    <cellStyle name="Normal 13 3 2 7 3" xfId="16770"/>
    <cellStyle name="Normal 13 3 2 7 3 2" xfId="39357"/>
    <cellStyle name="Normal 13 3 2 7 4" xfId="13550"/>
    <cellStyle name="Normal 13 3 2 7 4 2" xfId="36137"/>
    <cellStyle name="Normal 13 3 2 7 5" xfId="7110"/>
    <cellStyle name="Normal 13 3 2 7 5 2" xfId="29697"/>
    <cellStyle name="Normal 13 3 2 7 6" xfId="23257"/>
    <cellStyle name="Normal 13 3 2 8" xfId="3579"/>
    <cellStyle name="Normal 13 3 2 8 2" xfId="19679"/>
    <cellStyle name="Normal 13 3 2 8 2 2" xfId="42266"/>
    <cellStyle name="Normal 13 3 2 8 3" xfId="10019"/>
    <cellStyle name="Normal 13 3 2 8 3 2" xfId="32606"/>
    <cellStyle name="Normal 13 3 2 8 4" xfId="26166"/>
    <cellStyle name="Normal 13 3 2 9" xfId="16459"/>
    <cellStyle name="Normal 13 3 2 9 2" xfId="39046"/>
    <cellStyle name="Normal 13 3 3" xfId="387"/>
    <cellStyle name="Normal 13 3 3 10" xfId="13334"/>
    <cellStyle name="Normal 13 3 3 10 2" xfId="35921"/>
    <cellStyle name="Normal 13 3 3 11" xfId="6894"/>
    <cellStyle name="Normal 13 3 3 11 2" xfId="29481"/>
    <cellStyle name="Normal 13 3 3 12" xfId="23041"/>
    <cellStyle name="Normal 13 3 3 2" xfId="1171"/>
    <cellStyle name="Normal 13 3 3 2 2" xfId="2485"/>
    <cellStyle name="Normal 13 3 3 2 2 2" xfId="5706"/>
    <cellStyle name="Normal 13 3 3 2 2 2 2" xfId="21806"/>
    <cellStyle name="Normal 13 3 3 2 2 2 2 2" xfId="44393"/>
    <cellStyle name="Normal 13 3 3 2 2 2 3" xfId="12146"/>
    <cellStyle name="Normal 13 3 3 2 2 2 3 2" xfId="34733"/>
    <cellStyle name="Normal 13 3 3 2 2 2 4" xfId="28293"/>
    <cellStyle name="Normal 13 3 3 2 2 3" xfId="18586"/>
    <cellStyle name="Normal 13 3 3 2 2 3 2" xfId="41173"/>
    <cellStyle name="Normal 13 3 3 2 2 4" xfId="15366"/>
    <cellStyle name="Normal 13 3 3 2 2 4 2" xfId="37953"/>
    <cellStyle name="Normal 13 3 3 2 2 5" xfId="8926"/>
    <cellStyle name="Normal 13 3 3 2 2 5 2" xfId="31513"/>
    <cellStyle name="Normal 13 3 3 2 2 6" xfId="25073"/>
    <cellStyle name="Normal 13 3 3 2 3" xfId="4398"/>
    <cellStyle name="Normal 13 3 3 2 3 2" xfId="20498"/>
    <cellStyle name="Normal 13 3 3 2 3 2 2" xfId="43085"/>
    <cellStyle name="Normal 13 3 3 2 3 3" xfId="10838"/>
    <cellStyle name="Normal 13 3 3 2 3 3 2" xfId="33425"/>
    <cellStyle name="Normal 13 3 3 2 3 4" xfId="26985"/>
    <cellStyle name="Normal 13 3 3 2 4" xfId="17278"/>
    <cellStyle name="Normal 13 3 3 2 4 2" xfId="39865"/>
    <cellStyle name="Normal 13 3 3 2 5" xfId="14058"/>
    <cellStyle name="Normal 13 3 3 2 5 2" xfId="36645"/>
    <cellStyle name="Normal 13 3 3 2 6" xfId="7618"/>
    <cellStyle name="Normal 13 3 3 2 6 2" xfId="30205"/>
    <cellStyle name="Normal 13 3 3 2 7" xfId="23765"/>
    <cellStyle name="Normal 13 3 3 3" xfId="1518"/>
    <cellStyle name="Normal 13 3 3 3 2" xfId="2832"/>
    <cellStyle name="Normal 13 3 3 3 2 2" xfId="6053"/>
    <cellStyle name="Normal 13 3 3 3 2 2 2" xfId="22153"/>
    <cellStyle name="Normal 13 3 3 3 2 2 2 2" xfId="44740"/>
    <cellStyle name="Normal 13 3 3 3 2 2 3" xfId="12493"/>
    <cellStyle name="Normal 13 3 3 3 2 2 3 2" xfId="35080"/>
    <cellStyle name="Normal 13 3 3 3 2 2 4" xfId="28640"/>
    <cellStyle name="Normal 13 3 3 3 2 3" xfId="18933"/>
    <cellStyle name="Normal 13 3 3 3 2 3 2" xfId="41520"/>
    <cellStyle name="Normal 13 3 3 3 2 4" xfId="15713"/>
    <cellStyle name="Normal 13 3 3 3 2 4 2" xfId="38300"/>
    <cellStyle name="Normal 13 3 3 3 2 5" xfId="9273"/>
    <cellStyle name="Normal 13 3 3 3 2 5 2" xfId="31860"/>
    <cellStyle name="Normal 13 3 3 3 2 6" xfId="25420"/>
    <cellStyle name="Normal 13 3 3 3 3" xfId="4745"/>
    <cellStyle name="Normal 13 3 3 3 3 2" xfId="20845"/>
    <cellStyle name="Normal 13 3 3 3 3 2 2" xfId="43432"/>
    <cellStyle name="Normal 13 3 3 3 3 3" xfId="11185"/>
    <cellStyle name="Normal 13 3 3 3 3 3 2" xfId="33772"/>
    <cellStyle name="Normal 13 3 3 3 3 4" xfId="27332"/>
    <cellStyle name="Normal 13 3 3 3 4" xfId="17625"/>
    <cellStyle name="Normal 13 3 3 3 4 2" xfId="40212"/>
    <cellStyle name="Normal 13 3 3 3 5" xfId="14405"/>
    <cellStyle name="Normal 13 3 3 3 5 2" xfId="36992"/>
    <cellStyle name="Normal 13 3 3 3 6" xfId="7965"/>
    <cellStyle name="Normal 13 3 3 3 6 2" xfId="30552"/>
    <cellStyle name="Normal 13 3 3 3 7" xfId="24112"/>
    <cellStyle name="Normal 13 3 3 4" xfId="2138"/>
    <cellStyle name="Normal 13 3 3 4 2" xfId="5359"/>
    <cellStyle name="Normal 13 3 3 4 2 2" xfId="21459"/>
    <cellStyle name="Normal 13 3 3 4 2 2 2" xfId="44046"/>
    <cellStyle name="Normal 13 3 3 4 2 3" xfId="11799"/>
    <cellStyle name="Normal 13 3 3 4 2 3 2" xfId="34386"/>
    <cellStyle name="Normal 13 3 3 4 2 4" xfId="27946"/>
    <cellStyle name="Normal 13 3 3 4 3" xfId="18239"/>
    <cellStyle name="Normal 13 3 3 4 3 2" xfId="40826"/>
    <cellStyle name="Normal 13 3 3 4 4" xfId="15019"/>
    <cellStyle name="Normal 13 3 3 4 4 2" xfId="37606"/>
    <cellStyle name="Normal 13 3 3 4 5" xfId="8579"/>
    <cellStyle name="Normal 13 3 3 4 5 2" xfId="31166"/>
    <cellStyle name="Normal 13 3 3 4 6" xfId="24726"/>
    <cellStyle name="Normal 13 3 3 5" xfId="3094"/>
    <cellStyle name="Normal 13 3 3 5 2" xfId="6314"/>
    <cellStyle name="Normal 13 3 3 5 2 2" xfId="22414"/>
    <cellStyle name="Normal 13 3 3 5 2 2 2" xfId="45001"/>
    <cellStyle name="Normal 13 3 3 5 2 3" xfId="12754"/>
    <cellStyle name="Normal 13 3 3 5 2 3 2" xfId="35341"/>
    <cellStyle name="Normal 13 3 3 5 2 4" xfId="28901"/>
    <cellStyle name="Normal 13 3 3 5 3" xfId="19194"/>
    <cellStyle name="Normal 13 3 3 5 3 2" xfId="41781"/>
    <cellStyle name="Normal 13 3 3 5 4" xfId="15974"/>
    <cellStyle name="Normal 13 3 3 5 4 2" xfId="38561"/>
    <cellStyle name="Normal 13 3 3 5 5" xfId="9534"/>
    <cellStyle name="Normal 13 3 3 5 5 2" xfId="32121"/>
    <cellStyle name="Normal 13 3 3 5 6" xfId="25681"/>
    <cellStyle name="Normal 13 3 3 6" xfId="3384"/>
    <cellStyle name="Normal 13 3 3 6 2" xfId="6604"/>
    <cellStyle name="Normal 13 3 3 6 2 2" xfId="22704"/>
    <cellStyle name="Normal 13 3 3 6 2 2 2" xfId="45291"/>
    <cellStyle name="Normal 13 3 3 6 2 3" xfId="13044"/>
    <cellStyle name="Normal 13 3 3 6 2 3 2" xfId="35631"/>
    <cellStyle name="Normal 13 3 3 6 2 4" xfId="29191"/>
    <cellStyle name="Normal 13 3 3 6 3" xfId="19484"/>
    <cellStyle name="Normal 13 3 3 6 3 2" xfId="42071"/>
    <cellStyle name="Normal 13 3 3 6 4" xfId="16264"/>
    <cellStyle name="Normal 13 3 3 6 4 2" xfId="38851"/>
    <cellStyle name="Normal 13 3 3 6 5" xfId="9824"/>
    <cellStyle name="Normal 13 3 3 6 5 2" xfId="32411"/>
    <cellStyle name="Normal 13 3 3 6 6" xfId="25971"/>
    <cellStyle name="Normal 13 3 3 7" xfId="819"/>
    <cellStyle name="Normal 13 3 3 7 2" xfId="4051"/>
    <cellStyle name="Normal 13 3 3 7 2 2" xfId="20151"/>
    <cellStyle name="Normal 13 3 3 7 2 2 2" xfId="42738"/>
    <cellStyle name="Normal 13 3 3 7 2 3" xfId="10491"/>
    <cellStyle name="Normal 13 3 3 7 2 3 2" xfId="33078"/>
    <cellStyle name="Normal 13 3 3 7 2 4" xfId="26638"/>
    <cellStyle name="Normal 13 3 3 7 3" xfId="16931"/>
    <cellStyle name="Normal 13 3 3 7 3 2" xfId="39518"/>
    <cellStyle name="Normal 13 3 3 7 4" xfId="13711"/>
    <cellStyle name="Normal 13 3 3 7 4 2" xfId="36298"/>
    <cellStyle name="Normal 13 3 3 7 5" xfId="7271"/>
    <cellStyle name="Normal 13 3 3 7 5 2" xfId="29858"/>
    <cellStyle name="Normal 13 3 3 7 6" xfId="23418"/>
    <cellStyle name="Normal 13 3 3 8" xfId="3674"/>
    <cellStyle name="Normal 13 3 3 8 2" xfId="19774"/>
    <cellStyle name="Normal 13 3 3 8 2 2" xfId="42361"/>
    <cellStyle name="Normal 13 3 3 8 3" xfId="10114"/>
    <cellStyle name="Normal 13 3 3 8 3 2" xfId="32701"/>
    <cellStyle name="Normal 13 3 3 8 4" xfId="26261"/>
    <cellStyle name="Normal 13 3 3 9" xfId="16554"/>
    <cellStyle name="Normal 13 3 3 9 2" xfId="39141"/>
    <cellStyle name="Normal 13 3 4" xfId="886"/>
    <cellStyle name="Normal 13 3 4 2" xfId="2205"/>
    <cellStyle name="Normal 13 3 4 2 2" xfId="5426"/>
    <cellStyle name="Normal 13 3 4 2 2 2" xfId="21526"/>
    <cellStyle name="Normal 13 3 4 2 2 2 2" xfId="44113"/>
    <cellStyle name="Normal 13 3 4 2 2 3" xfId="11866"/>
    <cellStyle name="Normal 13 3 4 2 2 3 2" xfId="34453"/>
    <cellStyle name="Normal 13 3 4 2 2 4" xfId="28013"/>
    <cellStyle name="Normal 13 3 4 2 3" xfId="18306"/>
    <cellStyle name="Normal 13 3 4 2 3 2" xfId="40893"/>
    <cellStyle name="Normal 13 3 4 2 4" xfId="15086"/>
    <cellStyle name="Normal 13 3 4 2 4 2" xfId="37673"/>
    <cellStyle name="Normal 13 3 4 2 5" xfId="8646"/>
    <cellStyle name="Normal 13 3 4 2 5 2" xfId="31233"/>
    <cellStyle name="Normal 13 3 4 2 6" xfId="24793"/>
    <cellStyle name="Normal 13 3 4 3" xfId="4118"/>
    <cellStyle name="Normal 13 3 4 3 2" xfId="20218"/>
    <cellStyle name="Normal 13 3 4 3 2 2" xfId="42805"/>
    <cellStyle name="Normal 13 3 4 3 3" xfId="10558"/>
    <cellStyle name="Normal 13 3 4 3 3 2" xfId="33145"/>
    <cellStyle name="Normal 13 3 4 3 4" xfId="26705"/>
    <cellStyle name="Normal 13 3 4 4" xfId="16998"/>
    <cellStyle name="Normal 13 3 4 4 2" xfId="39585"/>
    <cellStyle name="Normal 13 3 4 5" xfId="13778"/>
    <cellStyle name="Normal 13 3 4 5 2" xfId="36365"/>
    <cellStyle name="Normal 13 3 4 6" xfId="7338"/>
    <cellStyle name="Normal 13 3 4 6 2" xfId="29925"/>
    <cellStyle name="Normal 13 3 4 7" xfId="23485"/>
    <cellStyle name="Normal 13 3 5" xfId="1238"/>
    <cellStyle name="Normal 13 3 5 2" xfId="2552"/>
    <cellStyle name="Normal 13 3 5 2 2" xfId="5773"/>
    <cellStyle name="Normal 13 3 5 2 2 2" xfId="21873"/>
    <cellStyle name="Normal 13 3 5 2 2 2 2" xfId="44460"/>
    <cellStyle name="Normal 13 3 5 2 2 3" xfId="12213"/>
    <cellStyle name="Normal 13 3 5 2 2 3 2" xfId="34800"/>
    <cellStyle name="Normal 13 3 5 2 2 4" xfId="28360"/>
    <cellStyle name="Normal 13 3 5 2 3" xfId="18653"/>
    <cellStyle name="Normal 13 3 5 2 3 2" xfId="41240"/>
    <cellStyle name="Normal 13 3 5 2 4" xfId="15433"/>
    <cellStyle name="Normal 13 3 5 2 4 2" xfId="38020"/>
    <cellStyle name="Normal 13 3 5 2 5" xfId="8993"/>
    <cellStyle name="Normal 13 3 5 2 5 2" xfId="31580"/>
    <cellStyle name="Normal 13 3 5 2 6" xfId="25140"/>
    <cellStyle name="Normal 13 3 5 3" xfId="4465"/>
    <cellStyle name="Normal 13 3 5 3 2" xfId="20565"/>
    <cellStyle name="Normal 13 3 5 3 2 2" xfId="43152"/>
    <cellStyle name="Normal 13 3 5 3 3" xfId="10905"/>
    <cellStyle name="Normal 13 3 5 3 3 2" xfId="33492"/>
    <cellStyle name="Normal 13 3 5 3 4" xfId="27052"/>
    <cellStyle name="Normal 13 3 5 4" xfId="17345"/>
    <cellStyle name="Normal 13 3 5 4 2" xfId="39932"/>
    <cellStyle name="Normal 13 3 5 5" xfId="14125"/>
    <cellStyle name="Normal 13 3 5 5 2" xfId="36712"/>
    <cellStyle name="Normal 13 3 5 6" xfId="7685"/>
    <cellStyle name="Normal 13 3 5 6 2" xfId="30272"/>
    <cellStyle name="Normal 13 3 5 7" xfId="23832"/>
    <cellStyle name="Normal 13 3 6" xfId="1565"/>
    <cellStyle name="Normal 13 3 6 2" xfId="4791"/>
    <cellStyle name="Normal 13 3 6 2 2" xfId="20891"/>
    <cellStyle name="Normal 13 3 6 2 2 2" xfId="43478"/>
    <cellStyle name="Normal 13 3 6 2 3" xfId="11231"/>
    <cellStyle name="Normal 13 3 6 2 3 2" xfId="33818"/>
    <cellStyle name="Normal 13 3 6 2 4" xfId="27378"/>
    <cellStyle name="Normal 13 3 6 3" xfId="17671"/>
    <cellStyle name="Normal 13 3 6 3 2" xfId="40258"/>
    <cellStyle name="Normal 13 3 6 4" xfId="14451"/>
    <cellStyle name="Normal 13 3 6 4 2" xfId="37038"/>
    <cellStyle name="Normal 13 3 6 5" xfId="8011"/>
    <cellStyle name="Normal 13 3 6 5 2" xfId="30598"/>
    <cellStyle name="Normal 13 3 6 6" xfId="24158"/>
    <cellStyle name="Normal 13 3 7" xfId="1857"/>
    <cellStyle name="Normal 13 3 7 2" xfId="5079"/>
    <cellStyle name="Normal 13 3 7 2 2" xfId="21179"/>
    <cellStyle name="Normal 13 3 7 2 2 2" xfId="43766"/>
    <cellStyle name="Normal 13 3 7 2 3" xfId="11519"/>
    <cellStyle name="Normal 13 3 7 2 3 2" xfId="34106"/>
    <cellStyle name="Normal 13 3 7 2 4" xfId="27666"/>
    <cellStyle name="Normal 13 3 7 3" xfId="17959"/>
    <cellStyle name="Normal 13 3 7 3 2" xfId="40546"/>
    <cellStyle name="Normal 13 3 7 4" xfId="14739"/>
    <cellStyle name="Normal 13 3 7 4 2" xfId="37326"/>
    <cellStyle name="Normal 13 3 7 5" xfId="8299"/>
    <cellStyle name="Normal 13 3 7 5 2" xfId="30886"/>
    <cellStyle name="Normal 13 3 7 6" xfId="24446"/>
    <cellStyle name="Normal 13 3 8" xfId="2900"/>
    <cellStyle name="Normal 13 3 8 2" xfId="6121"/>
    <cellStyle name="Normal 13 3 8 2 2" xfId="22221"/>
    <cellStyle name="Normal 13 3 8 2 2 2" xfId="44808"/>
    <cellStyle name="Normal 13 3 8 2 3" xfId="12561"/>
    <cellStyle name="Normal 13 3 8 2 3 2" xfId="35148"/>
    <cellStyle name="Normal 13 3 8 2 4" xfId="28708"/>
    <cellStyle name="Normal 13 3 8 3" xfId="19001"/>
    <cellStyle name="Normal 13 3 8 3 2" xfId="41588"/>
    <cellStyle name="Normal 13 3 8 4" xfId="15781"/>
    <cellStyle name="Normal 13 3 8 4 2" xfId="38368"/>
    <cellStyle name="Normal 13 3 8 5" xfId="9341"/>
    <cellStyle name="Normal 13 3 8 5 2" xfId="31928"/>
    <cellStyle name="Normal 13 3 8 6" xfId="25488"/>
    <cellStyle name="Normal 13 3 9" xfId="3191"/>
    <cellStyle name="Normal 13 3 9 2" xfId="6411"/>
    <cellStyle name="Normal 13 3 9 2 2" xfId="22511"/>
    <cellStyle name="Normal 13 3 9 2 2 2" xfId="45098"/>
    <cellStyle name="Normal 13 3 9 2 3" xfId="12851"/>
    <cellStyle name="Normal 13 3 9 2 3 2" xfId="35438"/>
    <cellStyle name="Normal 13 3 9 2 4" xfId="28998"/>
    <cellStyle name="Normal 13 3 9 3" xfId="19291"/>
    <cellStyle name="Normal 13 3 9 3 2" xfId="41878"/>
    <cellStyle name="Normal 13 3 9 4" xfId="16071"/>
    <cellStyle name="Normal 13 3 9 4 2" xfId="38658"/>
    <cellStyle name="Normal 13 3 9 5" xfId="9631"/>
    <cellStyle name="Normal 13 3 9 5 2" xfId="32218"/>
    <cellStyle name="Normal 13 3 9 6" xfId="25778"/>
    <cellStyle name="Normal 13 4" xfId="237"/>
    <cellStyle name="Normal 13 4 10" xfId="524"/>
    <cellStyle name="Normal 13 4 10 2" xfId="3811"/>
    <cellStyle name="Normal 13 4 10 2 2" xfId="19911"/>
    <cellStyle name="Normal 13 4 10 2 2 2" xfId="42498"/>
    <cellStyle name="Normal 13 4 10 2 3" xfId="10251"/>
    <cellStyle name="Normal 13 4 10 2 3 2" xfId="32838"/>
    <cellStyle name="Normal 13 4 10 2 4" xfId="26398"/>
    <cellStyle name="Normal 13 4 10 3" xfId="16691"/>
    <cellStyle name="Normal 13 4 10 3 2" xfId="39278"/>
    <cellStyle name="Normal 13 4 10 4" xfId="13471"/>
    <cellStyle name="Normal 13 4 10 4 2" xfId="36058"/>
    <cellStyle name="Normal 13 4 10 5" xfId="7031"/>
    <cellStyle name="Normal 13 4 10 5 2" xfId="29618"/>
    <cellStyle name="Normal 13 4 10 6" xfId="23178"/>
    <cellStyle name="Normal 13 4 11" xfId="3525"/>
    <cellStyle name="Normal 13 4 11 2" xfId="19625"/>
    <cellStyle name="Normal 13 4 11 2 2" xfId="42212"/>
    <cellStyle name="Normal 13 4 11 3" xfId="9965"/>
    <cellStyle name="Normal 13 4 11 3 2" xfId="32552"/>
    <cellStyle name="Normal 13 4 11 4" xfId="26112"/>
    <cellStyle name="Normal 13 4 12" xfId="16405"/>
    <cellStyle name="Normal 13 4 12 2" xfId="38992"/>
    <cellStyle name="Normal 13 4 13" xfId="13185"/>
    <cellStyle name="Normal 13 4 13 2" xfId="35772"/>
    <cellStyle name="Normal 13 4 14" xfId="6745"/>
    <cellStyle name="Normal 13 4 14 2" xfId="29332"/>
    <cellStyle name="Normal 13 4 15" xfId="22892"/>
    <cellStyle name="Normal 13 4 2" xfId="335"/>
    <cellStyle name="Normal 13 4 2 10" xfId="13282"/>
    <cellStyle name="Normal 13 4 2 10 2" xfId="35869"/>
    <cellStyle name="Normal 13 4 2 11" xfId="6842"/>
    <cellStyle name="Normal 13 4 2 11 2" xfId="29429"/>
    <cellStyle name="Normal 13 4 2 12" xfId="22989"/>
    <cellStyle name="Normal 13 4 2 2" xfId="1047"/>
    <cellStyle name="Normal 13 4 2 2 2" xfId="2361"/>
    <cellStyle name="Normal 13 4 2 2 2 2" xfId="5582"/>
    <cellStyle name="Normal 13 4 2 2 2 2 2" xfId="21682"/>
    <cellStyle name="Normal 13 4 2 2 2 2 2 2" xfId="44269"/>
    <cellStyle name="Normal 13 4 2 2 2 2 3" xfId="12022"/>
    <cellStyle name="Normal 13 4 2 2 2 2 3 2" xfId="34609"/>
    <cellStyle name="Normal 13 4 2 2 2 2 4" xfId="28169"/>
    <cellStyle name="Normal 13 4 2 2 2 3" xfId="18462"/>
    <cellStyle name="Normal 13 4 2 2 2 3 2" xfId="41049"/>
    <cellStyle name="Normal 13 4 2 2 2 4" xfId="15242"/>
    <cellStyle name="Normal 13 4 2 2 2 4 2" xfId="37829"/>
    <cellStyle name="Normal 13 4 2 2 2 5" xfId="8802"/>
    <cellStyle name="Normal 13 4 2 2 2 5 2" xfId="31389"/>
    <cellStyle name="Normal 13 4 2 2 2 6" xfId="24949"/>
    <cellStyle name="Normal 13 4 2 2 3" xfId="4274"/>
    <cellStyle name="Normal 13 4 2 2 3 2" xfId="20374"/>
    <cellStyle name="Normal 13 4 2 2 3 2 2" xfId="42961"/>
    <cellStyle name="Normal 13 4 2 2 3 3" xfId="10714"/>
    <cellStyle name="Normal 13 4 2 2 3 3 2" xfId="33301"/>
    <cellStyle name="Normal 13 4 2 2 3 4" xfId="26861"/>
    <cellStyle name="Normal 13 4 2 2 4" xfId="17154"/>
    <cellStyle name="Normal 13 4 2 2 4 2" xfId="39741"/>
    <cellStyle name="Normal 13 4 2 2 5" xfId="13934"/>
    <cellStyle name="Normal 13 4 2 2 5 2" xfId="36521"/>
    <cellStyle name="Normal 13 4 2 2 6" xfId="7494"/>
    <cellStyle name="Normal 13 4 2 2 6 2" xfId="30081"/>
    <cellStyle name="Normal 13 4 2 2 7" xfId="23641"/>
    <cellStyle name="Normal 13 4 2 3" xfId="1394"/>
    <cellStyle name="Normal 13 4 2 3 2" xfId="2708"/>
    <cellStyle name="Normal 13 4 2 3 2 2" xfId="5929"/>
    <cellStyle name="Normal 13 4 2 3 2 2 2" xfId="22029"/>
    <cellStyle name="Normal 13 4 2 3 2 2 2 2" xfId="44616"/>
    <cellStyle name="Normal 13 4 2 3 2 2 3" xfId="12369"/>
    <cellStyle name="Normal 13 4 2 3 2 2 3 2" xfId="34956"/>
    <cellStyle name="Normal 13 4 2 3 2 2 4" xfId="28516"/>
    <cellStyle name="Normal 13 4 2 3 2 3" xfId="18809"/>
    <cellStyle name="Normal 13 4 2 3 2 3 2" xfId="41396"/>
    <cellStyle name="Normal 13 4 2 3 2 4" xfId="15589"/>
    <cellStyle name="Normal 13 4 2 3 2 4 2" xfId="38176"/>
    <cellStyle name="Normal 13 4 2 3 2 5" xfId="9149"/>
    <cellStyle name="Normal 13 4 2 3 2 5 2" xfId="31736"/>
    <cellStyle name="Normal 13 4 2 3 2 6" xfId="25296"/>
    <cellStyle name="Normal 13 4 2 3 3" xfId="4621"/>
    <cellStyle name="Normal 13 4 2 3 3 2" xfId="20721"/>
    <cellStyle name="Normal 13 4 2 3 3 2 2" xfId="43308"/>
    <cellStyle name="Normal 13 4 2 3 3 3" xfId="11061"/>
    <cellStyle name="Normal 13 4 2 3 3 3 2" xfId="33648"/>
    <cellStyle name="Normal 13 4 2 3 3 4" xfId="27208"/>
    <cellStyle name="Normal 13 4 2 3 4" xfId="17501"/>
    <cellStyle name="Normal 13 4 2 3 4 2" xfId="40088"/>
    <cellStyle name="Normal 13 4 2 3 5" xfId="14281"/>
    <cellStyle name="Normal 13 4 2 3 5 2" xfId="36868"/>
    <cellStyle name="Normal 13 4 2 3 6" xfId="7841"/>
    <cellStyle name="Normal 13 4 2 3 6 2" xfId="30428"/>
    <cellStyle name="Normal 13 4 2 3 7" xfId="23988"/>
    <cellStyle name="Normal 13 4 2 4" xfId="2013"/>
    <cellStyle name="Normal 13 4 2 4 2" xfId="5235"/>
    <cellStyle name="Normal 13 4 2 4 2 2" xfId="21335"/>
    <cellStyle name="Normal 13 4 2 4 2 2 2" xfId="43922"/>
    <cellStyle name="Normal 13 4 2 4 2 3" xfId="11675"/>
    <cellStyle name="Normal 13 4 2 4 2 3 2" xfId="34262"/>
    <cellStyle name="Normal 13 4 2 4 2 4" xfId="27822"/>
    <cellStyle name="Normal 13 4 2 4 3" xfId="18115"/>
    <cellStyle name="Normal 13 4 2 4 3 2" xfId="40702"/>
    <cellStyle name="Normal 13 4 2 4 4" xfId="14895"/>
    <cellStyle name="Normal 13 4 2 4 4 2" xfId="37482"/>
    <cellStyle name="Normal 13 4 2 4 5" xfId="8455"/>
    <cellStyle name="Normal 13 4 2 4 5 2" xfId="31042"/>
    <cellStyle name="Normal 13 4 2 4 6" xfId="24602"/>
    <cellStyle name="Normal 13 4 2 5" xfId="3042"/>
    <cellStyle name="Normal 13 4 2 5 2" xfId="6262"/>
    <cellStyle name="Normal 13 4 2 5 2 2" xfId="22362"/>
    <cellStyle name="Normal 13 4 2 5 2 2 2" xfId="44949"/>
    <cellStyle name="Normal 13 4 2 5 2 3" xfId="12702"/>
    <cellStyle name="Normal 13 4 2 5 2 3 2" xfId="35289"/>
    <cellStyle name="Normal 13 4 2 5 2 4" xfId="28849"/>
    <cellStyle name="Normal 13 4 2 5 3" xfId="19142"/>
    <cellStyle name="Normal 13 4 2 5 3 2" xfId="41729"/>
    <cellStyle name="Normal 13 4 2 5 4" xfId="15922"/>
    <cellStyle name="Normal 13 4 2 5 4 2" xfId="38509"/>
    <cellStyle name="Normal 13 4 2 5 5" xfId="9482"/>
    <cellStyle name="Normal 13 4 2 5 5 2" xfId="32069"/>
    <cellStyle name="Normal 13 4 2 5 6" xfId="25629"/>
    <cellStyle name="Normal 13 4 2 6" xfId="3332"/>
    <cellStyle name="Normal 13 4 2 6 2" xfId="6552"/>
    <cellStyle name="Normal 13 4 2 6 2 2" xfId="22652"/>
    <cellStyle name="Normal 13 4 2 6 2 2 2" xfId="45239"/>
    <cellStyle name="Normal 13 4 2 6 2 3" xfId="12992"/>
    <cellStyle name="Normal 13 4 2 6 2 3 2" xfId="35579"/>
    <cellStyle name="Normal 13 4 2 6 2 4" xfId="29139"/>
    <cellStyle name="Normal 13 4 2 6 3" xfId="19432"/>
    <cellStyle name="Normal 13 4 2 6 3 2" xfId="42019"/>
    <cellStyle name="Normal 13 4 2 6 4" xfId="16212"/>
    <cellStyle name="Normal 13 4 2 6 4 2" xfId="38799"/>
    <cellStyle name="Normal 13 4 2 6 5" xfId="9772"/>
    <cellStyle name="Normal 13 4 2 6 5 2" xfId="32359"/>
    <cellStyle name="Normal 13 4 2 6 6" xfId="25919"/>
    <cellStyle name="Normal 13 4 2 7" xfId="683"/>
    <cellStyle name="Normal 13 4 2 7 2" xfId="3927"/>
    <cellStyle name="Normal 13 4 2 7 2 2" xfId="20027"/>
    <cellStyle name="Normal 13 4 2 7 2 2 2" xfId="42614"/>
    <cellStyle name="Normal 13 4 2 7 2 3" xfId="10367"/>
    <cellStyle name="Normal 13 4 2 7 2 3 2" xfId="32954"/>
    <cellStyle name="Normal 13 4 2 7 2 4" xfId="26514"/>
    <cellStyle name="Normal 13 4 2 7 3" xfId="16807"/>
    <cellStyle name="Normal 13 4 2 7 3 2" xfId="39394"/>
    <cellStyle name="Normal 13 4 2 7 4" xfId="13587"/>
    <cellStyle name="Normal 13 4 2 7 4 2" xfId="36174"/>
    <cellStyle name="Normal 13 4 2 7 5" xfId="7147"/>
    <cellStyle name="Normal 13 4 2 7 5 2" xfId="29734"/>
    <cellStyle name="Normal 13 4 2 7 6" xfId="23294"/>
    <cellStyle name="Normal 13 4 2 8" xfId="3622"/>
    <cellStyle name="Normal 13 4 2 8 2" xfId="19722"/>
    <cellStyle name="Normal 13 4 2 8 2 2" xfId="42309"/>
    <cellStyle name="Normal 13 4 2 8 3" xfId="10062"/>
    <cellStyle name="Normal 13 4 2 8 3 2" xfId="32649"/>
    <cellStyle name="Normal 13 4 2 8 4" xfId="26209"/>
    <cellStyle name="Normal 13 4 2 9" xfId="16502"/>
    <cellStyle name="Normal 13 4 2 9 2" xfId="39089"/>
    <cellStyle name="Normal 13 4 3" xfId="431"/>
    <cellStyle name="Normal 13 4 3 10" xfId="13378"/>
    <cellStyle name="Normal 13 4 3 10 2" xfId="35965"/>
    <cellStyle name="Normal 13 4 3 11" xfId="6938"/>
    <cellStyle name="Normal 13 4 3 11 2" xfId="29525"/>
    <cellStyle name="Normal 13 4 3 12" xfId="23085"/>
    <cellStyle name="Normal 13 4 3 2" xfId="1131"/>
    <cellStyle name="Normal 13 4 3 2 2" xfId="2445"/>
    <cellStyle name="Normal 13 4 3 2 2 2" xfId="5666"/>
    <cellStyle name="Normal 13 4 3 2 2 2 2" xfId="21766"/>
    <cellStyle name="Normal 13 4 3 2 2 2 2 2" xfId="44353"/>
    <cellStyle name="Normal 13 4 3 2 2 2 3" xfId="12106"/>
    <cellStyle name="Normal 13 4 3 2 2 2 3 2" xfId="34693"/>
    <cellStyle name="Normal 13 4 3 2 2 2 4" xfId="28253"/>
    <cellStyle name="Normal 13 4 3 2 2 3" xfId="18546"/>
    <cellStyle name="Normal 13 4 3 2 2 3 2" xfId="41133"/>
    <cellStyle name="Normal 13 4 3 2 2 4" xfId="15326"/>
    <cellStyle name="Normal 13 4 3 2 2 4 2" xfId="37913"/>
    <cellStyle name="Normal 13 4 3 2 2 5" xfId="8886"/>
    <cellStyle name="Normal 13 4 3 2 2 5 2" xfId="31473"/>
    <cellStyle name="Normal 13 4 3 2 2 6" xfId="25033"/>
    <cellStyle name="Normal 13 4 3 2 3" xfId="4358"/>
    <cellStyle name="Normal 13 4 3 2 3 2" xfId="20458"/>
    <cellStyle name="Normal 13 4 3 2 3 2 2" xfId="43045"/>
    <cellStyle name="Normal 13 4 3 2 3 3" xfId="10798"/>
    <cellStyle name="Normal 13 4 3 2 3 3 2" xfId="33385"/>
    <cellStyle name="Normal 13 4 3 2 3 4" xfId="26945"/>
    <cellStyle name="Normal 13 4 3 2 4" xfId="17238"/>
    <cellStyle name="Normal 13 4 3 2 4 2" xfId="39825"/>
    <cellStyle name="Normal 13 4 3 2 5" xfId="14018"/>
    <cellStyle name="Normal 13 4 3 2 5 2" xfId="36605"/>
    <cellStyle name="Normal 13 4 3 2 6" xfId="7578"/>
    <cellStyle name="Normal 13 4 3 2 6 2" xfId="30165"/>
    <cellStyle name="Normal 13 4 3 2 7" xfId="23725"/>
    <cellStyle name="Normal 13 4 3 3" xfId="1478"/>
    <cellStyle name="Normal 13 4 3 3 2" xfId="2792"/>
    <cellStyle name="Normal 13 4 3 3 2 2" xfId="6013"/>
    <cellStyle name="Normal 13 4 3 3 2 2 2" xfId="22113"/>
    <cellStyle name="Normal 13 4 3 3 2 2 2 2" xfId="44700"/>
    <cellStyle name="Normal 13 4 3 3 2 2 3" xfId="12453"/>
    <cellStyle name="Normal 13 4 3 3 2 2 3 2" xfId="35040"/>
    <cellStyle name="Normal 13 4 3 3 2 2 4" xfId="28600"/>
    <cellStyle name="Normal 13 4 3 3 2 3" xfId="18893"/>
    <cellStyle name="Normal 13 4 3 3 2 3 2" xfId="41480"/>
    <cellStyle name="Normal 13 4 3 3 2 4" xfId="15673"/>
    <cellStyle name="Normal 13 4 3 3 2 4 2" xfId="38260"/>
    <cellStyle name="Normal 13 4 3 3 2 5" xfId="9233"/>
    <cellStyle name="Normal 13 4 3 3 2 5 2" xfId="31820"/>
    <cellStyle name="Normal 13 4 3 3 2 6" xfId="25380"/>
    <cellStyle name="Normal 13 4 3 3 3" xfId="4705"/>
    <cellStyle name="Normal 13 4 3 3 3 2" xfId="20805"/>
    <cellStyle name="Normal 13 4 3 3 3 2 2" xfId="43392"/>
    <cellStyle name="Normal 13 4 3 3 3 3" xfId="11145"/>
    <cellStyle name="Normal 13 4 3 3 3 3 2" xfId="33732"/>
    <cellStyle name="Normal 13 4 3 3 3 4" xfId="27292"/>
    <cellStyle name="Normal 13 4 3 3 4" xfId="17585"/>
    <cellStyle name="Normal 13 4 3 3 4 2" xfId="40172"/>
    <cellStyle name="Normal 13 4 3 3 5" xfId="14365"/>
    <cellStyle name="Normal 13 4 3 3 5 2" xfId="36952"/>
    <cellStyle name="Normal 13 4 3 3 6" xfId="7925"/>
    <cellStyle name="Normal 13 4 3 3 6 2" xfId="30512"/>
    <cellStyle name="Normal 13 4 3 3 7" xfId="24072"/>
    <cellStyle name="Normal 13 4 3 4" xfId="2098"/>
    <cellStyle name="Normal 13 4 3 4 2" xfId="5319"/>
    <cellStyle name="Normal 13 4 3 4 2 2" xfId="21419"/>
    <cellStyle name="Normal 13 4 3 4 2 2 2" xfId="44006"/>
    <cellStyle name="Normal 13 4 3 4 2 3" xfId="11759"/>
    <cellStyle name="Normal 13 4 3 4 2 3 2" xfId="34346"/>
    <cellStyle name="Normal 13 4 3 4 2 4" xfId="27906"/>
    <cellStyle name="Normal 13 4 3 4 3" xfId="18199"/>
    <cellStyle name="Normal 13 4 3 4 3 2" xfId="40786"/>
    <cellStyle name="Normal 13 4 3 4 4" xfId="14979"/>
    <cellStyle name="Normal 13 4 3 4 4 2" xfId="37566"/>
    <cellStyle name="Normal 13 4 3 4 5" xfId="8539"/>
    <cellStyle name="Normal 13 4 3 4 5 2" xfId="31126"/>
    <cellStyle name="Normal 13 4 3 4 6" xfId="24686"/>
    <cellStyle name="Normal 13 4 3 5" xfId="3138"/>
    <cellStyle name="Normal 13 4 3 5 2" xfId="6358"/>
    <cellStyle name="Normal 13 4 3 5 2 2" xfId="22458"/>
    <cellStyle name="Normal 13 4 3 5 2 2 2" xfId="45045"/>
    <cellStyle name="Normal 13 4 3 5 2 3" xfId="12798"/>
    <cellStyle name="Normal 13 4 3 5 2 3 2" xfId="35385"/>
    <cellStyle name="Normal 13 4 3 5 2 4" xfId="28945"/>
    <cellStyle name="Normal 13 4 3 5 3" xfId="19238"/>
    <cellStyle name="Normal 13 4 3 5 3 2" xfId="41825"/>
    <cellStyle name="Normal 13 4 3 5 4" xfId="16018"/>
    <cellStyle name="Normal 13 4 3 5 4 2" xfId="38605"/>
    <cellStyle name="Normal 13 4 3 5 5" xfId="9578"/>
    <cellStyle name="Normal 13 4 3 5 5 2" xfId="32165"/>
    <cellStyle name="Normal 13 4 3 5 6" xfId="25725"/>
    <cellStyle name="Normal 13 4 3 6" xfId="3428"/>
    <cellStyle name="Normal 13 4 3 6 2" xfId="6648"/>
    <cellStyle name="Normal 13 4 3 6 2 2" xfId="22748"/>
    <cellStyle name="Normal 13 4 3 6 2 2 2" xfId="45335"/>
    <cellStyle name="Normal 13 4 3 6 2 3" xfId="13088"/>
    <cellStyle name="Normal 13 4 3 6 2 3 2" xfId="35675"/>
    <cellStyle name="Normal 13 4 3 6 2 4" xfId="29235"/>
    <cellStyle name="Normal 13 4 3 6 3" xfId="19528"/>
    <cellStyle name="Normal 13 4 3 6 3 2" xfId="42115"/>
    <cellStyle name="Normal 13 4 3 6 4" xfId="16308"/>
    <cellStyle name="Normal 13 4 3 6 4 2" xfId="38895"/>
    <cellStyle name="Normal 13 4 3 6 5" xfId="9868"/>
    <cellStyle name="Normal 13 4 3 6 5 2" xfId="32455"/>
    <cellStyle name="Normal 13 4 3 6 6" xfId="26015"/>
    <cellStyle name="Normal 13 4 3 7" xfId="779"/>
    <cellStyle name="Normal 13 4 3 7 2" xfId="4011"/>
    <cellStyle name="Normal 13 4 3 7 2 2" xfId="20111"/>
    <cellStyle name="Normal 13 4 3 7 2 2 2" xfId="42698"/>
    <cellStyle name="Normal 13 4 3 7 2 3" xfId="10451"/>
    <cellStyle name="Normal 13 4 3 7 2 3 2" xfId="33038"/>
    <cellStyle name="Normal 13 4 3 7 2 4" xfId="26598"/>
    <cellStyle name="Normal 13 4 3 7 3" xfId="16891"/>
    <cellStyle name="Normal 13 4 3 7 3 2" xfId="39478"/>
    <cellStyle name="Normal 13 4 3 7 4" xfId="13671"/>
    <cellStyle name="Normal 13 4 3 7 4 2" xfId="36258"/>
    <cellStyle name="Normal 13 4 3 7 5" xfId="7231"/>
    <cellStyle name="Normal 13 4 3 7 5 2" xfId="29818"/>
    <cellStyle name="Normal 13 4 3 7 6" xfId="23378"/>
    <cellStyle name="Normal 13 4 3 8" xfId="3718"/>
    <cellStyle name="Normal 13 4 3 8 2" xfId="19818"/>
    <cellStyle name="Normal 13 4 3 8 2 2" xfId="42405"/>
    <cellStyle name="Normal 13 4 3 8 3" xfId="10158"/>
    <cellStyle name="Normal 13 4 3 8 3 2" xfId="32745"/>
    <cellStyle name="Normal 13 4 3 8 4" xfId="26305"/>
    <cellStyle name="Normal 13 4 3 9" xfId="16598"/>
    <cellStyle name="Normal 13 4 3 9 2" xfId="39185"/>
    <cellStyle name="Normal 13 4 4" xfId="926"/>
    <cellStyle name="Normal 13 4 4 2" xfId="2245"/>
    <cellStyle name="Normal 13 4 4 2 2" xfId="5466"/>
    <cellStyle name="Normal 13 4 4 2 2 2" xfId="21566"/>
    <cellStyle name="Normal 13 4 4 2 2 2 2" xfId="44153"/>
    <cellStyle name="Normal 13 4 4 2 2 3" xfId="11906"/>
    <cellStyle name="Normal 13 4 4 2 2 3 2" xfId="34493"/>
    <cellStyle name="Normal 13 4 4 2 2 4" xfId="28053"/>
    <cellStyle name="Normal 13 4 4 2 3" xfId="18346"/>
    <cellStyle name="Normal 13 4 4 2 3 2" xfId="40933"/>
    <cellStyle name="Normal 13 4 4 2 4" xfId="15126"/>
    <cellStyle name="Normal 13 4 4 2 4 2" xfId="37713"/>
    <cellStyle name="Normal 13 4 4 2 5" xfId="8686"/>
    <cellStyle name="Normal 13 4 4 2 5 2" xfId="31273"/>
    <cellStyle name="Normal 13 4 4 2 6" xfId="24833"/>
    <cellStyle name="Normal 13 4 4 3" xfId="4158"/>
    <cellStyle name="Normal 13 4 4 3 2" xfId="20258"/>
    <cellStyle name="Normal 13 4 4 3 2 2" xfId="42845"/>
    <cellStyle name="Normal 13 4 4 3 3" xfId="10598"/>
    <cellStyle name="Normal 13 4 4 3 3 2" xfId="33185"/>
    <cellStyle name="Normal 13 4 4 3 4" xfId="26745"/>
    <cellStyle name="Normal 13 4 4 4" xfId="17038"/>
    <cellStyle name="Normal 13 4 4 4 2" xfId="39625"/>
    <cellStyle name="Normal 13 4 4 5" xfId="13818"/>
    <cellStyle name="Normal 13 4 4 5 2" xfId="36405"/>
    <cellStyle name="Normal 13 4 4 6" xfId="7378"/>
    <cellStyle name="Normal 13 4 4 6 2" xfId="29965"/>
    <cellStyle name="Normal 13 4 4 7" xfId="23525"/>
    <cellStyle name="Normal 13 4 5" xfId="1278"/>
    <cellStyle name="Normal 13 4 5 2" xfId="2592"/>
    <cellStyle name="Normal 13 4 5 2 2" xfId="5813"/>
    <cellStyle name="Normal 13 4 5 2 2 2" xfId="21913"/>
    <cellStyle name="Normal 13 4 5 2 2 2 2" xfId="44500"/>
    <cellStyle name="Normal 13 4 5 2 2 3" xfId="12253"/>
    <cellStyle name="Normal 13 4 5 2 2 3 2" xfId="34840"/>
    <cellStyle name="Normal 13 4 5 2 2 4" xfId="28400"/>
    <cellStyle name="Normal 13 4 5 2 3" xfId="18693"/>
    <cellStyle name="Normal 13 4 5 2 3 2" xfId="41280"/>
    <cellStyle name="Normal 13 4 5 2 4" xfId="15473"/>
    <cellStyle name="Normal 13 4 5 2 4 2" xfId="38060"/>
    <cellStyle name="Normal 13 4 5 2 5" xfId="9033"/>
    <cellStyle name="Normal 13 4 5 2 5 2" xfId="31620"/>
    <cellStyle name="Normal 13 4 5 2 6" xfId="25180"/>
    <cellStyle name="Normal 13 4 5 3" xfId="4505"/>
    <cellStyle name="Normal 13 4 5 3 2" xfId="20605"/>
    <cellStyle name="Normal 13 4 5 3 2 2" xfId="43192"/>
    <cellStyle name="Normal 13 4 5 3 3" xfId="10945"/>
    <cellStyle name="Normal 13 4 5 3 3 2" xfId="33532"/>
    <cellStyle name="Normal 13 4 5 3 4" xfId="27092"/>
    <cellStyle name="Normal 13 4 5 4" xfId="17385"/>
    <cellStyle name="Normal 13 4 5 4 2" xfId="39972"/>
    <cellStyle name="Normal 13 4 5 5" xfId="14165"/>
    <cellStyle name="Normal 13 4 5 5 2" xfId="36752"/>
    <cellStyle name="Normal 13 4 5 6" xfId="7725"/>
    <cellStyle name="Normal 13 4 5 6 2" xfId="30312"/>
    <cellStyle name="Normal 13 4 5 7" xfId="23872"/>
    <cellStyle name="Normal 13 4 6" xfId="1566"/>
    <cellStyle name="Normal 13 4 6 2" xfId="4792"/>
    <cellStyle name="Normal 13 4 6 2 2" xfId="20892"/>
    <cellStyle name="Normal 13 4 6 2 2 2" xfId="43479"/>
    <cellStyle name="Normal 13 4 6 2 3" xfId="11232"/>
    <cellStyle name="Normal 13 4 6 2 3 2" xfId="33819"/>
    <cellStyle name="Normal 13 4 6 2 4" xfId="27379"/>
    <cellStyle name="Normal 13 4 6 3" xfId="17672"/>
    <cellStyle name="Normal 13 4 6 3 2" xfId="40259"/>
    <cellStyle name="Normal 13 4 6 4" xfId="14452"/>
    <cellStyle name="Normal 13 4 6 4 2" xfId="37039"/>
    <cellStyle name="Normal 13 4 6 5" xfId="8012"/>
    <cellStyle name="Normal 13 4 6 5 2" xfId="30599"/>
    <cellStyle name="Normal 13 4 6 6" xfId="24159"/>
    <cellStyle name="Normal 13 4 7" xfId="1897"/>
    <cellStyle name="Normal 13 4 7 2" xfId="5119"/>
    <cellStyle name="Normal 13 4 7 2 2" xfId="21219"/>
    <cellStyle name="Normal 13 4 7 2 2 2" xfId="43806"/>
    <cellStyle name="Normal 13 4 7 2 3" xfId="11559"/>
    <cellStyle name="Normal 13 4 7 2 3 2" xfId="34146"/>
    <cellStyle name="Normal 13 4 7 2 4" xfId="27706"/>
    <cellStyle name="Normal 13 4 7 3" xfId="17999"/>
    <cellStyle name="Normal 13 4 7 3 2" xfId="40586"/>
    <cellStyle name="Normal 13 4 7 4" xfId="14779"/>
    <cellStyle name="Normal 13 4 7 4 2" xfId="37366"/>
    <cellStyle name="Normal 13 4 7 5" xfId="8339"/>
    <cellStyle name="Normal 13 4 7 5 2" xfId="30926"/>
    <cellStyle name="Normal 13 4 7 6" xfId="24486"/>
    <cellStyle name="Normal 13 4 8" xfId="2944"/>
    <cellStyle name="Normal 13 4 8 2" xfId="6165"/>
    <cellStyle name="Normal 13 4 8 2 2" xfId="22265"/>
    <cellStyle name="Normal 13 4 8 2 2 2" xfId="44852"/>
    <cellStyle name="Normal 13 4 8 2 3" xfId="12605"/>
    <cellStyle name="Normal 13 4 8 2 3 2" xfId="35192"/>
    <cellStyle name="Normal 13 4 8 2 4" xfId="28752"/>
    <cellStyle name="Normal 13 4 8 3" xfId="19045"/>
    <cellStyle name="Normal 13 4 8 3 2" xfId="41632"/>
    <cellStyle name="Normal 13 4 8 4" xfId="15825"/>
    <cellStyle name="Normal 13 4 8 4 2" xfId="38412"/>
    <cellStyle name="Normal 13 4 8 5" xfId="9385"/>
    <cellStyle name="Normal 13 4 8 5 2" xfId="31972"/>
    <cellStyle name="Normal 13 4 8 6" xfId="25532"/>
    <cellStyle name="Normal 13 4 9" xfId="3235"/>
    <cellStyle name="Normal 13 4 9 2" xfId="6455"/>
    <cellStyle name="Normal 13 4 9 2 2" xfId="22555"/>
    <cellStyle name="Normal 13 4 9 2 2 2" xfId="45142"/>
    <cellStyle name="Normal 13 4 9 2 3" xfId="12895"/>
    <cellStyle name="Normal 13 4 9 2 3 2" xfId="35482"/>
    <cellStyle name="Normal 13 4 9 2 4" xfId="29042"/>
    <cellStyle name="Normal 13 4 9 3" xfId="19335"/>
    <cellStyle name="Normal 13 4 9 3 2" xfId="41922"/>
    <cellStyle name="Normal 13 4 9 4" xfId="16115"/>
    <cellStyle name="Normal 13 4 9 4 2" xfId="38702"/>
    <cellStyle name="Normal 13 4 9 5" xfId="9675"/>
    <cellStyle name="Normal 13 4 9 5 2" xfId="32262"/>
    <cellStyle name="Normal 13 4 9 6" xfId="25822"/>
    <cellStyle name="Normal 13 5" xfId="272"/>
    <cellStyle name="Normal 13 5 10" xfId="16439"/>
    <cellStyle name="Normal 13 5 10 2" xfId="39026"/>
    <cellStyle name="Normal 13 5 11" xfId="13219"/>
    <cellStyle name="Normal 13 5 11 2" xfId="35806"/>
    <cellStyle name="Normal 13 5 12" xfId="6779"/>
    <cellStyle name="Normal 13 5 12 2" xfId="29366"/>
    <cellStyle name="Normal 13 5 13" xfId="22926"/>
    <cellStyle name="Normal 13 5 2" xfId="976"/>
    <cellStyle name="Normal 13 5 2 2" xfId="2294"/>
    <cellStyle name="Normal 13 5 2 2 2" xfId="5515"/>
    <cellStyle name="Normal 13 5 2 2 2 2" xfId="21615"/>
    <cellStyle name="Normal 13 5 2 2 2 2 2" xfId="44202"/>
    <cellStyle name="Normal 13 5 2 2 2 3" xfId="11955"/>
    <cellStyle name="Normal 13 5 2 2 2 3 2" xfId="34542"/>
    <cellStyle name="Normal 13 5 2 2 2 4" xfId="28102"/>
    <cellStyle name="Normal 13 5 2 2 3" xfId="18395"/>
    <cellStyle name="Normal 13 5 2 2 3 2" xfId="40982"/>
    <cellStyle name="Normal 13 5 2 2 4" xfId="15175"/>
    <cellStyle name="Normal 13 5 2 2 4 2" xfId="37762"/>
    <cellStyle name="Normal 13 5 2 2 5" xfId="8735"/>
    <cellStyle name="Normal 13 5 2 2 5 2" xfId="31322"/>
    <cellStyle name="Normal 13 5 2 2 6" xfId="24882"/>
    <cellStyle name="Normal 13 5 2 3" xfId="4207"/>
    <cellStyle name="Normal 13 5 2 3 2" xfId="20307"/>
    <cellStyle name="Normal 13 5 2 3 2 2" xfId="42894"/>
    <cellStyle name="Normal 13 5 2 3 3" xfId="10647"/>
    <cellStyle name="Normal 13 5 2 3 3 2" xfId="33234"/>
    <cellStyle name="Normal 13 5 2 3 4" xfId="26794"/>
    <cellStyle name="Normal 13 5 2 4" xfId="17087"/>
    <cellStyle name="Normal 13 5 2 4 2" xfId="39674"/>
    <cellStyle name="Normal 13 5 2 5" xfId="13867"/>
    <cellStyle name="Normal 13 5 2 5 2" xfId="36454"/>
    <cellStyle name="Normal 13 5 2 6" xfId="7427"/>
    <cellStyle name="Normal 13 5 2 6 2" xfId="30014"/>
    <cellStyle name="Normal 13 5 2 7" xfId="23574"/>
    <cellStyle name="Normal 13 5 3" xfId="1327"/>
    <cellStyle name="Normal 13 5 3 2" xfId="2641"/>
    <cellStyle name="Normal 13 5 3 2 2" xfId="5862"/>
    <cellStyle name="Normal 13 5 3 2 2 2" xfId="21962"/>
    <cellStyle name="Normal 13 5 3 2 2 2 2" xfId="44549"/>
    <cellStyle name="Normal 13 5 3 2 2 3" xfId="12302"/>
    <cellStyle name="Normal 13 5 3 2 2 3 2" xfId="34889"/>
    <cellStyle name="Normal 13 5 3 2 2 4" xfId="28449"/>
    <cellStyle name="Normal 13 5 3 2 3" xfId="18742"/>
    <cellStyle name="Normal 13 5 3 2 3 2" xfId="41329"/>
    <cellStyle name="Normal 13 5 3 2 4" xfId="15522"/>
    <cellStyle name="Normal 13 5 3 2 4 2" xfId="38109"/>
    <cellStyle name="Normal 13 5 3 2 5" xfId="9082"/>
    <cellStyle name="Normal 13 5 3 2 5 2" xfId="31669"/>
    <cellStyle name="Normal 13 5 3 2 6" xfId="25229"/>
    <cellStyle name="Normal 13 5 3 3" xfId="4554"/>
    <cellStyle name="Normal 13 5 3 3 2" xfId="20654"/>
    <cellStyle name="Normal 13 5 3 3 2 2" xfId="43241"/>
    <cellStyle name="Normal 13 5 3 3 3" xfId="10994"/>
    <cellStyle name="Normal 13 5 3 3 3 2" xfId="33581"/>
    <cellStyle name="Normal 13 5 3 3 4" xfId="27141"/>
    <cellStyle name="Normal 13 5 3 4" xfId="17434"/>
    <cellStyle name="Normal 13 5 3 4 2" xfId="40021"/>
    <cellStyle name="Normal 13 5 3 5" xfId="14214"/>
    <cellStyle name="Normal 13 5 3 5 2" xfId="36801"/>
    <cellStyle name="Normal 13 5 3 6" xfId="7774"/>
    <cellStyle name="Normal 13 5 3 6 2" xfId="30361"/>
    <cellStyle name="Normal 13 5 3 7" xfId="23921"/>
    <cellStyle name="Normal 13 5 4" xfId="1567"/>
    <cellStyle name="Normal 13 5 4 2" xfId="4793"/>
    <cellStyle name="Normal 13 5 4 2 2" xfId="20893"/>
    <cellStyle name="Normal 13 5 4 2 2 2" xfId="43480"/>
    <cellStyle name="Normal 13 5 4 2 3" xfId="11233"/>
    <cellStyle name="Normal 13 5 4 2 3 2" xfId="33820"/>
    <cellStyle name="Normal 13 5 4 2 4" xfId="27380"/>
    <cellStyle name="Normal 13 5 4 3" xfId="17673"/>
    <cellStyle name="Normal 13 5 4 3 2" xfId="40260"/>
    <cellStyle name="Normal 13 5 4 4" xfId="14453"/>
    <cellStyle name="Normal 13 5 4 4 2" xfId="37040"/>
    <cellStyle name="Normal 13 5 4 5" xfId="8013"/>
    <cellStyle name="Normal 13 5 4 5 2" xfId="30600"/>
    <cellStyle name="Normal 13 5 4 6" xfId="24160"/>
    <cellStyle name="Normal 13 5 5" xfId="1946"/>
    <cellStyle name="Normal 13 5 5 2" xfId="5168"/>
    <cellStyle name="Normal 13 5 5 2 2" xfId="21268"/>
    <cellStyle name="Normal 13 5 5 2 2 2" xfId="43855"/>
    <cellStyle name="Normal 13 5 5 2 3" xfId="11608"/>
    <cellStyle name="Normal 13 5 5 2 3 2" xfId="34195"/>
    <cellStyle name="Normal 13 5 5 2 4" xfId="27755"/>
    <cellStyle name="Normal 13 5 5 3" xfId="18048"/>
    <cellStyle name="Normal 13 5 5 3 2" xfId="40635"/>
    <cellStyle name="Normal 13 5 5 4" xfId="14828"/>
    <cellStyle name="Normal 13 5 5 4 2" xfId="37415"/>
    <cellStyle name="Normal 13 5 5 5" xfId="8388"/>
    <cellStyle name="Normal 13 5 5 5 2" xfId="30975"/>
    <cellStyle name="Normal 13 5 5 6" xfId="24535"/>
    <cellStyle name="Normal 13 5 6" xfId="2979"/>
    <cellStyle name="Normal 13 5 6 2" xfId="6199"/>
    <cellStyle name="Normal 13 5 6 2 2" xfId="22299"/>
    <cellStyle name="Normal 13 5 6 2 2 2" xfId="44886"/>
    <cellStyle name="Normal 13 5 6 2 3" xfId="12639"/>
    <cellStyle name="Normal 13 5 6 2 3 2" xfId="35226"/>
    <cellStyle name="Normal 13 5 6 2 4" xfId="28786"/>
    <cellStyle name="Normal 13 5 6 3" xfId="19079"/>
    <cellStyle name="Normal 13 5 6 3 2" xfId="41666"/>
    <cellStyle name="Normal 13 5 6 4" xfId="15859"/>
    <cellStyle name="Normal 13 5 6 4 2" xfId="38446"/>
    <cellStyle name="Normal 13 5 6 5" xfId="9419"/>
    <cellStyle name="Normal 13 5 6 5 2" xfId="32006"/>
    <cellStyle name="Normal 13 5 6 6" xfId="25566"/>
    <cellStyle name="Normal 13 5 7" xfId="3269"/>
    <cellStyle name="Normal 13 5 7 2" xfId="6489"/>
    <cellStyle name="Normal 13 5 7 2 2" xfId="22589"/>
    <cellStyle name="Normal 13 5 7 2 2 2" xfId="45176"/>
    <cellStyle name="Normal 13 5 7 2 3" xfId="12929"/>
    <cellStyle name="Normal 13 5 7 2 3 2" xfId="35516"/>
    <cellStyle name="Normal 13 5 7 2 4" xfId="29076"/>
    <cellStyle name="Normal 13 5 7 3" xfId="19369"/>
    <cellStyle name="Normal 13 5 7 3 2" xfId="41956"/>
    <cellStyle name="Normal 13 5 7 4" xfId="16149"/>
    <cellStyle name="Normal 13 5 7 4 2" xfId="38736"/>
    <cellStyle name="Normal 13 5 7 5" xfId="9709"/>
    <cellStyle name="Normal 13 5 7 5 2" xfId="32296"/>
    <cellStyle name="Normal 13 5 7 6" xfId="25856"/>
    <cellStyle name="Normal 13 5 8" xfId="591"/>
    <cellStyle name="Normal 13 5 8 2" xfId="3860"/>
    <cellStyle name="Normal 13 5 8 2 2" xfId="19960"/>
    <cellStyle name="Normal 13 5 8 2 2 2" xfId="42547"/>
    <cellStyle name="Normal 13 5 8 2 3" xfId="10300"/>
    <cellStyle name="Normal 13 5 8 2 3 2" xfId="32887"/>
    <cellStyle name="Normal 13 5 8 2 4" xfId="26447"/>
    <cellStyle name="Normal 13 5 8 3" xfId="16740"/>
    <cellStyle name="Normal 13 5 8 3 2" xfId="39327"/>
    <cellStyle name="Normal 13 5 8 4" xfId="13520"/>
    <cellStyle name="Normal 13 5 8 4 2" xfId="36107"/>
    <cellStyle name="Normal 13 5 8 5" xfId="7080"/>
    <cellStyle name="Normal 13 5 8 5 2" xfId="29667"/>
    <cellStyle name="Normal 13 5 8 6" xfId="23227"/>
    <cellStyle name="Normal 13 5 9" xfId="3559"/>
    <cellStyle name="Normal 13 5 9 2" xfId="19659"/>
    <cellStyle name="Normal 13 5 9 2 2" xfId="42246"/>
    <cellStyle name="Normal 13 5 9 3" xfId="9999"/>
    <cellStyle name="Normal 13 5 9 3 2" xfId="32586"/>
    <cellStyle name="Normal 13 5 9 4" xfId="26146"/>
    <cellStyle name="Normal 13 6" xfId="354"/>
    <cellStyle name="Normal 13 6 10" xfId="13301"/>
    <cellStyle name="Normal 13 6 10 2" xfId="35888"/>
    <cellStyle name="Normal 13 6 11" xfId="6861"/>
    <cellStyle name="Normal 13 6 11 2" xfId="29448"/>
    <cellStyle name="Normal 13 6 12" xfId="23008"/>
    <cellStyle name="Normal 13 6 2" xfId="1091"/>
    <cellStyle name="Normal 13 6 2 2" xfId="2405"/>
    <cellStyle name="Normal 13 6 2 2 2" xfId="5626"/>
    <cellStyle name="Normal 13 6 2 2 2 2" xfId="21726"/>
    <cellStyle name="Normal 13 6 2 2 2 2 2" xfId="44313"/>
    <cellStyle name="Normal 13 6 2 2 2 3" xfId="12066"/>
    <cellStyle name="Normal 13 6 2 2 2 3 2" xfId="34653"/>
    <cellStyle name="Normal 13 6 2 2 2 4" xfId="28213"/>
    <cellStyle name="Normal 13 6 2 2 3" xfId="18506"/>
    <cellStyle name="Normal 13 6 2 2 3 2" xfId="41093"/>
    <cellStyle name="Normal 13 6 2 2 4" xfId="15286"/>
    <cellStyle name="Normal 13 6 2 2 4 2" xfId="37873"/>
    <cellStyle name="Normal 13 6 2 2 5" xfId="8846"/>
    <cellStyle name="Normal 13 6 2 2 5 2" xfId="31433"/>
    <cellStyle name="Normal 13 6 2 2 6" xfId="24993"/>
    <cellStyle name="Normal 13 6 2 3" xfId="4318"/>
    <cellStyle name="Normal 13 6 2 3 2" xfId="20418"/>
    <cellStyle name="Normal 13 6 2 3 2 2" xfId="43005"/>
    <cellStyle name="Normal 13 6 2 3 3" xfId="10758"/>
    <cellStyle name="Normal 13 6 2 3 3 2" xfId="33345"/>
    <cellStyle name="Normal 13 6 2 3 4" xfId="26905"/>
    <cellStyle name="Normal 13 6 2 4" xfId="17198"/>
    <cellStyle name="Normal 13 6 2 4 2" xfId="39785"/>
    <cellStyle name="Normal 13 6 2 5" xfId="13978"/>
    <cellStyle name="Normal 13 6 2 5 2" xfId="36565"/>
    <cellStyle name="Normal 13 6 2 6" xfId="7538"/>
    <cellStyle name="Normal 13 6 2 6 2" xfId="30125"/>
    <cellStyle name="Normal 13 6 2 7" xfId="23685"/>
    <cellStyle name="Normal 13 6 3" xfId="1438"/>
    <cellStyle name="Normal 13 6 3 2" xfId="2752"/>
    <cellStyle name="Normal 13 6 3 2 2" xfId="5973"/>
    <cellStyle name="Normal 13 6 3 2 2 2" xfId="22073"/>
    <cellStyle name="Normal 13 6 3 2 2 2 2" xfId="44660"/>
    <cellStyle name="Normal 13 6 3 2 2 3" xfId="12413"/>
    <cellStyle name="Normal 13 6 3 2 2 3 2" xfId="35000"/>
    <cellStyle name="Normal 13 6 3 2 2 4" xfId="28560"/>
    <cellStyle name="Normal 13 6 3 2 3" xfId="18853"/>
    <cellStyle name="Normal 13 6 3 2 3 2" xfId="41440"/>
    <cellStyle name="Normal 13 6 3 2 4" xfId="15633"/>
    <cellStyle name="Normal 13 6 3 2 4 2" xfId="38220"/>
    <cellStyle name="Normal 13 6 3 2 5" xfId="9193"/>
    <cellStyle name="Normal 13 6 3 2 5 2" xfId="31780"/>
    <cellStyle name="Normal 13 6 3 2 6" xfId="25340"/>
    <cellStyle name="Normal 13 6 3 3" xfId="4665"/>
    <cellStyle name="Normal 13 6 3 3 2" xfId="20765"/>
    <cellStyle name="Normal 13 6 3 3 2 2" xfId="43352"/>
    <cellStyle name="Normal 13 6 3 3 3" xfId="11105"/>
    <cellStyle name="Normal 13 6 3 3 3 2" xfId="33692"/>
    <cellStyle name="Normal 13 6 3 3 4" xfId="27252"/>
    <cellStyle name="Normal 13 6 3 4" xfId="17545"/>
    <cellStyle name="Normal 13 6 3 4 2" xfId="40132"/>
    <cellStyle name="Normal 13 6 3 5" xfId="14325"/>
    <cellStyle name="Normal 13 6 3 5 2" xfId="36912"/>
    <cellStyle name="Normal 13 6 3 6" xfId="7885"/>
    <cellStyle name="Normal 13 6 3 6 2" xfId="30472"/>
    <cellStyle name="Normal 13 6 3 7" xfId="24032"/>
    <cellStyle name="Normal 13 6 4" xfId="2058"/>
    <cellStyle name="Normal 13 6 4 2" xfId="5279"/>
    <cellStyle name="Normal 13 6 4 2 2" xfId="21379"/>
    <cellStyle name="Normal 13 6 4 2 2 2" xfId="43966"/>
    <cellStyle name="Normal 13 6 4 2 3" xfId="11719"/>
    <cellStyle name="Normal 13 6 4 2 3 2" xfId="34306"/>
    <cellStyle name="Normal 13 6 4 2 4" xfId="27866"/>
    <cellStyle name="Normal 13 6 4 3" xfId="18159"/>
    <cellStyle name="Normal 13 6 4 3 2" xfId="40746"/>
    <cellStyle name="Normal 13 6 4 4" xfId="14939"/>
    <cellStyle name="Normal 13 6 4 4 2" xfId="37526"/>
    <cellStyle name="Normal 13 6 4 5" xfId="8499"/>
    <cellStyle name="Normal 13 6 4 5 2" xfId="31086"/>
    <cellStyle name="Normal 13 6 4 6" xfId="24646"/>
    <cellStyle name="Normal 13 6 5" xfId="3061"/>
    <cellStyle name="Normal 13 6 5 2" xfId="6281"/>
    <cellStyle name="Normal 13 6 5 2 2" xfId="22381"/>
    <cellStyle name="Normal 13 6 5 2 2 2" xfId="44968"/>
    <cellStyle name="Normal 13 6 5 2 3" xfId="12721"/>
    <cellStyle name="Normal 13 6 5 2 3 2" xfId="35308"/>
    <cellStyle name="Normal 13 6 5 2 4" xfId="28868"/>
    <cellStyle name="Normal 13 6 5 3" xfId="19161"/>
    <cellStyle name="Normal 13 6 5 3 2" xfId="41748"/>
    <cellStyle name="Normal 13 6 5 4" xfId="15941"/>
    <cellStyle name="Normal 13 6 5 4 2" xfId="38528"/>
    <cellStyle name="Normal 13 6 5 5" xfId="9501"/>
    <cellStyle name="Normal 13 6 5 5 2" xfId="32088"/>
    <cellStyle name="Normal 13 6 5 6" xfId="25648"/>
    <cellStyle name="Normal 13 6 6" xfId="3351"/>
    <cellStyle name="Normal 13 6 6 2" xfId="6571"/>
    <cellStyle name="Normal 13 6 6 2 2" xfId="22671"/>
    <cellStyle name="Normal 13 6 6 2 2 2" xfId="45258"/>
    <cellStyle name="Normal 13 6 6 2 3" xfId="13011"/>
    <cellStyle name="Normal 13 6 6 2 3 2" xfId="35598"/>
    <cellStyle name="Normal 13 6 6 2 4" xfId="29158"/>
    <cellStyle name="Normal 13 6 6 3" xfId="19451"/>
    <cellStyle name="Normal 13 6 6 3 2" xfId="42038"/>
    <cellStyle name="Normal 13 6 6 4" xfId="16231"/>
    <cellStyle name="Normal 13 6 6 4 2" xfId="38818"/>
    <cellStyle name="Normal 13 6 6 5" xfId="9791"/>
    <cellStyle name="Normal 13 6 6 5 2" xfId="32378"/>
    <cellStyle name="Normal 13 6 6 6" xfId="25938"/>
    <cellStyle name="Normal 13 6 7" xfId="739"/>
    <cellStyle name="Normal 13 6 7 2" xfId="3971"/>
    <cellStyle name="Normal 13 6 7 2 2" xfId="20071"/>
    <cellStyle name="Normal 13 6 7 2 2 2" xfId="42658"/>
    <cellStyle name="Normal 13 6 7 2 3" xfId="10411"/>
    <cellStyle name="Normal 13 6 7 2 3 2" xfId="32998"/>
    <cellStyle name="Normal 13 6 7 2 4" xfId="26558"/>
    <cellStyle name="Normal 13 6 7 3" xfId="16851"/>
    <cellStyle name="Normal 13 6 7 3 2" xfId="39438"/>
    <cellStyle name="Normal 13 6 7 4" xfId="13631"/>
    <cellStyle name="Normal 13 6 7 4 2" xfId="36218"/>
    <cellStyle name="Normal 13 6 7 5" xfId="7191"/>
    <cellStyle name="Normal 13 6 7 5 2" xfId="29778"/>
    <cellStyle name="Normal 13 6 7 6" xfId="23338"/>
    <cellStyle name="Normal 13 6 8" xfId="3641"/>
    <cellStyle name="Normal 13 6 8 2" xfId="19741"/>
    <cellStyle name="Normal 13 6 8 2 2" xfId="42328"/>
    <cellStyle name="Normal 13 6 8 3" xfId="10081"/>
    <cellStyle name="Normal 13 6 8 3 2" xfId="32668"/>
    <cellStyle name="Normal 13 6 8 4" xfId="26228"/>
    <cellStyle name="Normal 13 6 9" xfId="16521"/>
    <cellStyle name="Normal 13 6 9 2" xfId="39108"/>
    <cellStyle name="Normal 13 7" xfId="759"/>
    <cellStyle name="Normal 13 7 2" xfId="1111"/>
    <cellStyle name="Normal 13 7 2 2" xfId="2425"/>
    <cellStyle name="Normal 13 7 2 2 2" xfId="5646"/>
    <cellStyle name="Normal 13 7 2 2 2 2" xfId="21746"/>
    <cellStyle name="Normal 13 7 2 2 2 2 2" xfId="44333"/>
    <cellStyle name="Normal 13 7 2 2 2 3" xfId="12086"/>
    <cellStyle name="Normal 13 7 2 2 2 3 2" xfId="34673"/>
    <cellStyle name="Normal 13 7 2 2 2 4" xfId="28233"/>
    <cellStyle name="Normal 13 7 2 2 3" xfId="18526"/>
    <cellStyle name="Normal 13 7 2 2 3 2" xfId="41113"/>
    <cellStyle name="Normal 13 7 2 2 4" xfId="15306"/>
    <cellStyle name="Normal 13 7 2 2 4 2" xfId="37893"/>
    <cellStyle name="Normal 13 7 2 2 5" xfId="8866"/>
    <cellStyle name="Normal 13 7 2 2 5 2" xfId="31453"/>
    <cellStyle name="Normal 13 7 2 2 6" xfId="25013"/>
    <cellStyle name="Normal 13 7 2 3" xfId="4338"/>
    <cellStyle name="Normal 13 7 2 3 2" xfId="20438"/>
    <cellStyle name="Normal 13 7 2 3 2 2" xfId="43025"/>
    <cellStyle name="Normal 13 7 2 3 3" xfId="10778"/>
    <cellStyle name="Normal 13 7 2 3 3 2" xfId="33365"/>
    <cellStyle name="Normal 13 7 2 3 4" xfId="26925"/>
    <cellStyle name="Normal 13 7 2 4" xfId="17218"/>
    <cellStyle name="Normal 13 7 2 4 2" xfId="39805"/>
    <cellStyle name="Normal 13 7 2 5" xfId="13998"/>
    <cellStyle name="Normal 13 7 2 5 2" xfId="36585"/>
    <cellStyle name="Normal 13 7 2 6" xfId="7558"/>
    <cellStyle name="Normal 13 7 2 6 2" xfId="30145"/>
    <cellStyle name="Normal 13 7 2 7" xfId="23705"/>
    <cellStyle name="Normal 13 7 3" xfId="1458"/>
    <cellStyle name="Normal 13 7 3 2" xfId="2772"/>
    <cellStyle name="Normal 13 7 3 2 2" xfId="5993"/>
    <cellStyle name="Normal 13 7 3 2 2 2" xfId="22093"/>
    <cellStyle name="Normal 13 7 3 2 2 2 2" xfId="44680"/>
    <cellStyle name="Normal 13 7 3 2 2 3" xfId="12433"/>
    <cellStyle name="Normal 13 7 3 2 2 3 2" xfId="35020"/>
    <cellStyle name="Normal 13 7 3 2 2 4" xfId="28580"/>
    <cellStyle name="Normal 13 7 3 2 3" xfId="18873"/>
    <cellStyle name="Normal 13 7 3 2 3 2" xfId="41460"/>
    <cellStyle name="Normal 13 7 3 2 4" xfId="15653"/>
    <cellStyle name="Normal 13 7 3 2 4 2" xfId="38240"/>
    <cellStyle name="Normal 13 7 3 2 5" xfId="9213"/>
    <cellStyle name="Normal 13 7 3 2 5 2" xfId="31800"/>
    <cellStyle name="Normal 13 7 3 2 6" xfId="25360"/>
    <cellStyle name="Normal 13 7 3 3" xfId="4685"/>
    <cellStyle name="Normal 13 7 3 3 2" xfId="20785"/>
    <cellStyle name="Normal 13 7 3 3 2 2" xfId="43372"/>
    <cellStyle name="Normal 13 7 3 3 3" xfId="11125"/>
    <cellStyle name="Normal 13 7 3 3 3 2" xfId="33712"/>
    <cellStyle name="Normal 13 7 3 3 4" xfId="27272"/>
    <cellStyle name="Normal 13 7 3 4" xfId="17565"/>
    <cellStyle name="Normal 13 7 3 4 2" xfId="40152"/>
    <cellStyle name="Normal 13 7 3 5" xfId="14345"/>
    <cellStyle name="Normal 13 7 3 5 2" xfId="36932"/>
    <cellStyle name="Normal 13 7 3 6" xfId="7905"/>
    <cellStyle name="Normal 13 7 3 6 2" xfId="30492"/>
    <cellStyle name="Normal 13 7 3 7" xfId="24052"/>
    <cellStyle name="Normal 13 7 4" xfId="2078"/>
    <cellStyle name="Normal 13 7 4 2" xfId="5299"/>
    <cellStyle name="Normal 13 7 4 2 2" xfId="21399"/>
    <cellStyle name="Normal 13 7 4 2 2 2" xfId="43986"/>
    <cellStyle name="Normal 13 7 4 2 3" xfId="11739"/>
    <cellStyle name="Normal 13 7 4 2 3 2" xfId="34326"/>
    <cellStyle name="Normal 13 7 4 2 4" xfId="27886"/>
    <cellStyle name="Normal 13 7 4 3" xfId="18179"/>
    <cellStyle name="Normal 13 7 4 3 2" xfId="40766"/>
    <cellStyle name="Normal 13 7 4 4" xfId="14959"/>
    <cellStyle name="Normal 13 7 4 4 2" xfId="37546"/>
    <cellStyle name="Normal 13 7 4 5" xfId="8519"/>
    <cellStyle name="Normal 13 7 4 5 2" xfId="31106"/>
    <cellStyle name="Normal 13 7 4 6" xfId="24666"/>
    <cellStyle name="Normal 13 7 5" xfId="3991"/>
    <cellStyle name="Normal 13 7 5 2" xfId="20091"/>
    <cellStyle name="Normal 13 7 5 2 2" xfId="42678"/>
    <cellStyle name="Normal 13 7 5 3" xfId="10431"/>
    <cellStyle name="Normal 13 7 5 3 2" xfId="33018"/>
    <cellStyle name="Normal 13 7 5 4" xfId="26578"/>
    <cellStyle name="Normal 13 7 6" xfId="16871"/>
    <cellStyle name="Normal 13 7 6 2" xfId="39458"/>
    <cellStyle name="Normal 13 7 7" xfId="13651"/>
    <cellStyle name="Normal 13 7 7 2" xfId="36238"/>
    <cellStyle name="Normal 13 7 8" xfId="7211"/>
    <cellStyle name="Normal 13 7 8 2" xfId="29798"/>
    <cellStyle name="Normal 13 7 9" xfId="23358"/>
    <cellStyle name="Normal 13 8" xfId="853"/>
    <cellStyle name="Normal 13 8 2" xfId="2172"/>
    <cellStyle name="Normal 13 8 2 2" xfId="5393"/>
    <cellStyle name="Normal 13 8 2 2 2" xfId="21493"/>
    <cellStyle name="Normal 13 8 2 2 2 2" xfId="44080"/>
    <cellStyle name="Normal 13 8 2 2 3" xfId="11833"/>
    <cellStyle name="Normal 13 8 2 2 3 2" xfId="34420"/>
    <cellStyle name="Normal 13 8 2 2 4" xfId="27980"/>
    <cellStyle name="Normal 13 8 2 3" xfId="18273"/>
    <cellStyle name="Normal 13 8 2 3 2" xfId="40860"/>
    <cellStyle name="Normal 13 8 2 4" xfId="15053"/>
    <cellStyle name="Normal 13 8 2 4 2" xfId="37640"/>
    <cellStyle name="Normal 13 8 2 5" xfId="8613"/>
    <cellStyle name="Normal 13 8 2 5 2" xfId="31200"/>
    <cellStyle name="Normal 13 8 2 6" xfId="24760"/>
    <cellStyle name="Normal 13 8 3" xfId="4085"/>
    <cellStyle name="Normal 13 8 3 2" xfId="20185"/>
    <cellStyle name="Normal 13 8 3 2 2" xfId="42772"/>
    <cellStyle name="Normal 13 8 3 3" xfId="10525"/>
    <cellStyle name="Normal 13 8 3 3 2" xfId="33112"/>
    <cellStyle name="Normal 13 8 3 4" xfId="26672"/>
    <cellStyle name="Normal 13 8 4" xfId="16965"/>
    <cellStyle name="Normal 13 8 4 2" xfId="39552"/>
    <cellStyle name="Normal 13 8 5" xfId="13745"/>
    <cellStyle name="Normal 13 8 5 2" xfId="36332"/>
    <cellStyle name="Normal 13 8 6" xfId="7305"/>
    <cellStyle name="Normal 13 8 6 2" xfId="29892"/>
    <cellStyle name="Normal 13 8 7" xfId="23452"/>
    <cellStyle name="Normal 13 9" xfId="1205"/>
    <cellStyle name="Normal 13 9 2" xfId="2519"/>
    <cellStyle name="Normal 13 9 2 2" xfId="5740"/>
    <cellStyle name="Normal 13 9 2 2 2" xfId="21840"/>
    <cellStyle name="Normal 13 9 2 2 2 2" xfId="44427"/>
    <cellStyle name="Normal 13 9 2 2 3" xfId="12180"/>
    <cellStyle name="Normal 13 9 2 2 3 2" xfId="34767"/>
    <cellStyle name="Normal 13 9 2 2 4" xfId="28327"/>
    <cellStyle name="Normal 13 9 2 3" xfId="18620"/>
    <cellStyle name="Normal 13 9 2 3 2" xfId="41207"/>
    <cellStyle name="Normal 13 9 2 4" xfId="15400"/>
    <cellStyle name="Normal 13 9 2 4 2" xfId="37987"/>
    <cellStyle name="Normal 13 9 2 5" xfId="8960"/>
    <cellStyle name="Normal 13 9 2 5 2" xfId="31547"/>
    <cellStyle name="Normal 13 9 2 6" xfId="25107"/>
    <cellStyle name="Normal 13 9 3" xfId="4432"/>
    <cellStyle name="Normal 13 9 3 2" xfId="20532"/>
    <cellStyle name="Normal 13 9 3 2 2" xfId="43119"/>
    <cellStyle name="Normal 13 9 3 3" xfId="10872"/>
    <cellStyle name="Normal 13 9 3 3 2" xfId="33459"/>
    <cellStyle name="Normal 13 9 3 4" xfId="27019"/>
    <cellStyle name="Normal 13 9 4" xfId="17312"/>
    <cellStyle name="Normal 13 9 4 2" xfId="39899"/>
    <cellStyle name="Normal 13 9 5" xfId="14092"/>
    <cellStyle name="Normal 13 9 5 2" xfId="36679"/>
    <cellStyle name="Normal 13 9 6" xfId="7652"/>
    <cellStyle name="Normal 13 9 6 2" xfId="30239"/>
    <cellStyle name="Normal 13 9 7" xfId="23799"/>
    <cellStyle name="Normal 14" xfId="90"/>
    <cellStyle name="Normal 14 10" xfId="839"/>
    <cellStyle name="Normal 14 10 2" xfId="2158"/>
    <cellStyle name="Normal 14 10 2 2" xfId="5379"/>
    <cellStyle name="Normal 14 10 2 2 2" xfId="21479"/>
    <cellStyle name="Normal 14 10 2 2 2 2" xfId="44066"/>
    <cellStyle name="Normal 14 10 2 2 3" xfId="11819"/>
    <cellStyle name="Normal 14 10 2 2 3 2" xfId="34406"/>
    <cellStyle name="Normal 14 10 2 2 4" xfId="27966"/>
    <cellStyle name="Normal 14 10 2 3" xfId="18259"/>
    <cellStyle name="Normal 14 10 2 3 2" xfId="40846"/>
    <cellStyle name="Normal 14 10 2 4" xfId="15039"/>
    <cellStyle name="Normal 14 10 2 4 2" xfId="37626"/>
    <cellStyle name="Normal 14 10 2 5" xfId="8599"/>
    <cellStyle name="Normal 14 10 2 5 2" xfId="31186"/>
    <cellStyle name="Normal 14 10 2 6" xfId="24746"/>
    <cellStyle name="Normal 14 10 3" xfId="4071"/>
    <cellStyle name="Normal 14 10 3 2" xfId="20171"/>
    <cellStyle name="Normal 14 10 3 2 2" xfId="42758"/>
    <cellStyle name="Normal 14 10 3 3" xfId="10511"/>
    <cellStyle name="Normal 14 10 3 3 2" xfId="33098"/>
    <cellStyle name="Normal 14 10 3 4" xfId="26658"/>
    <cellStyle name="Normal 14 10 4" xfId="16951"/>
    <cellStyle name="Normal 14 10 4 2" xfId="39538"/>
    <cellStyle name="Normal 14 10 5" xfId="13731"/>
    <cellStyle name="Normal 14 10 5 2" xfId="36318"/>
    <cellStyle name="Normal 14 10 6" xfId="7291"/>
    <cellStyle name="Normal 14 10 6 2" xfId="29878"/>
    <cellStyle name="Normal 14 10 7" xfId="23438"/>
    <cellStyle name="Normal 14 11" xfId="1191"/>
    <cellStyle name="Normal 14 11 2" xfId="2505"/>
    <cellStyle name="Normal 14 11 2 2" xfId="5726"/>
    <cellStyle name="Normal 14 11 2 2 2" xfId="21826"/>
    <cellStyle name="Normal 14 11 2 2 2 2" xfId="44413"/>
    <cellStyle name="Normal 14 11 2 2 3" xfId="12166"/>
    <cellStyle name="Normal 14 11 2 2 3 2" xfId="34753"/>
    <cellStyle name="Normal 14 11 2 2 4" xfId="28313"/>
    <cellStyle name="Normal 14 11 2 3" xfId="18606"/>
    <cellStyle name="Normal 14 11 2 3 2" xfId="41193"/>
    <cellStyle name="Normal 14 11 2 4" xfId="15386"/>
    <cellStyle name="Normal 14 11 2 4 2" xfId="37973"/>
    <cellStyle name="Normal 14 11 2 5" xfId="8946"/>
    <cellStyle name="Normal 14 11 2 5 2" xfId="31533"/>
    <cellStyle name="Normal 14 11 2 6" xfId="25093"/>
    <cellStyle name="Normal 14 11 3" xfId="4418"/>
    <cellStyle name="Normal 14 11 3 2" xfId="20518"/>
    <cellStyle name="Normal 14 11 3 2 2" xfId="43105"/>
    <cellStyle name="Normal 14 11 3 3" xfId="10858"/>
    <cellStyle name="Normal 14 11 3 3 2" xfId="33445"/>
    <cellStyle name="Normal 14 11 3 4" xfId="27005"/>
    <cellStyle name="Normal 14 11 4" xfId="17298"/>
    <cellStyle name="Normal 14 11 4 2" xfId="39885"/>
    <cellStyle name="Normal 14 11 5" xfId="14078"/>
    <cellStyle name="Normal 14 11 5 2" xfId="36665"/>
    <cellStyle name="Normal 14 11 6" xfId="7638"/>
    <cellStyle name="Normal 14 11 6 2" xfId="30225"/>
    <cellStyle name="Normal 14 11 7" xfId="23785"/>
    <cellStyle name="Normal 14 12" xfId="1540"/>
    <cellStyle name="Normal 14 12 2" xfId="4766"/>
    <cellStyle name="Normal 14 12 2 2" xfId="20866"/>
    <cellStyle name="Normal 14 12 2 2 2" xfId="43453"/>
    <cellStyle name="Normal 14 12 2 3" xfId="11206"/>
    <cellStyle name="Normal 14 12 2 3 2" xfId="33793"/>
    <cellStyle name="Normal 14 12 2 4" xfId="27353"/>
    <cellStyle name="Normal 14 12 3" xfId="17646"/>
    <cellStyle name="Normal 14 12 3 2" xfId="40233"/>
    <cellStyle name="Normal 14 12 4" xfId="14426"/>
    <cellStyle name="Normal 14 12 4 2" xfId="37013"/>
    <cellStyle name="Normal 14 12 5" xfId="7986"/>
    <cellStyle name="Normal 14 12 5 2" xfId="30573"/>
    <cellStyle name="Normal 14 12 6" xfId="24133"/>
    <cellStyle name="Normal 14 13" xfId="1810"/>
    <cellStyle name="Normal 14 13 2" xfId="5032"/>
    <cellStyle name="Normal 14 13 2 2" xfId="21132"/>
    <cellStyle name="Normal 14 13 2 2 2" xfId="43719"/>
    <cellStyle name="Normal 14 13 2 3" xfId="11472"/>
    <cellStyle name="Normal 14 13 2 3 2" xfId="34059"/>
    <cellStyle name="Normal 14 13 2 4" xfId="27619"/>
    <cellStyle name="Normal 14 13 3" xfId="17912"/>
    <cellStyle name="Normal 14 13 3 2" xfId="40499"/>
    <cellStyle name="Normal 14 13 4" xfId="14692"/>
    <cellStyle name="Normal 14 13 4 2" xfId="37279"/>
    <cellStyle name="Normal 14 13 5" xfId="8252"/>
    <cellStyle name="Normal 14 13 5 2" xfId="30839"/>
    <cellStyle name="Normal 14 13 6" xfId="24399"/>
    <cellStyle name="Normal 14 14" xfId="2853"/>
    <cellStyle name="Normal 14 14 2" xfId="6074"/>
    <cellStyle name="Normal 14 14 2 2" xfId="22174"/>
    <cellStyle name="Normal 14 14 2 2 2" xfId="44761"/>
    <cellStyle name="Normal 14 14 2 3" xfId="12514"/>
    <cellStyle name="Normal 14 14 2 3 2" xfId="35101"/>
    <cellStyle name="Normal 14 14 2 4" xfId="28661"/>
    <cellStyle name="Normal 14 14 3" xfId="18954"/>
    <cellStyle name="Normal 14 14 3 2" xfId="41541"/>
    <cellStyle name="Normal 14 14 4" xfId="15734"/>
    <cellStyle name="Normal 14 14 4 2" xfId="38321"/>
    <cellStyle name="Normal 14 14 5" xfId="9294"/>
    <cellStyle name="Normal 14 14 5 2" xfId="31881"/>
    <cellStyle name="Normal 14 14 6" xfId="25441"/>
    <cellStyle name="Normal 14 15" xfId="3144"/>
    <cellStyle name="Normal 14 15 2" xfId="6364"/>
    <cellStyle name="Normal 14 15 2 2" xfId="22464"/>
    <cellStyle name="Normal 14 15 2 2 2" xfId="45051"/>
    <cellStyle name="Normal 14 15 2 3" xfId="12804"/>
    <cellStyle name="Normal 14 15 2 3 2" xfId="35391"/>
    <cellStyle name="Normal 14 15 2 4" xfId="28951"/>
    <cellStyle name="Normal 14 15 3" xfId="19244"/>
    <cellStyle name="Normal 14 15 3 2" xfId="41831"/>
    <cellStyle name="Normal 14 15 4" xfId="16024"/>
    <cellStyle name="Normal 14 15 4 2" xfId="38611"/>
    <cellStyle name="Normal 14 15 5" xfId="9584"/>
    <cellStyle name="Normal 14 15 5 2" xfId="32171"/>
    <cellStyle name="Normal 14 15 6" xfId="25731"/>
    <cellStyle name="Normal 14 16" xfId="437"/>
    <cellStyle name="Normal 14 16 2" xfId="3724"/>
    <cellStyle name="Normal 14 16 2 2" xfId="19824"/>
    <cellStyle name="Normal 14 16 2 2 2" xfId="42411"/>
    <cellStyle name="Normal 14 16 2 3" xfId="10164"/>
    <cellStyle name="Normal 14 16 2 3 2" xfId="32751"/>
    <cellStyle name="Normal 14 16 2 4" xfId="26311"/>
    <cellStyle name="Normal 14 16 3" xfId="16604"/>
    <cellStyle name="Normal 14 16 3 2" xfId="39191"/>
    <cellStyle name="Normal 14 16 4" xfId="13384"/>
    <cellStyle name="Normal 14 16 4 2" xfId="35971"/>
    <cellStyle name="Normal 14 16 5" xfId="6944"/>
    <cellStyle name="Normal 14 16 5 2" xfId="29531"/>
    <cellStyle name="Normal 14 16 6" xfId="23091"/>
    <cellStyle name="Normal 14 17" xfId="3434"/>
    <cellStyle name="Normal 14 17 2" xfId="19534"/>
    <cellStyle name="Normal 14 17 2 2" xfId="42121"/>
    <cellStyle name="Normal 14 17 3" xfId="9874"/>
    <cellStyle name="Normal 14 17 3 2" xfId="32461"/>
    <cellStyle name="Normal 14 17 4" xfId="26021"/>
    <cellStyle name="Normal 14 18" xfId="16314"/>
    <cellStyle name="Normal 14 18 2" xfId="38901"/>
    <cellStyle name="Normal 14 19" xfId="13094"/>
    <cellStyle name="Normal 14 19 2" xfId="35681"/>
    <cellStyle name="Normal 14 2" xfId="99"/>
    <cellStyle name="Normal 14 2 10" xfId="1568"/>
    <cellStyle name="Normal 14 2 10 2" xfId="4794"/>
    <cellStyle name="Normal 14 2 10 2 2" xfId="20894"/>
    <cellStyle name="Normal 14 2 10 2 2 2" xfId="43481"/>
    <cellStyle name="Normal 14 2 10 2 3" xfId="11234"/>
    <cellStyle name="Normal 14 2 10 2 3 2" xfId="33821"/>
    <cellStyle name="Normal 14 2 10 2 4" xfId="27381"/>
    <cellStyle name="Normal 14 2 10 3" xfId="17674"/>
    <cellStyle name="Normal 14 2 10 3 2" xfId="40261"/>
    <cellStyle name="Normal 14 2 10 4" xfId="14454"/>
    <cellStyle name="Normal 14 2 10 4 2" xfId="37041"/>
    <cellStyle name="Normal 14 2 10 5" xfId="8014"/>
    <cellStyle name="Normal 14 2 10 5 2" xfId="30601"/>
    <cellStyle name="Normal 14 2 10 6" xfId="24161"/>
    <cellStyle name="Normal 14 2 11" xfId="1815"/>
    <cellStyle name="Normal 14 2 11 2" xfId="5037"/>
    <cellStyle name="Normal 14 2 11 2 2" xfId="21137"/>
    <cellStyle name="Normal 14 2 11 2 2 2" xfId="43724"/>
    <cellStyle name="Normal 14 2 11 2 3" xfId="11477"/>
    <cellStyle name="Normal 14 2 11 2 3 2" xfId="34064"/>
    <cellStyle name="Normal 14 2 11 2 4" xfId="27624"/>
    <cellStyle name="Normal 14 2 11 3" xfId="17917"/>
    <cellStyle name="Normal 14 2 11 3 2" xfId="40504"/>
    <cellStyle name="Normal 14 2 11 4" xfId="14697"/>
    <cellStyle name="Normal 14 2 11 4 2" xfId="37284"/>
    <cellStyle name="Normal 14 2 11 5" xfId="8257"/>
    <cellStyle name="Normal 14 2 11 5 2" xfId="30844"/>
    <cellStyle name="Normal 14 2 11 6" xfId="24404"/>
    <cellStyle name="Normal 14 2 12" xfId="2858"/>
    <cellStyle name="Normal 14 2 12 2" xfId="6079"/>
    <cellStyle name="Normal 14 2 12 2 2" xfId="22179"/>
    <cellStyle name="Normal 14 2 12 2 2 2" xfId="44766"/>
    <cellStyle name="Normal 14 2 12 2 3" xfId="12519"/>
    <cellStyle name="Normal 14 2 12 2 3 2" xfId="35106"/>
    <cellStyle name="Normal 14 2 12 2 4" xfId="28666"/>
    <cellStyle name="Normal 14 2 12 3" xfId="18959"/>
    <cellStyle name="Normal 14 2 12 3 2" xfId="41546"/>
    <cellStyle name="Normal 14 2 12 4" xfId="15739"/>
    <cellStyle name="Normal 14 2 12 4 2" xfId="38326"/>
    <cellStyle name="Normal 14 2 12 5" xfId="9299"/>
    <cellStyle name="Normal 14 2 12 5 2" xfId="31886"/>
    <cellStyle name="Normal 14 2 12 6" xfId="25446"/>
    <cellStyle name="Normal 14 2 13" xfId="3149"/>
    <cellStyle name="Normal 14 2 13 2" xfId="6369"/>
    <cellStyle name="Normal 14 2 13 2 2" xfId="22469"/>
    <cellStyle name="Normal 14 2 13 2 2 2" xfId="45056"/>
    <cellStyle name="Normal 14 2 13 2 3" xfId="12809"/>
    <cellStyle name="Normal 14 2 13 2 3 2" xfId="35396"/>
    <cellStyle name="Normal 14 2 13 2 4" xfId="28956"/>
    <cellStyle name="Normal 14 2 13 3" xfId="19249"/>
    <cellStyle name="Normal 14 2 13 3 2" xfId="41836"/>
    <cellStyle name="Normal 14 2 13 4" xfId="16029"/>
    <cellStyle name="Normal 14 2 13 4 2" xfId="38616"/>
    <cellStyle name="Normal 14 2 13 5" xfId="9589"/>
    <cellStyle name="Normal 14 2 13 5 2" xfId="32176"/>
    <cellStyle name="Normal 14 2 13 6" xfId="25736"/>
    <cellStyle name="Normal 14 2 14" xfId="442"/>
    <cellStyle name="Normal 14 2 14 2" xfId="3729"/>
    <cellStyle name="Normal 14 2 14 2 2" xfId="19829"/>
    <cellStyle name="Normal 14 2 14 2 2 2" xfId="42416"/>
    <cellStyle name="Normal 14 2 14 2 3" xfId="10169"/>
    <cellStyle name="Normal 14 2 14 2 3 2" xfId="32756"/>
    <cellStyle name="Normal 14 2 14 2 4" xfId="26316"/>
    <cellStyle name="Normal 14 2 14 3" xfId="16609"/>
    <cellStyle name="Normal 14 2 14 3 2" xfId="39196"/>
    <cellStyle name="Normal 14 2 14 4" xfId="13389"/>
    <cellStyle name="Normal 14 2 14 4 2" xfId="35976"/>
    <cellStyle name="Normal 14 2 14 5" xfId="6949"/>
    <cellStyle name="Normal 14 2 14 5 2" xfId="29536"/>
    <cellStyle name="Normal 14 2 14 6" xfId="23096"/>
    <cellStyle name="Normal 14 2 15" xfId="3439"/>
    <cellStyle name="Normal 14 2 15 2" xfId="19539"/>
    <cellStyle name="Normal 14 2 15 2 2" xfId="42126"/>
    <cellStyle name="Normal 14 2 15 3" xfId="9879"/>
    <cellStyle name="Normal 14 2 15 3 2" xfId="32466"/>
    <cellStyle name="Normal 14 2 15 4" xfId="26026"/>
    <cellStyle name="Normal 14 2 16" xfId="16319"/>
    <cellStyle name="Normal 14 2 16 2" xfId="38906"/>
    <cellStyle name="Normal 14 2 17" xfId="13099"/>
    <cellStyle name="Normal 14 2 17 2" xfId="35686"/>
    <cellStyle name="Normal 14 2 18" xfId="6659"/>
    <cellStyle name="Normal 14 2 18 2" xfId="29246"/>
    <cellStyle name="Normal 14 2 19" xfId="22806"/>
    <cellStyle name="Normal 14 2 2" xfId="118"/>
    <cellStyle name="Normal 14 2 2 10" xfId="2874"/>
    <cellStyle name="Normal 14 2 2 10 2" xfId="6095"/>
    <cellStyle name="Normal 14 2 2 10 2 2" xfId="22195"/>
    <cellStyle name="Normal 14 2 2 10 2 2 2" xfId="44782"/>
    <cellStyle name="Normal 14 2 2 10 2 3" xfId="12535"/>
    <cellStyle name="Normal 14 2 2 10 2 3 2" xfId="35122"/>
    <cellStyle name="Normal 14 2 2 10 2 4" xfId="28682"/>
    <cellStyle name="Normal 14 2 2 10 3" xfId="18975"/>
    <cellStyle name="Normal 14 2 2 10 3 2" xfId="41562"/>
    <cellStyle name="Normal 14 2 2 10 4" xfId="15755"/>
    <cellStyle name="Normal 14 2 2 10 4 2" xfId="38342"/>
    <cellStyle name="Normal 14 2 2 10 5" xfId="9315"/>
    <cellStyle name="Normal 14 2 2 10 5 2" xfId="31902"/>
    <cellStyle name="Normal 14 2 2 10 6" xfId="25462"/>
    <cellStyle name="Normal 14 2 2 11" xfId="3165"/>
    <cellStyle name="Normal 14 2 2 11 2" xfId="6385"/>
    <cellStyle name="Normal 14 2 2 11 2 2" xfId="22485"/>
    <cellStyle name="Normal 14 2 2 11 2 2 2" xfId="45072"/>
    <cellStyle name="Normal 14 2 2 11 2 3" xfId="12825"/>
    <cellStyle name="Normal 14 2 2 11 2 3 2" xfId="35412"/>
    <cellStyle name="Normal 14 2 2 11 2 4" xfId="28972"/>
    <cellStyle name="Normal 14 2 2 11 3" xfId="19265"/>
    <cellStyle name="Normal 14 2 2 11 3 2" xfId="41852"/>
    <cellStyle name="Normal 14 2 2 11 4" xfId="16045"/>
    <cellStyle name="Normal 14 2 2 11 4 2" xfId="38632"/>
    <cellStyle name="Normal 14 2 2 11 5" xfId="9605"/>
    <cellStyle name="Normal 14 2 2 11 5 2" xfId="32192"/>
    <cellStyle name="Normal 14 2 2 11 6" xfId="25752"/>
    <cellStyle name="Normal 14 2 2 12" xfId="458"/>
    <cellStyle name="Normal 14 2 2 12 2" xfId="3745"/>
    <cellStyle name="Normal 14 2 2 12 2 2" xfId="19845"/>
    <cellStyle name="Normal 14 2 2 12 2 2 2" xfId="42432"/>
    <cellStyle name="Normal 14 2 2 12 2 3" xfId="10185"/>
    <cellStyle name="Normal 14 2 2 12 2 3 2" xfId="32772"/>
    <cellStyle name="Normal 14 2 2 12 2 4" xfId="26332"/>
    <cellStyle name="Normal 14 2 2 12 3" xfId="16625"/>
    <cellStyle name="Normal 14 2 2 12 3 2" xfId="39212"/>
    <cellStyle name="Normal 14 2 2 12 4" xfId="13405"/>
    <cellStyle name="Normal 14 2 2 12 4 2" xfId="35992"/>
    <cellStyle name="Normal 14 2 2 12 5" xfId="6965"/>
    <cellStyle name="Normal 14 2 2 12 5 2" xfId="29552"/>
    <cellStyle name="Normal 14 2 2 12 6" xfId="23112"/>
    <cellStyle name="Normal 14 2 2 13" xfId="3455"/>
    <cellStyle name="Normal 14 2 2 13 2" xfId="19555"/>
    <cellStyle name="Normal 14 2 2 13 2 2" xfId="42142"/>
    <cellStyle name="Normal 14 2 2 13 3" xfId="9895"/>
    <cellStyle name="Normal 14 2 2 13 3 2" xfId="32482"/>
    <cellStyle name="Normal 14 2 2 13 4" xfId="26042"/>
    <cellStyle name="Normal 14 2 2 14" xfId="16335"/>
    <cellStyle name="Normal 14 2 2 14 2" xfId="38922"/>
    <cellStyle name="Normal 14 2 2 15" xfId="13115"/>
    <cellStyle name="Normal 14 2 2 15 2" xfId="35702"/>
    <cellStyle name="Normal 14 2 2 16" xfId="6675"/>
    <cellStyle name="Normal 14 2 2 16 2" xfId="29262"/>
    <cellStyle name="Normal 14 2 2 17" xfId="22822"/>
    <cellStyle name="Normal 14 2 2 2" xfId="203"/>
    <cellStyle name="Normal 14 2 2 2 10" xfId="495"/>
    <cellStyle name="Normal 14 2 2 2 10 2" xfId="3782"/>
    <cellStyle name="Normal 14 2 2 2 10 2 2" xfId="19882"/>
    <cellStyle name="Normal 14 2 2 2 10 2 2 2" xfId="42469"/>
    <cellStyle name="Normal 14 2 2 2 10 2 3" xfId="10222"/>
    <cellStyle name="Normal 14 2 2 2 10 2 3 2" xfId="32809"/>
    <cellStyle name="Normal 14 2 2 2 10 2 4" xfId="26369"/>
    <cellStyle name="Normal 14 2 2 2 10 3" xfId="16662"/>
    <cellStyle name="Normal 14 2 2 2 10 3 2" xfId="39249"/>
    <cellStyle name="Normal 14 2 2 2 10 4" xfId="13442"/>
    <cellStyle name="Normal 14 2 2 2 10 4 2" xfId="36029"/>
    <cellStyle name="Normal 14 2 2 2 10 5" xfId="7002"/>
    <cellStyle name="Normal 14 2 2 2 10 5 2" xfId="29589"/>
    <cellStyle name="Normal 14 2 2 2 10 6" xfId="23149"/>
    <cellStyle name="Normal 14 2 2 2 11" xfId="3492"/>
    <cellStyle name="Normal 14 2 2 2 11 2" xfId="19592"/>
    <cellStyle name="Normal 14 2 2 2 11 2 2" xfId="42179"/>
    <cellStyle name="Normal 14 2 2 2 11 3" xfId="9932"/>
    <cellStyle name="Normal 14 2 2 2 11 3 2" xfId="32519"/>
    <cellStyle name="Normal 14 2 2 2 11 4" xfId="26079"/>
    <cellStyle name="Normal 14 2 2 2 12" xfId="16372"/>
    <cellStyle name="Normal 14 2 2 2 12 2" xfId="38959"/>
    <cellStyle name="Normal 14 2 2 2 13" xfId="13152"/>
    <cellStyle name="Normal 14 2 2 2 13 2" xfId="35739"/>
    <cellStyle name="Normal 14 2 2 2 14" xfId="6712"/>
    <cellStyle name="Normal 14 2 2 2 14 2" xfId="29299"/>
    <cellStyle name="Normal 14 2 2 2 15" xfId="22859"/>
    <cellStyle name="Normal 14 2 2 2 2" xfId="302"/>
    <cellStyle name="Normal 14 2 2 2 2 10" xfId="16469"/>
    <cellStyle name="Normal 14 2 2 2 2 10 2" xfId="39056"/>
    <cellStyle name="Normal 14 2 2 2 2 11" xfId="13249"/>
    <cellStyle name="Normal 14 2 2 2 2 11 2" xfId="35836"/>
    <cellStyle name="Normal 14 2 2 2 2 12" xfId="6809"/>
    <cellStyle name="Normal 14 2 2 2 2 12 2" xfId="29396"/>
    <cellStyle name="Normal 14 2 2 2 2 13" xfId="22956"/>
    <cellStyle name="Normal 14 2 2 2 2 2" xfId="1021"/>
    <cellStyle name="Normal 14 2 2 2 2 2 2" xfId="2335"/>
    <cellStyle name="Normal 14 2 2 2 2 2 2 2" xfId="5556"/>
    <cellStyle name="Normal 14 2 2 2 2 2 2 2 2" xfId="21656"/>
    <cellStyle name="Normal 14 2 2 2 2 2 2 2 2 2" xfId="44243"/>
    <cellStyle name="Normal 14 2 2 2 2 2 2 2 3" xfId="11996"/>
    <cellStyle name="Normal 14 2 2 2 2 2 2 2 3 2" xfId="34583"/>
    <cellStyle name="Normal 14 2 2 2 2 2 2 2 4" xfId="28143"/>
    <cellStyle name="Normal 14 2 2 2 2 2 2 3" xfId="18436"/>
    <cellStyle name="Normal 14 2 2 2 2 2 2 3 2" xfId="41023"/>
    <cellStyle name="Normal 14 2 2 2 2 2 2 4" xfId="15216"/>
    <cellStyle name="Normal 14 2 2 2 2 2 2 4 2" xfId="37803"/>
    <cellStyle name="Normal 14 2 2 2 2 2 2 5" xfId="8776"/>
    <cellStyle name="Normal 14 2 2 2 2 2 2 5 2" xfId="31363"/>
    <cellStyle name="Normal 14 2 2 2 2 2 2 6" xfId="24923"/>
    <cellStyle name="Normal 14 2 2 2 2 2 3" xfId="4248"/>
    <cellStyle name="Normal 14 2 2 2 2 2 3 2" xfId="20348"/>
    <cellStyle name="Normal 14 2 2 2 2 2 3 2 2" xfId="42935"/>
    <cellStyle name="Normal 14 2 2 2 2 2 3 3" xfId="10688"/>
    <cellStyle name="Normal 14 2 2 2 2 2 3 3 2" xfId="33275"/>
    <cellStyle name="Normal 14 2 2 2 2 2 3 4" xfId="26835"/>
    <cellStyle name="Normal 14 2 2 2 2 2 4" xfId="17128"/>
    <cellStyle name="Normal 14 2 2 2 2 2 4 2" xfId="39715"/>
    <cellStyle name="Normal 14 2 2 2 2 2 5" xfId="13908"/>
    <cellStyle name="Normal 14 2 2 2 2 2 5 2" xfId="36495"/>
    <cellStyle name="Normal 14 2 2 2 2 2 6" xfId="7468"/>
    <cellStyle name="Normal 14 2 2 2 2 2 6 2" xfId="30055"/>
    <cellStyle name="Normal 14 2 2 2 2 2 7" xfId="23615"/>
    <cellStyle name="Normal 14 2 2 2 2 3" xfId="1368"/>
    <cellStyle name="Normal 14 2 2 2 2 3 2" xfId="2682"/>
    <cellStyle name="Normal 14 2 2 2 2 3 2 2" xfId="5903"/>
    <cellStyle name="Normal 14 2 2 2 2 3 2 2 2" xfId="22003"/>
    <cellStyle name="Normal 14 2 2 2 2 3 2 2 2 2" xfId="44590"/>
    <cellStyle name="Normal 14 2 2 2 2 3 2 2 3" xfId="12343"/>
    <cellStyle name="Normal 14 2 2 2 2 3 2 2 3 2" xfId="34930"/>
    <cellStyle name="Normal 14 2 2 2 2 3 2 2 4" xfId="28490"/>
    <cellStyle name="Normal 14 2 2 2 2 3 2 3" xfId="18783"/>
    <cellStyle name="Normal 14 2 2 2 2 3 2 3 2" xfId="41370"/>
    <cellStyle name="Normal 14 2 2 2 2 3 2 4" xfId="15563"/>
    <cellStyle name="Normal 14 2 2 2 2 3 2 4 2" xfId="38150"/>
    <cellStyle name="Normal 14 2 2 2 2 3 2 5" xfId="9123"/>
    <cellStyle name="Normal 14 2 2 2 2 3 2 5 2" xfId="31710"/>
    <cellStyle name="Normal 14 2 2 2 2 3 2 6" xfId="25270"/>
    <cellStyle name="Normal 14 2 2 2 2 3 3" xfId="4595"/>
    <cellStyle name="Normal 14 2 2 2 2 3 3 2" xfId="20695"/>
    <cellStyle name="Normal 14 2 2 2 2 3 3 2 2" xfId="43282"/>
    <cellStyle name="Normal 14 2 2 2 2 3 3 3" xfId="11035"/>
    <cellStyle name="Normal 14 2 2 2 2 3 3 3 2" xfId="33622"/>
    <cellStyle name="Normal 14 2 2 2 2 3 3 4" xfId="27182"/>
    <cellStyle name="Normal 14 2 2 2 2 3 4" xfId="17475"/>
    <cellStyle name="Normal 14 2 2 2 2 3 4 2" xfId="40062"/>
    <cellStyle name="Normal 14 2 2 2 2 3 5" xfId="14255"/>
    <cellStyle name="Normal 14 2 2 2 2 3 5 2" xfId="36842"/>
    <cellStyle name="Normal 14 2 2 2 2 3 6" xfId="7815"/>
    <cellStyle name="Normal 14 2 2 2 2 3 6 2" xfId="30402"/>
    <cellStyle name="Normal 14 2 2 2 2 3 7" xfId="23962"/>
    <cellStyle name="Normal 14 2 2 2 2 4" xfId="1569"/>
    <cellStyle name="Normal 14 2 2 2 2 4 2" xfId="4795"/>
    <cellStyle name="Normal 14 2 2 2 2 4 2 2" xfId="20895"/>
    <cellStyle name="Normal 14 2 2 2 2 4 2 2 2" xfId="43482"/>
    <cellStyle name="Normal 14 2 2 2 2 4 2 3" xfId="11235"/>
    <cellStyle name="Normal 14 2 2 2 2 4 2 3 2" xfId="33822"/>
    <cellStyle name="Normal 14 2 2 2 2 4 2 4" xfId="27382"/>
    <cellStyle name="Normal 14 2 2 2 2 4 3" xfId="17675"/>
    <cellStyle name="Normal 14 2 2 2 2 4 3 2" xfId="40262"/>
    <cellStyle name="Normal 14 2 2 2 2 4 4" xfId="14455"/>
    <cellStyle name="Normal 14 2 2 2 2 4 4 2" xfId="37042"/>
    <cellStyle name="Normal 14 2 2 2 2 4 5" xfId="8015"/>
    <cellStyle name="Normal 14 2 2 2 2 4 5 2" xfId="30602"/>
    <cellStyle name="Normal 14 2 2 2 2 4 6" xfId="24162"/>
    <cellStyle name="Normal 14 2 2 2 2 5" xfId="1987"/>
    <cellStyle name="Normal 14 2 2 2 2 5 2" xfId="5209"/>
    <cellStyle name="Normal 14 2 2 2 2 5 2 2" xfId="21309"/>
    <cellStyle name="Normal 14 2 2 2 2 5 2 2 2" xfId="43896"/>
    <cellStyle name="Normal 14 2 2 2 2 5 2 3" xfId="11649"/>
    <cellStyle name="Normal 14 2 2 2 2 5 2 3 2" xfId="34236"/>
    <cellStyle name="Normal 14 2 2 2 2 5 2 4" xfId="27796"/>
    <cellStyle name="Normal 14 2 2 2 2 5 3" xfId="18089"/>
    <cellStyle name="Normal 14 2 2 2 2 5 3 2" xfId="40676"/>
    <cellStyle name="Normal 14 2 2 2 2 5 4" xfId="14869"/>
    <cellStyle name="Normal 14 2 2 2 2 5 4 2" xfId="37456"/>
    <cellStyle name="Normal 14 2 2 2 2 5 5" xfId="8429"/>
    <cellStyle name="Normal 14 2 2 2 2 5 5 2" xfId="31016"/>
    <cellStyle name="Normal 14 2 2 2 2 5 6" xfId="24576"/>
    <cellStyle name="Normal 14 2 2 2 2 6" xfId="3009"/>
    <cellStyle name="Normal 14 2 2 2 2 6 2" xfId="6229"/>
    <cellStyle name="Normal 14 2 2 2 2 6 2 2" xfId="22329"/>
    <cellStyle name="Normal 14 2 2 2 2 6 2 2 2" xfId="44916"/>
    <cellStyle name="Normal 14 2 2 2 2 6 2 3" xfId="12669"/>
    <cellStyle name="Normal 14 2 2 2 2 6 2 3 2" xfId="35256"/>
    <cellStyle name="Normal 14 2 2 2 2 6 2 4" xfId="28816"/>
    <cellStyle name="Normal 14 2 2 2 2 6 3" xfId="19109"/>
    <cellStyle name="Normal 14 2 2 2 2 6 3 2" xfId="41696"/>
    <cellStyle name="Normal 14 2 2 2 2 6 4" xfId="15889"/>
    <cellStyle name="Normal 14 2 2 2 2 6 4 2" xfId="38476"/>
    <cellStyle name="Normal 14 2 2 2 2 6 5" xfId="9449"/>
    <cellStyle name="Normal 14 2 2 2 2 6 5 2" xfId="32036"/>
    <cellStyle name="Normal 14 2 2 2 2 6 6" xfId="25596"/>
    <cellStyle name="Normal 14 2 2 2 2 7" xfId="3299"/>
    <cellStyle name="Normal 14 2 2 2 2 7 2" xfId="6519"/>
    <cellStyle name="Normal 14 2 2 2 2 7 2 2" xfId="22619"/>
    <cellStyle name="Normal 14 2 2 2 2 7 2 2 2" xfId="45206"/>
    <cellStyle name="Normal 14 2 2 2 2 7 2 3" xfId="12959"/>
    <cellStyle name="Normal 14 2 2 2 2 7 2 3 2" xfId="35546"/>
    <cellStyle name="Normal 14 2 2 2 2 7 2 4" xfId="29106"/>
    <cellStyle name="Normal 14 2 2 2 2 7 3" xfId="19399"/>
    <cellStyle name="Normal 14 2 2 2 2 7 3 2" xfId="41986"/>
    <cellStyle name="Normal 14 2 2 2 2 7 4" xfId="16179"/>
    <cellStyle name="Normal 14 2 2 2 2 7 4 2" xfId="38766"/>
    <cellStyle name="Normal 14 2 2 2 2 7 5" xfId="9739"/>
    <cellStyle name="Normal 14 2 2 2 2 7 5 2" xfId="32326"/>
    <cellStyle name="Normal 14 2 2 2 2 7 6" xfId="25886"/>
    <cellStyle name="Normal 14 2 2 2 2 8" xfId="657"/>
    <cellStyle name="Normal 14 2 2 2 2 8 2" xfId="3901"/>
    <cellStyle name="Normal 14 2 2 2 2 8 2 2" xfId="20001"/>
    <cellStyle name="Normal 14 2 2 2 2 8 2 2 2" xfId="42588"/>
    <cellStyle name="Normal 14 2 2 2 2 8 2 3" xfId="10341"/>
    <cellStyle name="Normal 14 2 2 2 2 8 2 3 2" xfId="32928"/>
    <cellStyle name="Normal 14 2 2 2 2 8 2 4" xfId="26488"/>
    <cellStyle name="Normal 14 2 2 2 2 8 3" xfId="16781"/>
    <cellStyle name="Normal 14 2 2 2 2 8 3 2" xfId="39368"/>
    <cellStyle name="Normal 14 2 2 2 2 8 4" xfId="13561"/>
    <cellStyle name="Normal 14 2 2 2 2 8 4 2" xfId="36148"/>
    <cellStyle name="Normal 14 2 2 2 2 8 5" xfId="7121"/>
    <cellStyle name="Normal 14 2 2 2 2 8 5 2" xfId="29708"/>
    <cellStyle name="Normal 14 2 2 2 2 8 6" xfId="23268"/>
    <cellStyle name="Normal 14 2 2 2 2 9" xfId="3589"/>
    <cellStyle name="Normal 14 2 2 2 2 9 2" xfId="19689"/>
    <cellStyle name="Normal 14 2 2 2 2 9 2 2" xfId="42276"/>
    <cellStyle name="Normal 14 2 2 2 2 9 3" xfId="10029"/>
    <cellStyle name="Normal 14 2 2 2 2 9 3 2" xfId="32616"/>
    <cellStyle name="Normal 14 2 2 2 2 9 4" xfId="26176"/>
    <cellStyle name="Normal 14 2 2 2 3" xfId="398"/>
    <cellStyle name="Normal 14 2 2 2 3 10" xfId="16565"/>
    <cellStyle name="Normal 14 2 2 2 3 10 2" xfId="39152"/>
    <cellStyle name="Normal 14 2 2 2 3 11" xfId="13345"/>
    <cellStyle name="Normal 14 2 2 2 3 11 2" xfId="35932"/>
    <cellStyle name="Normal 14 2 2 2 3 12" xfId="6905"/>
    <cellStyle name="Normal 14 2 2 2 3 12 2" xfId="29492"/>
    <cellStyle name="Normal 14 2 2 2 3 13" xfId="23052"/>
    <cellStyle name="Normal 14 2 2 2 3 2" xfId="1180"/>
    <cellStyle name="Normal 14 2 2 2 3 2 2" xfId="2494"/>
    <cellStyle name="Normal 14 2 2 2 3 2 2 2" xfId="5715"/>
    <cellStyle name="Normal 14 2 2 2 3 2 2 2 2" xfId="21815"/>
    <cellStyle name="Normal 14 2 2 2 3 2 2 2 2 2" xfId="44402"/>
    <cellStyle name="Normal 14 2 2 2 3 2 2 2 3" xfId="12155"/>
    <cellStyle name="Normal 14 2 2 2 3 2 2 2 3 2" xfId="34742"/>
    <cellStyle name="Normal 14 2 2 2 3 2 2 2 4" xfId="28302"/>
    <cellStyle name="Normal 14 2 2 2 3 2 2 3" xfId="18595"/>
    <cellStyle name="Normal 14 2 2 2 3 2 2 3 2" xfId="41182"/>
    <cellStyle name="Normal 14 2 2 2 3 2 2 4" xfId="15375"/>
    <cellStyle name="Normal 14 2 2 2 3 2 2 4 2" xfId="37962"/>
    <cellStyle name="Normal 14 2 2 2 3 2 2 5" xfId="8935"/>
    <cellStyle name="Normal 14 2 2 2 3 2 2 5 2" xfId="31522"/>
    <cellStyle name="Normal 14 2 2 2 3 2 2 6" xfId="25082"/>
    <cellStyle name="Normal 14 2 2 2 3 2 3" xfId="4407"/>
    <cellStyle name="Normal 14 2 2 2 3 2 3 2" xfId="20507"/>
    <cellStyle name="Normal 14 2 2 2 3 2 3 2 2" xfId="43094"/>
    <cellStyle name="Normal 14 2 2 2 3 2 3 3" xfId="10847"/>
    <cellStyle name="Normal 14 2 2 2 3 2 3 3 2" xfId="33434"/>
    <cellStyle name="Normal 14 2 2 2 3 2 3 4" xfId="26994"/>
    <cellStyle name="Normal 14 2 2 2 3 2 4" xfId="17287"/>
    <cellStyle name="Normal 14 2 2 2 3 2 4 2" xfId="39874"/>
    <cellStyle name="Normal 14 2 2 2 3 2 5" xfId="14067"/>
    <cellStyle name="Normal 14 2 2 2 3 2 5 2" xfId="36654"/>
    <cellStyle name="Normal 14 2 2 2 3 2 6" xfId="7627"/>
    <cellStyle name="Normal 14 2 2 2 3 2 6 2" xfId="30214"/>
    <cellStyle name="Normal 14 2 2 2 3 2 7" xfId="23774"/>
    <cellStyle name="Normal 14 2 2 2 3 3" xfId="1527"/>
    <cellStyle name="Normal 14 2 2 2 3 3 2" xfId="2841"/>
    <cellStyle name="Normal 14 2 2 2 3 3 2 2" xfId="6062"/>
    <cellStyle name="Normal 14 2 2 2 3 3 2 2 2" xfId="22162"/>
    <cellStyle name="Normal 14 2 2 2 3 3 2 2 2 2" xfId="44749"/>
    <cellStyle name="Normal 14 2 2 2 3 3 2 2 3" xfId="12502"/>
    <cellStyle name="Normal 14 2 2 2 3 3 2 2 3 2" xfId="35089"/>
    <cellStyle name="Normal 14 2 2 2 3 3 2 2 4" xfId="28649"/>
    <cellStyle name="Normal 14 2 2 2 3 3 2 3" xfId="18942"/>
    <cellStyle name="Normal 14 2 2 2 3 3 2 3 2" xfId="41529"/>
    <cellStyle name="Normal 14 2 2 2 3 3 2 4" xfId="15722"/>
    <cellStyle name="Normal 14 2 2 2 3 3 2 4 2" xfId="38309"/>
    <cellStyle name="Normal 14 2 2 2 3 3 2 5" xfId="9282"/>
    <cellStyle name="Normal 14 2 2 2 3 3 2 5 2" xfId="31869"/>
    <cellStyle name="Normal 14 2 2 2 3 3 2 6" xfId="25429"/>
    <cellStyle name="Normal 14 2 2 2 3 3 3" xfId="4754"/>
    <cellStyle name="Normal 14 2 2 2 3 3 3 2" xfId="20854"/>
    <cellStyle name="Normal 14 2 2 2 3 3 3 2 2" xfId="43441"/>
    <cellStyle name="Normal 14 2 2 2 3 3 3 3" xfId="11194"/>
    <cellStyle name="Normal 14 2 2 2 3 3 3 3 2" xfId="33781"/>
    <cellStyle name="Normal 14 2 2 2 3 3 3 4" xfId="27341"/>
    <cellStyle name="Normal 14 2 2 2 3 3 4" xfId="17634"/>
    <cellStyle name="Normal 14 2 2 2 3 3 4 2" xfId="40221"/>
    <cellStyle name="Normal 14 2 2 2 3 3 5" xfId="14414"/>
    <cellStyle name="Normal 14 2 2 2 3 3 5 2" xfId="37001"/>
    <cellStyle name="Normal 14 2 2 2 3 3 6" xfId="7974"/>
    <cellStyle name="Normal 14 2 2 2 3 3 6 2" xfId="30561"/>
    <cellStyle name="Normal 14 2 2 2 3 3 7" xfId="24121"/>
    <cellStyle name="Normal 14 2 2 2 3 4" xfId="1570"/>
    <cellStyle name="Normal 14 2 2 2 3 4 2" xfId="4796"/>
    <cellStyle name="Normal 14 2 2 2 3 4 2 2" xfId="20896"/>
    <cellStyle name="Normal 14 2 2 2 3 4 2 2 2" xfId="43483"/>
    <cellStyle name="Normal 14 2 2 2 3 4 2 3" xfId="11236"/>
    <cellStyle name="Normal 14 2 2 2 3 4 2 3 2" xfId="33823"/>
    <cellStyle name="Normal 14 2 2 2 3 4 2 4" xfId="27383"/>
    <cellStyle name="Normal 14 2 2 2 3 4 3" xfId="17676"/>
    <cellStyle name="Normal 14 2 2 2 3 4 3 2" xfId="40263"/>
    <cellStyle name="Normal 14 2 2 2 3 4 4" xfId="14456"/>
    <cellStyle name="Normal 14 2 2 2 3 4 4 2" xfId="37043"/>
    <cellStyle name="Normal 14 2 2 2 3 4 5" xfId="8016"/>
    <cellStyle name="Normal 14 2 2 2 3 4 5 2" xfId="30603"/>
    <cellStyle name="Normal 14 2 2 2 3 4 6" xfId="24163"/>
    <cellStyle name="Normal 14 2 2 2 3 5" xfId="2147"/>
    <cellStyle name="Normal 14 2 2 2 3 5 2" xfId="5368"/>
    <cellStyle name="Normal 14 2 2 2 3 5 2 2" xfId="21468"/>
    <cellStyle name="Normal 14 2 2 2 3 5 2 2 2" xfId="44055"/>
    <cellStyle name="Normal 14 2 2 2 3 5 2 3" xfId="11808"/>
    <cellStyle name="Normal 14 2 2 2 3 5 2 3 2" xfId="34395"/>
    <cellStyle name="Normal 14 2 2 2 3 5 2 4" xfId="27955"/>
    <cellStyle name="Normal 14 2 2 2 3 5 3" xfId="18248"/>
    <cellStyle name="Normal 14 2 2 2 3 5 3 2" xfId="40835"/>
    <cellStyle name="Normal 14 2 2 2 3 5 4" xfId="15028"/>
    <cellStyle name="Normal 14 2 2 2 3 5 4 2" xfId="37615"/>
    <cellStyle name="Normal 14 2 2 2 3 5 5" xfId="8588"/>
    <cellStyle name="Normal 14 2 2 2 3 5 5 2" xfId="31175"/>
    <cellStyle name="Normal 14 2 2 2 3 5 6" xfId="24735"/>
    <cellStyle name="Normal 14 2 2 2 3 6" xfId="3105"/>
    <cellStyle name="Normal 14 2 2 2 3 6 2" xfId="6325"/>
    <cellStyle name="Normal 14 2 2 2 3 6 2 2" xfId="22425"/>
    <cellStyle name="Normal 14 2 2 2 3 6 2 2 2" xfId="45012"/>
    <cellStyle name="Normal 14 2 2 2 3 6 2 3" xfId="12765"/>
    <cellStyle name="Normal 14 2 2 2 3 6 2 3 2" xfId="35352"/>
    <cellStyle name="Normal 14 2 2 2 3 6 2 4" xfId="28912"/>
    <cellStyle name="Normal 14 2 2 2 3 6 3" xfId="19205"/>
    <cellStyle name="Normal 14 2 2 2 3 6 3 2" xfId="41792"/>
    <cellStyle name="Normal 14 2 2 2 3 6 4" xfId="15985"/>
    <cellStyle name="Normal 14 2 2 2 3 6 4 2" xfId="38572"/>
    <cellStyle name="Normal 14 2 2 2 3 6 5" xfId="9545"/>
    <cellStyle name="Normal 14 2 2 2 3 6 5 2" xfId="32132"/>
    <cellStyle name="Normal 14 2 2 2 3 6 6" xfId="25692"/>
    <cellStyle name="Normal 14 2 2 2 3 7" xfId="3395"/>
    <cellStyle name="Normal 14 2 2 2 3 7 2" xfId="6615"/>
    <cellStyle name="Normal 14 2 2 2 3 7 2 2" xfId="22715"/>
    <cellStyle name="Normal 14 2 2 2 3 7 2 2 2" xfId="45302"/>
    <cellStyle name="Normal 14 2 2 2 3 7 2 3" xfId="13055"/>
    <cellStyle name="Normal 14 2 2 2 3 7 2 3 2" xfId="35642"/>
    <cellStyle name="Normal 14 2 2 2 3 7 2 4" xfId="29202"/>
    <cellStyle name="Normal 14 2 2 2 3 7 3" xfId="19495"/>
    <cellStyle name="Normal 14 2 2 2 3 7 3 2" xfId="42082"/>
    <cellStyle name="Normal 14 2 2 2 3 7 4" xfId="16275"/>
    <cellStyle name="Normal 14 2 2 2 3 7 4 2" xfId="38862"/>
    <cellStyle name="Normal 14 2 2 2 3 7 5" xfId="9835"/>
    <cellStyle name="Normal 14 2 2 2 3 7 5 2" xfId="32422"/>
    <cellStyle name="Normal 14 2 2 2 3 7 6" xfId="25982"/>
    <cellStyle name="Normal 14 2 2 2 3 8" xfId="828"/>
    <cellStyle name="Normal 14 2 2 2 3 8 2" xfId="4060"/>
    <cellStyle name="Normal 14 2 2 2 3 8 2 2" xfId="20160"/>
    <cellStyle name="Normal 14 2 2 2 3 8 2 2 2" xfId="42747"/>
    <cellStyle name="Normal 14 2 2 2 3 8 2 3" xfId="10500"/>
    <cellStyle name="Normal 14 2 2 2 3 8 2 3 2" xfId="33087"/>
    <cellStyle name="Normal 14 2 2 2 3 8 2 4" xfId="26647"/>
    <cellStyle name="Normal 14 2 2 2 3 8 3" xfId="16940"/>
    <cellStyle name="Normal 14 2 2 2 3 8 3 2" xfId="39527"/>
    <cellStyle name="Normal 14 2 2 2 3 8 4" xfId="13720"/>
    <cellStyle name="Normal 14 2 2 2 3 8 4 2" xfId="36307"/>
    <cellStyle name="Normal 14 2 2 2 3 8 5" xfId="7280"/>
    <cellStyle name="Normal 14 2 2 2 3 8 5 2" xfId="29867"/>
    <cellStyle name="Normal 14 2 2 2 3 8 6" xfId="23427"/>
    <cellStyle name="Normal 14 2 2 2 3 9" xfId="3685"/>
    <cellStyle name="Normal 14 2 2 2 3 9 2" xfId="19785"/>
    <cellStyle name="Normal 14 2 2 2 3 9 2 2" xfId="42372"/>
    <cellStyle name="Normal 14 2 2 2 3 9 3" xfId="10125"/>
    <cellStyle name="Normal 14 2 2 2 3 9 3 2" xfId="32712"/>
    <cellStyle name="Normal 14 2 2 2 3 9 4" xfId="26272"/>
    <cellStyle name="Normal 14 2 2 2 4" xfId="897"/>
    <cellStyle name="Normal 14 2 2 2 4 2" xfId="2216"/>
    <cellStyle name="Normal 14 2 2 2 4 2 2" xfId="5437"/>
    <cellStyle name="Normal 14 2 2 2 4 2 2 2" xfId="21537"/>
    <cellStyle name="Normal 14 2 2 2 4 2 2 2 2" xfId="44124"/>
    <cellStyle name="Normal 14 2 2 2 4 2 2 3" xfId="11877"/>
    <cellStyle name="Normal 14 2 2 2 4 2 2 3 2" xfId="34464"/>
    <cellStyle name="Normal 14 2 2 2 4 2 2 4" xfId="28024"/>
    <cellStyle name="Normal 14 2 2 2 4 2 3" xfId="18317"/>
    <cellStyle name="Normal 14 2 2 2 4 2 3 2" xfId="40904"/>
    <cellStyle name="Normal 14 2 2 2 4 2 4" xfId="15097"/>
    <cellStyle name="Normal 14 2 2 2 4 2 4 2" xfId="37684"/>
    <cellStyle name="Normal 14 2 2 2 4 2 5" xfId="8657"/>
    <cellStyle name="Normal 14 2 2 2 4 2 5 2" xfId="31244"/>
    <cellStyle name="Normal 14 2 2 2 4 2 6" xfId="24804"/>
    <cellStyle name="Normal 14 2 2 2 4 3" xfId="4129"/>
    <cellStyle name="Normal 14 2 2 2 4 3 2" xfId="20229"/>
    <cellStyle name="Normal 14 2 2 2 4 3 2 2" xfId="42816"/>
    <cellStyle name="Normal 14 2 2 2 4 3 3" xfId="10569"/>
    <cellStyle name="Normal 14 2 2 2 4 3 3 2" xfId="33156"/>
    <cellStyle name="Normal 14 2 2 2 4 3 4" xfId="26716"/>
    <cellStyle name="Normal 14 2 2 2 4 4" xfId="17009"/>
    <cellStyle name="Normal 14 2 2 2 4 4 2" xfId="39596"/>
    <cellStyle name="Normal 14 2 2 2 4 5" xfId="13789"/>
    <cellStyle name="Normal 14 2 2 2 4 5 2" xfId="36376"/>
    <cellStyle name="Normal 14 2 2 2 4 6" xfId="7349"/>
    <cellStyle name="Normal 14 2 2 2 4 6 2" xfId="29936"/>
    <cellStyle name="Normal 14 2 2 2 4 7" xfId="23496"/>
    <cellStyle name="Normal 14 2 2 2 5" xfId="1249"/>
    <cellStyle name="Normal 14 2 2 2 5 2" xfId="2563"/>
    <cellStyle name="Normal 14 2 2 2 5 2 2" xfId="5784"/>
    <cellStyle name="Normal 14 2 2 2 5 2 2 2" xfId="21884"/>
    <cellStyle name="Normal 14 2 2 2 5 2 2 2 2" xfId="44471"/>
    <cellStyle name="Normal 14 2 2 2 5 2 2 3" xfId="12224"/>
    <cellStyle name="Normal 14 2 2 2 5 2 2 3 2" xfId="34811"/>
    <cellStyle name="Normal 14 2 2 2 5 2 2 4" xfId="28371"/>
    <cellStyle name="Normal 14 2 2 2 5 2 3" xfId="18664"/>
    <cellStyle name="Normal 14 2 2 2 5 2 3 2" xfId="41251"/>
    <cellStyle name="Normal 14 2 2 2 5 2 4" xfId="15444"/>
    <cellStyle name="Normal 14 2 2 2 5 2 4 2" xfId="38031"/>
    <cellStyle name="Normal 14 2 2 2 5 2 5" xfId="9004"/>
    <cellStyle name="Normal 14 2 2 2 5 2 5 2" xfId="31591"/>
    <cellStyle name="Normal 14 2 2 2 5 2 6" xfId="25151"/>
    <cellStyle name="Normal 14 2 2 2 5 3" xfId="4476"/>
    <cellStyle name="Normal 14 2 2 2 5 3 2" xfId="20576"/>
    <cellStyle name="Normal 14 2 2 2 5 3 2 2" xfId="43163"/>
    <cellStyle name="Normal 14 2 2 2 5 3 3" xfId="10916"/>
    <cellStyle name="Normal 14 2 2 2 5 3 3 2" xfId="33503"/>
    <cellStyle name="Normal 14 2 2 2 5 3 4" xfId="27063"/>
    <cellStyle name="Normal 14 2 2 2 5 4" xfId="17356"/>
    <cellStyle name="Normal 14 2 2 2 5 4 2" xfId="39943"/>
    <cellStyle name="Normal 14 2 2 2 5 5" xfId="14136"/>
    <cellStyle name="Normal 14 2 2 2 5 5 2" xfId="36723"/>
    <cellStyle name="Normal 14 2 2 2 5 6" xfId="7696"/>
    <cellStyle name="Normal 14 2 2 2 5 6 2" xfId="30283"/>
    <cellStyle name="Normal 14 2 2 2 5 7" xfId="23843"/>
    <cellStyle name="Normal 14 2 2 2 6" xfId="1571"/>
    <cellStyle name="Normal 14 2 2 2 6 2" xfId="4797"/>
    <cellStyle name="Normal 14 2 2 2 6 2 2" xfId="20897"/>
    <cellStyle name="Normal 14 2 2 2 6 2 2 2" xfId="43484"/>
    <cellStyle name="Normal 14 2 2 2 6 2 3" xfId="11237"/>
    <cellStyle name="Normal 14 2 2 2 6 2 3 2" xfId="33824"/>
    <cellStyle name="Normal 14 2 2 2 6 2 4" xfId="27384"/>
    <cellStyle name="Normal 14 2 2 2 6 3" xfId="17677"/>
    <cellStyle name="Normal 14 2 2 2 6 3 2" xfId="40264"/>
    <cellStyle name="Normal 14 2 2 2 6 4" xfId="14457"/>
    <cellStyle name="Normal 14 2 2 2 6 4 2" xfId="37044"/>
    <cellStyle name="Normal 14 2 2 2 6 5" xfId="8017"/>
    <cellStyle name="Normal 14 2 2 2 6 5 2" xfId="30604"/>
    <cellStyle name="Normal 14 2 2 2 6 6" xfId="24164"/>
    <cellStyle name="Normal 14 2 2 2 7" xfId="1868"/>
    <cellStyle name="Normal 14 2 2 2 7 2" xfId="5090"/>
    <cellStyle name="Normal 14 2 2 2 7 2 2" xfId="21190"/>
    <cellStyle name="Normal 14 2 2 2 7 2 2 2" xfId="43777"/>
    <cellStyle name="Normal 14 2 2 2 7 2 3" xfId="11530"/>
    <cellStyle name="Normal 14 2 2 2 7 2 3 2" xfId="34117"/>
    <cellStyle name="Normal 14 2 2 2 7 2 4" xfId="27677"/>
    <cellStyle name="Normal 14 2 2 2 7 3" xfId="17970"/>
    <cellStyle name="Normal 14 2 2 2 7 3 2" xfId="40557"/>
    <cellStyle name="Normal 14 2 2 2 7 4" xfId="14750"/>
    <cellStyle name="Normal 14 2 2 2 7 4 2" xfId="37337"/>
    <cellStyle name="Normal 14 2 2 2 7 5" xfId="8310"/>
    <cellStyle name="Normal 14 2 2 2 7 5 2" xfId="30897"/>
    <cellStyle name="Normal 14 2 2 2 7 6" xfId="24457"/>
    <cellStyle name="Normal 14 2 2 2 8" xfId="2911"/>
    <cellStyle name="Normal 14 2 2 2 8 2" xfId="6132"/>
    <cellStyle name="Normal 14 2 2 2 8 2 2" xfId="22232"/>
    <cellStyle name="Normal 14 2 2 2 8 2 2 2" xfId="44819"/>
    <cellStyle name="Normal 14 2 2 2 8 2 3" xfId="12572"/>
    <cellStyle name="Normal 14 2 2 2 8 2 3 2" xfId="35159"/>
    <cellStyle name="Normal 14 2 2 2 8 2 4" xfId="28719"/>
    <cellStyle name="Normal 14 2 2 2 8 3" xfId="19012"/>
    <cellStyle name="Normal 14 2 2 2 8 3 2" xfId="41599"/>
    <cellStyle name="Normal 14 2 2 2 8 4" xfId="15792"/>
    <cellStyle name="Normal 14 2 2 2 8 4 2" xfId="38379"/>
    <cellStyle name="Normal 14 2 2 2 8 5" xfId="9352"/>
    <cellStyle name="Normal 14 2 2 2 8 5 2" xfId="31939"/>
    <cellStyle name="Normal 14 2 2 2 8 6" xfId="25499"/>
    <cellStyle name="Normal 14 2 2 2 9" xfId="3202"/>
    <cellStyle name="Normal 14 2 2 2 9 2" xfId="6422"/>
    <cellStyle name="Normal 14 2 2 2 9 2 2" xfId="22522"/>
    <cellStyle name="Normal 14 2 2 2 9 2 2 2" xfId="45109"/>
    <cellStyle name="Normal 14 2 2 2 9 2 3" xfId="12862"/>
    <cellStyle name="Normal 14 2 2 2 9 2 3 2" xfId="35449"/>
    <cellStyle name="Normal 14 2 2 2 9 2 4" xfId="29009"/>
    <cellStyle name="Normal 14 2 2 2 9 3" xfId="19302"/>
    <cellStyle name="Normal 14 2 2 2 9 3 2" xfId="41889"/>
    <cellStyle name="Normal 14 2 2 2 9 4" xfId="16082"/>
    <cellStyle name="Normal 14 2 2 2 9 4 2" xfId="38669"/>
    <cellStyle name="Normal 14 2 2 2 9 5" xfId="9642"/>
    <cellStyle name="Normal 14 2 2 2 9 5 2" xfId="32229"/>
    <cellStyle name="Normal 14 2 2 2 9 6" xfId="25789"/>
    <cellStyle name="Normal 14 2 2 3" xfId="261"/>
    <cellStyle name="Normal 14 2 2 3 10" xfId="3548"/>
    <cellStyle name="Normal 14 2 2 3 10 2" xfId="19648"/>
    <cellStyle name="Normal 14 2 2 3 10 2 2" xfId="42235"/>
    <cellStyle name="Normal 14 2 2 3 10 3" xfId="9988"/>
    <cellStyle name="Normal 14 2 2 3 10 3 2" xfId="32575"/>
    <cellStyle name="Normal 14 2 2 3 10 4" xfId="26135"/>
    <cellStyle name="Normal 14 2 2 3 11" xfId="16428"/>
    <cellStyle name="Normal 14 2 2 3 11 2" xfId="39015"/>
    <cellStyle name="Normal 14 2 2 3 12" xfId="13208"/>
    <cellStyle name="Normal 14 2 2 3 12 2" xfId="35795"/>
    <cellStyle name="Normal 14 2 2 3 13" xfId="6768"/>
    <cellStyle name="Normal 14 2 2 3 13 2" xfId="29355"/>
    <cellStyle name="Normal 14 2 2 3 14" xfId="22915"/>
    <cellStyle name="Normal 14 2 2 3 2" xfId="694"/>
    <cellStyle name="Normal 14 2 2 3 2 10" xfId="23305"/>
    <cellStyle name="Normal 14 2 2 3 2 2" xfId="1058"/>
    <cellStyle name="Normal 14 2 2 3 2 2 2" xfId="2372"/>
    <cellStyle name="Normal 14 2 2 3 2 2 2 2" xfId="5593"/>
    <cellStyle name="Normal 14 2 2 3 2 2 2 2 2" xfId="21693"/>
    <cellStyle name="Normal 14 2 2 3 2 2 2 2 2 2" xfId="44280"/>
    <cellStyle name="Normal 14 2 2 3 2 2 2 2 3" xfId="12033"/>
    <cellStyle name="Normal 14 2 2 3 2 2 2 2 3 2" xfId="34620"/>
    <cellStyle name="Normal 14 2 2 3 2 2 2 2 4" xfId="28180"/>
    <cellStyle name="Normal 14 2 2 3 2 2 2 3" xfId="18473"/>
    <cellStyle name="Normal 14 2 2 3 2 2 2 3 2" xfId="41060"/>
    <cellStyle name="Normal 14 2 2 3 2 2 2 4" xfId="15253"/>
    <cellStyle name="Normal 14 2 2 3 2 2 2 4 2" xfId="37840"/>
    <cellStyle name="Normal 14 2 2 3 2 2 2 5" xfId="8813"/>
    <cellStyle name="Normal 14 2 2 3 2 2 2 5 2" xfId="31400"/>
    <cellStyle name="Normal 14 2 2 3 2 2 2 6" xfId="24960"/>
    <cellStyle name="Normal 14 2 2 3 2 2 3" xfId="4285"/>
    <cellStyle name="Normal 14 2 2 3 2 2 3 2" xfId="20385"/>
    <cellStyle name="Normal 14 2 2 3 2 2 3 2 2" xfId="42972"/>
    <cellStyle name="Normal 14 2 2 3 2 2 3 3" xfId="10725"/>
    <cellStyle name="Normal 14 2 2 3 2 2 3 3 2" xfId="33312"/>
    <cellStyle name="Normal 14 2 2 3 2 2 3 4" xfId="26872"/>
    <cellStyle name="Normal 14 2 2 3 2 2 4" xfId="17165"/>
    <cellStyle name="Normal 14 2 2 3 2 2 4 2" xfId="39752"/>
    <cellStyle name="Normal 14 2 2 3 2 2 5" xfId="13945"/>
    <cellStyle name="Normal 14 2 2 3 2 2 5 2" xfId="36532"/>
    <cellStyle name="Normal 14 2 2 3 2 2 6" xfId="7505"/>
    <cellStyle name="Normal 14 2 2 3 2 2 6 2" xfId="30092"/>
    <cellStyle name="Normal 14 2 2 3 2 2 7" xfId="23652"/>
    <cellStyle name="Normal 14 2 2 3 2 3" xfId="1405"/>
    <cellStyle name="Normal 14 2 2 3 2 3 2" xfId="2719"/>
    <cellStyle name="Normal 14 2 2 3 2 3 2 2" xfId="5940"/>
    <cellStyle name="Normal 14 2 2 3 2 3 2 2 2" xfId="22040"/>
    <cellStyle name="Normal 14 2 2 3 2 3 2 2 2 2" xfId="44627"/>
    <cellStyle name="Normal 14 2 2 3 2 3 2 2 3" xfId="12380"/>
    <cellStyle name="Normal 14 2 2 3 2 3 2 2 3 2" xfId="34967"/>
    <cellStyle name="Normal 14 2 2 3 2 3 2 2 4" xfId="28527"/>
    <cellStyle name="Normal 14 2 2 3 2 3 2 3" xfId="18820"/>
    <cellStyle name="Normal 14 2 2 3 2 3 2 3 2" xfId="41407"/>
    <cellStyle name="Normal 14 2 2 3 2 3 2 4" xfId="15600"/>
    <cellStyle name="Normal 14 2 2 3 2 3 2 4 2" xfId="38187"/>
    <cellStyle name="Normal 14 2 2 3 2 3 2 5" xfId="9160"/>
    <cellStyle name="Normal 14 2 2 3 2 3 2 5 2" xfId="31747"/>
    <cellStyle name="Normal 14 2 2 3 2 3 2 6" xfId="25307"/>
    <cellStyle name="Normal 14 2 2 3 2 3 3" xfId="4632"/>
    <cellStyle name="Normal 14 2 2 3 2 3 3 2" xfId="20732"/>
    <cellStyle name="Normal 14 2 2 3 2 3 3 2 2" xfId="43319"/>
    <cellStyle name="Normal 14 2 2 3 2 3 3 3" xfId="11072"/>
    <cellStyle name="Normal 14 2 2 3 2 3 3 3 2" xfId="33659"/>
    <cellStyle name="Normal 14 2 2 3 2 3 3 4" xfId="27219"/>
    <cellStyle name="Normal 14 2 2 3 2 3 4" xfId="17512"/>
    <cellStyle name="Normal 14 2 2 3 2 3 4 2" xfId="40099"/>
    <cellStyle name="Normal 14 2 2 3 2 3 5" xfId="14292"/>
    <cellStyle name="Normal 14 2 2 3 2 3 5 2" xfId="36879"/>
    <cellStyle name="Normal 14 2 2 3 2 3 6" xfId="7852"/>
    <cellStyle name="Normal 14 2 2 3 2 3 6 2" xfId="30439"/>
    <cellStyle name="Normal 14 2 2 3 2 3 7" xfId="23999"/>
    <cellStyle name="Normal 14 2 2 3 2 4" xfId="1572"/>
    <cellStyle name="Normal 14 2 2 3 2 4 2" xfId="4798"/>
    <cellStyle name="Normal 14 2 2 3 2 4 2 2" xfId="20898"/>
    <cellStyle name="Normal 14 2 2 3 2 4 2 2 2" xfId="43485"/>
    <cellStyle name="Normal 14 2 2 3 2 4 2 3" xfId="11238"/>
    <cellStyle name="Normal 14 2 2 3 2 4 2 3 2" xfId="33825"/>
    <cellStyle name="Normal 14 2 2 3 2 4 2 4" xfId="27385"/>
    <cellStyle name="Normal 14 2 2 3 2 4 3" xfId="17678"/>
    <cellStyle name="Normal 14 2 2 3 2 4 3 2" xfId="40265"/>
    <cellStyle name="Normal 14 2 2 3 2 4 4" xfId="14458"/>
    <cellStyle name="Normal 14 2 2 3 2 4 4 2" xfId="37045"/>
    <cellStyle name="Normal 14 2 2 3 2 4 5" xfId="8018"/>
    <cellStyle name="Normal 14 2 2 3 2 4 5 2" xfId="30605"/>
    <cellStyle name="Normal 14 2 2 3 2 4 6" xfId="24165"/>
    <cellStyle name="Normal 14 2 2 3 2 5" xfId="2024"/>
    <cellStyle name="Normal 14 2 2 3 2 5 2" xfId="5246"/>
    <cellStyle name="Normal 14 2 2 3 2 5 2 2" xfId="21346"/>
    <cellStyle name="Normal 14 2 2 3 2 5 2 2 2" xfId="43933"/>
    <cellStyle name="Normal 14 2 2 3 2 5 2 3" xfId="11686"/>
    <cellStyle name="Normal 14 2 2 3 2 5 2 3 2" xfId="34273"/>
    <cellStyle name="Normal 14 2 2 3 2 5 2 4" xfId="27833"/>
    <cellStyle name="Normal 14 2 2 3 2 5 3" xfId="18126"/>
    <cellStyle name="Normal 14 2 2 3 2 5 3 2" xfId="40713"/>
    <cellStyle name="Normal 14 2 2 3 2 5 4" xfId="14906"/>
    <cellStyle name="Normal 14 2 2 3 2 5 4 2" xfId="37493"/>
    <cellStyle name="Normal 14 2 2 3 2 5 5" xfId="8466"/>
    <cellStyle name="Normal 14 2 2 3 2 5 5 2" xfId="31053"/>
    <cellStyle name="Normal 14 2 2 3 2 5 6" xfId="24613"/>
    <cellStyle name="Normal 14 2 2 3 2 6" xfId="3938"/>
    <cellStyle name="Normal 14 2 2 3 2 6 2" xfId="20038"/>
    <cellStyle name="Normal 14 2 2 3 2 6 2 2" xfId="42625"/>
    <cellStyle name="Normal 14 2 2 3 2 6 3" xfId="10378"/>
    <cellStyle name="Normal 14 2 2 3 2 6 3 2" xfId="32965"/>
    <cellStyle name="Normal 14 2 2 3 2 6 4" xfId="26525"/>
    <cellStyle name="Normal 14 2 2 3 2 7" xfId="16818"/>
    <cellStyle name="Normal 14 2 2 3 2 7 2" xfId="39405"/>
    <cellStyle name="Normal 14 2 2 3 2 8" xfId="13598"/>
    <cellStyle name="Normal 14 2 2 3 2 8 2" xfId="36185"/>
    <cellStyle name="Normal 14 2 2 3 2 9" xfId="7158"/>
    <cellStyle name="Normal 14 2 2 3 2 9 2" xfId="29745"/>
    <cellStyle name="Normal 14 2 2 3 3" xfId="937"/>
    <cellStyle name="Normal 14 2 2 3 3 2" xfId="2256"/>
    <cellStyle name="Normal 14 2 2 3 3 2 2" xfId="5477"/>
    <cellStyle name="Normal 14 2 2 3 3 2 2 2" xfId="21577"/>
    <cellStyle name="Normal 14 2 2 3 3 2 2 2 2" xfId="44164"/>
    <cellStyle name="Normal 14 2 2 3 3 2 2 3" xfId="11917"/>
    <cellStyle name="Normal 14 2 2 3 3 2 2 3 2" xfId="34504"/>
    <cellStyle name="Normal 14 2 2 3 3 2 2 4" xfId="28064"/>
    <cellStyle name="Normal 14 2 2 3 3 2 3" xfId="18357"/>
    <cellStyle name="Normal 14 2 2 3 3 2 3 2" xfId="40944"/>
    <cellStyle name="Normal 14 2 2 3 3 2 4" xfId="15137"/>
    <cellStyle name="Normal 14 2 2 3 3 2 4 2" xfId="37724"/>
    <cellStyle name="Normal 14 2 2 3 3 2 5" xfId="8697"/>
    <cellStyle name="Normal 14 2 2 3 3 2 5 2" xfId="31284"/>
    <cellStyle name="Normal 14 2 2 3 3 2 6" xfId="24844"/>
    <cellStyle name="Normal 14 2 2 3 3 3" xfId="4169"/>
    <cellStyle name="Normal 14 2 2 3 3 3 2" xfId="20269"/>
    <cellStyle name="Normal 14 2 2 3 3 3 2 2" xfId="42856"/>
    <cellStyle name="Normal 14 2 2 3 3 3 3" xfId="10609"/>
    <cellStyle name="Normal 14 2 2 3 3 3 3 2" xfId="33196"/>
    <cellStyle name="Normal 14 2 2 3 3 3 4" xfId="26756"/>
    <cellStyle name="Normal 14 2 2 3 3 4" xfId="17049"/>
    <cellStyle name="Normal 14 2 2 3 3 4 2" xfId="39636"/>
    <cellStyle name="Normal 14 2 2 3 3 5" xfId="13829"/>
    <cellStyle name="Normal 14 2 2 3 3 5 2" xfId="36416"/>
    <cellStyle name="Normal 14 2 2 3 3 6" xfId="7389"/>
    <cellStyle name="Normal 14 2 2 3 3 6 2" xfId="29976"/>
    <cellStyle name="Normal 14 2 2 3 3 7" xfId="23536"/>
    <cellStyle name="Normal 14 2 2 3 4" xfId="1289"/>
    <cellStyle name="Normal 14 2 2 3 4 2" xfId="2603"/>
    <cellStyle name="Normal 14 2 2 3 4 2 2" xfId="5824"/>
    <cellStyle name="Normal 14 2 2 3 4 2 2 2" xfId="21924"/>
    <cellStyle name="Normal 14 2 2 3 4 2 2 2 2" xfId="44511"/>
    <cellStyle name="Normal 14 2 2 3 4 2 2 3" xfId="12264"/>
    <cellStyle name="Normal 14 2 2 3 4 2 2 3 2" xfId="34851"/>
    <cellStyle name="Normal 14 2 2 3 4 2 2 4" xfId="28411"/>
    <cellStyle name="Normal 14 2 2 3 4 2 3" xfId="18704"/>
    <cellStyle name="Normal 14 2 2 3 4 2 3 2" xfId="41291"/>
    <cellStyle name="Normal 14 2 2 3 4 2 4" xfId="15484"/>
    <cellStyle name="Normal 14 2 2 3 4 2 4 2" xfId="38071"/>
    <cellStyle name="Normal 14 2 2 3 4 2 5" xfId="9044"/>
    <cellStyle name="Normal 14 2 2 3 4 2 5 2" xfId="31631"/>
    <cellStyle name="Normal 14 2 2 3 4 2 6" xfId="25191"/>
    <cellStyle name="Normal 14 2 2 3 4 3" xfId="4516"/>
    <cellStyle name="Normal 14 2 2 3 4 3 2" xfId="20616"/>
    <cellStyle name="Normal 14 2 2 3 4 3 2 2" xfId="43203"/>
    <cellStyle name="Normal 14 2 2 3 4 3 3" xfId="10956"/>
    <cellStyle name="Normal 14 2 2 3 4 3 3 2" xfId="33543"/>
    <cellStyle name="Normal 14 2 2 3 4 3 4" xfId="27103"/>
    <cellStyle name="Normal 14 2 2 3 4 4" xfId="17396"/>
    <cellStyle name="Normal 14 2 2 3 4 4 2" xfId="39983"/>
    <cellStyle name="Normal 14 2 2 3 4 5" xfId="14176"/>
    <cellStyle name="Normal 14 2 2 3 4 5 2" xfId="36763"/>
    <cellStyle name="Normal 14 2 2 3 4 6" xfId="7736"/>
    <cellStyle name="Normal 14 2 2 3 4 6 2" xfId="30323"/>
    <cellStyle name="Normal 14 2 2 3 4 7" xfId="23883"/>
    <cellStyle name="Normal 14 2 2 3 5" xfId="1573"/>
    <cellStyle name="Normal 14 2 2 3 5 2" xfId="4799"/>
    <cellStyle name="Normal 14 2 2 3 5 2 2" xfId="20899"/>
    <cellStyle name="Normal 14 2 2 3 5 2 2 2" xfId="43486"/>
    <cellStyle name="Normal 14 2 2 3 5 2 3" xfId="11239"/>
    <cellStyle name="Normal 14 2 2 3 5 2 3 2" xfId="33826"/>
    <cellStyle name="Normal 14 2 2 3 5 2 4" xfId="27386"/>
    <cellStyle name="Normal 14 2 2 3 5 3" xfId="17679"/>
    <cellStyle name="Normal 14 2 2 3 5 3 2" xfId="40266"/>
    <cellStyle name="Normal 14 2 2 3 5 4" xfId="14459"/>
    <cellStyle name="Normal 14 2 2 3 5 4 2" xfId="37046"/>
    <cellStyle name="Normal 14 2 2 3 5 5" xfId="8019"/>
    <cellStyle name="Normal 14 2 2 3 5 5 2" xfId="30606"/>
    <cellStyle name="Normal 14 2 2 3 5 6" xfId="24166"/>
    <cellStyle name="Normal 14 2 2 3 6" xfId="1908"/>
    <cellStyle name="Normal 14 2 2 3 6 2" xfId="5130"/>
    <cellStyle name="Normal 14 2 2 3 6 2 2" xfId="21230"/>
    <cellStyle name="Normal 14 2 2 3 6 2 2 2" xfId="43817"/>
    <cellStyle name="Normal 14 2 2 3 6 2 3" xfId="11570"/>
    <cellStyle name="Normal 14 2 2 3 6 2 3 2" xfId="34157"/>
    <cellStyle name="Normal 14 2 2 3 6 2 4" xfId="27717"/>
    <cellStyle name="Normal 14 2 2 3 6 3" xfId="18010"/>
    <cellStyle name="Normal 14 2 2 3 6 3 2" xfId="40597"/>
    <cellStyle name="Normal 14 2 2 3 6 4" xfId="14790"/>
    <cellStyle name="Normal 14 2 2 3 6 4 2" xfId="37377"/>
    <cellStyle name="Normal 14 2 2 3 6 5" xfId="8350"/>
    <cellStyle name="Normal 14 2 2 3 6 5 2" xfId="30937"/>
    <cellStyle name="Normal 14 2 2 3 6 6" xfId="24497"/>
    <cellStyle name="Normal 14 2 2 3 7" xfId="2968"/>
    <cellStyle name="Normal 14 2 2 3 7 2" xfId="6188"/>
    <cellStyle name="Normal 14 2 2 3 7 2 2" xfId="22288"/>
    <cellStyle name="Normal 14 2 2 3 7 2 2 2" xfId="44875"/>
    <cellStyle name="Normal 14 2 2 3 7 2 3" xfId="12628"/>
    <cellStyle name="Normal 14 2 2 3 7 2 3 2" xfId="35215"/>
    <cellStyle name="Normal 14 2 2 3 7 2 4" xfId="28775"/>
    <cellStyle name="Normal 14 2 2 3 7 3" xfId="19068"/>
    <cellStyle name="Normal 14 2 2 3 7 3 2" xfId="41655"/>
    <cellStyle name="Normal 14 2 2 3 7 4" xfId="15848"/>
    <cellStyle name="Normal 14 2 2 3 7 4 2" xfId="38435"/>
    <cellStyle name="Normal 14 2 2 3 7 5" xfId="9408"/>
    <cellStyle name="Normal 14 2 2 3 7 5 2" xfId="31995"/>
    <cellStyle name="Normal 14 2 2 3 7 6" xfId="25555"/>
    <cellStyle name="Normal 14 2 2 3 8" xfId="3258"/>
    <cellStyle name="Normal 14 2 2 3 8 2" xfId="6478"/>
    <cellStyle name="Normal 14 2 2 3 8 2 2" xfId="22578"/>
    <cellStyle name="Normal 14 2 2 3 8 2 2 2" xfId="45165"/>
    <cellStyle name="Normal 14 2 2 3 8 2 3" xfId="12918"/>
    <cellStyle name="Normal 14 2 2 3 8 2 3 2" xfId="35505"/>
    <cellStyle name="Normal 14 2 2 3 8 2 4" xfId="29065"/>
    <cellStyle name="Normal 14 2 2 3 8 3" xfId="19358"/>
    <cellStyle name="Normal 14 2 2 3 8 3 2" xfId="41945"/>
    <cellStyle name="Normal 14 2 2 3 8 4" xfId="16138"/>
    <cellStyle name="Normal 14 2 2 3 8 4 2" xfId="38725"/>
    <cellStyle name="Normal 14 2 2 3 8 5" xfId="9698"/>
    <cellStyle name="Normal 14 2 2 3 8 5 2" xfId="32285"/>
    <cellStyle name="Normal 14 2 2 3 8 6" xfId="25845"/>
    <cellStyle name="Normal 14 2 2 3 9" xfId="535"/>
    <cellStyle name="Normal 14 2 2 3 9 2" xfId="3822"/>
    <cellStyle name="Normal 14 2 2 3 9 2 2" xfId="19922"/>
    <cellStyle name="Normal 14 2 2 3 9 2 2 2" xfId="42509"/>
    <cellStyle name="Normal 14 2 2 3 9 2 3" xfId="10262"/>
    <cellStyle name="Normal 14 2 2 3 9 2 3 2" xfId="32849"/>
    <cellStyle name="Normal 14 2 2 3 9 2 4" xfId="26409"/>
    <cellStyle name="Normal 14 2 2 3 9 3" xfId="16702"/>
    <cellStyle name="Normal 14 2 2 3 9 3 2" xfId="39289"/>
    <cellStyle name="Normal 14 2 2 3 9 4" xfId="13482"/>
    <cellStyle name="Normal 14 2 2 3 9 4 2" xfId="36069"/>
    <cellStyle name="Normal 14 2 2 3 9 5" xfId="7042"/>
    <cellStyle name="Normal 14 2 2 3 9 5 2" xfId="29629"/>
    <cellStyle name="Normal 14 2 2 3 9 6" xfId="23189"/>
    <cellStyle name="Normal 14 2 2 4" xfId="361"/>
    <cellStyle name="Normal 14 2 2 4 10" xfId="16528"/>
    <cellStyle name="Normal 14 2 2 4 10 2" xfId="39115"/>
    <cellStyle name="Normal 14 2 2 4 11" xfId="13308"/>
    <cellStyle name="Normal 14 2 2 4 11 2" xfId="35895"/>
    <cellStyle name="Normal 14 2 2 4 12" xfId="6868"/>
    <cellStyle name="Normal 14 2 2 4 12 2" xfId="29455"/>
    <cellStyle name="Normal 14 2 2 4 13" xfId="23015"/>
    <cellStyle name="Normal 14 2 2 4 2" xfId="984"/>
    <cellStyle name="Normal 14 2 2 4 2 2" xfId="2298"/>
    <cellStyle name="Normal 14 2 2 4 2 2 2" xfId="5519"/>
    <cellStyle name="Normal 14 2 2 4 2 2 2 2" xfId="21619"/>
    <cellStyle name="Normal 14 2 2 4 2 2 2 2 2" xfId="44206"/>
    <cellStyle name="Normal 14 2 2 4 2 2 2 3" xfId="11959"/>
    <cellStyle name="Normal 14 2 2 4 2 2 2 3 2" xfId="34546"/>
    <cellStyle name="Normal 14 2 2 4 2 2 2 4" xfId="28106"/>
    <cellStyle name="Normal 14 2 2 4 2 2 3" xfId="18399"/>
    <cellStyle name="Normal 14 2 2 4 2 2 3 2" xfId="40986"/>
    <cellStyle name="Normal 14 2 2 4 2 2 4" xfId="15179"/>
    <cellStyle name="Normal 14 2 2 4 2 2 4 2" xfId="37766"/>
    <cellStyle name="Normal 14 2 2 4 2 2 5" xfId="8739"/>
    <cellStyle name="Normal 14 2 2 4 2 2 5 2" xfId="31326"/>
    <cellStyle name="Normal 14 2 2 4 2 2 6" xfId="24886"/>
    <cellStyle name="Normal 14 2 2 4 2 3" xfId="4211"/>
    <cellStyle name="Normal 14 2 2 4 2 3 2" xfId="20311"/>
    <cellStyle name="Normal 14 2 2 4 2 3 2 2" xfId="42898"/>
    <cellStyle name="Normal 14 2 2 4 2 3 3" xfId="10651"/>
    <cellStyle name="Normal 14 2 2 4 2 3 3 2" xfId="33238"/>
    <cellStyle name="Normal 14 2 2 4 2 3 4" xfId="26798"/>
    <cellStyle name="Normal 14 2 2 4 2 4" xfId="17091"/>
    <cellStyle name="Normal 14 2 2 4 2 4 2" xfId="39678"/>
    <cellStyle name="Normal 14 2 2 4 2 5" xfId="13871"/>
    <cellStyle name="Normal 14 2 2 4 2 5 2" xfId="36458"/>
    <cellStyle name="Normal 14 2 2 4 2 6" xfId="7431"/>
    <cellStyle name="Normal 14 2 2 4 2 6 2" xfId="30018"/>
    <cellStyle name="Normal 14 2 2 4 2 7" xfId="23578"/>
    <cellStyle name="Normal 14 2 2 4 3" xfId="1331"/>
    <cellStyle name="Normal 14 2 2 4 3 2" xfId="2645"/>
    <cellStyle name="Normal 14 2 2 4 3 2 2" xfId="5866"/>
    <cellStyle name="Normal 14 2 2 4 3 2 2 2" xfId="21966"/>
    <cellStyle name="Normal 14 2 2 4 3 2 2 2 2" xfId="44553"/>
    <cellStyle name="Normal 14 2 2 4 3 2 2 3" xfId="12306"/>
    <cellStyle name="Normal 14 2 2 4 3 2 2 3 2" xfId="34893"/>
    <cellStyle name="Normal 14 2 2 4 3 2 2 4" xfId="28453"/>
    <cellStyle name="Normal 14 2 2 4 3 2 3" xfId="18746"/>
    <cellStyle name="Normal 14 2 2 4 3 2 3 2" xfId="41333"/>
    <cellStyle name="Normal 14 2 2 4 3 2 4" xfId="15526"/>
    <cellStyle name="Normal 14 2 2 4 3 2 4 2" xfId="38113"/>
    <cellStyle name="Normal 14 2 2 4 3 2 5" xfId="9086"/>
    <cellStyle name="Normal 14 2 2 4 3 2 5 2" xfId="31673"/>
    <cellStyle name="Normal 14 2 2 4 3 2 6" xfId="25233"/>
    <cellStyle name="Normal 14 2 2 4 3 3" xfId="4558"/>
    <cellStyle name="Normal 14 2 2 4 3 3 2" xfId="20658"/>
    <cellStyle name="Normal 14 2 2 4 3 3 2 2" xfId="43245"/>
    <cellStyle name="Normal 14 2 2 4 3 3 3" xfId="10998"/>
    <cellStyle name="Normal 14 2 2 4 3 3 3 2" xfId="33585"/>
    <cellStyle name="Normal 14 2 2 4 3 3 4" xfId="27145"/>
    <cellStyle name="Normal 14 2 2 4 3 4" xfId="17438"/>
    <cellStyle name="Normal 14 2 2 4 3 4 2" xfId="40025"/>
    <cellStyle name="Normal 14 2 2 4 3 5" xfId="14218"/>
    <cellStyle name="Normal 14 2 2 4 3 5 2" xfId="36805"/>
    <cellStyle name="Normal 14 2 2 4 3 6" xfId="7778"/>
    <cellStyle name="Normal 14 2 2 4 3 6 2" xfId="30365"/>
    <cellStyle name="Normal 14 2 2 4 3 7" xfId="23925"/>
    <cellStyle name="Normal 14 2 2 4 4" xfId="1574"/>
    <cellStyle name="Normal 14 2 2 4 4 2" xfId="4800"/>
    <cellStyle name="Normal 14 2 2 4 4 2 2" xfId="20900"/>
    <cellStyle name="Normal 14 2 2 4 4 2 2 2" xfId="43487"/>
    <cellStyle name="Normal 14 2 2 4 4 2 3" xfId="11240"/>
    <cellStyle name="Normal 14 2 2 4 4 2 3 2" xfId="33827"/>
    <cellStyle name="Normal 14 2 2 4 4 2 4" xfId="27387"/>
    <cellStyle name="Normal 14 2 2 4 4 3" xfId="17680"/>
    <cellStyle name="Normal 14 2 2 4 4 3 2" xfId="40267"/>
    <cellStyle name="Normal 14 2 2 4 4 4" xfId="14460"/>
    <cellStyle name="Normal 14 2 2 4 4 4 2" xfId="37047"/>
    <cellStyle name="Normal 14 2 2 4 4 5" xfId="8020"/>
    <cellStyle name="Normal 14 2 2 4 4 5 2" xfId="30607"/>
    <cellStyle name="Normal 14 2 2 4 4 6" xfId="24167"/>
    <cellStyle name="Normal 14 2 2 4 5" xfId="1950"/>
    <cellStyle name="Normal 14 2 2 4 5 2" xfId="5172"/>
    <cellStyle name="Normal 14 2 2 4 5 2 2" xfId="21272"/>
    <cellStyle name="Normal 14 2 2 4 5 2 2 2" xfId="43859"/>
    <cellStyle name="Normal 14 2 2 4 5 2 3" xfId="11612"/>
    <cellStyle name="Normal 14 2 2 4 5 2 3 2" xfId="34199"/>
    <cellStyle name="Normal 14 2 2 4 5 2 4" xfId="27759"/>
    <cellStyle name="Normal 14 2 2 4 5 3" xfId="18052"/>
    <cellStyle name="Normal 14 2 2 4 5 3 2" xfId="40639"/>
    <cellStyle name="Normal 14 2 2 4 5 4" xfId="14832"/>
    <cellStyle name="Normal 14 2 2 4 5 4 2" xfId="37419"/>
    <cellStyle name="Normal 14 2 2 4 5 5" xfId="8392"/>
    <cellStyle name="Normal 14 2 2 4 5 5 2" xfId="30979"/>
    <cellStyle name="Normal 14 2 2 4 5 6" xfId="24539"/>
    <cellStyle name="Normal 14 2 2 4 6" xfId="3068"/>
    <cellStyle name="Normal 14 2 2 4 6 2" xfId="6288"/>
    <cellStyle name="Normal 14 2 2 4 6 2 2" xfId="22388"/>
    <cellStyle name="Normal 14 2 2 4 6 2 2 2" xfId="44975"/>
    <cellStyle name="Normal 14 2 2 4 6 2 3" xfId="12728"/>
    <cellStyle name="Normal 14 2 2 4 6 2 3 2" xfId="35315"/>
    <cellStyle name="Normal 14 2 2 4 6 2 4" xfId="28875"/>
    <cellStyle name="Normal 14 2 2 4 6 3" xfId="19168"/>
    <cellStyle name="Normal 14 2 2 4 6 3 2" xfId="41755"/>
    <cellStyle name="Normal 14 2 2 4 6 4" xfId="15948"/>
    <cellStyle name="Normal 14 2 2 4 6 4 2" xfId="38535"/>
    <cellStyle name="Normal 14 2 2 4 6 5" xfId="9508"/>
    <cellStyle name="Normal 14 2 2 4 6 5 2" xfId="32095"/>
    <cellStyle name="Normal 14 2 2 4 6 6" xfId="25655"/>
    <cellStyle name="Normal 14 2 2 4 7" xfId="3358"/>
    <cellStyle name="Normal 14 2 2 4 7 2" xfId="6578"/>
    <cellStyle name="Normal 14 2 2 4 7 2 2" xfId="22678"/>
    <cellStyle name="Normal 14 2 2 4 7 2 2 2" xfId="45265"/>
    <cellStyle name="Normal 14 2 2 4 7 2 3" xfId="13018"/>
    <cellStyle name="Normal 14 2 2 4 7 2 3 2" xfId="35605"/>
    <cellStyle name="Normal 14 2 2 4 7 2 4" xfId="29165"/>
    <cellStyle name="Normal 14 2 2 4 7 3" xfId="19458"/>
    <cellStyle name="Normal 14 2 2 4 7 3 2" xfId="42045"/>
    <cellStyle name="Normal 14 2 2 4 7 4" xfId="16238"/>
    <cellStyle name="Normal 14 2 2 4 7 4 2" xfId="38825"/>
    <cellStyle name="Normal 14 2 2 4 7 5" xfId="9798"/>
    <cellStyle name="Normal 14 2 2 4 7 5 2" xfId="32385"/>
    <cellStyle name="Normal 14 2 2 4 7 6" xfId="25945"/>
    <cellStyle name="Normal 14 2 2 4 8" xfId="620"/>
    <cellStyle name="Normal 14 2 2 4 8 2" xfId="3864"/>
    <cellStyle name="Normal 14 2 2 4 8 2 2" xfId="19964"/>
    <cellStyle name="Normal 14 2 2 4 8 2 2 2" xfId="42551"/>
    <cellStyle name="Normal 14 2 2 4 8 2 3" xfId="10304"/>
    <cellStyle name="Normal 14 2 2 4 8 2 3 2" xfId="32891"/>
    <cellStyle name="Normal 14 2 2 4 8 2 4" xfId="26451"/>
    <cellStyle name="Normal 14 2 2 4 8 3" xfId="16744"/>
    <cellStyle name="Normal 14 2 2 4 8 3 2" xfId="39331"/>
    <cellStyle name="Normal 14 2 2 4 8 4" xfId="13524"/>
    <cellStyle name="Normal 14 2 2 4 8 4 2" xfId="36111"/>
    <cellStyle name="Normal 14 2 2 4 8 5" xfId="7084"/>
    <cellStyle name="Normal 14 2 2 4 8 5 2" xfId="29671"/>
    <cellStyle name="Normal 14 2 2 4 8 6" xfId="23231"/>
    <cellStyle name="Normal 14 2 2 4 9" xfId="3648"/>
    <cellStyle name="Normal 14 2 2 4 9 2" xfId="19748"/>
    <cellStyle name="Normal 14 2 2 4 9 2 2" xfId="42335"/>
    <cellStyle name="Normal 14 2 2 4 9 3" xfId="10088"/>
    <cellStyle name="Normal 14 2 2 4 9 3 2" xfId="32675"/>
    <cellStyle name="Normal 14 2 2 4 9 4" xfId="26235"/>
    <cellStyle name="Normal 14 2 2 5" xfId="790"/>
    <cellStyle name="Normal 14 2 2 5 2" xfId="1142"/>
    <cellStyle name="Normal 14 2 2 5 2 2" xfId="2456"/>
    <cellStyle name="Normal 14 2 2 5 2 2 2" xfId="5677"/>
    <cellStyle name="Normal 14 2 2 5 2 2 2 2" xfId="21777"/>
    <cellStyle name="Normal 14 2 2 5 2 2 2 2 2" xfId="44364"/>
    <cellStyle name="Normal 14 2 2 5 2 2 2 3" xfId="12117"/>
    <cellStyle name="Normal 14 2 2 5 2 2 2 3 2" xfId="34704"/>
    <cellStyle name="Normal 14 2 2 5 2 2 2 4" xfId="28264"/>
    <cellStyle name="Normal 14 2 2 5 2 2 3" xfId="18557"/>
    <cellStyle name="Normal 14 2 2 5 2 2 3 2" xfId="41144"/>
    <cellStyle name="Normal 14 2 2 5 2 2 4" xfId="15337"/>
    <cellStyle name="Normal 14 2 2 5 2 2 4 2" xfId="37924"/>
    <cellStyle name="Normal 14 2 2 5 2 2 5" xfId="8897"/>
    <cellStyle name="Normal 14 2 2 5 2 2 5 2" xfId="31484"/>
    <cellStyle name="Normal 14 2 2 5 2 2 6" xfId="25044"/>
    <cellStyle name="Normal 14 2 2 5 2 3" xfId="4369"/>
    <cellStyle name="Normal 14 2 2 5 2 3 2" xfId="20469"/>
    <cellStyle name="Normal 14 2 2 5 2 3 2 2" xfId="43056"/>
    <cellStyle name="Normal 14 2 2 5 2 3 3" xfId="10809"/>
    <cellStyle name="Normal 14 2 2 5 2 3 3 2" xfId="33396"/>
    <cellStyle name="Normal 14 2 2 5 2 3 4" xfId="26956"/>
    <cellStyle name="Normal 14 2 2 5 2 4" xfId="17249"/>
    <cellStyle name="Normal 14 2 2 5 2 4 2" xfId="39836"/>
    <cellStyle name="Normal 14 2 2 5 2 5" xfId="14029"/>
    <cellStyle name="Normal 14 2 2 5 2 5 2" xfId="36616"/>
    <cellStyle name="Normal 14 2 2 5 2 6" xfId="7589"/>
    <cellStyle name="Normal 14 2 2 5 2 6 2" xfId="30176"/>
    <cellStyle name="Normal 14 2 2 5 2 7" xfId="23736"/>
    <cellStyle name="Normal 14 2 2 5 3" xfId="1489"/>
    <cellStyle name="Normal 14 2 2 5 3 2" xfId="2803"/>
    <cellStyle name="Normal 14 2 2 5 3 2 2" xfId="6024"/>
    <cellStyle name="Normal 14 2 2 5 3 2 2 2" xfId="22124"/>
    <cellStyle name="Normal 14 2 2 5 3 2 2 2 2" xfId="44711"/>
    <cellStyle name="Normal 14 2 2 5 3 2 2 3" xfId="12464"/>
    <cellStyle name="Normal 14 2 2 5 3 2 2 3 2" xfId="35051"/>
    <cellStyle name="Normal 14 2 2 5 3 2 2 4" xfId="28611"/>
    <cellStyle name="Normal 14 2 2 5 3 2 3" xfId="18904"/>
    <cellStyle name="Normal 14 2 2 5 3 2 3 2" xfId="41491"/>
    <cellStyle name="Normal 14 2 2 5 3 2 4" xfId="15684"/>
    <cellStyle name="Normal 14 2 2 5 3 2 4 2" xfId="38271"/>
    <cellStyle name="Normal 14 2 2 5 3 2 5" xfId="9244"/>
    <cellStyle name="Normal 14 2 2 5 3 2 5 2" xfId="31831"/>
    <cellStyle name="Normal 14 2 2 5 3 2 6" xfId="25391"/>
    <cellStyle name="Normal 14 2 2 5 3 3" xfId="4716"/>
    <cellStyle name="Normal 14 2 2 5 3 3 2" xfId="20816"/>
    <cellStyle name="Normal 14 2 2 5 3 3 2 2" xfId="43403"/>
    <cellStyle name="Normal 14 2 2 5 3 3 3" xfId="11156"/>
    <cellStyle name="Normal 14 2 2 5 3 3 3 2" xfId="33743"/>
    <cellStyle name="Normal 14 2 2 5 3 3 4" xfId="27303"/>
    <cellStyle name="Normal 14 2 2 5 3 4" xfId="17596"/>
    <cellStyle name="Normal 14 2 2 5 3 4 2" xfId="40183"/>
    <cellStyle name="Normal 14 2 2 5 3 5" xfId="14376"/>
    <cellStyle name="Normal 14 2 2 5 3 5 2" xfId="36963"/>
    <cellStyle name="Normal 14 2 2 5 3 6" xfId="7936"/>
    <cellStyle name="Normal 14 2 2 5 3 6 2" xfId="30523"/>
    <cellStyle name="Normal 14 2 2 5 3 7" xfId="24083"/>
    <cellStyle name="Normal 14 2 2 5 4" xfId="2109"/>
    <cellStyle name="Normal 14 2 2 5 4 2" xfId="5330"/>
    <cellStyle name="Normal 14 2 2 5 4 2 2" xfId="21430"/>
    <cellStyle name="Normal 14 2 2 5 4 2 2 2" xfId="44017"/>
    <cellStyle name="Normal 14 2 2 5 4 2 3" xfId="11770"/>
    <cellStyle name="Normal 14 2 2 5 4 2 3 2" xfId="34357"/>
    <cellStyle name="Normal 14 2 2 5 4 2 4" xfId="27917"/>
    <cellStyle name="Normal 14 2 2 5 4 3" xfId="18210"/>
    <cellStyle name="Normal 14 2 2 5 4 3 2" xfId="40797"/>
    <cellStyle name="Normal 14 2 2 5 4 4" xfId="14990"/>
    <cellStyle name="Normal 14 2 2 5 4 4 2" xfId="37577"/>
    <cellStyle name="Normal 14 2 2 5 4 5" xfId="8550"/>
    <cellStyle name="Normal 14 2 2 5 4 5 2" xfId="31137"/>
    <cellStyle name="Normal 14 2 2 5 4 6" xfId="24697"/>
    <cellStyle name="Normal 14 2 2 5 5" xfId="4022"/>
    <cellStyle name="Normal 14 2 2 5 5 2" xfId="20122"/>
    <cellStyle name="Normal 14 2 2 5 5 2 2" xfId="42709"/>
    <cellStyle name="Normal 14 2 2 5 5 3" xfId="10462"/>
    <cellStyle name="Normal 14 2 2 5 5 3 2" xfId="33049"/>
    <cellStyle name="Normal 14 2 2 5 5 4" xfId="26609"/>
    <cellStyle name="Normal 14 2 2 5 6" xfId="16902"/>
    <cellStyle name="Normal 14 2 2 5 6 2" xfId="39489"/>
    <cellStyle name="Normal 14 2 2 5 7" xfId="13682"/>
    <cellStyle name="Normal 14 2 2 5 7 2" xfId="36269"/>
    <cellStyle name="Normal 14 2 2 5 8" xfId="7242"/>
    <cellStyle name="Normal 14 2 2 5 8 2" xfId="29829"/>
    <cellStyle name="Normal 14 2 2 5 9" xfId="23389"/>
    <cellStyle name="Normal 14 2 2 6" xfId="860"/>
    <cellStyle name="Normal 14 2 2 6 2" xfId="2179"/>
    <cellStyle name="Normal 14 2 2 6 2 2" xfId="5400"/>
    <cellStyle name="Normal 14 2 2 6 2 2 2" xfId="21500"/>
    <cellStyle name="Normal 14 2 2 6 2 2 2 2" xfId="44087"/>
    <cellStyle name="Normal 14 2 2 6 2 2 3" xfId="11840"/>
    <cellStyle name="Normal 14 2 2 6 2 2 3 2" xfId="34427"/>
    <cellStyle name="Normal 14 2 2 6 2 2 4" xfId="27987"/>
    <cellStyle name="Normal 14 2 2 6 2 3" xfId="18280"/>
    <cellStyle name="Normal 14 2 2 6 2 3 2" xfId="40867"/>
    <cellStyle name="Normal 14 2 2 6 2 4" xfId="15060"/>
    <cellStyle name="Normal 14 2 2 6 2 4 2" xfId="37647"/>
    <cellStyle name="Normal 14 2 2 6 2 5" xfId="8620"/>
    <cellStyle name="Normal 14 2 2 6 2 5 2" xfId="31207"/>
    <cellStyle name="Normal 14 2 2 6 2 6" xfId="24767"/>
    <cellStyle name="Normal 14 2 2 6 3" xfId="4092"/>
    <cellStyle name="Normal 14 2 2 6 3 2" xfId="20192"/>
    <cellStyle name="Normal 14 2 2 6 3 2 2" xfId="42779"/>
    <cellStyle name="Normal 14 2 2 6 3 3" xfId="10532"/>
    <cellStyle name="Normal 14 2 2 6 3 3 2" xfId="33119"/>
    <cellStyle name="Normal 14 2 2 6 3 4" xfId="26679"/>
    <cellStyle name="Normal 14 2 2 6 4" xfId="16972"/>
    <cellStyle name="Normal 14 2 2 6 4 2" xfId="39559"/>
    <cellStyle name="Normal 14 2 2 6 5" xfId="13752"/>
    <cellStyle name="Normal 14 2 2 6 5 2" xfId="36339"/>
    <cellStyle name="Normal 14 2 2 6 6" xfId="7312"/>
    <cellStyle name="Normal 14 2 2 6 6 2" xfId="29899"/>
    <cellStyle name="Normal 14 2 2 6 7" xfId="23459"/>
    <cellStyle name="Normal 14 2 2 7" xfId="1212"/>
    <cellStyle name="Normal 14 2 2 7 2" xfId="2526"/>
    <cellStyle name="Normal 14 2 2 7 2 2" xfId="5747"/>
    <cellStyle name="Normal 14 2 2 7 2 2 2" xfId="21847"/>
    <cellStyle name="Normal 14 2 2 7 2 2 2 2" xfId="44434"/>
    <cellStyle name="Normal 14 2 2 7 2 2 3" xfId="12187"/>
    <cellStyle name="Normal 14 2 2 7 2 2 3 2" xfId="34774"/>
    <cellStyle name="Normal 14 2 2 7 2 2 4" xfId="28334"/>
    <cellStyle name="Normal 14 2 2 7 2 3" xfId="18627"/>
    <cellStyle name="Normal 14 2 2 7 2 3 2" xfId="41214"/>
    <cellStyle name="Normal 14 2 2 7 2 4" xfId="15407"/>
    <cellStyle name="Normal 14 2 2 7 2 4 2" xfId="37994"/>
    <cellStyle name="Normal 14 2 2 7 2 5" xfId="8967"/>
    <cellStyle name="Normal 14 2 2 7 2 5 2" xfId="31554"/>
    <cellStyle name="Normal 14 2 2 7 2 6" xfId="25114"/>
    <cellStyle name="Normal 14 2 2 7 3" xfId="4439"/>
    <cellStyle name="Normal 14 2 2 7 3 2" xfId="20539"/>
    <cellStyle name="Normal 14 2 2 7 3 2 2" xfId="43126"/>
    <cellStyle name="Normal 14 2 2 7 3 3" xfId="10879"/>
    <cellStyle name="Normal 14 2 2 7 3 3 2" xfId="33466"/>
    <cellStyle name="Normal 14 2 2 7 3 4" xfId="27026"/>
    <cellStyle name="Normal 14 2 2 7 4" xfId="17319"/>
    <cellStyle name="Normal 14 2 2 7 4 2" xfId="39906"/>
    <cellStyle name="Normal 14 2 2 7 5" xfId="14099"/>
    <cellStyle name="Normal 14 2 2 7 5 2" xfId="36686"/>
    <cellStyle name="Normal 14 2 2 7 6" xfId="7659"/>
    <cellStyle name="Normal 14 2 2 7 6 2" xfId="30246"/>
    <cellStyle name="Normal 14 2 2 7 7" xfId="23806"/>
    <cellStyle name="Normal 14 2 2 8" xfId="1575"/>
    <cellStyle name="Normal 14 2 2 8 2" xfId="4801"/>
    <cellStyle name="Normal 14 2 2 8 2 2" xfId="20901"/>
    <cellStyle name="Normal 14 2 2 8 2 2 2" xfId="43488"/>
    <cellStyle name="Normal 14 2 2 8 2 3" xfId="11241"/>
    <cellStyle name="Normal 14 2 2 8 2 3 2" xfId="33828"/>
    <cellStyle name="Normal 14 2 2 8 2 4" xfId="27388"/>
    <cellStyle name="Normal 14 2 2 8 3" xfId="17681"/>
    <cellStyle name="Normal 14 2 2 8 3 2" xfId="40268"/>
    <cellStyle name="Normal 14 2 2 8 4" xfId="14461"/>
    <cellStyle name="Normal 14 2 2 8 4 2" xfId="37048"/>
    <cellStyle name="Normal 14 2 2 8 5" xfId="8021"/>
    <cellStyle name="Normal 14 2 2 8 5 2" xfId="30608"/>
    <cellStyle name="Normal 14 2 2 8 6" xfId="24168"/>
    <cellStyle name="Normal 14 2 2 9" xfId="1831"/>
    <cellStyle name="Normal 14 2 2 9 2" xfId="5053"/>
    <cellStyle name="Normal 14 2 2 9 2 2" xfId="21153"/>
    <cellStyle name="Normal 14 2 2 9 2 2 2" xfId="43740"/>
    <cellStyle name="Normal 14 2 2 9 2 3" xfId="11493"/>
    <cellStyle name="Normal 14 2 2 9 2 3 2" xfId="34080"/>
    <cellStyle name="Normal 14 2 2 9 2 4" xfId="27640"/>
    <cellStyle name="Normal 14 2 2 9 3" xfId="17933"/>
    <cellStyle name="Normal 14 2 2 9 3 2" xfId="40520"/>
    <cellStyle name="Normal 14 2 2 9 4" xfId="14713"/>
    <cellStyle name="Normal 14 2 2 9 4 2" xfId="37300"/>
    <cellStyle name="Normal 14 2 2 9 5" xfId="8273"/>
    <cellStyle name="Normal 14 2 2 9 5 2" xfId="30860"/>
    <cellStyle name="Normal 14 2 2 9 6" xfId="24420"/>
    <cellStyle name="Normal 14 2 3" xfId="137"/>
    <cellStyle name="Normal 14 2 3 10" xfId="475"/>
    <cellStyle name="Normal 14 2 3 10 2" xfId="3762"/>
    <cellStyle name="Normal 14 2 3 10 2 2" xfId="19862"/>
    <cellStyle name="Normal 14 2 3 10 2 2 2" xfId="42449"/>
    <cellStyle name="Normal 14 2 3 10 2 3" xfId="10202"/>
    <cellStyle name="Normal 14 2 3 10 2 3 2" xfId="32789"/>
    <cellStyle name="Normal 14 2 3 10 2 4" xfId="26349"/>
    <cellStyle name="Normal 14 2 3 10 3" xfId="16642"/>
    <cellStyle name="Normal 14 2 3 10 3 2" xfId="39229"/>
    <cellStyle name="Normal 14 2 3 10 4" xfId="13422"/>
    <cellStyle name="Normal 14 2 3 10 4 2" xfId="36009"/>
    <cellStyle name="Normal 14 2 3 10 5" xfId="6982"/>
    <cellStyle name="Normal 14 2 3 10 5 2" xfId="29569"/>
    <cellStyle name="Normal 14 2 3 10 6" xfId="23129"/>
    <cellStyle name="Normal 14 2 3 11" xfId="3472"/>
    <cellStyle name="Normal 14 2 3 11 2" xfId="19572"/>
    <cellStyle name="Normal 14 2 3 11 2 2" xfId="42159"/>
    <cellStyle name="Normal 14 2 3 11 3" xfId="9912"/>
    <cellStyle name="Normal 14 2 3 11 3 2" xfId="32499"/>
    <cellStyle name="Normal 14 2 3 11 4" xfId="26059"/>
    <cellStyle name="Normal 14 2 3 12" xfId="16352"/>
    <cellStyle name="Normal 14 2 3 12 2" xfId="38939"/>
    <cellStyle name="Normal 14 2 3 13" xfId="13132"/>
    <cellStyle name="Normal 14 2 3 13 2" xfId="35719"/>
    <cellStyle name="Normal 14 2 3 14" xfId="6692"/>
    <cellStyle name="Normal 14 2 3 14 2" xfId="29279"/>
    <cellStyle name="Normal 14 2 3 15" xfId="22839"/>
    <cellStyle name="Normal 14 2 3 2" xfId="283"/>
    <cellStyle name="Normal 14 2 3 2 10" xfId="16450"/>
    <cellStyle name="Normal 14 2 3 2 10 2" xfId="39037"/>
    <cellStyle name="Normal 14 2 3 2 11" xfId="13230"/>
    <cellStyle name="Normal 14 2 3 2 11 2" xfId="35817"/>
    <cellStyle name="Normal 14 2 3 2 12" xfId="6790"/>
    <cellStyle name="Normal 14 2 3 2 12 2" xfId="29377"/>
    <cellStyle name="Normal 14 2 3 2 13" xfId="22937"/>
    <cellStyle name="Normal 14 2 3 2 2" xfId="1001"/>
    <cellStyle name="Normal 14 2 3 2 2 2" xfId="2315"/>
    <cellStyle name="Normal 14 2 3 2 2 2 2" xfId="5536"/>
    <cellStyle name="Normal 14 2 3 2 2 2 2 2" xfId="21636"/>
    <cellStyle name="Normal 14 2 3 2 2 2 2 2 2" xfId="44223"/>
    <cellStyle name="Normal 14 2 3 2 2 2 2 3" xfId="11976"/>
    <cellStyle name="Normal 14 2 3 2 2 2 2 3 2" xfId="34563"/>
    <cellStyle name="Normal 14 2 3 2 2 2 2 4" xfId="28123"/>
    <cellStyle name="Normal 14 2 3 2 2 2 3" xfId="18416"/>
    <cellStyle name="Normal 14 2 3 2 2 2 3 2" xfId="41003"/>
    <cellStyle name="Normal 14 2 3 2 2 2 4" xfId="15196"/>
    <cellStyle name="Normal 14 2 3 2 2 2 4 2" xfId="37783"/>
    <cellStyle name="Normal 14 2 3 2 2 2 5" xfId="8756"/>
    <cellStyle name="Normal 14 2 3 2 2 2 5 2" xfId="31343"/>
    <cellStyle name="Normal 14 2 3 2 2 2 6" xfId="24903"/>
    <cellStyle name="Normal 14 2 3 2 2 3" xfId="4228"/>
    <cellStyle name="Normal 14 2 3 2 2 3 2" xfId="20328"/>
    <cellStyle name="Normal 14 2 3 2 2 3 2 2" xfId="42915"/>
    <cellStyle name="Normal 14 2 3 2 2 3 3" xfId="10668"/>
    <cellStyle name="Normal 14 2 3 2 2 3 3 2" xfId="33255"/>
    <cellStyle name="Normal 14 2 3 2 2 3 4" xfId="26815"/>
    <cellStyle name="Normal 14 2 3 2 2 4" xfId="17108"/>
    <cellStyle name="Normal 14 2 3 2 2 4 2" xfId="39695"/>
    <cellStyle name="Normal 14 2 3 2 2 5" xfId="13888"/>
    <cellStyle name="Normal 14 2 3 2 2 5 2" xfId="36475"/>
    <cellStyle name="Normal 14 2 3 2 2 6" xfId="7448"/>
    <cellStyle name="Normal 14 2 3 2 2 6 2" xfId="30035"/>
    <cellStyle name="Normal 14 2 3 2 2 7" xfId="23595"/>
    <cellStyle name="Normal 14 2 3 2 3" xfId="1348"/>
    <cellStyle name="Normal 14 2 3 2 3 2" xfId="2662"/>
    <cellStyle name="Normal 14 2 3 2 3 2 2" xfId="5883"/>
    <cellStyle name="Normal 14 2 3 2 3 2 2 2" xfId="21983"/>
    <cellStyle name="Normal 14 2 3 2 3 2 2 2 2" xfId="44570"/>
    <cellStyle name="Normal 14 2 3 2 3 2 2 3" xfId="12323"/>
    <cellStyle name="Normal 14 2 3 2 3 2 2 3 2" xfId="34910"/>
    <cellStyle name="Normal 14 2 3 2 3 2 2 4" xfId="28470"/>
    <cellStyle name="Normal 14 2 3 2 3 2 3" xfId="18763"/>
    <cellStyle name="Normal 14 2 3 2 3 2 3 2" xfId="41350"/>
    <cellStyle name="Normal 14 2 3 2 3 2 4" xfId="15543"/>
    <cellStyle name="Normal 14 2 3 2 3 2 4 2" xfId="38130"/>
    <cellStyle name="Normal 14 2 3 2 3 2 5" xfId="9103"/>
    <cellStyle name="Normal 14 2 3 2 3 2 5 2" xfId="31690"/>
    <cellStyle name="Normal 14 2 3 2 3 2 6" xfId="25250"/>
    <cellStyle name="Normal 14 2 3 2 3 3" xfId="4575"/>
    <cellStyle name="Normal 14 2 3 2 3 3 2" xfId="20675"/>
    <cellStyle name="Normal 14 2 3 2 3 3 2 2" xfId="43262"/>
    <cellStyle name="Normal 14 2 3 2 3 3 3" xfId="11015"/>
    <cellStyle name="Normal 14 2 3 2 3 3 3 2" xfId="33602"/>
    <cellStyle name="Normal 14 2 3 2 3 3 4" xfId="27162"/>
    <cellStyle name="Normal 14 2 3 2 3 4" xfId="17455"/>
    <cellStyle name="Normal 14 2 3 2 3 4 2" xfId="40042"/>
    <cellStyle name="Normal 14 2 3 2 3 5" xfId="14235"/>
    <cellStyle name="Normal 14 2 3 2 3 5 2" xfId="36822"/>
    <cellStyle name="Normal 14 2 3 2 3 6" xfId="7795"/>
    <cellStyle name="Normal 14 2 3 2 3 6 2" xfId="30382"/>
    <cellStyle name="Normal 14 2 3 2 3 7" xfId="23942"/>
    <cellStyle name="Normal 14 2 3 2 4" xfId="1576"/>
    <cellStyle name="Normal 14 2 3 2 4 2" xfId="4802"/>
    <cellStyle name="Normal 14 2 3 2 4 2 2" xfId="20902"/>
    <cellStyle name="Normal 14 2 3 2 4 2 2 2" xfId="43489"/>
    <cellStyle name="Normal 14 2 3 2 4 2 3" xfId="11242"/>
    <cellStyle name="Normal 14 2 3 2 4 2 3 2" xfId="33829"/>
    <cellStyle name="Normal 14 2 3 2 4 2 4" xfId="27389"/>
    <cellStyle name="Normal 14 2 3 2 4 3" xfId="17682"/>
    <cellStyle name="Normal 14 2 3 2 4 3 2" xfId="40269"/>
    <cellStyle name="Normal 14 2 3 2 4 4" xfId="14462"/>
    <cellStyle name="Normal 14 2 3 2 4 4 2" xfId="37049"/>
    <cellStyle name="Normal 14 2 3 2 4 5" xfId="8022"/>
    <cellStyle name="Normal 14 2 3 2 4 5 2" xfId="30609"/>
    <cellStyle name="Normal 14 2 3 2 4 6" xfId="24169"/>
    <cellStyle name="Normal 14 2 3 2 5" xfId="1967"/>
    <cellStyle name="Normal 14 2 3 2 5 2" xfId="5189"/>
    <cellStyle name="Normal 14 2 3 2 5 2 2" xfId="21289"/>
    <cellStyle name="Normal 14 2 3 2 5 2 2 2" xfId="43876"/>
    <cellStyle name="Normal 14 2 3 2 5 2 3" xfId="11629"/>
    <cellStyle name="Normal 14 2 3 2 5 2 3 2" xfId="34216"/>
    <cellStyle name="Normal 14 2 3 2 5 2 4" xfId="27776"/>
    <cellStyle name="Normal 14 2 3 2 5 3" xfId="18069"/>
    <cellStyle name="Normal 14 2 3 2 5 3 2" xfId="40656"/>
    <cellStyle name="Normal 14 2 3 2 5 4" xfId="14849"/>
    <cellStyle name="Normal 14 2 3 2 5 4 2" xfId="37436"/>
    <cellStyle name="Normal 14 2 3 2 5 5" xfId="8409"/>
    <cellStyle name="Normal 14 2 3 2 5 5 2" xfId="30996"/>
    <cellStyle name="Normal 14 2 3 2 5 6" xfId="24556"/>
    <cellStyle name="Normal 14 2 3 2 6" xfId="2990"/>
    <cellStyle name="Normal 14 2 3 2 6 2" xfId="6210"/>
    <cellStyle name="Normal 14 2 3 2 6 2 2" xfId="22310"/>
    <cellStyle name="Normal 14 2 3 2 6 2 2 2" xfId="44897"/>
    <cellStyle name="Normal 14 2 3 2 6 2 3" xfId="12650"/>
    <cellStyle name="Normal 14 2 3 2 6 2 3 2" xfId="35237"/>
    <cellStyle name="Normal 14 2 3 2 6 2 4" xfId="28797"/>
    <cellStyle name="Normal 14 2 3 2 6 3" xfId="19090"/>
    <cellStyle name="Normal 14 2 3 2 6 3 2" xfId="41677"/>
    <cellStyle name="Normal 14 2 3 2 6 4" xfId="15870"/>
    <cellStyle name="Normal 14 2 3 2 6 4 2" xfId="38457"/>
    <cellStyle name="Normal 14 2 3 2 6 5" xfId="9430"/>
    <cellStyle name="Normal 14 2 3 2 6 5 2" xfId="32017"/>
    <cellStyle name="Normal 14 2 3 2 6 6" xfId="25577"/>
    <cellStyle name="Normal 14 2 3 2 7" xfId="3280"/>
    <cellStyle name="Normal 14 2 3 2 7 2" xfId="6500"/>
    <cellStyle name="Normal 14 2 3 2 7 2 2" xfId="22600"/>
    <cellStyle name="Normal 14 2 3 2 7 2 2 2" xfId="45187"/>
    <cellStyle name="Normal 14 2 3 2 7 2 3" xfId="12940"/>
    <cellStyle name="Normal 14 2 3 2 7 2 3 2" xfId="35527"/>
    <cellStyle name="Normal 14 2 3 2 7 2 4" xfId="29087"/>
    <cellStyle name="Normal 14 2 3 2 7 3" xfId="19380"/>
    <cellStyle name="Normal 14 2 3 2 7 3 2" xfId="41967"/>
    <cellStyle name="Normal 14 2 3 2 7 4" xfId="16160"/>
    <cellStyle name="Normal 14 2 3 2 7 4 2" xfId="38747"/>
    <cellStyle name="Normal 14 2 3 2 7 5" xfId="9720"/>
    <cellStyle name="Normal 14 2 3 2 7 5 2" xfId="32307"/>
    <cellStyle name="Normal 14 2 3 2 7 6" xfId="25867"/>
    <cellStyle name="Normal 14 2 3 2 8" xfId="637"/>
    <cellStyle name="Normal 14 2 3 2 8 2" xfId="3881"/>
    <cellStyle name="Normal 14 2 3 2 8 2 2" xfId="19981"/>
    <cellStyle name="Normal 14 2 3 2 8 2 2 2" xfId="42568"/>
    <cellStyle name="Normal 14 2 3 2 8 2 3" xfId="10321"/>
    <cellStyle name="Normal 14 2 3 2 8 2 3 2" xfId="32908"/>
    <cellStyle name="Normal 14 2 3 2 8 2 4" xfId="26468"/>
    <cellStyle name="Normal 14 2 3 2 8 3" xfId="16761"/>
    <cellStyle name="Normal 14 2 3 2 8 3 2" xfId="39348"/>
    <cellStyle name="Normal 14 2 3 2 8 4" xfId="13541"/>
    <cellStyle name="Normal 14 2 3 2 8 4 2" xfId="36128"/>
    <cellStyle name="Normal 14 2 3 2 8 5" xfId="7101"/>
    <cellStyle name="Normal 14 2 3 2 8 5 2" xfId="29688"/>
    <cellStyle name="Normal 14 2 3 2 8 6" xfId="23248"/>
    <cellStyle name="Normal 14 2 3 2 9" xfId="3570"/>
    <cellStyle name="Normal 14 2 3 2 9 2" xfId="19670"/>
    <cellStyle name="Normal 14 2 3 2 9 2 2" xfId="42257"/>
    <cellStyle name="Normal 14 2 3 2 9 3" xfId="10010"/>
    <cellStyle name="Normal 14 2 3 2 9 3 2" xfId="32597"/>
    <cellStyle name="Normal 14 2 3 2 9 4" xfId="26157"/>
    <cellStyle name="Normal 14 2 3 3" xfId="378"/>
    <cellStyle name="Normal 14 2 3 3 10" xfId="16545"/>
    <cellStyle name="Normal 14 2 3 3 10 2" xfId="39132"/>
    <cellStyle name="Normal 14 2 3 3 11" xfId="13325"/>
    <cellStyle name="Normal 14 2 3 3 11 2" xfId="35912"/>
    <cellStyle name="Normal 14 2 3 3 12" xfId="6885"/>
    <cellStyle name="Normal 14 2 3 3 12 2" xfId="29472"/>
    <cellStyle name="Normal 14 2 3 3 13" xfId="23032"/>
    <cellStyle name="Normal 14 2 3 3 2" xfId="1162"/>
    <cellStyle name="Normal 14 2 3 3 2 2" xfId="2476"/>
    <cellStyle name="Normal 14 2 3 3 2 2 2" xfId="5697"/>
    <cellStyle name="Normal 14 2 3 3 2 2 2 2" xfId="21797"/>
    <cellStyle name="Normal 14 2 3 3 2 2 2 2 2" xfId="44384"/>
    <cellStyle name="Normal 14 2 3 3 2 2 2 3" xfId="12137"/>
    <cellStyle name="Normal 14 2 3 3 2 2 2 3 2" xfId="34724"/>
    <cellStyle name="Normal 14 2 3 3 2 2 2 4" xfId="28284"/>
    <cellStyle name="Normal 14 2 3 3 2 2 3" xfId="18577"/>
    <cellStyle name="Normal 14 2 3 3 2 2 3 2" xfId="41164"/>
    <cellStyle name="Normal 14 2 3 3 2 2 4" xfId="15357"/>
    <cellStyle name="Normal 14 2 3 3 2 2 4 2" xfId="37944"/>
    <cellStyle name="Normal 14 2 3 3 2 2 5" xfId="8917"/>
    <cellStyle name="Normal 14 2 3 3 2 2 5 2" xfId="31504"/>
    <cellStyle name="Normal 14 2 3 3 2 2 6" xfId="25064"/>
    <cellStyle name="Normal 14 2 3 3 2 3" xfId="4389"/>
    <cellStyle name="Normal 14 2 3 3 2 3 2" xfId="20489"/>
    <cellStyle name="Normal 14 2 3 3 2 3 2 2" xfId="43076"/>
    <cellStyle name="Normal 14 2 3 3 2 3 3" xfId="10829"/>
    <cellStyle name="Normal 14 2 3 3 2 3 3 2" xfId="33416"/>
    <cellStyle name="Normal 14 2 3 3 2 3 4" xfId="26976"/>
    <cellStyle name="Normal 14 2 3 3 2 4" xfId="17269"/>
    <cellStyle name="Normal 14 2 3 3 2 4 2" xfId="39856"/>
    <cellStyle name="Normal 14 2 3 3 2 5" xfId="14049"/>
    <cellStyle name="Normal 14 2 3 3 2 5 2" xfId="36636"/>
    <cellStyle name="Normal 14 2 3 3 2 6" xfId="7609"/>
    <cellStyle name="Normal 14 2 3 3 2 6 2" xfId="30196"/>
    <cellStyle name="Normal 14 2 3 3 2 7" xfId="23756"/>
    <cellStyle name="Normal 14 2 3 3 3" xfId="1509"/>
    <cellStyle name="Normal 14 2 3 3 3 2" xfId="2823"/>
    <cellStyle name="Normal 14 2 3 3 3 2 2" xfId="6044"/>
    <cellStyle name="Normal 14 2 3 3 3 2 2 2" xfId="22144"/>
    <cellStyle name="Normal 14 2 3 3 3 2 2 2 2" xfId="44731"/>
    <cellStyle name="Normal 14 2 3 3 3 2 2 3" xfId="12484"/>
    <cellStyle name="Normal 14 2 3 3 3 2 2 3 2" xfId="35071"/>
    <cellStyle name="Normal 14 2 3 3 3 2 2 4" xfId="28631"/>
    <cellStyle name="Normal 14 2 3 3 3 2 3" xfId="18924"/>
    <cellStyle name="Normal 14 2 3 3 3 2 3 2" xfId="41511"/>
    <cellStyle name="Normal 14 2 3 3 3 2 4" xfId="15704"/>
    <cellStyle name="Normal 14 2 3 3 3 2 4 2" xfId="38291"/>
    <cellStyle name="Normal 14 2 3 3 3 2 5" xfId="9264"/>
    <cellStyle name="Normal 14 2 3 3 3 2 5 2" xfId="31851"/>
    <cellStyle name="Normal 14 2 3 3 3 2 6" xfId="25411"/>
    <cellStyle name="Normal 14 2 3 3 3 3" xfId="4736"/>
    <cellStyle name="Normal 14 2 3 3 3 3 2" xfId="20836"/>
    <cellStyle name="Normal 14 2 3 3 3 3 2 2" xfId="43423"/>
    <cellStyle name="Normal 14 2 3 3 3 3 3" xfId="11176"/>
    <cellStyle name="Normal 14 2 3 3 3 3 3 2" xfId="33763"/>
    <cellStyle name="Normal 14 2 3 3 3 3 4" xfId="27323"/>
    <cellStyle name="Normal 14 2 3 3 3 4" xfId="17616"/>
    <cellStyle name="Normal 14 2 3 3 3 4 2" xfId="40203"/>
    <cellStyle name="Normal 14 2 3 3 3 5" xfId="14396"/>
    <cellStyle name="Normal 14 2 3 3 3 5 2" xfId="36983"/>
    <cellStyle name="Normal 14 2 3 3 3 6" xfId="7956"/>
    <cellStyle name="Normal 14 2 3 3 3 6 2" xfId="30543"/>
    <cellStyle name="Normal 14 2 3 3 3 7" xfId="24103"/>
    <cellStyle name="Normal 14 2 3 3 4" xfId="1577"/>
    <cellStyle name="Normal 14 2 3 3 4 2" xfId="4803"/>
    <cellStyle name="Normal 14 2 3 3 4 2 2" xfId="20903"/>
    <cellStyle name="Normal 14 2 3 3 4 2 2 2" xfId="43490"/>
    <cellStyle name="Normal 14 2 3 3 4 2 3" xfId="11243"/>
    <cellStyle name="Normal 14 2 3 3 4 2 3 2" xfId="33830"/>
    <cellStyle name="Normal 14 2 3 3 4 2 4" xfId="27390"/>
    <cellStyle name="Normal 14 2 3 3 4 3" xfId="17683"/>
    <cellStyle name="Normal 14 2 3 3 4 3 2" xfId="40270"/>
    <cellStyle name="Normal 14 2 3 3 4 4" xfId="14463"/>
    <cellStyle name="Normal 14 2 3 3 4 4 2" xfId="37050"/>
    <cellStyle name="Normal 14 2 3 3 4 5" xfId="8023"/>
    <cellStyle name="Normal 14 2 3 3 4 5 2" xfId="30610"/>
    <cellStyle name="Normal 14 2 3 3 4 6" xfId="24170"/>
    <cellStyle name="Normal 14 2 3 3 5" xfId="2129"/>
    <cellStyle name="Normal 14 2 3 3 5 2" xfId="5350"/>
    <cellStyle name="Normal 14 2 3 3 5 2 2" xfId="21450"/>
    <cellStyle name="Normal 14 2 3 3 5 2 2 2" xfId="44037"/>
    <cellStyle name="Normal 14 2 3 3 5 2 3" xfId="11790"/>
    <cellStyle name="Normal 14 2 3 3 5 2 3 2" xfId="34377"/>
    <cellStyle name="Normal 14 2 3 3 5 2 4" xfId="27937"/>
    <cellStyle name="Normal 14 2 3 3 5 3" xfId="18230"/>
    <cellStyle name="Normal 14 2 3 3 5 3 2" xfId="40817"/>
    <cellStyle name="Normal 14 2 3 3 5 4" xfId="15010"/>
    <cellStyle name="Normal 14 2 3 3 5 4 2" xfId="37597"/>
    <cellStyle name="Normal 14 2 3 3 5 5" xfId="8570"/>
    <cellStyle name="Normal 14 2 3 3 5 5 2" xfId="31157"/>
    <cellStyle name="Normal 14 2 3 3 5 6" xfId="24717"/>
    <cellStyle name="Normal 14 2 3 3 6" xfId="3085"/>
    <cellStyle name="Normal 14 2 3 3 6 2" xfId="6305"/>
    <cellStyle name="Normal 14 2 3 3 6 2 2" xfId="22405"/>
    <cellStyle name="Normal 14 2 3 3 6 2 2 2" xfId="44992"/>
    <cellStyle name="Normal 14 2 3 3 6 2 3" xfId="12745"/>
    <cellStyle name="Normal 14 2 3 3 6 2 3 2" xfId="35332"/>
    <cellStyle name="Normal 14 2 3 3 6 2 4" xfId="28892"/>
    <cellStyle name="Normal 14 2 3 3 6 3" xfId="19185"/>
    <cellStyle name="Normal 14 2 3 3 6 3 2" xfId="41772"/>
    <cellStyle name="Normal 14 2 3 3 6 4" xfId="15965"/>
    <cellStyle name="Normal 14 2 3 3 6 4 2" xfId="38552"/>
    <cellStyle name="Normal 14 2 3 3 6 5" xfId="9525"/>
    <cellStyle name="Normal 14 2 3 3 6 5 2" xfId="32112"/>
    <cellStyle name="Normal 14 2 3 3 6 6" xfId="25672"/>
    <cellStyle name="Normal 14 2 3 3 7" xfId="3375"/>
    <cellStyle name="Normal 14 2 3 3 7 2" xfId="6595"/>
    <cellStyle name="Normal 14 2 3 3 7 2 2" xfId="22695"/>
    <cellStyle name="Normal 14 2 3 3 7 2 2 2" xfId="45282"/>
    <cellStyle name="Normal 14 2 3 3 7 2 3" xfId="13035"/>
    <cellStyle name="Normal 14 2 3 3 7 2 3 2" xfId="35622"/>
    <cellStyle name="Normal 14 2 3 3 7 2 4" xfId="29182"/>
    <cellStyle name="Normal 14 2 3 3 7 3" xfId="19475"/>
    <cellStyle name="Normal 14 2 3 3 7 3 2" xfId="42062"/>
    <cellStyle name="Normal 14 2 3 3 7 4" xfId="16255"/>
    <cellStyle name="Normal 14 2 3 3 7 4 2" xfId="38842"/>
    <cellStyle name="Normal 14 2 3 3 7 5" xfId="9815"/>
    <cellStyle name="Normal 14 2 3 3 7 5 2" xfId="32402"/>
    <cellStyle name="Normal 14 2 3 3 7 6" xfId="25962"/>
    <cellStyle name="Normal 14 2 3 3 8" xfId="810"/>
    <cellStyle name="Normal 14 2 3 3 8 2" xfId="4042"/>
    <cellStyle name="Normal 14 2 3 3 8 2 2" xfId="20142"/>
    <cellStyle name="Normal 14 2 3 3 8 2 2 2" xfId="42729"/>
    <cellStyle name="Normal 14 2 3 3 8 2 3" xfId="10482"/>
    <cellStyle name="Normal 14 2 3 3 8 2 3 2" xfId="33069"/>
    <cellStyle name="Normal 14 2 3 3 8 2 4" xfId="26629"/>
    <cellStyle name="Normal 14 2 3 3 8 3" xfId="16922"/>
    <cellStyle name="Normal 14 2 3 3 8 3 2" xfId="39509"/>
    <cellStyle name="Normal 14 2 3 3 8 4" xfId="13702"/>
    <cellStyle name="Normal 14 2 3 3 8 4 2" xfId="36289"/>
    <cellStyle name="Normal 14 2 3 3 8 5" xfId="7262"/>
    <cellStyle name="Normal 14 2 3 3 8 5 2" xfId="29849"/>
    <cellStyle name="Normal 14 2 3 3 8 6" xfId="23409"/>
    <cellStyle name="Normal 14 2 3 3 9" xfId="3665"/>
    <cellStyle name="Normal 14 2 3 3 9 2" xfId="19765"/>
    <cellStyle name="Normal 14 2 3 3 9 2 2" xfId="42352"/>
    <cellStyle name="Normal 14 2 3 3 9 3" xfId="10105"/>
    <cellStyle name="Normal 14 2 3 3 9 3 2" xfId="32692"/>
    <cellStyle name="Normal 14 2 3 3 9 4" xfId="26252"/>
    <cellStyle name="Normal 14 2 3 4" xfId="877"/>
    <cellStyle name="Normal 14 2 3 4 2" xfId="2196"/>
    <cellStyle name="Normal 14 2 3 4 2 2" xfId="5417"/>
    <cellStyle name="Normal 14 2 3 4 2 2 2" xfId="21517"/>
    <cellStyle name="Normal 14 2 3 4 2 2 2 2" xfId="44104"/>
    <cellStyle name="Normal 14 2 3 4 2 2 3" xfId="11857"/>
    <cellStyle name="Normal 14 2 3 4 2 2 3 2" xfId="34444"/>
    <cellStyle name="Normal 14 2 3 4 2 2 4" xfId="28004"/>
    <cellStyle name="Normal 14 2 3 4 2 3" xfId="18297"/>
    <cellStyle name="Normal 14 2 3 4 2 3 2" xfId="40884"/>
    <cellStyle name="Normal 14 2 3 4 2 4" xfId="15077"/>
    <cellStyle name="Normal 14 2 3 4 2 4 2" xfId="37664"/>
    <cellStyle name="Normal 14 2 3 4 2 5" xfId="8637"/>
    <cellStyle name="Normal 14 2 3 4 2 5 2" xfId="31224"/>
    <cellStyle name="Normal 14 2 3 4 2 6" xfId="24784"/>
    <cellStyle name="Normal 14 2 3 4 3" xfId="4109"/>
    <cellStyle name="Normal 14 2 3 4 3 2" xfId="20209"/>
    <cellStyle name="Normal 14 2 3 4 3 2 2" xfId="42796"/>
    <cellStyle name="Normal 14 2 3 4 3 3" xfId="10549"/>
    <cellStyle name="Normal 14 2 3 4 3 3 2" xfId="33136"/>
    <cellStyle name="Normal 14 2 3 4 3 4" xfId="26696"/>
    <cellStyle name="Normal 14 2 3 4 4" xfId="16989"/>
    <cellStyle name="Normal 14 2 3 4 4 2" xfId="39576"/>
    <cellStyle name="Normal 14 2 3 4 5" xfId="13769"/>
    <cellStyle name="Normal 14 2 3 4 5 2" xfId="36356"/>
    <cellStyle name="Normal 14 2 3 4 6" xfId="7329"/>
    <cellStyle name="Normal 14 2 3 4 6 2" xfId="29916"/>
    <cellStyle name="Normal 14 2 3 4 7" xfId="23476"/>
    <cellStyle name="Normal 14 2 3 5" xfId="1229"/>
    <cellStyle name="Normal 14 2 3 5 2" xfId="2543"/>
    <cellStyle name="Normal 14 2 3 5 2 2" xfId="5764"/>
    <cellStyle name="Normal 14 2 3 5 2 2 2" xfId="21864"/>
    <cellStyle name="Normal 14 2 3 5 2 2 2 2" xfId="44451"/>
    <cellStyle name="Normal 14 2 3 5 2 2 3" xfId="12204"/>
    <cellStyle name="Normal 14 2 3 5 2 2 3 2" xfId="34791"/>
    <cellStyle name="Normal 14 2 3 5 2 2 4" xfId="28351"/>
    <cellStyle name="Normal 14 2 3 5 2 3" xfId="18644"/>
    <cellStyle name="Normal 14 2 3 5 2 3 2" xfId="41231"/>
    <cellStyle name="Normal 14 2 3 5 2 4" xfId="15424"/>
    <cellStyle name="Normal 14 2 3 5 2 4 2" xfId="38011"/>
    <cellStyle name="Normal 14 2 3 5 2 5" xfId="8984"/>
    <cellStyle name="Normal 14 2 3 5 2 5 2" xfId="31571"/>
    <cellStyle name="Normal 14 2 3 5 2 6" xfId="25131"/>
    <cellStyle name="Normal 14 2 3 5 3" xfId="4456"/>
    <cellStyle name="Normal 14 2 3 5 3 2" xfId="20556"/>
    <cellStyle name="Normal 14 2 3 5 3 2 2" xfId="43143"/>
    <cellStyle name="Normal 14 2 3 5 3 3" xfId="10896"/>
    <cellStyle name="Normal 14 2 3 5 3 3 2" xfId="33483"/>
    <cellStyle name="Normal 14 2 3 5 3 4" xfId="27043"/>
    <cellStyle name="Normal 14 2 3 5 4" xfId="17336"/>
    <cellStyle name="Normal 14 2 3 5 4 2" xfId="39923"/>
    <cellStyle name="Normal 14 2 3 5 5" xfId="14116"/>
    <cellStyle name="Normal 14 2 3 5 5 2" xfId="36703"/>
    <cellStyle name="Normal 14 2 3 5 6" xfId="7676"/>
    <cellStyle name="Normal 14 2 3 5 6 2" xfId="30263"/>
    <cellStyle name="Normal 14 2 3 5 7" xfId="23823"/>
    <cellStyle name="Normal 14 2 3 6" xfId="1578"/>
    <cellStyle name="Normal 14 2 3 6 2" xfId="4804"/>
    <cellStyle name="Normal 14 2 3 6 2 2" xfId="20904"/>
    <cellStyle name="Normal 14 2 3 6 2 2 2" xfId="43491"/>
    <cellStyle name="Normal 14 2 3 6 2 3" xfId="11244"/>
    <cellStyle name="Normal 14 2 3 6 2 3 2" xfId="33831"/>
    <cellStyle name="Normal 14 2 3 6 2 4" xfId="27391"/>
    <cellStyle name="Normal 14 2 3 6 3" xfId="17684"/>
    <cellStyle name="Normal 14 2 3 6 3 2" xfId="40271"/>
    <cellStyle name="Normal 14 2 3 6 4" xfId="14464"/>
    <cellStyle name="Normal 14 2 3 6 4 2" xfId="37051"/>
    <cellStyle name="Normal 14 2 3 6 5" xfId="8024"/>
    <cellStyle name="Normal 14 2 3 6 5 2" xfId="30611"/>
    <cellStyle name="Normal 14 2 3 6 6" xfId="24171"/>
    <cellStyle name="Normal 14 2 3 7" xfId="1848"/>
    <cellStyle name="Normal 14 2 3 7 2" xfId="5070"/>
    <cellStyle name="Normal 14 2 3 7 2 2" xfId="21170"/>
    <cellStyle name="Normal 14 2 3 7 2 2 2" xfId="43757"/>
    <cellStyle name="Normal 14 2 3 7 2 3" xfId="11510"/>
    <cellStyle name="Normal 14 2 3 7 2 3 2" xfId="34097"/>
    <cellStyle name="Normal 14 2 3 7 2 4" xfId="27657"/>
    <cellStyle name="Normal 14 2 3 7 3" xfId="17950"/>
    <cellStyle name="Normal 14 2 3 7 3 2" xfId="40537"/>
    <cellStyle name="Normal 14 2 3 7 4" xfId="14730"/>
    <cellStyle name="Normal 14 2 3 7 4 2" xfId="37317"/>
    <cellStyle name="Normal 14 2 3 7 5" xfId="8290"/>
    <cellStyle name="Normal 14 2 3 7 5 2" xfId="30877"/>
    <cellStyle name="Normal 14 2 3 7 6" xfId="24437"/>
    <cellStyle name="Normal 14 2 3 8" xfId="2891"/>
    <cellStyle name="Normal 14 2 3 8 2" xfId="6112"/>
    <cellStyle name="Normal 14 2 3 8 2 2" xfId="22212"/>
    <cellStyle name="Normal 14 2 3 8 2 2 2" xfId="44799"/>
    <cellStyle name="Normal 14 2 3 8 2 3" xfId="12552"/>
    <cellStyle name="Normal 14 2 3 8 2 3 2" xfId="35139"/>
    <cellStyle name="Normal 14 2 3 8 2 4" xfId="28699"/>
    <cellStyle name="Normal 14 2 3 8 3" xfId="18992"/>
    <cellStyle name="Normal 14 2 3 8 3 2" xfId="41579"/>
    <cellStyle name="Normal 14 2 3 8 4" xfId="15772"/>
    <cellStyle name="Normal 14 2 3 8 4 2" xfId="38359"/>
    <cellStyle name="Normal 14 2 3 8 5" xfId="9332"/>
    <cellStyle name="Normal 14 2 3 8 5 2" xfId="31919"/>
    <cellStyle name="Normal 14 2 3 8 6" xfId="25479"/>
    <cellStyle name="Normal 14 2 3 9" xfId="3182"/>
    <cellStyle name="Normal 14 2 3 9 2" xfId="6402"/>
    <cellStyle name="Normal 14 2 3 9 2 2" xfId="22502"/>
    <cellStyle name="Normal 14 2 3 9 2 2 2" xfId="45089"/>
    <cellStyle name="Normal 14 2 3 9 2 3" xfId="12842"/>
    <cellStyle name="Normal 14 2 3 9 2 3 2" xfId="35429"/>
    <cellStyle name="Normal 14 2 3 9 2 4" xfId="28989"/>
    <cellStyle name="Normal 14 2 3 9 3" xfId="19282"/>
    <cellStyle name="Normal 14 2 3 9 3 2" xfId="41869"/>
    <cellStyle name="Normal 14 2 3 9 4" xfId="16062"/>
    <cellStyle name="Normal 14 2 3 9 4 2" xfId="38649"/>
    <cellStyle name="Normal 14 2 3 9 5" xfId="9622"/>
    <cellStyle name="Normal 14 2 3 9 5 2" xfId="32209"/>
    <cellStyle name="Normal 14 2 3 9 6" xfId="25769"/>
    <cellStyle name="Normal 14 2 4" xfId="228"/>
    <cellStyle name="Normal 14 2 4 10" xfId="515"/>
    <cellStyle name="Normal 14 2 4 10 2" xfId="3802"/>
    <cellStyle name="Normal 14 2 4 10 2 2" xfId="19902"/>
    <cellStyle name="Normal 14 2 4 10 2 2 2" xfId="42489"/>
    <cellStyle name="Normal 14 2 4 10 2 3" xfId="10242"/>
    <cellStyle name="Normal 14 2 4 10 2 3 2" xfId="32829"/>
    <cellStyle name="Normal 14 2 4 10 2 4" xfId="26389"/>
    <cellStyle name="Normal 14 2 4 10 3" xfId="16682"/>
    <cellStyle name="Normal 14 2 4 10 3 2" xfId="39269"/>
    <cellStyle name="Normal 14 2 4 10 4" xfId="13462"/>
    <cellStyle name="Normal 14 2 4 10 4 2" xfId="36049"/>
    <cellStyle name="Normal 14 2 4 10 5" xfId="7022"/>
    <cellStyle name="Normal 14 2 4 10 5 2" xfId="29609"/>
    <cellStyle name="Normal 14 2 4 10 6" xfId="23169"/>
    <cellStyle name="Normal 14 2 4 11" xfId="3516"/>
    <cellStyle name="Normal 14 2 4 11 2" xfId="19616"/>
    <cellStyle name="Normal 14 2 4 11 2 2" xfId="42203"/>
    <cellStyle name="Normal 14 2 4 11 3" xfId="9956"/>
    <cellStyle name="Normal 14 2 4 11 3 2" xfId="32543"/>
    <cellStyle name="Normal 14 2 4 11 4" xfId="26103"/>
    <cellStyle name="Normal 14 2 4 12" xfId="16396"/>
    <cellStyle name="Normal 14 2 4 12 2" xfId="38983"/>
    <cellStyle name="Normal 14 2 4 13" xfId="13176"/>
    <cellStyle name="Normal 14 2 4 13 2" xfId="35763"/>
    <cellStyle name="Normal 14 2 4 14" xfId="6736"/>
    <cellStyle name="Normal 14 2 4 14 2" xfId="29323"/>
    <cellStyle name="Normal 14 2 4 15" xfId="22883"/>
    <cellStyle name="Normal 14 2 4 2" xfId="326"/>
    <cellStyle name="Normal 14 2 4 2 10" xfId="16493"/>
    <cellStyle name="Normal 14 2 4 2 10 2" xfId="39080"/>
    <cellStyle name="Normal 14 2 4 2 11" xfId="13273"/>
    <cellStyle name="Normal 14 2 4 2 11 2" xfId="35860"/>
    <cellStyle name="Normal 14 2 4 2 12" xfId="6833"/>
    <cellStyle name="Normal 14 2 4 2 12 2" xfId="29420"/>
    <cellStyle name="Normal 14 2 4 2 13" xfId="22980"/>
    <cellStyle name="Normal 14 2 4 2 2" xfId="1038"/>
    <cellStyle name="Normal 14 2 4 2 2 2" xfId="2352"/>
    <cellStyle name="Normal 14 2 4 2 2 2 2" xfId="5573"/>
    <cellStyle name="Normal 14 2 4 2 2 2 2 2" xfId="21673"/>
    <cellStyle name="Normal 14 2 4 2 2 2 2 2 2" xfId="44260"/>
    <cellStyle name="Normal 14 2 4 2 2 2 2 3" xfId="12013"/>
    <cellStyle name="Normal 14 2 4 2 2 2 2 3 2" xfId="34600"/>
    <cellStyle name="Normal 14 2 4 2 2 2 2 4" xfId="28160"/>
    <cellStyle name="Normal 14 2 4 2 2 2 3" xfId="18453"/>
    <cellStyle name="Normal 14 2 4 2 2 2 3 2" xfId="41040"/>
    <cellStyle name="Normal 14 2 4 2 2 2 4" xfId="15233"/>
    <cellStyle name="Normal 14 2 4 2 2 2 4 2" xfId="37820"/>
    <cellStyle name="Normal 14 2 4 2 2 2 5" xfId="8793"/>
    <cellStyle name="Normal 14 2 4 2 2 2 5 2" xfId="31380"/>
    <cellStyle name="Normal 14 2 4 2 2 2 6" xfId="24940"/>
    <cellStyle name="Normal 14 2 4 2 2 3" xfId="4265"/>
    <cellStyle name="Normal 14 2 4 2 2 3 2" xfId="20365"/>
    <cellStyle name="Normal 14 2 4 2 2 3 2 2" xfId="42952"/>
    <cellStyle name="Normal 14 2 4 2 2 3 3" xfId="10705"/>
    <cellStyle name="Normal 14 2 4 2 2 3 3 2" xfId="33292"/>
    <cellStyle name="Normal 14 2 4 2 2 3 4" xfId="26852"/>
    <cellStyle name="Normal 14 2 4 2 2 4" xfId="17145"/>
    <cellStyle name="Normal 14 2 4 2 2 4 2" xfId="39732"/>
    <cellStyle name="Normal 14 2 4 2 2 5" xfId="13925"/>
    <cellStyle name="Normal 14 2 4 2 2 5 2" xfId="36512"/>
    <cellStyle name="Normal 14 2 4 2 2 6" xfId="7485"/>
    <cellStyle name="Normal 14 2 4 2 2 6 2" xfId="30072"/>
    <cellStyle name="Normal 14 2 4 2 2 7" xfId="23632"/>
    <cellStyle name="Normal 14 2 4 2 3" xfId="1385"/>
    <cellStyle name="Normal 14 2 4 2 3 2" xfId="2699"/>
    <cellStyle name="Normal 14 2 4 2 3 2 2" xfId="5920"/>
    <cellStyle name="Normal 14 2 4 2 3 2 2 2" xfId="22020"/>
    <cellStyle name="Normal 14 2 4 2 3 2 2 2 2" xfId="44607"/>
    <cellStyle name="Normal 14 2 4 2 3 2 2 3" xfId="12360"/>
    <cellStyle name="Normal 14 2 4 2 3 2 2 3 2" xfId="34947"/>
    <cellStyle name="Normal 14 2 4 2 3 2 2 4" xfId="28507"/>
    <cellStyle name="Normal 14 2 4 2 3 2 3" xfId="18800"/>
    <cellStyle name="Normal 14 2 4 2 3 2 3 2" xfId="41387"/>
    <cellStyle name="Normal 14 2 4 2 3 2 4" xfId="15580"/>
    <cellStyle name="Normal 14 2 4 2 3 2 4 2" xfId="38167"/>
    <cellStyle name="Normal 14 2 4 2 3 2 5" xfId="9140"/>
    <cellStyle name="Normal 14 2 4 2 3 2 5 2" xfId="31727"/>
    <cellStyle name="Normal 14 2 4 2 3 2 6" xfId="25287"/>
    <cellStyle name="Normal 14 2 4 2 3 3" xfId="4612"/>
    <cellStyle name="Normal 14 2 4 2 3 3 2" xfId="20712"/>
    <cellStyle name="Normal 14 2 4 2 3 3 2 2" xfId="43299"/>
    <cellStyle name="Normal 14 2 4 2 3 3 3" xfId="11052"/>
    <cellStyle name="Normal 14 2 4 2 3 3 3 2" xfId="33639"/>
    <cellStyle name="Normal 14 2 4 2 3 3 4" xfId="27199"/>
    <cellStyle name="Normal 14 2 4 2 3 4" xfId="17492"/>
    <cellStyle name="Normal 14 2 4 2 3 4 2" xfId="40079"/>
    <cellStyle name="Normal 14 2 4 2 3 5" xfId="14272"/>
    <cellStyle name="Normal 14 2 4 2 3 5 2" xfId="36859"/>
    <cellStyle name="Normal 14 2 4 2 3 6" xfId="7832"/>
    <cellStyle name="Normal 14 2 4 2 3 6 2" xfId="30419"/>
    <cellStyle name="Normal 14 2 4 2 3 7" xfId="23979"/>
    <cellStyle name="Normal 14 2 4 2 4" xfId="1579"/>
    <cellStyle name="Normal 14 2 4 2 4 2" xfId="4805"/>
    <cellStyle name="Normal 14 2 4 2 4 2 2" xfId="20905"/>
    <cellStyle name="Normal 14 2 4 2 4 2 2 2" xfId="43492"/>
    <cellStyle name="Normal 14 2 4 2 4 2 3" xfId="11245"/>
    <cellStyle name="Normal 14 2 4 2 4 2 3 2" xfId="33832"/>
    <cellStyle name="Normal 14 2 4 2 4 2 4" xfId="27392"/>
    <cellStyle name="Normal 14 2 4 2 4 3" xfId="17685"/>
    <cellStyle name="Normal 14 2 4 2 4 3 2" xfId="40272"/>
    <cellStyle name="Normal 14 2 4 2 4 4" xfId="14465"/>
    <cellStyle name="Normal 14 2 4 2 4 4 2" xfId="37052"/>
    <cellStyle name="Normal 14 2 4 2 4 5" xfId="8025"/>
    <cellStyle name="Normal 14 2 4 2 4 5 2" xfId="30612"/>
    <cellStyle name="Normal 14 2 4 2 4 6" xfId="24172"/>
    <cellStyle name="Normal 14 2 4 2 5" xfId="2004"/>
    <cellStyle name="Normal 14 2 4 2 5 2" xfId="5226"/>
    <cellStyle name="Normal 14 2 4 2 5 2 2" xfId="21326"/>
    <cellStyle name="Normal 14 2 4 2 5 2 2 2" xfId="43913"/>
    <cellStyle name="Normal 14 2 4 2 5 2 3" xfId="11666"/>
    <cellStyle name="Normal 14 2 4 2 5 2 3 2" xfId="34253"/>
    <cellStyle name="Normal 14 2 4 2 5 2 4" xfId="27813"/>
    <cellStyle name="Normal 14 2 4 2 5 3" xfId="18106"/>
    <cellStyle name="Normal 14 2 4 2 5 3 2" xfId="40693"/>
    <cellStyle name="Normal 14 2 4 2 5 4" xfId="14886"/>
    <cellStyle name="Normal 14 2 4 2 5 4 2" xfId="37473"/>
    <cellStyle name="Normal 14 2 4 2 5 5" xfId="8446"/>
    <cellStyle name="Normal 14 2 4 2 5 5 2" xfId="31033"/>
    <cellStyle name="Normal 14 2 4 2 5 6" xfId="24593"/>
    <cellStyle name="Normal 14 2 4 2 6" xfId="3033"/>
    <cellStyle name="Normal 14 2 4 2 6 2" xfId="6253"/>
    <cellStyle name="Normal 14 2 4 2 6 2 2" xfId="22353"/>
    <cellStyle name="Normal 14 2 4 2 6 2 2 2" xfId="44940"/>
    <cellStyle name="Normal 14 2 4 2 6 2 3" xfId="12693"/>
    <cellStyle name="Normal 14 2 4 2 6 2 3 2" xfId="35280"/>
    <cellStyle name="Normal 14 2 4 2 6 2 4" xfId="28840"/>
    <cellStyle name="Normal 14 2 4 2 6 3" xfId="19133"/>
    <cellStyle name="Normal 14 2 4 2 6 3 2" xfId="41720"/>
    <cellStyle name="Normal 14 2 4 2 6 4" xfId="15913"/>
    <cellStyle name="Normal 14 2 4 2 6 4 2" xfId="38500"/>
    <cellStyle name="Normal 14 2 4 2 6 5" xfId="9473"/>
    <cellStyle name="Normal 14 2 4 2 6 5 2" xfId="32060"/>
    <cellStyle name="Normal 14 2 4 2 6 6" xfId="25620"/>
    <cellStyle name="Normal 14 2 4 2 7" xfId="3323"/>
    <cellStyle name="Normal 14 2 4 2 7 2" xfId="6543"/>
    <cellStyle name="Normal 14 2 4 2 7 2 2" xfId="22643"/>
    <cellStyle name="Normal 14 2 4 2 7 2 2 2" xfId="45230"/>
    <cellStyle name="Normal 14 2 4 2 7 2 3" xfId="12983"/>
    <cellStyle name="Normal 14 2 4 2 7 2 3 2" xfId="35570"/>
    <cellStyle name="Normal 14 2 4 2 7 2 4" xfId="29130"/>
    <cellStyle name="Normal 14 2 4 2 7 3" xfId="19423"/>
    <cellStyle name="Normal 14 2 4 2 7 3 2" xfId="42010"/>
    <cellStyle name="Normal 14 2 4 2 7 4" xfId="16203"/>
    <cellStyle name="Normal 14 2 4 2 7 4 2" xfId="38790"/>
    <cellStyle name="Normal 14 2 4 2 7 5" xfId="9763"/>
    <cellStyle name="Normal 14 2 4 2 7 5 2" xfId="32350"/>
    <cellStyle name="Normal 14 2 4 2 7 6" xfId="25910"/>
    <cellStyle name="Normal 14 2 4 2 8" xfId="674"/>
    <cellStyle name="Normal 14 2 4 2 8 2" xfId="3918"/>
    <cellStyle name="Normal 14 2 4 2 8 2 2" xfId="20018"/>
    <cellStyle name="Normal 14 2 4 2 8 2 2 2" xfId="42605"/>
    <cellStyle name="Normal 14 2 4 2 8 2 3" xfId="10358"/>
    <cellStyle name="Normal 14 2 4 2 8 2 3 2" xfId="32945"/>
    <cellStyle name="Normal 14 2 4 2 8 2 4" xfId="26505"/>
    <cellStyle name="Normal 14 2 4 2 8 3" xfId="16798"/>
    <cellStyle name="Normal 14 2 4 2 8 3 2" xfId="39385"/>
    <cellStyle name="Normal 14 2 4 2 8 4" xfId="13578"/>
    <cellStyle name="Normal 14 2 4 2 8 4 2" xfId="36165"/>
    <cellStyle name="Normal 14 2 4 2 8 5" xfId="7138"/>
    <cellStyle name="Normal 14 2 4 2 8 5 2" xfId="29725"/>
    <cellStyle name="Normal 14 2 4 2 8 6" xfId="23285"/>
    <cellStyle name="Normal 14 2 4 2 9" xfId="3613"/>
    <cellStyle name="Normal 14 2 4 2 9 2" xfId="19713"/>
    <cellStyle name="Normal 14 2 4 2 9 2 2" xfId="42300"/>
    <cellStyle name="Normal 14 2 4 2 9 3" xfId="10053"/>
    <cellStyle name="Normal 14 2 4 2 9 3 2" xfId="32640"/>
    <cellStyle name="Normal 14 2 4 2 9 4" xfId="26200"/>
    <cellStyle name="Normal 14 2 4 3" xfId="422"/>
    <cellStyle name="Normal 14 2 4 3 10" xfId="16589"/>
    <cellStyle name="Normal 14 2 4 3 10 2" xfId="39176"/>
    <cellStyle name="Normal 14 2 4 3 11" xfId="13369"/>
    <cellStyle name="Normal 14 2 4 3 11 2" xfId="35956"/>
    <cellStyle name="Normal 14 2 4 3 12" xfId="6929"/>
    <cellStyle name="Normal 14 2 4 3 12 2" xfId="29516"/>
    <cellStyle name="Normal 14 2 4 3 13" xfId="23076"/>
    <cellStyle name="Normal 14 2 4 3 2" xfId="1122"/>
    <cellStyle name="Normal 14 2 4 3 2 2" xfId="2436"/>
    <cellStyle name="Normal 14 2 4 3 2 2 2" xfId="5657"/>
    <cellStyle name="Normal 14 2 4 3 2 2 2 2" xfId="21757"/>
    <cellStyle name="Normal 14 2 4 3 2 2 2 2 2" xfId="44344"/>
    <cellStyle name="Normal 14 2 4 3 2 2 2 3" xfId="12097"/>
    <cellStyle name="Normal 14 2 4 3 2 2 2 3 2" xfId="34684"/>
    <cellStyle name="Normal 14 2 4 3 2 2 2 4" xfId="28244"/>
    <cellStyle name="Normal 14 2 4 3 2 2 3" xfId="18537"/>
    <cellStyle name="Normal 14 2 4 3 2 2 3 2" xfId="41124"/>
    <cellStyle name="Normal 14 2 4 3 2 2 4" xfId="15317"/>
    <cellStyle name="Normal 14 2 4 3 2 2 4 2" xfId="37904"/>
    <cellStyle name="Normal 14 2 4 3 2 2 5" xfId="8877"/>
    <cellStyle name="Normal 14 2 4 3 2 2 5 2" xfId="31464"/>
    <cellStyle name="Normal 14 2 4 3 2 2 6" xfId="25024"/>
    <cellStyle name="Normal 14 2 4 3 2 3" xfId="4349"/>
    <cellStyle name="Normal 14 2 4 3 2 3 2" xfId="20449"/>
    <cellStyle name="Normal 14 2 4 3 2 3 2 2" xfId="43036"/>
    <cellStyle name="Normal 14 2 4 3 2 3 3" xfId="10789"/>
    <cellStyle name="Normal 14 2 4 3 2 3 3 2" xfId="33376"/>
    <cellStyle name="Normal 14 2 4 3 2 3 4" xfId="26936"/>
    <cellStyle name="Normal 14 2 4 3 2 4" xfId="17229"/>
    <cellStyle name="Normal 14 2 4 3 2 4 2" xfId="39816"/>
    <cellStyle name="Normal 14 2 4 3 2 5" xfId="14009"/>
    <cellStyle name="Normal 14 2 4 3 2 5 2" xfId="36596"/>
    <cellStyle name="Normal 14 2 4 3 2 6" xfId="7569"/>
    <cellStyle name="Normal 14 2 4 3 2 6 2" xfId="30156"/>
    <cellStyle name="Normal 14 2 4 3 2 7" xfId="23716"/>
    <cellStyle name="Normal 14 2 4 3 3" xfId="1469"/>
    <cellStyle name="Normal 14 2 4 3 3 2" xfId="2783"/>
    <cellStyle name="Normal 14 2 4 3 3 2 2" xfId="6004"/>
    <cellStyle name="Normal 14 2 4 3 3 2 2 2" xfId="22104"/>
    <cellStyle name="Normal 14 2 4 3 3 2 2 2 2" xfId="44691"/>
    <cellStyle name="Normal 14 2 4 3 3 2 2 3" xfId="12444"/>
    <cellStyle name="Normal 14 2 4 3 3 2 2 3 2" xfId="35031"/>
    <cellStyle name="Normal 14 2 4 3 3 2 2 4" xfId="28591"/>
    <cellStyle name="Normal 14 2 4 3 3 2 3" xfId="18884"/>
    <cellStyle name="Normal 14 2 4 3 3 2 3 2" xfId="41471"/>
    <cellStyle name="Normal 14 2 4 3 3 2 4" xfId="15664"/>
    <cellStyle name="Normal 14 2 4 3 3 2 4 2" xfId="38251"/>
    <cellStyle name="Normal 14 2 4 3 3 2 5" xfId="9224"/>
    <cellStyle name="Normal 14 2 4 3 3 2 5 2" xfId="31811"/>
    <cellStyle name="Normal 14 2 4 3 3 2 6" xfId="25371"/>
    <cellStyle name="Normal 14 2 4 3 3 3" xfId="4696"/>
    <cellStyle name="Normal 14 2 4 3 3 3 2" xfId="20796"/>
    <cellStyle name="Normal 14 2 4 3 3 3 2 2" xfId="43383"/>
    <cellStyle name="Normal 14 2 4 3 3 3 3" xfId="11136"/>
    <cellStyle name="Normal 14 2 4 3 3 3 3 2" xfId="33723"/>
    <cellStyle name="Normal 14 2 4 3 3 3 4" xfId="27283"/>
    <cellStyle name="Normal 14 2 4 3 3 4" xfId="17576"/>
    <cellStyle name="Normal 14 2 4 3 3 4 2" xfId="40163"/>
    <cellStyle name="Normal 14 2 4 3 3 5" xfId="14356"/>
    <cellStyle name="Normal 14 2 4 3 3 5 2" xfId="36943"/>
    <cellStyle name="Normal 14 2 4 3 3 6" xfId="7916"/>
    <cellStyle name="Normal 14 2 4 3 3 6 2" xfId="30503"/>
    <cellStyle name="Normal 14 2 4 3 3 7" xfId="24063"/>
    <cellStyle name="Normal 14 2 4 3 4" xfId="1580"/>
    <cellStyle name="Normal 14 2 4 3 4 2" xfId="4806"/>
    <cellStyle name="Normal 14 2 4 3 4 2 2" xfId="20906"/>
    <cellStyle name="Normal 14 2 4 3 4 2 2 2" xfId="43493"/>
    <cellStyle name="Normal 14 2 4 3 4 2 3" xfId="11246"/>
    <cellStyle name="Normal 14 2 4 3 4 2 3 2" xfId="33833"/>
    <cellStyle name="Normal 14 2 4 3 4 2 4" xfId="27393"/>
    <cellStyle name="Normal 14 2 4 3 4 3" xfId="17686"/>
    <cellStyle name="Normal 14 2 4 3 4 3 2" xfId="40273"/>
    <cellStyle name="Normal 14 2 4 3 4 4" xfId="14466"/>
    <cellStyle name="Normal 14 2 4 3 4 4 2" xfId="37053"/>
    <cellStyle name="Normal 14 2 4 3 4 5" xfId="8026"/>
    <cellStyle name="Normal 14 2 4 3 4 5 2" xfId="30613"/>
    <cellStyle name="Normal 14 2 4 3 4 6" xfId="24173"/>
    <cellStyle name="Normal 14 2 4 3 5" xfId="2089"/>
    <cellStyle name="Normal 14 2 4 3 5 2" xfId="5310"/>
    <cellStyle name="Normal 14 2 4 3 5 2 2" xfId="21410"/>
    <cellStyle name="Normal 14 2 4 3 5 2 2 2" xfId="43997"/>
    <cellStyle name="Normal 14 2 4 3 5 2 3" xfId="11750"/>
    <cellStyle name="Normal 14 2 4 3 5 2 3 2" xfId="34337"/>
    <cellStyle name="Normal 14 2 4 3 5 2 4" xfId="27897"/>
    <cellStyle name="Normal 14 2 4 3 5 3" xfId="18190"/>
    <cellStyle name="Normal 14 2 4 3 5 3 2" xfId="40777"/>
    <cellStyle name="Normal 14 2 4 3 5 4" xfId="14970"/>
    <cellStyle name="Normal 14 2 4 3 5 4 2" xfId="37557"/>
    <cellStyle name="Normal 14 2 4 3 5 5" xfId="8530"/>
    <cellStyle name="Normal 14 2 4 3 5 5 2" xfId="31117"/>
    <cellStyle name="Normal 14 2 4 3 5 6" xfId="24677"/>
    <cellStyle name="Normal 14 2 4 3 6" xfId="3129"/>
    <cellStyle name="Normal 14 2 4 3 6 2" xfId="6349"/>
    <cellStyle name="Normal 14 2 4 3 6 2 2" xfId="22449"/>
    <cellStyle name="Normal 14 2 4 3 6 2 2 2" xfId="45036"/>
    <cellStyle name="Normal 14 2 4 3 6 2 3" xfId="12789"/>
    <cellStyle name="Normal 14 2 4 3 6 2 3 2" xfId="35376"/>
    <cellStyle name="Normal 14 2 4 3 6 2 4" xfId="28936"/>
    <cellStyle name="Normal 14 2 4 3 6 3" xfId="19229"/>
    <cellStyle name="Normal 14 2 4 3 6 3 2" xfId="41816"/>
    <cellStyle name="Normal 14 2 4 3 6 4" xfId="16009"/>
    <cellStyle name="Normal 14 2 4 3 6 4 2" xfId="38596"/>
    <cellStyle name="Normal 14 2 4 3 6 5" xfId="9569"/>
    <cellStyle name="Normal 14 2 4 3 6 5 2" xfId="32156"/>
    <cellStyle name="Normal 14 2 4 3 6 6" xfId="25716"/>
    <cellStyle name="Normal 14 2 4 3 7" xfId="3419"/>
    <cellStyle name="Normal 14 2 4 3 7 2" xfId="6639"/>
    <cellStyle name="Normal 14 2 4 3 7 2 2" xfId="22739"/>
    <cellStyle name="Normal 14 2 4 3 7 2 2 2" xfId="45326"/>
    <cellStyle name="Normal 14 2 4 3 7 2 3" xfId="13079"/>
    <cellStyle name="Normal 14 2 4 3 7 2 3 2" xfId="35666"/>
    <cellStyle name="Normal 14 2 4 3 7 2 4" xfId="29226"/>
    <cellStyle name="Normal 14 2 4 3 7 3" xfId="19519"/>
    <cellStyle name="Normal 14 2 4 3 7 3 2" xfId="42106"/>
    <cellStyle name="Normal 14 2 4 3 7 4" xfId="16299"/>
    <cellStyle name="Normal 14 2 4 3 7 4 2" xfId="38886"/>
    <cellStyle name="Normal 14 2 4 3 7 5" xfId="9859"/>
    <cellStyle name="Normal 14 2 4 3 7 5 2" xfId="32446"/>
    <cellStyle name="Normal 14 2 4 3 7 6" xfId="26006"/>
    <cellStyle name="Normal 14 2 4 3 8" xfId="770"/>
    <cellStyle name="Normal 14 2 4 3 8 2" xfId="4002"/>
    <cellStyle name="Normal 14 2 4 3 8 2 2" xfId="20102"/>
    <cellStyle name="Normal 14 2 4 3 8 2 2 2" xfId="42689"/>
    <cellStyle name="Normal 14 2 4 3 8 2 3" xfId="10442"/>
    <cellStyle name="Normal 14 2 4 3 8 2 3 2" xfId="33029"/>
    <cellStyle name="Normal 14 2 4 3 8 2 4" xfId="26589"/>
    <cellStyle name="Normal 14 2 4 3 8 3" xfId="16882"/>
    <cellStyle name="Normal 14 2 4 3 8 3 2" xfId="39469"/>
    <cellStyle name="Normal 14 2 4 3 8 4" xfId="13662"/>
    <cellStyle name="Normal 14 2 4 3 8 4 2" xfId="36249"/>
    <cellStyle name="Normal 14 2 4 3 8 5" xfId="7222"/>
    <cellStyle name="Normal 14 2 4 3 8 5 2" xfId="29809"/>
    <cellStyle name="Normal 14 2 4 3 8 6" xfId="23369"/>
    <cellStyle name="Normal 14 2 4 3 9" xfId="3709"/>
    <cellStyle name="Normal 14 2 4 3 9 2" xfId="19809"/>
    <cellStyle name="Normal 14 2 4 3 9 2 2" xfId="42396"/>
    <cellStyle name="Normal 14 2 4 3 9 3" xfId="10149"/>
    <cellStyle name="Normal 14 2 4 3 9 3 2" xfId="32736"/>
    <cellStyle name="Normal 14 2 4 3 9 4" xfId="26296"/>
    <cellStyle name="Normal 14 2 4 4" xfId="917"/>
    <cellStyle name="Normal 14 2 4 4 2" xfId="2236"/>
    <cellStyle name="Normal 14 2 4 4 2 2" xfId="5457"/>
    <cellStyle name="Normal 14 2 4 4 2 2 2" xfId="21557"/>
    <cellStyle name="Normal 14 2 4 4 2 2 2 2" xfId="44144"/>
    <cellStyle name="Normal 14 2 4 4 2 2 3" xfId="11897"/>
    <cellStyle name="Normal 14 2 4 4 2 2 3 2" xfId="34484"/>
    <cellStyle name="Normal 14 2 4 4 2 2 4" xfId="28044"/>
    <cellStyle name="Normal 14 2 4 4 2 3" xfId="18337"/>
    <cellStyle name="Normal 14 2 4 4 2 3 2" xfId="40924"/>
    <cellStyle name="Normal 14 2 4 4 2 4" xfId="15117"/>
    <cellStyle name="Normal 14 2 4 4 2 4 2" xfId="37704"/>
    <cellStyle name="Normal 14 2 4 4 2 5" xfId="8677"/>
    <cellStyle name="Normal 14 2 4 4 2 5 2" xfId="31264"/>
    <cellStyle name="Normal 14 2 4 4 2 6" xfId="24824"/>
    <cellStyle name="Normal 14 2 4 4 3" xfId="4149"/>
    <cellStyle name="Normal 14 2 4 4 3 2" xfId="20249"/>
    <cellStyle name="Normal 14 2 4 4 3 2 2" xfId="42836"/>
    <cellStyle name="Normal 14 2 4 4 3 3" xfId="10589"/>
    <cellStyle name="Normal 14 2 4 4 3 3 2" xfId="33176"/>
    <cellStyle name="Normal 14 2 4 4 3 4" xfId="26736"/>
    <cellStyle name="Normal 14 2 4 4 4" xfId="17029"/>
    <cellStyle name="Normal 14 2 4 4 4 2" xfId="39616"/>
    <cellStyle name="Normal 14 2 4 4 5" xfId="13809"/>
    <cellStyle name="Normal 14 2 4 4 5 2" xfId="36396"/>
    <cellStyle name="Normal 14 2 4 4 6" xfId="7369"/>
    <cellStyle name="Normal 14 2 4 4 6 2" xfId="29956"/>
    <cellStyle name="Normal 14 2 4 4 7" xfId="23516"/>
    <cellStyle name="Normal 14 2 4 5" xfId="1269"/>
    <cellStyle name="Normal 14 2 4 5 2" xfId="2583"/>
    <cellStyle name="Normal 14 2 4 5 2 2" xfId="5804"/>
    <cellStyle name="Normal 14 2 4 5 2 2 2" xfId="21904"/>
    <cellStyle name="Normal 14 2 4 5 2 2 2 2" xfId="44491"/>
    <cellStyle name="Normal 14 2 4 5 2 2 3" xfId="12244"/>
    <cellStyle name="Normal 14 2 4 5 2 2 3 2" xfId="34831"/>
    <cellStyle name="Normal 14 2 4 5 2 2 4" xfId="28391"/>
    <cellStyle name="Normal 14 2 4 5 2 3" xfId="18684"/>
    <cellStyle name="Normal 14 2 4 5 2 3 2" xfId="41271"/>
    <cellStyle name="Normal 14 2 4 5 2 4" xfId="15464"/>
    <cellStyle name="Normal 14 2 4 5 2 4 2" xfId="38051"/>
    <cellStyle name="Normal 14 2 4 5 2 5" xfId="9024"/>
    <cellStyle name="Normal 14 2 4 5 2 5 2" xfId="31611"/>
    <cellStyle name="Normal 14 2 4 5 2 6" xfId="25171"/>
    <cellStyle name="Normal 14 2 4 5 3" xfId="4496"/>
    <cellStyle name="Normal 14 2 4 5 3 2" xfId="20596"/>
    <cellStyle name="Normal 14 2 4 5 3 2 2" xfId="43183"/>
    <cellStyle name="Normal 14 2 4 5 3 3" xfId="10936"/>
    <cellStyle name="Normal 14 2 4 5 3 3 2" xfId="33523"/>
    <cellStyle name="Normal 14 2 4 5 3 4" xfId="27083"/>
    <cellStyle name="Normal 14 2 4 5 4" xfId="17376"/>
    <cellStyle name="Normal 14 2 4 5 4 2" xfId="39963"/>
    <cellStyle name="Normal 14 2 4 5 5" xfId="14156"/>
    <cellStyle name="Normal 14 2 4 5 5 2" xfId="36743"/>
    <cellStyle name="Normal 14 2 4 5 6" xfId="7716"/>
    <cellStyle name="Normal 14 2 4 5 6 2" xfId="30303"/>
    <cellStyle name="Normal 14 2 4 5 7" xfId="23863"/>
    <cellStyle name="Normal 14 2 4 6" xfId="1581"/>
    <cellStyle name="Normal 14 2 4 6 2" xfId="4807"/>
    <cellStyle name="Normal 14 2 4 6 2 2" xfId="20907"/>
    <cellStyle name="Normal 14 2 4 6 2 2 2" xfId="43494"/>
    <cellStyle name="Normal 14 2 4 6 2 3" xfId="11247"/>
    <cellStyle name="Normal 14 2 4 6 2 3 2" xfId="33834"/>
    <cellStyle name="Normal 14 2 4 6 2 4" xfId="27394"/>
    <cellStyle name="Normal 14 2 4 6 3" xfId="17687"/>
    <cellStyle name="Normal 14 2 4 6 3 2" xfId="40274"/>
    <cellStyle name="Normal 14 2 4 6 4" xfId="14467"/>
    <cellStyle name="Normal 14 2 4 6 4 2" xfId="37054"/>
    <cellStyle name="Normal 14 2 4 6 5" xfId="8027"/>
    <cellStyle name="Normal 14 2 4 6 5 2" xfId="30614"/>
    <cellStyle name="Normal 14 2 4 6 6" xfId="24174"/>
    <cellStyle name="Normal 14 2 4 7" xfId="1888"/>
    <cellStyle name="Normal 14 2 4 7 2" xfId="5110"/>
    <cellStyle name="Normal 14 2 4 7 2 2" xfId="21210"/>
    <cellStyle name="Normal 14 2 4 7 2 2 2" xfId="43797"/>
    <cellStyle name="Normal 14 2 4 7 2 3" xfId="11550"/>
    <cellStyle name="Normal 14 2 4 7 2 3 2" xfId="34137"/>
    <cellStyle name="Normal 14 2 4 7 2 4" xfId="27697"/>
    <cellStyle name="Normal 14 2 4 7 3" xfId="17990"/>
    <cellStyle name="Normal 14 2 4 7 3 2" xfId="40577"/>
    <cellStyle name="Normal 14 2 4 7 4" xfId="14770"/>
    <cellStyle name="Normal 14 2 4 7 4 2" xfId="37357"/>
    <cellStyle name="Normal 14 2 4 7 5" xfId="8330"/>
    <cellStyle name="Normal 14 2 4 7 5 2" xfId="30917"/>
    <cellStyle name="Normal 14 2 4 7 6" xfId="24477"/>
    <cellStyle name="Normal 14 2 4 8" xfId="2935"/>
    <cellStyle name="Normal 14 2 4 8 2" xfId="6156"/>
    <cellStyle name="Normal 14 2 4 8 2 2" xfId="22256"/>
    <cellStyle name="Normal 14 2 4 8 2 2 2" xfId="44843"/>
    <cellStyle name="Normal 14 2 4 8 2 3" xfId="12596"/>
    <cellStyle name="Normal 14 2 4 8 2 3 2" xfId="35183"/>
    <cellStyle name="Normal 14 2 4 8 2 4" xfId="28743"/>
    <cellStyle name="Normal 14 2 4 8 3" xfId="19036"/>
    <cellStyle name="Normal 14 2 4 8 3 2" xfId="41623"/>
    <cellStyle name="Normal 14 2 4 8 4" xfId="15816"/>
    <cellStyle name="Normal 14 2 4 8 4 2" xfId="38403"/>
    <cellStyle name="Normal 14 2 4 8 5" xfId="9376"/>
    <cellStyle name="Normal 14 2 4 8 5 2" xfId="31963"/>
    <cellStyle name="Normal 14 2 4 8 6" xfId="25523"/>
    <cellStyle name="Normal 14 2 4 9" xfId="3226"/>
    <cellStyle name="Normal 14 2 4 9 2" xfId="6446"/>
    <cellStyle name="Normal 14 2 4 9 2 2" xfId="22546"/>
    <cellStyle name="Normal 14 2 4 9 2 2 2" xfId="45133"/>
    <cellStyle name="Normal 14 2 4 9 2 3" xfId="12886"/>
    <cellStyle name="Normal 14 2 4 9 2 3 2" xfId="35473"/>
    <cellStyle name="Normal 14 2 4 9 2 4" xfId="29033"/>
    <cellStyle name="Normal 14 2 4 9 3" xfId="19326"/>
    <cellStyle name="Normal 14 2 4 9 3 2" xfId="41913"/>
    <cellStyle name="Normal 14 2 4 9 4" xfId="16106"/>
    <cellStyle name="Normal 14 2 4 9 4 2" xfId="38693"/>
    <cellStyle name="Normal 14 2 4 9 5" xfId="9666"/>
    <cellStyle name="Normal 14 2 4 9 5 2" xfId="32253"/>
    <cellStyle name="Normal 14 2 4 9 6" xfId="25813"/>
    <cellStyle name="Normal 14 2 5" xfId="251"/>
    <cellStyle name="Normal 14 2 5 10" xfId="16419"/>
    <cellStyle name="Normal 14 2 5 10 2" xfId="39006"/>
    <cellStyle name="Normal 14 2 5 11" xfId="13199"/>
    <cellStyle name="Normal 14 2 5 11 2" xfId="35786"/>
    <cellStyle name="Normal 14 2 5 12" xfId="6759"/>
    <cellStyle name="Normal 14 2 5 12 2" xfId="29346"/>
    <cellStyle name="Normal 14 2 5 13" xfId="22906"/>
    <cellStyle name="Normal 14 2 5 2" xfId="967"/>
    <cellStyle name="Normal 14 2 5 2 2" xfId="1582"/>
    <cellStyle name="Normal 14 2 5 2 2 2" xfId="4808"/>
    <cellStyle name="Normal 14 2 5 2 2 2 2" xfId="20908"/>
    <cellStyle name="Normal 14 2 5 2 2 2 2 2" xfId="43495"/>
    <cellStyle name="Normal 14 2 5 2 2 2 3" xfId="11248"/>
    <cellStyle name="Normal 14 2 5 2 2 2 3 2" xfId="33835"/>
    <cellStyle name="Normal 14 2 5 2 2 2 4" xfId="27395"/>
    <cellStyle name="Normal 14 2 5 2 2 3" xfId="17688"/>
    <cellStyle name="Normal 14 2 5 2 2 3 2" xfId="40275"/>
    <cellStyle name="Normal 14 2 5 2 2 4" xfId="14468"/>
    <cellStyle name="Normal 14 2 5 2 2 4 2" xfId="37055"/>
    <cellStyle name="Normal 14 2 5 2 2 5" xfId="8028"/>
    <cellStyle name="Normal 14 2 5 2 2 5 2" xfId="30615"/>
    <cellStyle name="Normal 14 2 5 2 2 6" xfId="24175"/>
    <cellStyle name="Normal 14 2 5 2 3" xfId="2285"/>
    <cellStyle name="Normal 14 2 5 2 3 2" xfId="5506"/>
    <cellStyle name="Normal 14 2 5 2 3 2 2" xfId="21606"/>
    <cellStyle name="Normal 14 2 5 2 3 2 2 2" xfId="44193"/>
    <cellStyle name="Normal 14 2 5 2 3 2 3" xfId="11946"/>
    <cellStyle name="Normal 14 2 5 2 3 2 3 2" xfId="34533"/>
    <cellStyle name="Normal 14 2 5 2 3 2 4" xfId="28093"/>
    <cellStyle name="Normal 14 2 5 2 3 3" xfId="18386"/>
    <cellStyle name="Normal 14 2 5 2 3 3 2" xfId="40973"/>
    <cellStyle name="Normal 14 2 5 2 3 4" xfId="15166"/>
    <cellStyle name="Normal 14 2 5 2 3 4 2" xfId="37753"/>
    <cellStyle name="Normal 14 2 5 2 3 5" xfId="8726"/>
    <cellStyle name="Normal 14 2 5 2 3 5 2" xfId="31313"/>
    <cellStyle name="Normal 14 2 5 2 3 6" xfId="24873"/>
    <cellStyle name="Normal 14 2 5 2 4" xfId="4198"/>
    <cellStyle name="Normal 14 2 5 2 4 2" xfId="20298"/>
    <cellStyle name="Normal 14 2 5 2 4 2 2" xfId="42885"/>
    <cellStyle name="Normal 14 2 5 2 4 3" xfId="10638"/>
    <cellStyle name="Normal 14 2 5 2 4 3 2" xfId="33225"/>
    <cellStyle name="Normal 14 2 5 2 4 4" xfId="26785"/>
    <cellStyle name="Normal 14 2 5 2 5" xfId="17078"/>
    <cellStyle name="Normal 14 2 5 2 5 2" xfId="39665"/>
    <cellStyle name="Normal 14 2 5 2 6" xfId="13858"/>
    <cellStyle name="Normal 14 2 5 2 6 2" xfId="36445"/>
    <cellStyle name="Normal 14 2 5 2 7" xfId="7418"/>
    <cellStyle name="Normal 14 2 5 2 7 2" xfId="30005"/>
    <cellStyle name="Normal 14 2 5 2 8" xfId="23565"/>
    <cellStyle name="Normal 14 2 5 3" xfId="1318"/>
    <cellStyle name="Normal 14 2 5 3 2" xfId="2632"/>
    <cellStyle name="Normal 14 2 5 3 2 2" xfId="5853"/>
    <cellStyle name="Normal 14 2 5 3 2 2 2" xfId="21953"/>
    <cellStyle name="Normal 14 2 5 3 2 2 2 2" xfId="44540"/>
    <cellStyle name="Normal 14 2 5 3 2 2 3" xfId="12293"/>
    <cellStyle name="Normal 14 2 5 3 2 2 3 2" xfId="34880"/>
    <cellStyle name="Normal 14 2 5 3 2 2 4" xfId="28440"/>
    <cellStyle name="Normal 14 2 5 3 2 3" xfId="18733"/>
    <cellStyle name="Normal 14 2 5 3 2 3 2" xfId="41320"/>
    <cellStyle name="Normal 14 2 5 3 2 4" xfId="15513"/>
    <cellStyle name="Normal 14 2 5 3 2 4 2" xfId="38100"/>
    <cellStyle name="Normal 14 2 5 3 2 5" xfId="9073"/>
    <cellStyle name="Normal 14 2 5 3 2 5 2" xfId="31660"/>
    <cellStyle name="Normal 14 2 5 3 2 6" xfId="25220"/>
    <cellStyle name="Normal 14 2 5 3 3" xfId="4545"/>
    <cellStyle name="Normal 14 2 5 3 3 2" xfId="20645"/>
    <cellStyle name="Normal 14 2 5 3 3 2 2" xfId="43232"/>
    <cellStyle name="Normal 14 2 5 3 3 3" xfId="10985"/>
    <cellStyle name="Normal 14 2 5 3 3 3 2" xfId="33572"/>
    <cellStyle name="Normal 14 2 5 3 3 4" xfId="27132"/>
    <cellStyle name="Normal 14 2 5 3 4" xfId="17425"/>
    <cellStyle name="Normal 14 2 5 3 4 2" xfId="40012"/>
    <cellStyle name="Normal 14 2 5 3 5" xfId="14205"/>
    <cellStyle name="Normal 14 2 5 3 5 2" xfId="36792"/>
    <cellStyle name="Normal 14 2 5 3 6" xfId="7765"/>
    <cellStyle name="Normal 14 2 5 3 6 2" xfId="30352"/>
    <cellStyle name="Normal 14 2 5 3 7" xfId="23912"/>
    <cellStyle name="Normal 14 2 5 4" xfId="1583"/>
    <cellStyle name="Normal 14 2 5 4 2" xfId="4809"/>
    <cellStyle name="Normal 14 2 5 4 2 2" xfId="20909"/>
    <cellStyle name="Normal 14 2 5 4 2 2 2" xfId="43496"/>
    <cellStyle name="Normal 14 2 5 4 2 3" xfId="11249"/>
    <cellStyle name="Normal 14 2 5 4 2 3 2" xfId="33836"/>
    <cellStyle name="Normal 14 2 5 4 2 4" xfId="27396"/>
    <cellStyle name="Normal 14 2 5 4 3" xfId="17689"/>
    <cellStyle name="Normal 14 2 5 4 3 2" xfId="40276"/>
    <cellStyle name="Normal 14 2 5 4 4" xfId="14469"/>
    <cellStyle name="Normal 14 2 5 4 4 2" xfId="37056"/>
    <cellStyle name="Normal 14 2 5 4 5" xfId="8029"/>
    <cellStyle name="Normal 14 2 5 4 5 2" xfId="30616"/>
    <cellStyle name="Normal 14 2 5 4 6" xfId="24176"/>
    <cellStyle name="Normal 14 2 5 5" xfId="1937"/>
    <cellStyle name="Normal 14 2 5 5 2" xfId="5159"/>
    <cellStyle name="Normal 14 2 5 5 2 2" xfId="21259"/>
    <cellStyle name="Normal 14 2 5 5 2 2 2" xfId="43846"/>
    <cellStyle name="Normal 14 2 5 5 2 3" xfId="11599"/>
    <cellStyle name="Normal 14 2 5 5 2 3 2" xfId="34186"/>
    <cellStyle name="Normal 14 2 5 5 2 4" xfId="27746"/>
    <cellStyle name="Normal 14 2 5 5 3" xfId="18039"/>
    <cellStyle name="Normal 14 2 5 5 3 2" xfId="40626"/>
    <cellStyle name="Normal 14 2 5 5 4" xfId="14819"/>
    <cellStyle name="Normal 14 2 5 5 4 2" xfId="37406"/>
    <cellStyle name="Normal 14 2 5 5 5" xfId="8379"/>
    <cellStyle name="Normal 14 2 5 5 5 2" xfId="30966"/>
    <cellStyle name="Normal 14 2 5 5 6" xfId="24526"/>
    <cellStyle name="Normal 14 2 5 6" xfId="2958"/>
    <cellStyle name="Normal 14 2 5 6 2" xfId="6179"/>
    <cellStyle name="Normal 14 2 5 6 2 2" xfId="22279"/>
    <cellStyle name="Normal 14 2 5 6 2 2 2" xfId="44866"/>
    <cellStyle name="Normal 14 2 5 6 2 3" xfId="12619"/>
    <cellStyle name="Normal 14 2 5 6 2 3 2" xfId="35206"/>
    <cellStyle name="Normal 14 2 5 6 2 4" xfId="28766"/>
    <cellStyle name="Normal 14 2 5 6 3" xfId="19059"/>
    <cellStyle name="Normal 14 2 5 6 3 2" xfId="41646"/>
    <cellStyle name="Normal 14 2 5 6 4" xfId="15839"/>
    <cellStyle name="Normal 14 2 5 6 4 2" xfId="38426"/>
    <cellStyle name="Normal 14 2 5 6 5" xfId="9399"/>
    <cellStyle name="Normal 14 2 5 6 5 2" xfId="31986"/>
    <cellStyle name="Normal 14 2 5 6 6" xfId="25546"/>
    <cellStyle name="Normal 14 2 5 7" xfId="3249"/>
    <cellStyle name="Normal 14 2 5 7 2" xfId="6469"/>
    <cellStyle name="Normal 14 2 5 7 2 2" xfId="22569"/>
    <cellStyle name="Normal 14 2 5 7 2 2 2" xfId="45156"/>
    <cellStyle name="Normal 14 2 5 7 2 3" xfId="12909"/>
    <cellStyle name="Normal 14 2 5 7 2 3 2" xfId="35496"/>
    <cellStyle name="Normal 14 2 5 7 2 4" xfId="29056"/>
    <cellStyle name="Normal 14 2 5 7 3" xfId="19349"/>
    <cellStyle name="Normal 14 2 5 7 3 2" xfId="41936"/>
    <cellStyle name="Normal 14 2 5 7 4" xfId="16129"/>
    <cellStyle name="Normal 14 2 5 7 4 2" xfId="38716"/>
    <cellStyle name="Normal 14 2 5 7 5" xfId="9689"/>
    <cellStyle name="Normal 14 2 5 7 5 2" xfId="32276"/>
    <cellStyle name="Normal 14 2 5 7 6" xfId="25836"/>
    <cellStyle name="Normal 14 2 5 8" xfId="581"/>
    <cellStyle name="Normal 14 2 5 8 2" xfId="3851"/>
    <cellStyle name="Normal 14 2 5 8 2 2" xfId="19951"/>
    <cellStyle name="Normal 14 2 5 8 2 2 2" xfId="42538"/>
    <cellStyle name="Normal 14 2 5 8 2 3" xfId="10291"/>
    <cellStyle name="Normal 14 2 5 8 2 3 2" xfId="32878"/>
    <cellStyle name="Normal 14 2 5 8 2 4" xfId="26438"/>
    <cellStyle name="Normal 14 2 5 8 3" xfId="16731"/>
    <cellStyle name="Normal 14 2 5 8 3 2" xfId="39318"/>
    <cellStyle name="Normal 14 2 5 8 4" xfId="13511"/>
    <cellStyle name="Normal 14 2 5 8 4 2" xfId="36098"/>
    <cellStyle name="Normal 14 2 5 8 5" xfId="7071"/>
    <cellStyle name="Normal 14 2 5 8 5 2" xfId="29658"/>
    <cellStyle name="Normal 14 2 5 8 6" xfId="23218"/>
    <cellStyle name="Normal 14 2 5 9" xfId="3539"/>
    <cellStyle name="Normal 14 2 5 9 2" xfId="19639"/>
    <cellStyle name="Normal 14 2 5 9 2 2" xfId="42226"/>
    <cellStyle name="Normal 14 2 5 9 3" xfId="9979"/>
    <cellStyle name="Normal 14 2 5 9 3 2" xfId="32566"/>
    <cellStyle name="Normal 14 2 5 9 4" xfId="26126"/>
    <cellStyle name="Normal 14 2 6" xfId="345"/>
    <cellStyle name="Normal 14 2 6 10" xfId="16512"/>
    <cellStyle name="Normal 14 2 6 10 2" xfId="39099"/>
    <cellStyle name="Normal 14 2 6 11" xfId="13292"/>
    <cellStyle name="Normal 14 2 6 11 2" xfId="35879"/>
    <cellStyle name="Normal 14 2 6 12" xfId="6852"/>
    <cellStyle name="Normal 14 2 6 12 2" xfId="29439"/>
    <cellStyle name="Normal 14 2 6 13" xfId="22999"/>
    <cellStyle name="Normal 14 2 6 2" xfId="1083"/>
    <cellStyle name="Normal 14 2 6 2 2" xfId="2397"/>
    <cellStyle name="Normal 14 2 6 2 2 2" xfId="5618"/>
    <cellStyle name="Normal 14 2 6 2 2 2 2" xfId="21718"/>
    <cellStyle name="Normal 14 2 6 2 2 2 2 2" xfId="44305"/>
    <cellStyle name="Normal 14 2 6 2 2 2 3" xfId="12058"/>
    <cellStyle name="Normal 14 2 6 2 2 2 3 2" xfId="34645"/>
    <cellStyle name="Normal 14 2 6 2 2 2 4" xfId="28205"/>
    <cellStyle name="Normal 14 2 6 2 2 3" xfId="18498"/>
    <cellStyle name="Normal 14 2 6 2 2 3 2" xfId="41085"/>
    <cellStyle name="Normal 14 2 6 2 2 4" xfId="15278"/>
    <cellStyle name="Normal 14 2 6 2 2 4 2" xfId="37865"/>
    <cellStyle name="Normal 14 2 6 2 2 5" xfId="8838"/>
    <cellStyle name="Normal 14 2 6 2 2 5 2" xfId="31425"/>
    <cellStyle name="Normal 14 2 6 2 2 6" xfId="24985"/>
    <cellStyle name="Normal 14 2 6 2 3" xfId="4310"/>
    <cellStyle name="Normal 14 2 6 2 3 2" xfId="20410"/>
    <cellStyle name="Normal 14 2 6 2 3 2 2" xfId="42997"/>
    <cellStyle name="Normal 14 2 6 2 3 3" xfId="10750"/>
    <cellStyle name="Normal 14 2 6 2 3 3 2" xfId="33337"/>
    <cellStyle name="Normal 14 2 6 2 3 4" xfId="26897"/>
    <cellStyle name="Normal 14 2 6 2 4" xfId="17190"/>
    <cellStyle name="Normal 14 2 6 2 4 2" xfId="39777"/>
    <cellStyle name="Normal 14 2 6 2 5" xfId="13970"/>
    <cellStyle name="Normal 14 2 6 2 5 2" xfId="36557"/>
    <cellStyle name="Normal 14 2 6 2 6" xfId="7530"/>
    <cellStyle name="Normal 14 2 6 2 6 2" xfId="30117"/>
    <cellStyle name="Normal 14 2 6 2 7" xfId="23677"/>
    <cellStyle name="Normal 14 2 6 3" xfId="1430"/>
    <cellStyle name="Normal 14 2 6 3 2" xfId="2744"/>
    <cellStyle name="Normal 14 2 6 3 2 2" xfId="5965"/>
    <cellStyle name="Normal 14 2 6 3 2 2 2" xfId="22065"/>
    <cellStyle name="Normal 14 2 6 3 2 2 2 2" xfId="44652"/>
    <cellStyle name="Normal 14 2 6 3 2 2 3" xfId="12405"/>
    <cellStyle name="Normal 14 2 6 3 2 2 3 2" xfId="34992"/>
    <cellStyle name="Normal 14 2 6 3 2 2 4" xfId="28552"/>
    <cellStyle name="Normal 14 2 6 3 2 3" xfId="18845"/>
    <cellStyle name="Normal 14 2 6 3 2 3 2" xfId="41432"/>
    <cellStyle name="Normal 14 2 6 3 2 4" xfId="15625"/>
    <cellStyle name="Normal 14 2 6 3 2 4 2" xfId="38212"/>
    <cellStyle name="Normal 14 2 6 3 2 5" xfId="9185"/>
    <cellStyle name="Normal 14 2 6 3 2 5 2" xfId="31772"/>
    <cellStyle name="Normal 14 2 6 3 2 6" xfId="25332"/>
    <cellStyle name="Normal 14 2 6 3 3" xfId="4657"/>
    <cellStyle name="Normal 14 2 6 3 3 2" xfId="20757"/>
    <cellStyle name="Normal 14 2 6 3 3 2 2" xfId="43344"/>
    <cellStyle name="Normal 14 2 6 3 3 3" xfId="11097"/>
    <cellStyle name="Normal 14 2 6 3 3 3 2" xfId="33684"/>
    <cellStyle name="Normal 14 2 6 3 3 4" xfId="27244"/>
    <cellStyle name="Normal 14 2 6 3 4" xfId="17537"/>
    <cellStyle name="Normal 14 2 6 3 4 2" xfId="40124"/>
    <cellStyle name="Normal 14 2 6 3 5" xfId="14317"/>
    <cellStyle name="Normal 14 2 6 3 5 2" xfId="36904"/>
    <cellStyle name="Normal 14 2 6 3 6" xfId="7877"/>
    <cellStyle name="Normal 14 2 6 3 6 2" xfId="30464"/>
    <cellStyle name="Normal 14 2 6 3 7" xfId="24024"/>
    <cellStyle name="Normal 14 2 6 4" xfId="1584"/>
    <cellStyle name="Normal 14 2 6 4 2" xfId="4810"/>
    <cellStyle name="Normal 14 2 6 4 2 2" xfId="20910"/>
    <cellStyle name="Normal 14 2 6 4 2 2 2" xfId="43497"/>
    <cellStyle name="Normal 14 2 6 4 2 3" xfId="11250"/>
    <cellStyle name="Normal 14 2 6 4 2 3 2" xfId="33837"/>
    <cellStyle name="Normal 14 2 6 4 2 4" xfId="27397"/>
    <cellStyle name="Normal 14 2 6 4 3" xfId="17690"/>
    <cellStyle name="Normal 14 2 6 4 3 2" xfId="40277"/>
    <cellStyle name="Normal 14 2 6 4 4" xfId="14470"/>
    <cellStyle name="Normal 14 2 6 4 4 2" xfId="37057"/>
    <cellStyle name="Normal 14 2 6 4 5" xfId="8030"/>
    <cellStyle name="Normal 14 2 6 4 5 2" xfId="30617"/>
    <cellStyle name="Normal 14 2 6 4 6" xfId="24177"/>
    <cellStyle name="Normal 14 2 6 5" xfId="2050"/>
    <cellStyle name="Normal 14 2 6 5 2" xfId="5271"/>
    <cellStyle name="Normal 14 2 6 5 2 2" xfId="21371"/>
    <cellStyle name="Normal 14 2 6 5 2 2 2" xfId="43958"/>
    <cellStyle name="Normal 14 2 6 5 2 3" xfId="11711"/>
    <cellStyle name="Normal 14 2 6 5 2 3 2" xfId="34298"/>
    <cellStyle name="Normal 14 2 6 5 2 4" xfId="27858"/>
    <cellStyle name="Normal 14 2 6 5 3" xfId="18151"/>
    <cellStyle name="Normal 14 2 6 5 3 2" xfId="40738"/>
    <cellStyle name="Normal 14 2 6 5 4" xfId="14931"/>
    <cellStyle name="Normal 14 2 6 5 4 2" xfId="37518"/>
    <cellStyle name="Normal 14 2 6 5 5" xfId="8491"/>
    <cellStyle name="Normal 14 2 6 5 5 2" xfId="31078"/>
    <cellStyle name="Normal 14 2 6 5 6" xfId="24638"/>
    <cellStyle name="Normal 14 2 6 6" xfId="3052"/>
    <cellStyle name="Normal 14 2 6 6 2" xfId="6272"/>
    <cellStyle name="Normal 14 2 6 6 2 2" xfId="22372"/>
    <cellStyle name="Normal 14 2 6 6 2 2 2" xfId="44959"/>
    <cellStyle name="Normal 14 2 6 6 2 3" xfId="12712"/>
    <cellStyle name="Normal 14 2 6 6 2 3 2" xfId="35299"/>
    <cellStyle name="Normal 14 2 6 6 2 4" xfId="28859"/>
    <cellStyle name="Normal 14 2 6 6 3" xfId="19152"/>
    <cellStyle name="Normal 14 2 6 6 3 2" xfId="41739"/>
    <cellStyle name="Normal 14 2 6 6 4" xfId="15932"/>
    <cellStyle name="Normal 14 2 6 6 4 2" xfId="38519"/>
    <cellStyle name="Normal 14 2 6 6 5" xfId="9492"/>
    <cellStyle name="Normal 14 2 6 6 5 2" xfId="32079"/>
    <cellStyle name="Normal 14 2 6 6 6" xfId="25639"/>
    <cellStyle name="Normal 14 2 6 7" xfId="3342"/>
    <cellStyle name="Normal 14 2 6 7 2" xfId="6562"/>
    <cellStyle name="Normal 14 2 6 7 2 2" xfId="22662"/>
    <cellStyle name="Normal 14 2 6 7 2 2 2" xfId="45249"/>
    <cellStyle name="Normal 14 2 6 7 2 3" xfId="13002"/>
    <cellStyle name="Normal 14 2 6 7 2 3 2" xfId="35589"/>
    <cellStyle name="Normal 14 2 6 7 2 4" xfId="29149"/>
    <cellStyle name="Normal 14 2 6 7 3" xfId="19442"/>
    <cellStyle name="Normal 14 2 6 7 3 2" xfId="42029"/>
    <cellStyle name="Normal 14 2 6 7 4" xfId="16222"/>
    <cellStyle name="Normal 14 2 6 7 4 2" xfId="38809"/>
    <cellStyle name="Normal 14 2 6 7 5" xfId="9782"/>
    <cellStyle name="Normal 14 2 6 7 5 2" xfId="32369"/>
    <cellStyle name="Normal 14 2 6 7 6" xfId="25929"/>
    <cellStyle name="Normal 14 2 6 8" xfId="731"/>
    <cellStyle name="Normal 14 2 6 8 2" xfId="3963"/>
    <cellStyle name="Normal 14 2 6 8 2 2" xfId="20063"/>
    <cellStyle name="Normal 14 2 6 8 2 2 2" xfId="42650"/>
    <cellStyle name="Normal 14 2 6 8 2 3" xfId="10403"/>
    <cellStyle name="Normal 14 2 6 8 2 3 2" xfId="32990"/>
    <cellStyle name="Normal 14 2 6 8 2 4" xfId="26550"/>
    <cellStyle name="Normal 14 2 6 8 3" xfId="16843"/>
    <cellStyle name="Normal 14 2 6 8 3 2" xfId="39430"/>
    <cellStyle name="Normal 14 2 6 8 4" xfId="13623"/>
    <cellStyle name="Normal 14 2 6 8 4 2" xfId="36210"/>
    <cellStyle name="Normal 14 2 6 8 5" xfId="7183"/>
    <cellStyle name="Normal 14 2 6 8 5 2" xfId="29770"/>
    <cellStyle name="Normal 14 2 6 8 6" xfId="23330"/>
    <cellStyle name="Normal 14 2 6 9" xfId="3632"/>
    <cellStyle name="Normal 14 2 6 9 2" xfId="19732"/>
    <cellStyle name="Normal 14 2 6 9 2 2" xfId="42319"/>
    <cellStyle name="Normal 14 2 6 9 3" xfId="10072"/>
    <cellStyle name="Normal 14 2 6 9 3 2" xfId="32659"/>
    <cellStyle name="Normal 14 2 6 9 4" xfId="26219"/>
    <cellStyle name="Normal 14 2 7" xfId="750"/>
    <cellStyle name="Normal 14 2 7 10" xfId="23349"/>
    <cellStyle name="Normal 14 2 7 2" xfId="1102"/>
    <cellStyle name="Normal 14 2 7 2 2" xfId="2416"/>
    <cellStyle name="Normal 14 2 7 2 2 2" xfId="5637"/>
    <cellStyle name="Normal 14 2 7 2 2 2 2" xfId="21737"/>
    <cellStyle name="Normal 14 2 7 2 2 2 2 2" xfId="44324"/>
    <cellStyle name="Normal 14 2 7 2 2 2 3" xfId="12077"/>
    <cellStyle name="Normal 14 2 7 2 2 2 3 2" xfId="34664"/>
    <cellStyle name="Normal 14 2 7 2 2 2 4" xfId="28224"/>
    <cellStyle name="Normal 14 2 7 2 2 3" xfId="18517"/>
    <cellStyle name="Normal 14 2 7 2 2 3 2" xfId="41104"/>
    <cellStyle name="Normal 14 2 7 2 2 4" xfId="15297"/>
    <cellStyle name="Normal 14 2 7 2 2 4 2" xfId="37884"/>
    <cellStyle name="Normal 14 2 7 2 2 5" xfId="8857"/>
    <cellStyle name="Normal 14 2 7 2 2 5 2" xfId="31444"/>
    <cellStyle name="Normal 14 2 7 2 2 6" xfId="25004"/>
    <cellStyle name="Normal 14 2 7 2 3" xfId="4329"/>
    <cellStyle name="Normal 14 2 7 2 3 2" xfId="20429"/>
    <cellStyle name="Normal 14 2 7 2 3 2 2" xfId="43016"/>
    <cellStyle name="Normal 14 2 7 2 3 3" xfId="10769"/>
    <cellStyle name="Normal 14 2 7 2 3 3 2" xfId="33356"/>
    <cellStyle name="Normal 14 2 7 2 3 4" xfId="26916"/>
    <cellStyle name="Normal 14 2 7 2 4" xfId="17209"/>
    <cellStyle name="Normal 14 2 7 2 4 2" xfId="39796"/>
    <cellStyle name="Normal 14 2 7 2 5" xfId="13989"/>
    <cellStyle name="Normal 14 2 7 2 5 2" xfId="36576"/>
    <cellStyle name="Normal 14 2 7 2 6" xfId="7549"/>
    <cellStyle name="Normal 14 2 7 2 6 2" xfId="30136"/>
    <cellStyle name="Normal 14 2 7 2 7" xfId="23696"/>
    <cellStyle name="Normal 14 2 7 3" xfId="1449"/>
    <cellStyle name="Normal 14 2 7 3 2" xfId="2763"/>
    <cellStyle name="Normal 14 2 7 3 2 2" xfId="5984"/>
    <cellStyle name="Normal 14 2 7 3 2 2 2" xfId="22084"/>
    <cellStyle name="Normal 14 2 7 3 2 2 2 2" xfId="44671"/>
    <cellStyle name="Normal 14 2 7 3 2 2 3" xfId="12424"/>
    <cellStyle name="Normal 14 2 7 3 2 2 3 2" xfId="35011"/>
    <cellStyle name="Normal 14 2 7 3 2 2 4" xfId="28571"/>
    <cellStyle name="Normal 14 2 7 3 2 3" xfId="18864"/>
    <cellStyle name="Normal 14 2 7 3 2 3 2" xfId="41451"/>
    <cellStyle name="Normal 14 2 7 3 2 4" xfId="15644"/>
    <cellStyle name="Normal 14 2 7 3 2 4 2" xfId="38231"/>
    <cellStyle name="Normal 14 2 7 3 2 5" xfId="9204"/>
    <cellStyle name="Normal 14 2 7 3 2 5 2" xfId="31791"/>
    <cellStyle name="Normal 14 2 7 3 2 6" xfId="25351"/>
    <cellStyle name="Normal 14 2 7 3 3" xfId="4676"/>
    <cellStyle name="Normal 14 2 7 3 3 2" xfId="20776"/>
    <cellStyle name="Normal 14 2 7 3 3 2 2" xfId="43363"/>
    <cellStyle name="Normal 14 2 7 3 3 3" xfId="11116"/>
    <cellStyle name="Normal 14 2 7 3 3 3 2" xfId="33703"/>
    <cellStyle name="Normal 14 2 7 3 3 4" xfId="27263"/>
    <cellStyle name="Normal 14 2 7 3 4" xfId="17556"/>
    <cellStyle name="Normal 14 2 7 3 4 2" xfId="40143"/>
    <cellStyle name="Normal 14 2 7 3 5" xfId="14336"/>
    <cellStyle name="Normal 14 2 7 3 5 2" xfId="36923"/>
    <cellStyle name="Normal 14 2 7 3 6" xfId="7896"/>
    <cellStyle name="Normal 14 2 7 3 6 2" xfId="30483"/>
    <cellStyle name="Normal 14 2 7 3 7" xfId="24043"/>
    <cellStyle name="Normal 14 2 7 4" xfId="1585"/>
    <cellStyle name="Normal 14 2 7 4 2" xfId="4811"/>
    <cellStyle name="Normal 14 2 7 4 2 2" xfId="20911"/>
    <cellStyle name="Normal 14 2 7 4 2 2 2" xfId="43498"/>
    <cellStyle name="Normal 14 2 7 4 2 3" xfId="11251"/>
    <cellStyle name="Normal 14 2 7 4 2 3 2" xfId="33838"/>
    <cellStyle name="Normal 14 2 7 4 2 4" xfId="27398"/>
    <cellStyle name="Normal 14 2 7 4 3" xfId="17691"/>
    <cellStyle name="Normal 14 2 7 4 3 2" xfId="40278"/>
    <cellStyle name="Normal 14 2 7 4 4" xfId="14471"/>
    <cellStyle name="Normal 14 2 7 4 4 2" xfId="37058"/>
    <cellStyle name="Normal 14 2 7 4 5" xfId="8031"/>
    <cellStyle name="Normal 14 2 7 4 5 2" xfId="30618"/>
    <cellStyle name="Normal 14 2 7 4 6" xfId="24178"/>
    <cellStyle name="Normal 14 2 7 5" xfId="2069"/>
    <cellStyle name="Normal 14 2 7 5 2" xfId="5290"/>
    <cellStyle name="Normal 14 2 7 5 2 2" xfId="21390"/>
    <cellStyle name="Normal 14 2 7 5 2 2 2" xfId="43977"/>
    <cellStyle name="Normal 14 2 7 5 2 3" xfId="11730"/>
    <cellStyle name="Normal 14 2 7 5 2 3 2" xfId="34317"/>
    <cellStyle name="Normal 14 2 7 5 2 4" xfId="27877"/>
    <cellStyle name="Normal 14 2 7 5 3" xfId="18170"/>
    <cellStyle name="Normal 14 2 7 5 3 2" xfId="40757"/>
    <cellStyle name="Normal 14 2 7 5 4" xfId="14950"/>
    <cellStyle name="Normal 14 2 7 5 4 2" xfId="37537"/>
    <cellStyle name="Normal 14 2 7 5 5" xfId="8510"/>
    <cellStyle name="Normal 14 2 7 5 5 2" xfId="31097"/>
    <cellStyle name="Normal 14 2 7 5 6" xfId="24657"/>
    <cellStyle name="Normal 14 2 7 6" xfId="3982"/>
    <cellStyle name="Normal 14 2 7 6 2" xfId="20082"/>
    <cellStyle name="Normal 14 2 7 6 2 2" xfId="42669"/>
    <cellStyle name="Normal 14 2 7 6 3" xfId="10422"/>
    <cellStyle name="Normal 14 2 7 6 3 2" xfId="33009"/>
    <cellStyle name="Normal 14 2 7 6 4" xfId="26569"/>
    <cellStyle name="Normal 14 2 7 7" xfId="16862"/>
    <cellStyle name="Normal 14 2 7 7 2" xfId="39449"/>
    <cellStyle name="Normal 14 2 7 8" xfId="13642"/>
    <cellStyle name="Normal 14 2 7 8 2" xfId="36229"/>
    <cellStyle name="Normal 14 2 7 9" xfId="7202"/>
    <cellStyle name="Normal 14 2 7 9 2" xfId="29789"/>
    <cellStyle name="Normal 14 2 8" xfId="844"/>
    <cellStyle name="Normal 14 2 8 2" xfId="2163"/>
    <cellStyle name="Normal 14 2 8 2 2" xfId="5384"/>
    <cellStyle name="Normal 14 2 8 2 2 2" xfId="21484"/>
    <cellStyle name="Normal 14 2 8 2 2 2 2" xfId="44071"/>
    <cellStyle name="Normal 14 2 8 2 2 3" xfId="11824"/>
    <cellStyle name="Normal 14 2 8 2 2 3 2" xfId="34411"/>
    <cellStyle name="Normal 14 2 8 2 2 4" xfId="27971"/>
    <cellStyle name="Normal 14 2 8 2 3" xfId="18264"/>
    <cellStyle name="Normal 14 2 8 2 3 2" xfId="40851"/>
    <cellStyle name="Normal 14 2 8 2 4" xfId="15044"/>
    <cellStyle name="Normal 14 2 8 2 4 2" xfId="37631"/>
    <cellStyle name="Normal 14 2 8 2 5" xfId="8604"/>
    <cellStyle name="Normal 14 2 8 2 5 2" xfId="31191"/>
    <cellStyle name="Normal 14 2 8 2 6" xfId="24751"/>
    <cellStyle name="Normal 14 2 8 3" xfId="4076"/>
    <cellStyle name="Normal 14 2 8 3 2" xfId="20176"/>
    <cellStyle name="Normal 14 2 8 3 2 2" xfId="42763"/>
    <cellStyle name="Normal 14 2 8 3 3" xfId="10516"/>
    <cellStyle name="Normal 14 2 8 3 3 2" xfId="33103"/>
    <cellStyle name="Normal 14 2 8 3 4" xfId="26663"/>
    <cellStyle name="Normal 14 2 8 4" xfId="16956"/>
    <cellStyle name="Normal 14 2 8 4 2" xfId="39543"/>
    <cellStyle name="Normal 14 2 8 5" xfId="13736"/>
    <cellStyle name="Normal 14 2 8 5 2" xfId="36323"/>
    <cellStyle name="Normal 14 2 8 6" xfId="7296"/>
    <cellStyle name="Normal 14 2 8 6 2" xfId="29883"/>
    <cellStyle name="Normal 14 2 8 7" xfId="23443"/>
    <cellStyle name="Normal 14 2 9" xfId="1196"/>
    <cellStyle name="Normal 14 2 9 2" xfId="2510"/>
    <cellStyle name="Normal 14 2 9 2 2" xfId="5731"/>
    <cellStyle name="Normal 14 2 9 2 2 2" xfId="21831"/>
    <cellStyle name="Normal 14 2 9 2 2 2 2" xfId="44418"/>
    <cellStyle name="Normal 14 2 9 2 2 3" xfId="12171"/>
    <cellStyle name="Normal 14 2 9 2 2 3 2" xfId="34758"/>
    <cellStyle name="Normal 14 2 9 2 2 4" xfId="28318"/>
    <cellStyle name="Normal 14 2 9 2 3" xfId="18611"/>
    <cellStyle name="Normal 14 2 9 2 3 2" xfId="41198"/>
    <cellStyle name="Normal 14 2 9 2 4" xfId="15391"/>
    <cellStyle name="Normal 14 2 9 2 4 2" xfId="37978"/>
    <cellStyle name="Normal 14 2 9 2 5" xfId="8951"/>
    <cellStyle name="Normal 14 2 9 2 5 2" xfId="31538"/>
    <cellStyle name="Normal 14 2 9 2 6" xfId="25098"/>
    <cellStyle name="Normal 14 2 9 3" xfId="4423"/>
    <cellStyle name="Normal 14 2 9 3 2" xfId="20523"/>
    <cellStyle name="Normal 14 2 9 3 2 2" xfId="43110"/>
    <cellStyle name="Normal 14 2 9 3 3" xfId="10863"/>
    <cellStyle name="Normal 14 2 9 3 3 2" xfId="33450"/>
    <cellStyle name="Normal 14 2 9 3 4" xfId="27010"/>
    <cellStyle name="Normal 14 2 9 4" xfId="17303"/>
    <cellStyle name="Normal 14 2 9 4 2" xfId="39890"/>
    <cellStyle name="Normal 14 2 9 5" xfId="14083"/>
    <cellStyle name="Normal 14 2 9 5 2" xfId="36670"/>
    <cellStyle name="Normal 14 2 9 6" xfId="7643"/>
    <cellStyle name="Normal 14 2 9 6 2" xfId="30230"/>
    <cellStyle name="Normal 14 2 9 7" xfId="23790"/>
    <cellStyle name="Normal 14 20" xfId="6654"/>
    <cellStyle name="Normal 14 20 2" xfId="29241"/>
    <cellStyle name="Normal 14 21" xfId="22801"/>
    <cellStyle name="Normal 14 3" xfId="105"/>
    <cellStyle name="Normal 14 3 10" xfId="1586"/>
    <cellStyle name="Normal 14 3 10 2" xfId="4812"/>
    <cellStyle name="Normal 14 3 10 2 2" xfId="20912"/>
    <cellStyle name="Normal 14 3 10 2 2 2" xfId="43499"/>
    <cellStyle name="Normal 14 3 10 2 3" xfId="11252"/>
    <cellStyle name="Normal 14 3 10 2 3 2" xfId="33839"/>
    <cellStyle name="Normal 14 3 10 2 4" xfId="27399"/>
    <cellStyle name="Normal 14 3 10 3" xfId="17692"/>
    <cellStyle name="Normal 14 3 10 3 2" xfId="40279"/>
    <cellStyle name="Normal 14 3 10 4" xfId="14472"/>
    <cellStyle name="Normal 14 3 10 4 2" xfId="37059"/>
    <cellStyle name="Normal 14 3 10 5" xfId="8032"/>
    <cellStyle name="Normal 14 3 10 5 2" xfId="30619"/>
    <cellStyle name="Normal 14 3 10 6" xfId="24179"/>
    <cellStyle name="Normal 14 3 11" xfId="1820"/>
    <cellStyle name="Normal 14 3 11 2" xfId="5042"/>
    <cellStyle name="Normal 14 3 11 2 2" xfId="21142"/>
    <cellStyle name="Normal 14 3 11 2 2 2" xfId="43729"/>
    <cellStyle name="Normal 14 3 11 2 3" xfId="11482"/>
    <cellStyle name="Normal 14 3 11 2 3 2" xfId="34069"/>
    <cellStyle name="Normal 14 3 11 2 4" xfId="27629"/>
    <cellStyle name="Normal 14 3 11 3" xfId="17922"/>
    <cellStyle name="Normal 14 3 11 3 2" xfId="40509"/>
    <cellStyle name="Normal 14 3 11 4" xfId="14702"/>
    <cellStyle name="Normal 14 3 11 4 2" xfId="37289"/>
    <cellStyle name="Normal 14 3 11 5" xfId="8262"/>
    <cellStyle name="Normal 14 3 11 5 2" xfId="30849"/>
    <cellStyle name="Normal 14 3 11 6" xfId="24409"/>
    <cellStyle name="Normal 14 3 12" xfId="2863"/>
    <cellStyle name="Normal 14 3 12 2" xfId="6084"/>
    <cellStyle name="Normal 14 3 12 2 2" xfId="22184"/>
    <cellStyle name="Normal 14 3 12 2 2 2" xfId="44771"/>
    <cellStyle name="Normal 14 3 12 2 3" xfId="12524"/>
    <cellStyle name="Normal 14 3 12 2 3 2" xfId="35111"/>
    <cellStyle name="Normal 14 3 12 2 4" xfId="28671"/>
    <cellStyle name="Normal 14 3 12 3" xfId="18964"/>
    <cellStyle name="Normal 14 3 12 3 2" xfId="41551"/>
    <cellStyle name="Normal 14 3 12 4" xfId="15744"/>
    <cellStyle name="Normal 14 3 12 4 2" xfId="38331"/>
    <cellStyle name="Normal 14 3 12 5" xfId="9304"/>
    <cellStyle name="Normal 14 3 12 5 2" xfId="31891"/>
    <cellStyle name="Normal 14 3 12 6" xfId="25451"/>
    <cellStyle name="Normal 14 3 13" xfId="3154"/>
    <cellStyle name="Normal 14 3 13 2" xfId="6374"/>
    <cellStyle name="Normal 14 3 13 2 2" xfId="22474"/>
    <cellStyle name="Normal 14 3 13 2 2 2" xfId="45061"/>
    <cellStyle name="Normal 14 3 13 2 3" xfId="12814"/>
    <cellStyle name="Normal 14 3 13 2 3 2" xfId="35401"/>
    <cellStyle name="Normal 14 3 13 2 4" xfId="28961"/>
    <cellStyle name="Normal 14 3 13 3" xfId="19254"/>
    <cellStyle name="Normal 14 3 13 3 2" xfId="41841"/>
    <cellStyle name="Normal 14 3 13 4" xfId="16034"/>
    <cellStyle name="Normal 14 3 13 4 2" xfId="38621"/>
    <cellStyle name="Normal 14 3 13 5" xfId="9594"/>
    <cellStyle name="Normal 14 3 13 5 2" xfId="32181"/>
    <cellStyle name="Normal 14 3 13 6" xfId="25741"/>
    <cellStyle name="Normal 14 3 14" xfId="447"/>
    <cellStyle name="Normal 14 3 14 2" xfId="3734"/>
    <cellStyle name="Normal 14 3 14 2 2" xfId="19834"/>
    <cellStyle name="Normal 14 3 14 2 2 2" xfId="42421"/>
    <cellStyle name="Normal 14 3 14 2 3" xfId="10174"/>
    <cellStyle name="Normal 14 3 14 2 3 2" xfId="32761"/>
    <cellStyle name="Normal 14 3 14 2 4" xfId="26321"/>
    <cellStyle name="Normal 14 3 14 3" xfId="16614"/>
    <cellStyle name="Normal 14 3 14 3 2" xfId="39201"/>
    <cellStyle name="Normal 14 3 14 4" xfId="13394"/>
    <cellStyle name="Normal 14 3 14 4 2" xfId="35981"/>
    <cellStyle name="Normal 14 3 14 5" xfId="6954"/>
    <cellStyle name="Normal 14 3 14 5 2" xfId="29541"/>
    <cellStyle name="Normal 14 3 14 6" xfId="23101"/>
    <cellStyle name="Normal 14 3 15" xfId="3444"/>
    <cellStyle name="Normal 14 3 15 2" xfId="19544"/>
    <cellStyle name="Normal 14 3 15 2 2" xfId="42131"/>
    <cellStyle name="Normal 14 3 15 3" xfId="9884"/>
    <cellStyle name="Normal 14 3 15 3 2" xfId="32471"/>
    <cellStyle name="Normal 14 3 15 4" xfId="26031"/>
    <cellStyle name="Normal 14 3 16" xfId="16324"/>
    <cellStyle name="Normal 14 3 16 2" xfId="38911"/>
    <cellStyle name="Normal 14 3 17" xfId="13104"/>
    <cellStyle name="Normal 14 3 17 2" xfId="35691"/>
    <cellStyle name="Normal 14 3 18" xfId="6664"/>
    <cellStyle name="Normal 14 3 18 2" xfId="29251"/>
    <cellStyle name="Normal 14 3 19" xfId="22811"/>
    <cellStyle name="Normal 14 3 2" xfId="123"/>
    <cellStyle name="Normal 14 3 2 10" xfId="2879"/>
    <cellStyle name="Normal 14 3 2 10 2" xfId="6100"/>
    <cellStyle name="Normal 14 3 2 10 2 2" xfId="22200"/>
    <cellStyle name="Normal 14 3 2 10 2 2 2" xfId="44787"/>
    <cellStyle name="Normal 14 3 2 10 2 3" xfId="12540"/>
    <cellStyle name="Normal 14 3 2 10 2 3 2" xfId="35127"/>
    <cellStyle name="Normal 14 3 2 10 2 4" xfId="28687"/>
    <cellStyle name="Normal 14 3 2 10 3" xfId="18980"/>
    <cellStyle name="Normal 14 3 2 10 3 2" xfId="41567"/>
    <cellStyle name="Normal 14 3 2 10 4" xfId="15760"/>
    <cellStyle name="Normal 14 3 2 10 4 2" xfId="38347"/>
    <cellStyle name="Normal 14 3 2 10 5" xfId="9320"/>
    <cellStyle name="Normal 14 3 2 10 5 2" xfId="31907"/>
    <cellStyle name="Normal 14 3 2 10 6" xfId="25467"/>
    <cellStyle name="Normal 14 3 2 11" xfId="3170"/>
    <cellStyle name="Normal 14 3 2 11 2" xfId="6390"/>
    <cellStyle name="Normal 14 3 2 11 2 2" xfId="22490"/>
    <cellStyle name="Normal 14 3 2 11 2 2 2" xfId="45077"/>
    <cellStyle name="Normal 14 3 2 11 2 3" xfId="12830"/>
    <cellStyle name="Normal 14 3 2 11 2 3 2" xfId="35417"/>
    <cellStyle name="Normal 14 3 2 11 2 4" xfId="28977"/>
    <cellStyle name="Normal 14 3 2 11 3" xfId="19270"/>
    <cellStyle name="Normal 14 3 2 11 3 2" xfId="41857"/>
    <cellStyle name="Normal 14 3 2 11 4" xfId="16050"/>
    <cellStyle name="Normal 14 3 2 11 4 2" xfId="38637"/>
    <cellStyle name="Normal 14 3 2 11 5" xfId="9610"/>
    <cellStyle name="Normal 14 3 2 11 5 2" xfId="32197"/>
    <cellStyle name="Normal 14 3 2 11 6" xfId="25757"/>
    <cellStyle name="Normal 14 3 2 12" xfId="463"/>
    <cellStyle name="Normal 14 3 2 12 2" xfId="3750"/>
    <cellStyle name="Normal 14 3 2 12 2 2" xfId="19850"/>
    <cellStyle name="Normal 14 3 2 12 2 2 2" xfId="42437"/>
    <cellStyle name="Normal 14 3 2 12 2 3" xfId="10190"/>
    <cellStyle name="Normal 14 3 2 12 2 3 2" xfId="32777"/>
    <cellStyle name="Normal 14 3 2 12 2 4" xfId="26337"/>
    <cellStyle name="Normal 14 3 2 12 3" xfId="16630"/>
    <cellStyle name="Normal 14 3 2 12 3 2" xfId="39217"/>
    <cellStyle name="Normal 14 3 2 12 4" xfId="13410"/>
    <cellStyle name="Normal 14 3 2 12 4 2" xfId="35997"/>
    <cellStyle name="Normal 14 3 2 12 5" xfId="6970"/>
    <cellStyle name="Normal 14 3 2 12 5 2" xfId="29557"/>
    <cellStyle name="Normal 14 3 2 12 6" xfId="23117"/>
    <cellStyle name="Normal 14 3 2 13" xfId="3460"/>
    <cellStyle name="Normal 14 3 2 13 2" xfId="19560"/>
    <cellStyle name="Normal 14 3 2 13 2 2" xfId="42147"/>
    <cellStyle name="Normal 14 3 2 13 3" xfId="9900"/>
    <cellStyle name="Normal 14 3 2 13 3 2" xfId="32487"/>
    <cellStyle name="Normal 14 3 2 13 4" xfId="26047"/>
    <cellStyle name="Normal 14 3 2 14" xfId="16340"/>
    <cellStyle name="Normal 14 3 2 14 2" xfId="38927"/>
    <cellStyle name="Normal 14 3 2 15" xfId="13120"/>
    <cellStyle name="Normal 14 3 2 15 2" xfId="35707"/>
    <cellStyle name="Normal 14 3 2 16" xfId="6680"/>
    <cellStyle name="Normal 14 3 2 16 2" xfId="29267"/>
    <cellStyle name="Normal 14 3 2 17" xfId="22827"/>
    <cellStyle name="Normal 14 3 2 2" xfId="208"/>
    <cellStyle name="Normal 14 3 2 2 10" xfId="500"/>
    <cellStyle name="Normal 14 3 2 2 10 2" xfId="3787"/>
    <cellStyle name="Normal 14 3 2 2 10 2 2" xfId="19887"/>
    <cellStyle name="Normal 14 3 2 2 10 2 2 2" xfId="42474"/>
    <cellStyle name="Normal 14 3 2 2 10 2 3" xfId="10227"/>
    <cellStyle name="Normal 14 3 2 2 10 2 3 2" xfId="32814"/>
    <cellStyle name="Normal 14 3 2 2 10 2 4" xfId="26374"/>
    <cellStyle name="Normal 14 3 2 2 10 3" xfId="16667"/>
    <cellStyle name="Normal 14 3 2 2 10 3 2" xfId="39254"/>
    <cellStyle name="Normal 14 3 2 2 10 4" xfId="13447"/>
    <cellStyle name="Normal 14 3 2 2 10 4 2" xfId="36034"/>
    <cellStyle name="Normal 14 3 2 2 10 5" xfId="7007"/>
    <cellStyle name="Normal 14 3 2 2 10 5 2" xfId="29594"/>
    <cellStyle name="Normal 14 3 2 2 10 6" xfId="23154"/>
    <cellStyle name="Normal 14 3 2 2 11" xfId="3497"/>
    <cellStyle name="Normal 14 3 2 2 11 2" xfId="19597"/>
    <cellStyle name="Normal 14 3 2 2 11 2 2" xfId="42184"/>
    <cellStyle name="Normal 14 3 2 2 11 3" xfId="9937"/>
    <cellStyle name="Normal 14 3 2 2 11 3 2" xfId="32524"/>
    <cellStyle name="Normal 14 3 2 2 11 4" xfId="26084"/>
    <cellStyle name="Normal 14 3 2 2 12" xfId="16377"/>
    <cellStyle name="Normal 14 3 2 2 12 2" xfId="38964"/>
    <cellStyle name="Normal 14 3 2 2 13" xfId="13157"/>
    <cellStyle name="Normal 14 3 2 2 13 2" xfId="35744"/>
    <cellStyle name="Normal 14 3 2 2 14" xfId="6717"/>
    <cellStyle name="Normal 14 3 2 2 14 2" xfId="29304"/>
    <cellStyle name="Normal 14 3 2 2 15" xfId="22864"/>
    <cellStyle name="Normal 14 3 2 2 2" xfId="307"/>
    <cellStyle name="Normal 14 3 2 2 2 10" xfId="16474"/>
    <cellStyle name="Normal 14 3 2 2 2 10 2" xfId="39061"/>
    <cellStyle name="Normal 14 3 2 2 2 11" xfId="13254"/>
    <cellStyle name="Normal 14 3 2 2 2 11 2" xfId="35841"/>
    <cellStyle name="Normal 14 3 2 2 2 12" xfId="6814"/>
    <cellStyle name="Normal 14 3 2 2 2 12 2" xfId="29401"/>
    <cellStyle name="Normal 14 3 2 2 2 13" xfId="22961"/>
    <cellStyle name="Normal 14 3 2 2 2 2" xfId="1026"/>
    <cellStyle name="Normal 14 3 2 2 2 2 2" xfId="2340"/>
    <cellStyle name="Normal 14 3 2 2 2 2 2 2" xfId="5561"/>
    <cellStyle name="Normal 14 3 2 2 2 2 2 2 2" xfId="21661"/>
    <cellStyle name="Normal 14 3 2 2 2 2 2 2 2 2" xfId="44248"/>
    <cellStyle name="Normal 14 3 2 2 2 2 2 2 3" xfId="12001"/>
    <cellStyle name="Normal 14 3 2 2 2 2 2 2 3 2" xfId="34588"/>
    <cellStyle name="Normal 14 3 2 2 2 2 2 2 4" xfId="28148"/>
    <cellStyle name="Normal 14 3 2 2 2 2 2 3" xfId="18441"/>
    <cellStyle name="Normal 14 3 2 2 2 2 2 3 2" xfId="41028"/>
    <cellStyle name="Normal 14 3 2 2 2 2 2 4" xfId="15221"/>
    <cellStyle name="Normal 14 3 2 2 2 2 2 4 2" xfId="37808"/>
    <cellStyle name="Normal 14 3 2 2 2 2 2 5" xfId="8781"/>
    <cellStyle name="Normal 14 3 2 2 2 2 2 5 2" xfId="31368"/>
    <cellStyle name="Normal 14 3 2 2 2 2 2 6" xfId="24928"/>
    <cellStyle name="Normal 14 3 2 2 2 2 3" xfId="4253"/>
    <cellStyle name="Normal 14 3 2 2 2 2 3 2" xfId="20353"/>
    <cellStyle name="Normal 14 3 2 2 2 2 3 2 2" xfId="42940"/>
    <cellStyle name="Normal 14 3 2 2 2 2 3 3" xfId="10693"/>
    <cellStyle name="Normal 14 3 2 2 2 2 3 3 2" xfId="33280"/>
    <cellStyle name="Normal 14 3 2 2 2 2 3 4" xfId="26840"/>
    <cellStyle name="Normal 14 3 2 2 2 2 4" xfId="17133"/>
    <cellStyle name="Normal 14 3 2 2 2 2 4 2" xfId="39720"/>
    <cellStyle name="Normal 14 3 2 2 2 2 5" xfId="13913"/>
    <cellStyle name="Normal 14 3 2 2 2 2 5 2" xfId="36500"/>
    <cellStyle name="Normal 14 3 2 2 2 2 6" xfId="7473"/>
    <cellStyle name="Normal 14 3 2 2 2 2 6 2" xfId="30060"/>
    <cellStyle name="Normal 14 3 2 2 2 2 7" xfId="23620"/>
    <cellStyle name="Normal 14 3 2 2 2 3" xfId="1373"/>
    <cellStyle name="Normal 14 3 2 2 2 3 2" xfId="2687"/>
    <cellStyle name="Normal 14 3 2 2 2 3 2 2" xfId="5908"/>
    <cellStyle name="Normal 14 3 2 2 2 3 2 2 2" xfId="22008"/>
    <cellStyle name="Normal 14 3 2 2 2 3 2 2 2 2" xfId="44595"/>
    <cellStyle name="Normal 14 3 2 2 2 3 2 2 3" xfId="12348"/>
    <cellStyle name="Normal 14 3 2 2 2 3 2 2 3 2" xfId="34935"/>
    <cellStyle name="Normal 14 3 2 2 2 3 2 2 4" xfId="28495"/>
    <cellStyle name="Normal 14 3 2 2 2 3 2 3" xfId="18788"/>
    <cellStyle name="Normal 14 3 2 2 2 3 2 3 2" xfId="41375"/>
    <cellStyle name="Normal 14 3 2 2 2 3 2 4" xfId="15568"/>
    <cellStyle name="Normal 14 3 2 2 2 3 2 4 2" xfId="38155"/>
    <cellStyle name="Normal 14 3 2 2 2 3 2 5" xfId="9128"/>
    <cellStyle name="Normal 14 3 2 2 2 3 2 5 2" xfId="31715"/>
    <cellStyle name="Normal 14 3 2 2 2 3 2 6" xfId="25275"/>
    <cellStyle name="Normal 14 3 2 2 2 3 3" xfId="4600"/>
    <cellStyle name="Normal 14 3 2 2 2 3 3 2" xfId="20700"/>
    <cellStyle name="Normal 14 3 2 2 2 3 3 2 2" xfId="43287"/>
    <cellStyle name="Normal 14 3 2 2 2 3 3 3" xfId="11040"/>
    <cellStyle name="Normal 14 3 2 2 2 3 3 3 2" xfId="33627"/>
    <cellStyle name="Normal 14 3 2 2 2 3 3 4" xfId="27187"/>
    <cellStyle name="Normal 14 3 2 2 2 3 4" xfId="17480"/>
    <cellStyle name="Normal 14 3 2 2 2 3 4 2" xfId="40067"/>
    <cellStyle name="Normal 14 3 2 2 2 3 5" xfId="14260"/>
    <cellStyle name="Normal 14 3 2 2 2 3 5 2" xfId="36847"/>
    <cellStyle name="Normal 14 3 2 2 2 3 6" xfId="7820"/>
    <cellStyle name="Normal 14 3 2 2 2 3 6 2" xfId="30407"/>
    <cellStyle name="Normal 14 3 2 2 2 3 7" xfId="23967"/>
    <cellStyle name="Normal 14 3 2 2 2 4" xfId="1587"/>
    <cellStyle name="Normal 14 3 2 2 2 4 2" xfId="4813"/>
    <cellStyle name="Normal 14 3 2 2 2 4 2 2" xfId="20913"/>
    <cellStyle name="Normal 14 3 2 2 2 4 2 2 2" xfId="43500"/>
    <cellStyle name="Normal 14 3 2 2 2 4 2 3" xfId="11253"/>
    <cellStyle name="Normal 14 3 2 2 2 4 2 3 2" xfId="33840"/>
    <cellStyle name="Normal 14 3 2 2 2 4 2 4" xfId="27400"/>
    <cellStyle name="Normal 14 3 2 2 2 4 3" xfId="17693"/>
    <cellStyle name="Normal 14 3 2 2 2 4 3 2" xfId="40280"/>
    <cellStyle name="Normal 14 3 2 2 2 4 4" xfId="14473"/>
    <cellStyle name="Normal 14 3 2 2 2 4 4 2" xfId="37060"/>
    <cellStyle name="Normal 14 3 2 2 2 4 5" xfId="8033"/>
    <cellStyle name="Normal 14 3 2 2 2 4 5 2" xfId="30620"/>
    <cellStyle name="Normal 14 3 2 2 2 4 6" xfId="24180"/>
    <cellStyle name="Normal 14 3 2 2 2 5" xfId="1992"/>
    <cellStyle name="Normal 14 3 2 2 2 5 2" xfId="5214"/>
    <cellStyle name="Normal 14 3 2 2 2 5 2 2" xfId="21314"/>
    <cellStyle name="Normal 14 3 2 2 2 5 2 2 2" xfId="43901"/>
    <cellStyle name="Normal 14 3 2 2 2 5 2 3" xfId="11654"/>
    <cellStyle name="Normal 14 3 2 2 2 5 2 3 2" xfId="34241"/>
    <cellStyle name="Normal 14 3 2 2 2 5 2 4" xfId="27801"/>
    <cellStyle name="Normal 14 3 2 2 2 5 3" xfId="18094"/>
    <cellStyle name="Normal 14 3 2 2 2 5 3 2" xfId="40681"/>
    <cellStyle name="Normal 14 3 2 2 2 5 4" xfId="14874"/>
    <cellStyle name="Normal 14 3 2 2 2 5 4 2" xfId="37461"/>
    <cellStyle name="Normal 14 3 2 2 2 5 5" xfId="8434"/>
    <cellStyle name="Normal 14 3 2 2 2 5 5 2" xfId="31021"/>
    <cellStyle name="Normal 14 3 2 2 2 5 6" xfId="24581"/>
    <cellStyle name="Normal 14 3 2 2 2 6" xfId="3014"/>
    <cellStyle name="Normal 14 3 2 2 2 6 2" xfId="6234"/>
    <cellStyle name="Normal 14 3 2 2 2 6 2 2" xfId="22334"/>
    <cellStyle name="Normal 14 3 2 2 2 6 2 2 2" xfId="44921"/>
    <cellStyle name="Normal 14 3 2 2 2 6 2 3" xfId="12674"/>
    <cellStyle name="Normal 14 3 2 2 2 6 2 3 2" xfId="35261"/>
    <cellStyle name="Normal 14 3 2 2 2 6 2 4" xfId="28821"/>
    <cellStyle name="Normal 14 3 2 2 2 6 3" xfId="19114"/>
    <cellStyle name="Normal 14 3 2 2 2 6 3 2" xfId="41701"/>
    <cellStyle name="Normal 14 3 2 2 2 6 4" xfId="15894"/>
    <cellStyle name="Normal 14 3 2 2 2 6 4 2" xfId="38481"/>
    <cellStyle name="Normal 14 3 2 2 2 6 5" xfId="9454"/>
    <cellStyle name="Normal 14 3 2 2 2 6 5 2" xfId="32041"/>
    <cellStyle name="Normal 14 3 2 2 2 6 6" xfId="25601"/>
    <cellStyle name="Normal 14 3 2 2 2 7" xfId="3304"/>
    <cellStyle name="Normal 14 3 2 2 2 7 2" xfId="6524"/>
    <cellStyle name="Normal 14 3 2 2 2 7 2 2" xfId="22624"/>
    <cellStyle name="Normal 14 3 2 2 2 7 2 2 2" xfId="45211"/>
    <cellStyle name="Normal 14 3 2 2 2 7 2 3" xfId="12964"/>
    <cellStyle name="Normal 14 3 2 2 2 7 2 3 2" xfId="35551"/>
    <cellStyle name="Normal 14 3 2 2 2 7 2 4" xfId="29111"/>
    <cellStyle name="Normal 14 3 2 2 2 7 3" xfId="19404"/>
    <cellStyle name="Normal 14 3 2 2 2 7 3 2" xfId="41991"/>
    <cellStyle name="Normal 14 3 2 2 2 7 4" xfId="16184"/>
    <cellStyle name="Normal 14 3 2 2 2 7 4 2" xfId="38771"/>
    <cellStyle name="Normal 14 3 2 2 2 7 5" xfId="9744"/>
    <cellStyle name="Normal 14 3 2 2 2 7 5 2" xfId="32331"/>
    <cellStyle name="Normal 14 3 2 2 2 7 6" xfId="25891"/>
    <cellStyle name="Normal 14 3 2 2 2 8" xfId="662"/>
    <cellStyle name="Normal 14 3 2 2 2 8 2" xfId="3906"/>
    <cellStyle name="Normal 14 3 2 2 2 8 2 2" xfId="20006"/>
    <cellStyle name="Normal 14 3 2 2 2 8 2 2 2" xfId="42593"/>
    <cellStyle name="Normal 14 3 2 2 2 8 2 3" xfId="10346"/>
    <cellStyle name="Normal 14 3 2 2 2 8 2 3 2" xfId="32933"/>
    <cellStyle name="Normal 14 3 2 2 2 8 2 4" xfId="26493"/>
    <cellStyle name="Normal 14 3 2 2 2 8 3" xfId="16786"/>
    <cellStyle name="Normal 14 3 2 2 2 8 3 2" xfId="39373"/>
    <cellStyle name="Normal 14 3 2 2 2 8 4" xfId="13566"/>
    <cellStyle name="Normal 14 3 2 2 2 8 4 2" xfId="36153"/>
    <cellStyle name="Normal 14 3 2 2 2 8 5" xfId="7126"/>
    <cellStyle name="Normal 14 3 2 2 2 8 5 2" xfId="29713"/>
    <cellStyle name="Normal 14 3 2 2 2 8 6" xfId="23273"/>
    <cellStyle name="Normal 14 3 2 2 2 9" xfId="3594"/>
    <cellStyle name="Normal 14 3 2 2 2 9 2" xfId="19694"/>
    <cellStyle name="Normal 14 3 2 2 2 9 2 2" xfId="42281"/>
    <cellStyle name="Normal 14 3 2 2 2 9 3" xfId="10034"/>
    <cellStyle name="Normal 14 3 2 2 2 9 3 2" xfId="32621"/>
    <cellStyle name="Normal 14 3 2 2 2 9 4" xfId="26181"/>
    <cellStyle name="Normal 14 3 2 2 3" xfId="403"/>
    <cellStyle name="Normal 14 3 2 2 3 10" xfId="13350"/>
    <cellStyle name="Normal 14 3 2 2 3 10 2" xfId="35937"/>
    <cellStyle name="Normal 14 3 2 2 3 11" xfId="6910"/>
    <cellStyle name="Normal 14 3 2 2 3 11 2" xfId="29497"/>
    <cellStyle name="Normal 14 3 2 2 3 12" xfId="23057"/>
    <cellStyle name="Normal 14 3 2 2 3 2" xfId="1185"/>
    <cellStyle name="Normal 14 3 2 2 3 2 2" xfId="2499"/>
    <cellStyle name="Normal 14 3 2 2 3 2 2 2" xfId="5720"/>
    <cellStyle name="Normal 14 3 2 2 3 2 2 2 2" xfId="21820"/>
    <cellStyle name="Normal 14 3 2 2 3 2 2 2 2 2" xfId="44407"/>
    <cellStyle name="Normal 14 3 2 2 3 2 2 2 3" xfId="12160"/>
    <cellStyle name="Normal 14 3 2 2 3 2 2 2 3 2" xfId="34747"/>
    <cellStyle name="Normal 14 3 2 2 3 2 2 2 4" xfId="28307"/>
    <cellStyle name="Normal 14 3 2 2 3 2 2 3" xfId="18600"/>
    <cellStyle name="Normal 14 3 2 2 3 2 2 3 2" xfId="41187"/>
    <cellStyle name="Normal 14 3 2 2 3 2 2 4" xfId="15380"/>
    <cellStyle name="Normal 14 3 2 2 3 2 2 4 2" xfId="37967"/>
    <cellStyle name="Normal 14 3 2 2 3 2 2 5" xfId="8940"/>
    <cellStyle name="Normal 14 3 2 2 3 2 2 5 2" xfId="31527"/>
    <cellStyle name="Normal 14 3 2 2 3 2 2 6" xfId="25087"/>
    <cellStyle name="Normal 14 3 2 2 3 2 3" xfId="4412"/>
    <cellStyle name="Normal 14 3 2 2 3 2 3 2" xfId="20512"/>
    <cellStyle name="Normal 14 3 2 2 3 2 3 2 2" xfId="43099"/>
    <cellStyle name="Normal 14 3 2 2 3 2 3 3" xfId="10852"/>
    <cellStyle name="Normal 14 3 2 2 3 2 3 3 2" xfId="33439"/>
    <cellStyle name="Normal 14 3 2 2 3 2 3 4" xfId="26999"/>
    <cellStyle name="Normal 14 3 2 2 3 2 4" xfId="17292"/>
    <cellStyle name="Normal 14 3 2 2 3 2 4 2" xfId="39879"/>
    <cellStyle name="Normal 14 3 2 2 3 2 5" xfId="14072"/>
    <cellStyle name="Normal 14 3 2 2 3 2 5 2" xfId="36659"/>
    <cellStyle name="Normal 14 3 2 2 3 2 6" xfId="7632"/>
    <cellStyle name="Normal 14 3 2 2 3 2 6 2" xfId="30219"/>
    <cellStyle name="Normal 14 3 2 2 3 2 7" xfId="23779"/>
    <cellStyle name="Normal 14 3 2 2 3 3" xfId="1532"/>
    <cellStyle name="Normal 14 3 2 2 3 3 2" xfId="2846"/>
    <cellStyle name="Normal 14 3 2 2 3 3 2 2" xfId="6067"/>
    <cellStyle name="Normal 14 3 2 2 3 3 2 2 2" xfId="22167"/>
    <cellStyle name="Normal 14 3 2 2 3 3 2 2 2 2" xfId="44754"/>
    <cellStyle name="Normal 14 3 2 2 3 3 2 2 3" xfId="12507"/>
    <cellStyle name="Normal 14 3 2 2 3 3 2 2 3 2" xfId="35094"/>
    <cellStyle name="Normal 14 3 2 2 3 3 2 2 4" xfId="28654"/>
    <cellStyle name="Normal 14 3 2 2 3 3 2 3" xfId="18947"/>
    <cellStyle name="Normal 14 3 2 2 3 3 2 3 2" xfId="41534"/>
    <cellStyle name="Normal 14 3 2 2 3 3 2 4" xfId="15727"/>
    <cellStyle name="Normal 14 3 2 2 3 3 2 4 2" xfId="38314"/>
    <cellStyle name="Normal 14 3 2 2 3 3 2 5" xfId="9287"/>
    <cellStyle name="Normal 14 3 2 2 3 3 2 5 2" xfId="31874"/>
    <cellStyle name="Normal 14 3 2 2 3 3 2 6" xfId="25434"/>
    <cellStyle name="Normal 14 3 2 2 3 3 3" xfId="4759"/>
    <cellStyle name="Normal 14 3 2 2 3 3 3 2" xfId="20859"/>
    <cellStyle name="Normal 14 3 2 2 3 3 3 2 2" xfId="43446"/>
    <cellStyle name="Normal 14 3 2 2 3 3 3 3" xfId="11199"/>
    <cellStyle name="Normal 14 3 2 2 3 3 3 3 2" xfId="33786"/>
    <cellStyle name="Normal 14 3 2 2 3 3 3 4" xfId="27346"/>
    <cellStyle name="Normal 14 3 2 2 3 3 4" xfId="17639"/>
    <cellStyle name="Normal 14 3 2 2 3 3 4 2" xfId="40226"/>
    <cellStyle name="Normal 14 3 2 2 3 3 5" xfId="14419"/>
    <cellStyle name="Normal 14 3 2 2 3 3 5 2" xfId="37006"/>
    <cellStyle name="Normal 14 3 2 2 3 3 6" xfId="7979"/>
    <cellStyle name="Normal 14 3 2 2 3 3 6 2" xfId="30566"/>
    <cellStyle name="Normal 14 3 2 2 3 3 7" xfId="24126"/>
    <cellStyle name="Normal 14 3 2 2 3 4" xfId="2152"/>
    <cellStyle name="Normal 14 3 2 2 3 4 2" xfId="5373"/>
    <cellStyle name="Normal 14 3 2 2 3 4 2 2" xfId="21473"/>
    <cellStyle name="Normal 14 3 2 2 3 4 2 2 2" xfId="44060"/>
    <cellStyle name="Normal 14 3 2 2 3 4 2 3" xfId="11813"/>
    <cellStyle name="Normal 14 3 2 2 3 4 2 3 2" xfId="34400"/>
    <cellStyle name="Normal 14 3 2 2 3 4 2 4" xfId="27960"/>
    <cellStyle name="Normal 14 3 2 2 3 4 3" xfId="18253"/>
    <cellStyle name="Normal 14 3 2 2 3 4 3 2" xfId="40840"/>
    <cellStyle name="Normal 14 3 2 2 3 4 4" xfId="15033"/>
    <cellStyle name="Normal 14 3 2 2 3 4 4 2" xfId="37620"/>
    <cellStyle name="Normal 14 3 2 2 3 4 5" xfId="8593"/>
    <cellStyle name="Normal 14 3 2 2 3 4 5 2" xfId="31180"/>
    <cellStyle name="Normal 14 3 2 2 3 4 6" xfId="24740"/>
    <cellStyle name="Normal 14 3 2 2 3 5" xfId="3110"/>
    <cellStyle name="Normal 14 3 2 2 3 5 2" xfId="6330"/>
    <cellStyle name="Normal 14 3 2 2 3 5 2 2" xfId="22430"/>
    <cellStyle name="Normal 14 3 2 2 3 5 2 2 2" xfId="45017"/>
    <cellStyle name="Normal 14 3 2 2 3 5 2 3" xfId="12770"/>
    <cellStyle name="Normal 14 3 2 2 3 5 2 3 2" xfId="35357"/>
    <cellStyle name="Normal 14 3 2 2 3 5 2 4" xfId="28917"/>
    <cellStyle name="Normal 14 3 2 2 3 5 3" xfId="19210"/>
    <cellStyle name="Normal 14 3 2 2 3 5 3 2" xfId="41797"/>
    <cellStyle name="Normal 14 3 2 2 3 5 4" xfId="15990"/>
    <cellStyle name="Normal 14 3 2 2 3 5 4 2" xfId="38577"/>
    <cellStyle name="Normal 14 3 2 2 3 5 5" xfId="9550"/>
    <cellStyle name="Normal 14 3 2 2 3 5 5 2" xfId="32137"/>
    <cellStyle name="Normal 14 3 2 2 3 5 6" xfId="25697"/>
    <cellStyle name="Normal 14 3 2 2 3 6" xfId="3400"/>
    <cellStyle name="Normal 14 3 2 2 3 6 2" xfId="6620"/>
    <cellStyle name="Normal 14 3 2 2 3 6 2 2" xfId="22720"/>
    <cellStyle name="Normal 14 3 2 2 3 6 2 2 2" xfId="45307"/>
    <cellStyle name="Normal 14 3 2 2 3 6 2 3" xfId="13060"/>
    <cellStyle name="Normal 14 3 2 2 3 6 2 3 2" xfId="35647"/>
    <cellStyle name="Normal 14 3 2 2 3 6 2 4" xfId="29207"/>
    <cellStyle name="Normal 14 3 2 2 3 6 3" xfId="19500"/>
    <cellStyle name="Normal 14 3 2 2 3 6 3 2" xfId="42087"/>
    <cellStyle name="Normal 14 3 2 2 3 6 4" xfId="16280"/>
    <cellStyle name="Normal 14 3 2 2 3 6 4 2" xfId="38867"/>
    <cellStyle name="Normal 14 3 2 2 3 6 5" xfId="9840"/>
    <cellStyle name="Normal 14 3 2 2 3 6 5 2" xfId="32427"/>
    <cellStyle name="Normal 14 3 2 2 3 6 6" xfId="25987"/>
    <cellStyle name="Normal 14 3 2 2 3 7" xfId="833"/>
    <cellStyle name="Normal 14 3 2 2 3 7 2" xfId="4065"/>
    <cellStyle name="Normal 14 3 2 2 3 7 2 2" xfId="20165"/>
    <cellStyle name="Normal 14 3 2 2 3 7 2 2 2" xfId="42752"/>
    <cellStyle name="Normal 14 3 2 2 3 7 2 3" xfId="10505"/>
    <cellStyle name="Normal 14 3 2 2 3 7 2 3 2" xfId="33092"/>
    <cellStyle name="Normal 14 3 2 2 3 7 2 4" xfId="26652"/>
    <cellStyle name="Normal 14 3 2 2 3 7 3" xfId="16945"/>
    <cellStyle name="Normal 14 3 2 2 3 7 3 2" xfId="39532"/>
    <cellStyle name="Normal 14 3 2 2 3 7 4" xfId="13725"/>
    <cellStyle name="Normal 14 3 2 2 3 7 4 2" xfId="36312"/>
    <cellStyle name="Normal 14 3 2 2 3 7 5" xfId="7285"/>
    <cellStyle name="Normal 14 3 2 2 3 7 5 2" xfId="29872"/>
    <cellStyle name="Normal 14 3 2 2 3 7 6" xfId="23432"/>
    <cellStyle name="Normal 14 3 2 2 3 8" xfId="3690"/>
    <cellStyle name="Normal 14 3 2 2 3 8 2" xfId="19790"/>
    <cellStyle name="Normal 14 3 2 2 3 8 2 2" xfId="42377"/>
    <cellStyle name="Normal 14 3 2 2 3 8 3" xfId="10130"/>
    <cellStyle name="Normal 14 3 2 2 3 8 3 2" xfId="32717"/>
    <cellStyle name="Normal 14 3 2 2 3 8 4" xfId="26277"/>
    <cellStyle name="Normal 14 3 2 2 3 9" xfId="16570"/>
    <cellStyle name="Normal 14 3 2 2 3 9 2" xfId="39157"/>
    <cellStyle name="Normal 14 3 2 2 4" xfId="902"/>
    <cellStyle name="Normal 14 3 2 2 4 2" xfId="2221"/>
    <cellStyle name="Normal 14 3 2 2 4 2 2" xfId="5442"/>
    <cellStyle name="Normal 14 3 2 2 4 2 2 2" xfId="21542"/>
    <cellStyle name="Normal 14 3 2 2 4 2 2 2 2" xfId="44129"/>
    <cellStyle name="Normal 14 3 2 2 4 2 2 3" xfId="11882"/>
    <cellStyle name="Normal 14 3 2 2 4 2 2 3 2" xfId="34469"/>
    <cellStyle name="Normal 14 3 2 2 4 2 2 4" xfId="28029"/>
    <cellStyle name="Normal 14 3 2 2 4 2 3" xfId="18322"/>
    <cellStyle name="Normal 14 3 2 2 4 2 3 2" xfId="40909"/>
    <cellStyle name="Normal 14 3 2 2 4 2 4" xfId="15102"/>
    <cellStyle name="Normal 14 3 2 2 4 2 4 2" xfId="37689"/>
    <cellStyle name="Normal 14 3 2 2 4 2 5" xfId="8662"/>
    <cellStyle name="Normal 14 3 2 2 4 2 5 2" xfId="31249"/>
    <cellStyle name="Normal 14 3 2 2 4 2 6" xfId="24809"/>
    <cellStyle name="Normal 14 3 2 2 4 3" xfId="4134"/>
    <cellStyle name="Normal 14 3 2 2 4 3 2" xfId="20234"/>
    <cellStyle name="Normal 14 3 2 2 4 3 2 2" xfId="42821"/>
    <cellStyle name="Normal 14 3 2 2 4 3 3" xfId="10574"/>
    <cellStyle name="Normal 14 3 2 2 4 3 3 2" xfId="33161"/>
    <cellStyle name="Normal 14 3 2 2 4 3 4" xfId="26721"/>
    <cellStyle name="Normal 14 3 2 2 4 4" xfId="17014"/>
    <cellStyle name="Normal 14 3 2 2 4 4 2" xfId="39601"/>
    <cellStyle name="Normal 14 3 2 2 4 5" xfId="13794"/>
    <cellStyle name="Normal 14 3 2 2 4 5 2" xfId="36381"/>
    <cellStyle name="Normal 14 3 2 2 4 6" xfId="7354"/>
    <cellStyle name="Normal 14 3 2 2 4 6 2" xfId="29941"/>
    <cellStyle name="Normal 14 3 2 2 4 7" xfId="23501"/>
    <cellStyle name="Normal 14 3 2 2 5" xfId="1254"/>
    <cellStyle name="Normal 14 3 2 2 5 2" xfId="2568"/>
    <cellStyle name="Normal 14 3 2 2 5 2 2" xfId="5789"/>
    <cellStyle name="Normal 14 3 2 2 5 2 2 2" xfId="21889"/>
    <cellStyle name="Normal 14 3 2 2 5 2 2 2 2" xfId="44476"/>
    <cellStyle name="Normal 14 3 2 2 5 2 2 3" xfId="12229"/>
    <cellStyle name="Normal 14 3 2 2 5 2 2 3 2" xfId="34816"/>
    <cellStyle name="Normal 14 3 2 2 5 2 2 4" xfId="28376"/>
    <cellStyle name="Normal 14 3 2 2 5 2 3" xfId="18669"/>
    <cellStyle name="Normal 14 3 2 2 5 2 3 2" xfId="41256"/>
    <cellStyle name="Normal 14 3 2 2 5 2 4" xfId="15449"/>
    <cellStyle name="Normal 14 3 2 2 5 2 4 2" xfId="38036"/>
    <cellStyle name="Normal 14 3 2 2 5 2 5" xfId="9009"/>
    <cellStyle name="Normal 14 3 2 2 5 2 5 2" xfId="31596"/>
    <cellStyle name="Normal 14 3 2 2 5 2 6" xfId="25156"/>
    <cellStyle name="Normal 14 3 2 2 5 3" xfId="4481"/>
    <cellStyle name="Normal 14 3 2 2 5 3 2" xfId="20581"/>
    <cellStyle name="Normal 14 3 2 2 5 3 2 2" xfId="43168"/>
    <cellStyle name="Normal 14 3 2 2 5 3 3" xfId="10921"/>
    <cellStyle name="Normal 14 3 2 2 5 3 3 2" xfId="33508"/>
    <cellStyle name="Normal 14 3 2 2 5 3 4" xfId="27068"/>
    <cellStyle name="Normal 14 3 2 2 5 4" xfId="17361"/>
    <cellStyle name="Normal 14 3 2 2 5 4 2" xfId="39948"/>
    <cellStyle name="Normal 14 3 2 2 5 5" xfId="14141"/>
    <cellStyle name="Normal 14 3 2 2 5 5 2" xfId="36728"/>
    <cellStyle name="Normal 14 3 2 2 5 6" xfId="7701"/>
    <cellStyle name="Normal 14 3 2 2 5 6 2" xfId="30288"/>
    <cellStyle name="Normal 14 3 2 2 5 7" xfId="23848"/>
    <cellStyle name="Normal 14 3 2 2 6" xfId="1588"/>
    <cellStyle name="Normal 14 3 2 2 6 2" xfId="4814"/>
    <cellStyle name="Normal 14 3 2 2 6 2 2" xfId="20914"/>
    <cellStyle name="Normal 14 3 2 2 6 2 2 2" xfId="43501"/>
    <cellStyle name="Normal 14 3 2 2 6 2 3" xfId="11254"/>
    <cellStyle name="Normal 14 3 2 2 6 2 3 2" xfId="33841"/>
    <cellStyle name="Normal 14 3 2 2 6 2 4" xfId="27401"/>
    <cellStyle name="Normal 14 3 2 2 6 3" xfId="17694"/>
    <cellStyle name="Normal 14 3 2 2 6 3 2" xfId="40281"/>
    <cellStyle name="Normal 14 3 2 2 6 4" xfId="14474"/>
    <cellStyle name="Normal 14 3 2 2 6 4 2" xfId="37061"/>
    <cellStyle name="Normal 14 3 2 2 6 5" xfId="8034"/>
    <cellStyle name="Normal 14 3 2 2 6 5 2" xfId="30621"/>
    <cellStyle name="Normal 14 3 2 2 6 6" xfId="24181"/>
    <cellStyle name="Normal 14 3 2 2 7" xfId="1873"/>
    <cellStyle name="Normal 14 3 2 2 7 2" xfId="5095"/>
    <cellStyle name="Normal 14 3 2 2 7 2 2" xfId="21195"/>
    <cellStyle name="Normal 14 3 2 2 7 2 2 2" xfId="43782"/>
    <cellStyle name="Normal 14 3 2 2 7 2 3" xfId="11535"/>
    <cellStyle name="Normal 14 3 2 2 7 2 3 2" xfId="34122"/>
    <cellStyle name="Normal 14 3 2 2 7 2 4" xfId="27682"/>
    <cellStyle name="Normal 14 3 2 2 7 3" xfId="17975"/>
    <cellStyle name="Normal 14 3 2 2 7 3 2" xfId="40562"/>
    <cellStyle name="Normal 14 3 2 2 7 4" xfId="14755"/>
    <cellStyle name="Normal 14 3 2 2 7 4 2" xfId="37342"/>
    <cellStyle name="Normal 14 3 2 2 7 5" xfId="8315"/>
    <cellStyle name="Normal 14 3 2 2 7 5 2" xfId="30902"/>
    <cellStyle name="Normal 14 3 2 2 7 6" xfId="24462"/>
    <cellStyle name="Normal 14 3 2 2 8" xfId="2916"/>
    <cellStyle name="Normal 14 3 2 2 8 2" xfId="6137"/>
    <cellStyle name="Normal 14 3 2 2 8 2 2" xfId="22237"/>
    <cellStyle name="Normal 14 3 2 2 8 2 2 2" xfId="44824"/>
    <cellStyle name="Normal 14 3 2 2 8 2 3" xfId="12577"/>
    <cellStyle name="Normal 14 3 2 2 8 2 3 2" xfId="35164"/>
    <cellStyle name="Normal 14 3 2 2 8 2 4" xfId="28724"/>
    <cellStyle name="Normal 14 3 2 2 8 3" xfId="19017"/>
    <cellStyle name="Normal 14 3 2 2 8 3 2" xfId="41604"/>
    <cellStyle name="Normal 14 3 2 2 8 4" xfId="15797"/>
    <cellStyle name="Normal 14 3 2 2 8 4 2" xfId="38384"/>
    <cellStyle name="Normal 14 3 2 2 8 5" xfId="9357"/>
    <cellStyle name="Normal 14 3 2 2 8 5 2" xfId="31944"/>
    <cellStyle name="Normal 14 3 2 2 8 6" xfId="25504"/>
    <cellStyle name="Normal 14 3 2 2 9" xfId="3207"/>
    <cellStyle name="Normal 14 3 2 2 9 2" xfId="6427"/>
    <cellStyle name="Normal 14 3 2 2 9 2 2" xfId="22527"/>
    <cellStyle name="Normal 14 3 2 2 9 2 2 2" xfId="45114"/>
    <cellStyle name="Normal 14 3 2 2 9 2 3" xfId="12867"/>
    <cellStyle name="Normal 14 3 2 2 9 2 3 2" xfId="35454"/>
    <cellStyle name="Normal 14 3 2 2 9 2 4" xfId="29014"/>
    <cellStyle name="Normal 14 3 2 2 9 3" xfId="19307"/>
    <cellStyle name="Normal 14 3 2 2 9 3 2" xfId="41894"/>
    <cellStyle name="Normal 14 3 2 2 9 4" xfId="16087"/>
    <cellStyle name="Normal 14 3 2 2 9 4 2" xfId="38674"/>
    <cellStyle name="Normal 14 3 2 2 9 5" xfId="9647"/>
    <cellStyle name="Normal 14 3 2 2 9 5 2" xfId="32234"/>
    <cellStyle name="Normal 14 3 2 2 9 6" xfId="25794"/>
    <cellStyle name="Normal 14 3 2 3" xfId="266"/>
    <cellStyle name="Normal 14 3 2 3 10" xfId="3553"/>
    <cellStyle name="Normal 14 3 2 3 10 2" xfId="19653"/>
    <cellStyle name="Normal 14 3 2 3 10 2 2" xfId="42240"/>
    <cellStyle name="Normal 14 3 2 3 10 3" xfId="9993"/>
    <cellStyle name="Normal 14 3 2 3 10 3 2" xfId="32580"/>
    <cellStyle name="Normal 14 3 2 3 10 4" xfId="26140"/>
    <cellStyle name="Normal 14 3 2 3 11" xfId="16433"/>
    <cellStyle name="Normal 14 3 2 3 11 2" xfId="39020"/>
    <cellStyle name="Normal 14 3 2 3 12" xfId="13213"/>
    <cellStyle name="Normal 14 3 2 3 12 2" xfId="35800"/>
    <cellStyle name="Normal 14 3 2 3 13" xfId="6773"/>
    <cellStyle name="Normal 14 3 2 3 13 2" xfId="29360"/>
    <cellStyle name="Normal 14 3 2 3 14" xfId="22920"/>
    <cellStyle name="Normal 14 3 2 3 2" xfId="699"/>
    <cellStyle name="Normal 14 3 2 3 2 2" xfId="1063"/>
    <cellStyle name="Normal 14 3 2 3 2 2 2" xfId="2377"/>
    <cellStyle name="Normal 14 3 2 3 2 2 2 2" xfId="5598"/>
    <cellStyle name="Normal 14 3 2 3 2 2 2 2 2" xfId="21698"/>
    <cellStyle name="Normal 14 3 2 3 2 2 2 2 2 2" xfId="44285"/>
    <cellStyle name="Normal 14 3 2 3 2 2 2 2 3" xfId="12038"/>
    <cellStyle name="Normal 14 3 2 3 2 2 2 2 3 2" xfId="34625"/>
    <cellStyle name="Normal 14 3 2 3 2 2 2 2 4" xfId="28185"/>
    <cellStyle name="Normal 14 3 2 3 2 2 2 3" xfId="18478"/>
    <cellStyle name="Normal 14 3 2 3 2 2 2 3 2" xfId="41065"/>
    <cellStyle name="Normal 14 3 2 3 2 2 2 4" xfId="15258"/>
    <cellStyle name="Normal 14 3 2 3 2 2 2 4 2" xfId="37845"/>
    <cellStyle name="Normal 14 3 2 3 2 2 2 5" xfId="8818"/>
    <cellStyle name="Normal 14 3 2 3 2 2 2 5 2" xfId="31405"/>
    <cellStyle name="Normal 14 3 2 3 2 2 2 6" xfId="24965"/>
    <cellStyle name="Normal 14 3 2 3 2 2 3" xfId="4290"/>
    <cellStyle name="Normal 14 3 2 3 2 2 3 2" xfId="20390"/>
    <cellStyle name="Normal 14 3 2 3 2 2 3 2 2" xfId="42977"/>
    <cellStyle name="Normal 14 3 2 3 2 2 3 3" xfId="10730"/>
    <cellStyle name="Normal 14 3 2 3 2 2 3 3 2" xfId="33317"/>
    <cellStyle name="Normal 14 3 2 3 2 2 3 4" xfId="26877"/>
    <cellStyle name="Normal 14 3 2 3 2 2 4" xfId="17170"/>
    <cellStyle name="Normal 14 3 2 3 2 2 4 2" xfId="39757"/>
    <cellStyle name="Normal 14 3 2 3 2 2 5" xfId="13950"/>
    <cellStyle name="Normal 14 3 2 3 2 2 5 2" xfId="36537"/>
    <cellStyle name="Normal 14 3 2 3 2 2 6" xfId="7510"/>
    <cellStyle name="Normal 14 3 2 3 2 2 6 2" xfId="30097"/>
    <cellStyle name="Normal 14 3 2 3 2 2 7" xfId="23657"/>
    <cellStyle name="Normal 14 3 2 3 2 3" xfId="1410"/>
    <cellStyle name="Normal 14 3 2 3 2 3 2" xfId="2724"/>
    <cellStyle name="Normal 14 3 2 3 2 3 2 2" xfId="5945"/>
    <cellStyle name="Normal 14 3 2 3 2 3 2 2 2" xfId="22045"/>
    <cellStyle name="Normal 14 3 2 3 2 3 2 2 2 2" xfId="44632"/>
    <cellStyle name="Normal 14 3 2 3 2 3 2 2 3" xfId="12385"/>
    <cellStyle name="Normal 14 3 2 3 2 3 2 2 3 2" xfId="34972"/>
    <cellStyle name="Normal 14 3 2 3 2 3 2 2 4" xfId="28532"/>
    <cellStyle name="Normal 14 3 2 3 2 3 2 3" xfId="18825"/>
    <cellStyle name="Normal 14 3 2 3 2 3 2 3 2" xfId="41412"/>
    <cellStyle name="Normal 14 3 2 3 2 3 2 4" xfId="15605"/>
    <cellStyle name="Normal 14 3 2 3 2 3 2 4 2" xfId="38192"/>
    <cellStyle name="Normal 14 3 2 3 2 3 2 5" xfId="9165"/>
    <cellStyle name="Normal 14 3 2 3 2 3 2 5 2" xfId="31752"/>
    <cellStyle name="Normal 14 3 2 3 2 3 2 6" xfId="25312"/>
    <cellStyle name="Normal 14 3 2 3 2 3 3" xfId="4637"/>
    <cellStyle name="Normal 14 3 2 3 2 3 3 2" xfId="20737"/>
    <cellStyle name="Normal 14 3 2 3 2 3 3 2 2" xfId="43324"/>
    <cellStyle name="Normal 14 3 2 3 2 3 3 3" xfId="11077"/>
    <cellStyle name="Normal 14 3 2 3 2 3 3 3 2" xfId="33664"/>
    <cellStyle name="Normal 14 3 2 3 2 3 3 4" xfId="27224"/>
    <cellStyle name="Normal 14 3 2 3 2 3 4" xfId="17517"/>
    <cellStyle name="Normal 14 3 2 3 2 3 4 2" xfId="40104"/>
    <cellStyle name="Normal 14 3 2 3 2 3 5" xfId="14297"/>
    <cellStyle name="Normal 14 3 2 3 2 3 5 2" xfId="36884"/>
    <cellStyle name="Normal 14 3 2 3 2 3 6" xfId="7857"/>
    <cellStyle name="Normal 14 3 2 3 2 3 6 2" xfId="30444"/>
    <cellStyle name="Normal 14 3 2 3 2 3 7" xfId="24004"/>
    <cellStyle name="Normal 14 3 2 3 2 4" xfId="2029"/>
    <cellStyle name="Normal 14 3 2 3 2 4 2" xfId="5251"/>
    <cellStyle name="Normal 14 3 2 3 2 4 2 2" xfId="21351"/>
    <cellStyle name="Normal 14 3 2 3 2 4 2 2 2" xfId="43938"/>
    <cellStyle name="Normal 14 3 2 3 2 4 2 3" xfId="11691"/>
    <cellStyle name="Normal 14 3 2 3 2 4 2 3 2" xfId="34278"/>
    <cellStyle name="Normal 14 3 2 3 2 4 2 4" xfId="27838"/>
    <cellStyle name="Normal 14 3 2 3 2 4 3" xfId="18131"/>
    <cellStyle name="Normal 14 3 2 3 2 4 3 2" xfId="40718"/>
    <cellStyle name="Normal 14 3 2 3 2 4 4" xfId="14911"/>
    <cellStyle name="Normal 14 3 2 3 2 4 4 2" xfId="37498"/>
    <cellStyle name="Normal 14 3 2 3 2 4 5" xfId="8471"/>
    <cellStyle name="Normal 14 3 2 3 2 4 5 2" xfId="31058"/>
    <cellStyle name="Normal 14 3 2 3 2 4 6" xfId="24618"/>
    <cellStyle name="Normal 14 3 2 3 2 5" xfId="3943"/>
    <cellStyle name="Normal 14 3 2 3 2 5 2" xfId="20043"/>
    <cellStyle name="Normal 14 3 2 3 2 5 2 2" xfId="42630"/>
    <cellStyle name="Normal 14 3 2 3 2 5 3" xfId="10383"/>
    <cellStyle name="Normal 14 3 2 3 2 5 3 2" xfId="32970"/>
    <cellStyle name="Normal 14 3 2 3 2 5 4" xfId="26530"/>
    <cellStyle name="Normal 14 3 2 3 2 6" xfId="16823"/>
    <cellStyle name="Normal 14 3 2 3 2 6 2" xfId="39410"/>
    <cellStyle name="Normal 14 3 2 3 2 7" xfId="13603"/>
    <cellStyle name="Normal 14 3 2 3 2 7 2" xfId="36190"/>
    <cellStyle name="Normal 14 3 2 3 2 8" xfId="7163"/>
    <cellStyle name="Normal 14 3 2 3 2 8 2" xfId="29750"/>
    <cellStyle name="Normal 14 3 2 3 2 9" xfId="23310"/>
    <cellStyle name="Normal 14 3 2 3 3" xfId="942"/>
    <cellStyle name="Normal 14 3 2 3 3 2" xfId="2261"/>
    <cellStyle name="Normal 14 3 2 3 3 2 2" xfId="5482"/>
    <cellStyle name="Normal 14 3 2 3 3 2 2 2" xfId="21582"/>
    <cellStyle name="Normal 14 3 2 3 3 2 2 2 2" xfId="44169"/>
    <cellStyle name="Normal 14 3 2 3 3 2 2 3" xfId="11922"/>
    <cellStyle name="Normal 14 3 2 3 3 2 2 3 2" xfId="34509"/>
    <cellStyle name="Normal 14 3 2 3 3 2 2 4" xfId="28069"/>
    <cellStyle name="Normal 14 3 2 3 3 2 3" xfId="18362"/>
    <cellStyle name="Normal 14 3 2 3 3 2 3 2" xfId="40949"/>
    <cellStyle name="Normal 14 3 2 3 3 2 4" xfId="15142"/>
    <cellStyle name="Normal 14 3 2 3 3 2 4 2" xfId="37729"/>
    <cellStyle name="Normal 14 3 2 3 3 2 5" xfId="8702"/>
    <cellStyle name="Normal 14 3 2 3 3 2 5 2" xfId="31289"/>
    <cellStyle name="Normal 14 3 2 3 3 2 6" xfId="24849"/>
    <cellStyle name="Normal 14 3 2 3 3 3" xfId="4174"/>
    <cellStyle name="Normal 14 3 2 3 3 3 2" xfId="20274"/>
    <cellStyle name="Normal 14 3 2 3 3 3 2 2" xfId="42861"/>
    <cellStyle name="Normal 14 3 2 3 3 3 3" xfId="10614"/>
    <cellStyle name="Normal 14 3 2 3 3 3 3 2" xfId="33201"/>
    <cellStyle name="Normal 14 3 2 3 3 3 4" xfId="26761"/>
    <cellStyle name="Normal 14 3 2 3 3 4" xfId="17054"/>
    <cellStyle name="Normal 14 3 2 3 3 4 2" xfId="39641"/>
    <cellStyle name="Normal 14 3 2 3 3 5" xfId="13834"/>
    <cellStyle name="Normal 14 3 2 3 3 5 2" xfId="36421"/>
    <cellStyle name="Normal 14 3 2 3 3 6" xfId="7394"/>
    <cellStyle name="Normal 14 3 2 3 3 6 2" xfId="29981"/>
    <cellStyle name="Normal 14 3 2 3 3 7" xfId="23541"/>
    <cellStyle name="Normal 14 3 2 3 4" xfId="1294"/>
    <cellStyle name="Normal 14 3 2 3 4 2" xfId="2608"/>
    <cellStyle name="Normal 14 3 2 3 4 2 2" xfId="5829"/>
    <cellStyle name="Normal 14 3 2 3 4 2 2 2" xfId="21929"/>
    <cellStyle name="Normal 14 3 2 3 4 2 2 2 2" xfId="44516"/>
    <cellStyle name="Normal 14 3 2 3 4 2 2 3" xfId="12269"/>
    <cellStyle name="Normal 14 3 2 3 4 2 2 3 2" xfId="34856"/>
    <cellStyle name="Normal 14 3 2 3 4 2 2 4" xfId="28416"/>
    <cellStyle name="Normal 14 3 2 3 4 2 3" xfId="18709"/>
    <cellStyle name="Normal 14 3 2 3 4 2 3 2" xfId="41296"/>
    <cellStyle name="Normal 14 3 2 3 4 2 4" xfId="15489"/>
    <cellStyle name="Normal 14 3 2 3 4 2 4 2" xfId="38076"/>
    <cellStyle name="Normal 14 3 2 3 4 2 5" xfId="9049"/>
    <cellStyle name="Normal 14 3 2 3 4 2 5 2" xfId="31636"/>
    <cellStyle name="Normal 14 3 2 3 4 2 6" xfId="25196"/>
    <cellStyle name="Normal 14 3 2 3 4 3" xfId="4521"/>
    <cellStyle name="Normal 14 3 2 3 4 3 2" xfId="20621"/>
    <cellStyle name="Normal 14 3 2 3 4 3 2 2" xfId="43208"/>
    <cellStyle name="Normal 14 3 2 3 4 3 3" xfId="10961"/>
    <cellStyle name="Normal 14 3 2 3 4 3 3 2" xfId="33548"/>
    <cellStyle name="Normal 14 3 2 3 4 3 4" xfId="27108"/>
    <cellStyle name="Normal 14 3 2 3 4 4" xfId="17401"/>
    <cellStyle name="Normal 14 3 2 3 4 4 2" xfId="39988"/>
    <cellStyle name="Normal 14 3 2 3 4 5" xfId="14181"/>
    <cellStyle name="Normal 14 3 2 3 4 5 2" xfId="36768"/>
    <cellStyle name="Normal 14 3 2 3 4 6" xfId="7741"/>
    <cellStyle name="Normal 14 3 2 3 4 6 2" xfId="30328"/>
    <cellStyle name="Normal 14 3 2 3 4 7" xfId="23888"/>
    <cellStyle name="Normal 14 3 2 3 5" xfId="1589"/>
    <cellStyle name="Normal 14 3 2 3 5 2" xfId="4815"/>
    <cellStyle name="Normal 14 3 2 3 5 2 2" xfId="20915"/>
    <cellStyle name="Normal 14 3 2 3 5 2 2 2" xfId="43502"/>
    <cellStyle name="Normal 14 3 2 3 5 2 3" xfId="11255"/>
    <cellStyle name="Normal 14 3 2 3 5 2 3 2" xfId="33842"/>
    <cellStyle name="Normal 14 3 2 3 5 2 4" xfId="27402"/>
    <cellStyle name="Normal 14 3 2 3 5 3" xfId="17695"/>
    <cellStyle name="Normal 14 3 2 3 5 3 2" xfId="40282"/>
    <cellStyle name="Normal 14 3 2 3 5 4" xfId="14475"/>
    <cellStyle name="Normal 14 3 2 3 5 4 2" xfId="37062"/>
    <cellStyle name="Normal 14 3 2 3 5 5" xfId="8035"/>
    <cellStyle name="Normal 14 3 2 3 5 5 2" xfId="30622"/>
    <cellStyle name="Normal 14 3 2 3 5 6" xfId="24182"/>
    <cellStyle name="Normal 14 3 2 3 6" xfId="1913"/>
    <cellStyle name="Normal 14 3 2 3 6 2" xfId="5135"/>
    <cellStyle name="Normal 14 3 2 3 6 2 2" xfId="21235"/>
    <cellStyle name="Normal 14 3 2 3 6 2 2 2" xfId="43822"/>
    <cellStyle name="Normal 14 3 2 3 6 2 3" xfId="11575"/>
    <cellStyle name="Normal 14 3 2 3 6 2 3 2" xfId="34162"/>
    <cellStyle name="Normal 14 3 2 3 6 2 4" xfId="27722"/>
    <cellStyle name="Normal 14 3 2 3 6 3" xfId="18015"/>
    <cellStyle name="Normal 14 3 2 3 6 3 2" xfId="40602"/>
    <cellStyle name="Normal 14 3 2 3 6 4" xfId="14795"/>
    <cellStyle name="Normal 14 3 2 3 6 4 2" xfId="37382"/>
    <cellStyle name="Normal 14 3 2 3 6 5" xfId="8355"/>
    <cellStyle name="Normal 14 3 2 3 6 5 2" xfId="30942"/>
    <cellStyle name="Normal 14 3 2 3 6 6" xfId="24502"/>
    <cellStyle name="Normal 14 3 2 3 7" xfId="2973"/>
    <cellStyle name="Normal 14 3 2 3 7 2" xfId="6193"/>
    <cellStyle name="Normal 14 3 2 3 7 2 2" xfId="22293"/>
    <cellStyle name="Normal 14 3 2 3 7 2 2 2" xfId="44880"/>
    <cellStyle name="Normal 14 3 2 3 7 2 3" xfId="12633"/>
    <cellStyle name="Normal 14 3 2 3 7 2 3 2" xfId="35220"/>
    <cellStyle name="Normal 14 3 2 3 7 2 4" xfId="28780"/>
    <cellStyle name="Normal 14 3 2 3 7 3" xfId="19073"/>
    <cellStyle name="Normal 14 3 2 3 7 3 2" xfId="41660"/>
    <cellStyle name="Normal 14 3 2 3 7 4" xfId="15853"/>
    <cellStyle name="Normal 14 3 2 3 7 4 2" xfId="38440"/>
    <cellStyle name="Normal 14 3 2 3 7 5" xfId="9413"/>
    <cellStyle name="Normal 14 3 2 3 7 5 2" xfId="32000"/>
    <cellStyle name="Normal 14 3 2 3 7 6" xfId="25560"/>
    <cellStyle name="Normal 14 3 2 3 8" xfId="3263"/>
    <cellStyle name="Normal 14 3 2 3 8 2" xfId="6483"/>
    <cellStyle name="Normal 14 3 2 3 8 2 2" xfId="22583"/>
    <cellStyle name="Normal 14 3 2 3 8 2 2 2" xfId="45170"/>
    <cellStyle name="Normal 14 3 2 3 8 2 3" xfId="12923"/>
    <cellStyle name="Normal 14 3 2 3 8 2 3 2" xfId="35510"/>
    <cellStyle name="Normal 14 3 2 3 8 2 4" xfId="29070"/>
    <cellStyle name="Normal 14 3 2 3 8 3" xfId="19363"/>
    <cellStyle name="Normal 14 3 2 3 8 3 2" xfId="41950"/>
    <cellStyle name="Normal 14 3 2 3 8 4" xfId="16143"/>
    <cellStyle name="Normal 14 3 2 3 8 4 2" xfId="38730"/>
    <cellStyle name="Normal 14 3 2 3 8 5" xfId="9703"/>
    <cellStyle name="Normal 14 3 2 3 8 5 2" xfId="32290"/>
    <cellStyle name="Normal 14 3 2 3 8 6" xfId="25850"/>
    <cellStyle name="Normal 14 3 2 3 9" xfId="540"/>
    <cellStyle name="Normal 14 3 2 3 9 2" xfId="3827"/>
    <cellStyle name="Normal 14 3 2 3 9 2 2" xfId="19927"/>
    <cellStyle name="Normal 14 3 2 3 9 2 2 2" xfId="42514"/>
    <cellStyle name="Normal 14 3 2 3 9 2 3" xfId="10267"/>
    <cellStyle name="Normal 14 3 2 3 9 2 3 2" xfId="32854"/>
    <cellStyle name="Normal 14 3 2 3 9 2 4" xfId="26414"/>
    <cellStyle name="Normal 14 3 2 3 9 3" xfId="16707"/>
    <cellStyle name="Normal 14 3 2 3 9 3 2" xfId="39294"/>
    <cellStyle name="Normal 14 3 2 3 9 4" xfId="13487"/>
    <cellStyle name="Normal 14 3 2 3 9 4 2" xfId="36074"/>
    <cellStyle name="Normal 14 3 2 3 9 5" xfId="7047"/>
    <cellStyle name="Normal 14 3 2 3 9 5 2" xfId="29634"/>
    <cellStyle name="Normal 14 3 2 3 9 6" xfId="23194"/>
    <cellStyle name="Normal 14 3 2 4" xfId="366"/>
    <cellStyle name="Normal 14 3 2 4 10" xfId="16533"/>
    <cellStyle name="Normal 14 3 2 4 10 2" xfId="39120"/>
    <cellStyle name="Normal 14 3 2 4 11" xfId="13313"/>
    <cellStyle name="Normal 14 3 2 4 11 2" xfId="35900"/>
    <cellStyle name="Normal 14 3 2 4 12" xfId="6873"/>
    <cellStyle name="Normal 14 3 2 4 12 2" xfId="29460"/>
    <cellStyle name="Normal 14 3 2 4 13" xfId="23020"/>
    <cellStyle name="Normal 14 3 2 4 2" xfId="989"/>
    <cellStyle name="Normal 14 3 2 4 2 2" xfId="2303"/>
    <cellStyle name="Normal 14 3 2 4 2 2 2" xfId="5524"/>
    <cellStyle name="Normal 14 3 2 4 2 2 2 2" xfId="21624"/>
    <cellStyle name="Normal 14 3 2 4 2 2 2 2 2" xfId="44211"/>
    <cellStyle name="Normal 14 3 2 4 2 2 2 3" xfId="11964"/>
    <cellStyle name="Normal 14 3 2 4 2 2 2 3 2" xfId="34551"/>
    <cellStyle name="Normal 14 3 2 4 2 2 2 4" xfId="28111"/>
    <cellStyle name="Normal 14 3 2 4 2 2 3" xfId="18404"/>
    <cellStyle name="Normal 14 3 2 4 2 2 3 2" xfId="40991"/>
    <cellStyle name="Normal 14 3 2 4 2 2 4" xfId="15184"/>
    <cellStyle name="Normal 14 3 2 4 2 2 4 2" xfId="37771"/>
    <cellStyle name="Normal 14 3 2 4 2 2 5" xfId="8744"/>
    <cellStyle name="Normal 14 3 2 4 2 2 5 2" xfId="31331"/>
    <cellStyle name="Normal 14 3 2 4 2 2 6" xfId="24891"/>
    <cellStyle name="Normal 14 3 2 4 2 3" xfId="4216"/>
    <cellStyle name="Normal 14 3 2 4 2 3 2" xfId="20316"/>
    <cellStyle name="Normal 14 3 2 4 2 3 2 2" xfId="42903"/>
    <cellStyle name="Normal 14 3 2 4 2 3 3" xfId="10656"/>
    <cellStyle name="Normal 14 3 2 4 2 3 3 2" xfId="33243"/>
    <cellStyle name="Normal 14 3 2 4 2 3 4" xfId="26803"/>
    <cellStyle name="Normal 14 3 2 4 2 4" xfId="17096"/>
    <cellStyle name="Normal 14 3 2 4 2 4 2" xfId="39683"/>
    <cellStyle name="Normal 14 3 2 4 2 5" xfId="13876"/>
    <cellStyle name="Normal 14 3 2 4 2 5 2" xfId="36463"/>
    <cellStyle name="Normal 14 3 2 4 2 6" xfId="7436"/>
    <cellStyle name="Normal 14 3 2 4 2 6 2" xfId="30023"/>
    <cellStyle name="Normal 14 3 2 4 2 7" xfId="23583"/>
    <cellStyle name="Normal 14 3 2 4 3" xfId="1336"/>
    <cellStyle name="Normal 14 3 2 4 3 2" xfId="2650"/>
    <cellStyle name="Normal 14 3 2 4 3 2 2" xfId="5871"/>
    <cellStyle name="Normal 14 3 2 4 3 2 2 2" xfId="21971"/>
    <cellStyle name="Normal 14 3 2 4 3 2 2 2 2" xfId="44558"/>
    <cellStyle name="Normal 14 3 2 4 3 2 2 3" xfId="12311"/>
    <cellStyle name="Normal 14 3 2 4 3 2 2 3 2" xfId="34898"/>
    <cellStyle name="Normal 14 3 2 4 3 2 2 4" xfId="28458"/>
    <cellStyle name="Normal 14 3 2 4 3 2 3" xfId="18751"/>
    <cellStyle name="Normal 14 3 2 4 3 2 3 2" xfId="41338"/>
    <cellStyle name="Normal 14 3 2 4 3 2 4" xfId="15531"/>
    <cellStyle name="Normal 14 3 2 4 3 2 4 2" xfId="38118"/>
    <cellStyle name="Normal 14 3 2 4 3 2 5" xfId="9091"/>
    <cellStyle name="Normal 14 3 2 4 3 2 5 2" xfId="31678"/>
    <cellStyle name="Normal 14 3 2 4 3 2 6" xfId="25238"/>
    <cellStyle name="Normal 14 3 2 4 3 3" xfId="4563"/>
    <cellStyle name="Normal 14 3 2 4 3 3 2" xfId="20663"/>
    <cellStyle name="Normal 14 3 2 4 3 3 2 2" xfId="43250"/>
    <cellStyle name="Normal 14 3 2 4 3 3 3" xfId="11003"/>
    <cellStyle name="Normal 14 3 2 4 3 3 3 2" xfId="33590"/>
    <cellStyle name="Normal 14 3 2 4 3 3 4" xfId="27150"/>
    <cellStyle name="Normal 14 3 2 4 3 4" xfId="17443"/>
    <cellStyle name="Normal 14 3 2 4 3 4 2" xfId="40030"/>
    <cellStyle name="Normal 14 3 2 4 3 5" xfId="14223"/>
    <cellStyle name="Normal 14 3 2 4 3 5 2" xfId="36810"/>
    <cellStyle name="Normal 14 3 2 4 3 6" xfId="7783"/>
    <cellStyle name="Normal 14 3 2 4 3 6 2" xfId="30370"/>
    <cellStyle name="Normal 14 3 2 4 3 7" xfId="23930"/>
    <cellStyle name="Normal 14 3 2 4 4" xfId="1590"/>
    <cellStyle name="Normal 14 3 2 4 4 2" xfId="4816"/>
    <cellStyle name="Normal 14 3 2 4 4 2 2" xfId="20916"/>
    <cellStyle name="Normal 14 3 2 4 4 2 2 2" xfId="43503"/>
    <cellStyle name="Normal 14 3 2 4 4 2 3" xfId="11256"/>
    <cellStyle name="Normal 14 3 2 4 4 2 3 2" xfId="33843"/>
    <cellStyle name="Normal 14 3 2 4 4 2 4" xfId="27403"/>
    <cellStyle name="Normal 14 3 2 4 4 3" xfId="17696"/>
    <cellStyle name="Normal 14 3 2 4 4 3 2" xfId="40283"/>
    <cellStyle name="Normal 14 3 2 4 4 4" xfId="14476"/>
    <cellStyle name="Normal 14 3 2 4 4 4 2" xfId="37063"/>
    <cellStyle name="Normal 14 3 2 4 4 5" xfId="8036"/>
    <cellStyle name="Normal 14 3 2 4 4 5 2" xfId="30623"/>
    <cellStyle name="Normal 14 3 2 4 4 6" xfId="24183"/>
    <cellStyle name="Normal 14 3 2 4 5" xfId="1955"/>
    <cellStyle name="Normal 14 3 2 4 5 2" xfId="5177"/>
    <cellStyle name="Normal 14 3 2 4 5 2 2" xfId="21277"/>
    <cellStyle name="Normal 14 3 2 4 5 2 2 2" xfId="43864"/>
    <cellStyle name="Normal 14 3 2 4 5 2 3" xfId="11617"/>
    <cellStyle name="Normal 14 3 2 4 5 2 3 2" xfId="34204"/>
    <cellStyle name="Normal 14 3 2 4 5 2 4" xfId="27764"/>
    <cellStyle name="Normal 14 3 2 4 5 3" xfId="18057"/>
    <cellStyle name="Normal 14 3 2 4 5 3 2" xfId="40644"/>
    <cellStyle name="Normal 14 3 2 4 5 4" xfId="14837"/>
    <cellStyle name="Normal 14 3 2 4 5 4 2" xfId="37424"/>
    <cellStyle name="Normal 14 3 2 4 5 5" xfId="8397"/>
    <cellStyle name="Normal 14 3 2 4 5 5 2" xfId="30984"/>
    <cellStyle name="Normal 14 3 2 4 5 6" xfId="24544"/>
    <cellStyle name="Normal 14 3 2 4 6" xfId="3073"/>
    <cellStyle name="Normal 14 3 2 4 6 2" xfId="6293"/>
    <cellStyle name="Normal 14 3 2 4 6 2 2" xfId="22393"/>
    <cellStyle name="Normal 14 3 2 4 6 2 2 2" xfId="44980"/>
    <cellStyle name="Normal 14 3 2 4 6 2 3" xfId="12733"/>
    <cellStyle name="Normal 14 3 2 4 6 2 3 2" xfId="35320"/>
    <cellStyle name="Normal 14 3 2 4 6 2 4" xfId="28880"/>
    <cellStyle name="Normal 14 3 2 4 6 3" xfId="19173"/>
    <cellStyle name="Normal 14 3 2 4 6 3 2" xfId="41760"/>
    <cellStyle name="Normal 14 3 2 4 6 4" xfId="15953"/>
    <cellStyle name="Normal 14 3 2 4 6 4 2" xfId="38540"/>
    <cellStyle name="Normal 14 3 2 4 6 5" xfId="9513"/>
    <cellStyle name="Normal 14 3 2 4 6 5 2" xfId="32100"/>
    <cellStyle name="Normal 14 3 2 4 6 6" xfId="25660"/>
    <cellStyle name="Normal 14 3 2 4 7" xfId="3363"/>
    <cellStyle name="Normal 14 3 2 4 7 2" xfId="6583"/>
    <cellStyle name="Normal 14 3 2 4 7 2 2" xfId="22683"/>
    <cellStyle name="Normal 14 3 2 4 7 2 2 2" xfId="45270"/>
    <cellStyle name="Normal 14 3 2 4 7 2 3" xfId="13023"/>
    <cellStyle name="Normal 14 3 2 4 7 2 3 2" xfId="35610"/>
    <cellStyle name="Normal 14 3 2 4 7 2 4" xfId="29170"/>
    <cellStyle name="Normal 14 3 2 4 7 3" xfId="19463"/>
    <cellStyle name="Normal 14 3 2 4 7 3 2" xfId="42050"/>
    <cellStyle name="Normal 14 3 2 4 7 4" xfId="16243"/>
    <cellStyle name="Normal 14 3 2 4 7 4 2" xfId="38830"/>
    <cellStyle name="Normal 14 3 2 4 7 5" xfId="9803"/>
    <cellStyle name="Normal 14 3 2 4 7 5 2" xfId="32390"/>
    <cellStyle name="Normal 14 3 2 4 7 6" xfId="25950"/>
    <cellStyle name="Normal 14 3 2 4 8" xfId="625"/>
    <cellStyle name="Normal 14 3 2 4 8 2" xfId="3869"/>
    <cellStyle name="Normal 14 3 2 4 8 2 2" xfId="19969"/>
    <cellStyle name="Normal 14 3 2 4 8 2 2 2" xfId="42556"/>
    <cellStyle name="Normal 14 3 2 4 8 2 3" xfId="10309"/>
    <cellStyle name="Normal 14 3 2 4 8 2 3 2" xfId="32896"/>
    <cellStyle name="Normal 14 3 2 4 8 2 4" xfId="26456"/>
    <cellStyle name="Normal 14 3 2 4 8 3" xfId="16749"/>
    <cellStyle name="Normal 14 3 2 4 8 3 2" xfId="39336"/>
    <cellStyle name="Normal 14 3 2 4 8 4" xfId="13529"/>
    <cellStyle name="Normal 14 3 2 4 8 4 2" xfId="36116"/>
    <cellStyle name="Normal 14 3 2 4 8 5" xfId="7089"/>
    <cellStyle name="Normal 14 3 2 4 8 5 2" xfId="29676"/>
    <cellStyle name="Normal 14 3 2 4 8 6" xfId="23236"/>
    <cellStyle name="Normal 14 3 2 4 9" xfId="3653"/>
    <cellStyle name="Normal 14 3 2 4 9 2" xfId="19753"/>
    <cellStyle name="Normal 14 3 2 4 9 2 2" xfId="42340"/>
    <cellStyle name="Normal 14 3 2 4 9 3" xfId="10093"/>
    <cellStyle name="Normal 14 3 2 4 9 3 2" xfId="32680"/>
    <cellStyle name="Normal 14 3 2 4 9 4" xfId="26240"/>
    <cellStyle name="Normal 14 3 2 5" xfId="795"/>
    <cellStyle name="Normal 14 3 2 5 2" xfId="1147"/>
    <cellStyle name="Normal 14 3 2 5 2 2" xfId="2461"/>
    <cellStyle name="Normal 14 3 2 5 2 2 2" xfId="5682"/>
    <cellStyle name="Normal 14 3 2 5 2 2 2 2" xfId="21782"/>
    <cellStyle name="Normal 14 3 2 5 2 2 2 2 2" xfId="44369"/>
    <cellStyle name="Normal 14 3 2 5 2 2 2 3" xfId="12122"/>
    <cellStyle name="Normal 14 3 2 5 2 2 2 3 2" xfId="34709"/>
    <cellStyle name="Normal 14 3 2 5 2 2 2 4" xfId="28269"/>
    <cellStyle name="Normal 14 3 2 5 2 2 3" xfId="18562"/>
    <cellStyle name="Normal 14 3 2 5 2 2 3 2" xfId="41149"/>
    <cellStyle name="Normal 14 3 2 5 2 2 4" xfId="15342"/>
    <cellStyle name="Normal 14 3 2 5 2 2 4 2" xfId="37929"/>
    <cellStyle name="Normal 14 3 2 5 2 2 5" xfId="8902"/>
    <cellStyle name="Normal 14 3 2 5 2 2 5 2" xfId="31489"/>
    <cellStyle name="Normal 14 3 2 5 2 2 6" xfId="25049"/>
    <cellStyle name="Normal 14 3 2 5 2 3" xfId="4374"/>
    <cellStyle name="Normal 14 3 2 5 2 3 2" xfId="20474"/>
    <cellStyle name="Normal 14 3 2 5 2 3 2 2" xfId="43061"/>
    <cellStyle name="Normal 14 3 2 5 2 3 3" xfId="10814"/>
    <cellStyle name="Normal 14 3 2 5 2 3 3 2" xfId="33401"/>
    <cellStyle name="Normal 14 3 2 5 2 3 4" xfId="26961"/>
    <cellStyle name="Normal 14 3 2 5 2 4" xfId="17254"/>
    <cellStyle name="Normal 14 3 2 5 2 4 2" xfId="39841"/>
    <cellStyle name="Normal 14 3 2 5 2 5" xfId="14034"/>
    <cellStyle name="Normal 14 3 2 5 2 5 2" xfId="36621"/>
    <cellStyle name="Normal 14 3 2 5 2 6" xfId="7594"/>
    <cellStyle name="Normal 14 3 2 5 2 6 2" xfId="30181"/>
    <cellStyle name="Normal 14 3 2 5 2 7" xfId="23741"/>
    <cellStyle name="Normal 14 3 2 5 3" xfId="1494"/>
    <cellStyle name="Normal 14 3 2 5 3 2" xfId="2808"/>
    <cellStyle name="Normal 14 3 2 5 3 2 2" xfId="6029"/>
    <cellStyle name="Normal 14 3 2 5 3 2 2 2" xfId="22129"/>
    <cellStyle name="Normal 14 3 2 5 3 2 2 2 2" xfId="44716"/>
    <cellStyle name="Normal 14 3 2 5 3 2 2 3" xfId="12469"/>
    <cellStyle name="Normal 14 3 2 5 3 2 2 3 2" xfId="35056"/>
    <cellStyle name="Normal 14 3 2 5 3 2 2 4" xfId="28616"/>
    <cellStyle name="Normal 14 3 2 5 3 2 3" xfId="18909"/>
    <cellStyle name="Normal 14 3 2 5 3 2 3 2" xfId="41496"/>
    <cellStyle name="Normal 14 3 2 5 3 2 4" xfId="15689"/>
    <cellStyle name="Normal 14 3 2 5 3 2 4 2" xfId="38276"/>
    <cellStyle name="Normal 14 3 2 5 3 2 5" xfId="9249"/>
    <cellStyle name="Normal 14 3 2 5 3 2 5 2" xfId="31836"/>
    <cellStyle name="Normal 14 3 2 5 3 2 6" xfId="25396"/>
    <cellStyle name="Normal 14 3 2 5 3 3" xfId="4721"/>
    <cellStyle name="Normal 14 3 2 5 3 3 2" xfId="20821"/>
    <cellStyle name="Normal 14 3 2 5 3 3 2 2" xfId="43408"/>
    <cellStyle name="Normal 14 3 2 5 3 3 3" xfId="11161"/>
    <cellStyle name="Normal 14 3 2 5 3 3 3 2" xfId="33748"/>
    <cellStyle name="Normal 14 3 2 5 3 3 4" xfId="27308"/>
    <cellStyle name="Normal 14 3 2 5 3 4" xfId="17601"/>
    <cellStyle name="Normal 14 3 2 5 3 4 2" xfId="40188"/>
    <cellStyle name="Normal 14 3 2 5 3 5" xfId="14381"/>
    <cellStyle name="Normal 14 3 2 5 3 5 2" xfId="36968"/>
    <cellStyle name="Normal 14 3 2 5 3 6" xfId="7941"/>
    <cellStyle name="Normal 14 3 2 5 3 6 2" xfId="30528"/>
    <cellStyle name="Normal 14 3 2 5 3 7" xfId="24088"/>
    <cellStyle name="Normal 14 3 2 5 4" xfId="2114"/>
    <cellStyle name="Normal 14 3 2 5 4 2" xfId="5335"/>
    <cellStyle name="Normal 14 3 2 5 4 2 2" xfId="21435"/>
    <cellStyle name="Normal 14 3 2 5 4 2 2 2" xfId="44022"/>
    <cellStyle name="Normal 14 3 2 5 4 2 3" xfId="11775"/>
    <cellStyle name="Normal 14 3 2 5 4 2 3 2" xfId="34362"/>
    <cellStyle name="Normal 14 3 2 5 4 2 4" xfId="27922"/>
    <cellStyle name="Normal 14 3 2 5 4 3" xfId="18215"/>
    <cellStyle name="Normal 14 3 2 5 4 3 2" xfId="40802"/>
    <cellStyle name="Normal 14 3 2 5 4 4" xfId="14995"/>
    <cellStyle name="Normal 14 3 2 5 4 4 2" xfId="37582"/>
    <cellStyle name="Normal 14 3 2 5 4 5" xfId="8555"/>
    <cellStyle name="Normal 14 3 2 5 4 5 2" xfId="31142"/>
    <cellStyle name="Normal 14 3 2 5 4 6" xfId="24702"/>
    <cellStyle name="Normal 14 3 2 5 5" xfId="4027"/>
    <cellStyle name="Normal 14 3 2 5 5 2" xfId="20127"/>
    <cellStyle name="Normal 14 3 2 5 5 2 2" xfId="42714"/>
    <cellStyle name="Normal 14 3 2 5 5 3" xfId="10467"/>
    <cellStyle name="Normal 14 3 2 5 5 3 2" xfId="33054"/>
    <cellStyle name="Normal 14 3 2 5 5 4" xfId="26614"/>
    <cellStyle name="Normal 14 3 2 5 6" xfId="16907"/>
    <cellStyle name="Normal 14 3 2 5 6 2" xfId="39494"/>
    <cellStyle name="Normal 14 3 2 5 7" xfId="13687"/>
    <cellStyle name="Normal 14 3 2 5 7 2" xfId="36274"/>
    <cellStyle name="Normal 14 3 2 5 8" xfId="7247"/>
    <cellStyle name="Normal 14 3 2 5 8 2" xfId="29834"/>
    <cellStyle name="Normal 14 3 2 5 9" xfId="23394"/>
    <cellStyle name="Normal 14 3 2 6" xfId="865"/>
    <cellStyle name="Normal 14 3 2 6 2" xfId="2184"/>
    <cellStyle name="Normal 14 3 2 6 2 2" xfId="5405"/>
    <cellStyle name="Normal 14 3 2 6 2 2 2" xfId="21505"/>
    <cellStyle name="Normal 14 3 2 6 2 2 2 2" xfId="44092"/>
    <cellStyle name="Normal 14 3 2 6 2 2 3" xfId="11845"/>
    <cellStyle name="Normal 14 3 2 6 2 2 3 2" xfId="34432"/>
    <cellStyle name="Normal 14 3 2 6 2 2 4" xfId="27992"/>
    <cellStyle name="Normal 14 3 2 6 2 3" xfId="18285"/>
    <cellStyle name="Normal 14 3 2 6 2 3 2" xfId="40872"/>
    <cellStyle name="Normal 14 3 2 6 2 4" xfId="15065"/>
    <cellStyle name="Normal 14 3 2 6 2 4 2" xfId="37652"/>
    <cellStyle name="Normal 14 3 2 6 2 5" xfId="8625"/>
    <cellStyle name="Normal 14 3 2 6 2 5 2" xfId="31212"/>
    <cellStyle name="Normal 14 3 2 6 2 6" xfId="24772"/>
    <cellStyle name="Normal 14 3 2 6 3" xfId="4097"/>
    <cellStyle name="Normal 14 3 2 6 3 2" xfId="20197"/>
    <cellStyle name="Normal 14 3 2 6 3 2 2" xfId="42784"/>
    <cellStyle name="Normal 14 3 2 6 3 3" xfId="10537"/>
    <cellStyle name="Normal 14 3 2 6 3 3 2" xfId="33124"/>
    <cellStyle name="Normal 14 3 2 6 3 4" xfId="26684"/>
    <cellStyle name="Normal 14 3 2 6 4" xfId="16977"/>
    <cellStyle name="Normal 14 3 2 6 4 2" xfId="39564"/>
    <cellStyle name="Normal 14 3 2 6 5" xfId="13757"/>
    <cellStyle name="Normal 14 3 2 6 5 2" xfId="36344"/>
    <cellStyle name="Normal 14 3 2 6 6" xfId="7317"/>
    <cellStyle name="Normal 14 3 2 6 6 2" xfId="29904"/>
    <cellStyle name="Normal 14 3 2 6 7" xfId="23464"/>
    <cellStyle name="Normal 14 3 2 7" xfId="1217"/>
    <cellStyle name="Normal 14 3 2 7 2" xfId="2531"/>
    <cellStyle name="Normal 14 3 2 7 2 2" xfId="5752"/>
    <cellStyle name="Normal 14 3 2 7 2 2 2" xfId="21852"/>
    <cellStyle name="Normal 14 3 2 7 2 2 2 2" xfId="44439"/>
    <cellStyle name="Normal 14 3 2 7 2 2 3" xfId="12192"/>
    <cellStyle name="Normal 14 3 2 7 2 2 3 2" xfId="34779"/>
    <cellStyle name="Normal 14 3 2 7 2 2 4" xfId="28339"/>
    <cellStyle name="Normal 14 3 2 7 2 3" xfId="18632"/>
    <cellStyle name="Normal 14 3 2 7 2 3 2" xfId="41219"/>
    <cellStyle name="Normal 14 3 2 7 2 4" xfId="15412"/>
    <cellStyle name="Normal 14 3 2 7 2 4 2" xfId="37999"/>
    <cellStyle name="Normal 14 3 2 7 2 5" xfId="8972"/>
    <cellStyle name="Normal 14 3 2 7 2 5 2" xfId="31559"/>
    <cellStyle name="Normal 14 3 2 7 2 6" xfId="25119"/>
    <cellStyle name="Normal 14 3 2 7 3" xfId="4444"/>
    <cellStyle name="Normal 14 3 2 7 3 2" xfId="20544"/>
    <cellStyle name="Normal 14 3 2 7 3 2 2" xfId="43131"/>
    <cellStyle name="Normal 14 3 2 7 3 3" xfId="10884"/>
    <cellStyle name="Normal 14 3 2 7 3 3 2" xfId="33471"/>
    <cellStyle name="Normal 14 3 2 7 3 4" xfId="27031"/>
    <cellStyle name="Normal 14 3 2 7 4" xfId="17324"/>
    <cellStyle name="Normal 14 3 2 7 4 2" xfId="39911"/>
    <cellStyle name="Normal 14 3 2 7 5" xfId="14104"/>
    <cellStyle name="Normal 14 3 2 7 5 2" xfId="36691"/>
    <cellStyle name="Normal 14 3 2 7 6" xfId="7664"/>
    <cellStyle name="Normal 14 3 2 7 6 2" xfId="30251"/>
    <cellStyle name="Normal 14 3 2 7 7" xfId="23811"/>
    <cellStyle name="Normal 14 3 2 8" xfId="1591"/>
    <cellStyle name="Normal 14 3 2 8 2" xfId="4817"/>
    <cellStyle name="Normal 14 3 2 8 2 2" xfId="20917"/>
    <cellStyle name="Normal 14 3 2 8 2 2 2" xfId="43504"/>
    <cellStyle name="Normal 14 3 2 8 2 3" xfId="11257"/>
    <cellStyle name="Normal 14 3 2 8 2 3 2" xfId="33844"/>
    <cellStyle name="Normal 14 3 2 8 2 4" xfId="27404"/>
    <cellStyle name="Normal 14 3 2 8 3" xfId="17697"/>
    <cellStyle name="Normal 14 3 2 8 3 2" xfId="40284"/>
    <cellStyle name="Normal 14 3 2 8 4" xfId="14477"/>
    <cellStyle name="Normal 14 3 2 8 4 2" xfId="37064"/>
    <cellStyle name="Normal 14 3 2 8 5" xfId="8037"/>
    <cellStyle name="Normal 14 3 2 8 5 2" xfId="30624"/>
    <cellStyle name="Normal 14 3 2 8 6" xfId="24184"/>
    <cellStyle name="Normal 14 3 2 9" xfId="1836"/>
    <cellStyle name="Normal 14 3 2 9 2" xfId="5058"/>
    <cellStyle name="Normal 14 3 2 9 2 2" xfId="21158"/>
    <cellStyle name="Normal 14 3 2 9 2 2 2" xfId="43745"/>
    <cellStyle name="Normal 14 3 2 9 2 3" xfId="11498"/>
    <cellStyle name="Normal 14 3 2 9 2 3 2" xfId="34085"/>
    <cellStyle name="Normal 14 3 2 9 2 4" xfId="27645"/>
    <cellStyle name="Normal 14 3 2 9 3" xfId="17938"/>
    <cellStyle name="Normal 14 3 2 9 3 2" xfId="40525"/>
    <cellStyle name="Normal 14 3 2 9 4" xfId="14718"/>
    <cellStyle name="Normal 14 3 2 9 4 2" xfId="37305"/>
    <cellStyle name="Normal 14 3 2 9 5" xfId="8278"/>
    <cellStyle name="Normal 14 3 2 9 5 2" xfId="30865"/>
    <cellStyle name="Normal 14 3 2 9 6" xfId="24425"/>
    <cellStyle name="Normal 14 3 3" xfId="142"/>
    <cellStyle name="Normal 14 3 3 10" xfId="480"/>
    <cellStyle name="Normal 14 3 3 10 2" xfId="3767"/>
    <cellStyle name="Normal 14 3 3 10 2 2" xfId="19867"/>
    <cellStyle name="Normal 14 3 3 10 2 2 2" xfId="42454"/>
    <cellStyle name="Normal 14 3 3 10 2 3" xfId="10207"/>
    <cellStyle name="Normal 14 3 3 10 2 3 2" xfId="32794"/>
    <cellStyle name="Normal 14 3 3 10 2 4" xfId="26354"/>
    <cellStyle name="Normal 14 3 3 10 3" xfId="16647"/>
    <cellStyle name="Normal 14 3 3 10 3 2" xfId="39234"/>
    <cellStyle name="Normal 14 3 3 10 4" xfId="13427"/>
    <cellStyle name="Normal 14 3 3 10 4 2" xfId="36014"/>
    <cellStyle name="Normal 14 3 3 10 5" xfId="6987"/>
    <cellStyle name="Normal 14 3 3 10 5 2" xfId="29574"/>
    <cellStyle name="Normal 14 3 3 10 6" xfId="23134"/>
    <cellStyle name="Normal 14 3 3 11" xfId="3477"/>
    <cellStyle name="Normal 14 3 3 11 2" xfId="19577"/>
    <cellStyle name="Normal 14 3 3 11 2 2" xfId="42164"/>
    <cellStyle name="Normal 14 3 3 11 3" xfId="9917"/>
    <cellStyle name="Normal 14 3 3 11 3 2" xfId="32504"/>
    <cellStyle name="Normal 14 3 3 11 4" xfId="26064"/>
    <cellStyle name="Normal 14 3 3 12" xfId="16357"/>
    <cellStyle name="Normal 14 3 3 12 2" xfId="38944"/>
    <cellStyle name="Normal 14 3 3 13" xfId="13137"/>
    <cellStyle name="Normal 14 3 3 13 2" xfId="35724"/>
    <cellStyle name="Normal 14 3 3 14" xfId="6697"/>
    <cellStyle name="Normal 14 3 3 14 2" xfId="29284"/>
    <cellStyle name="Normal 14 3 3 15" xfId="22844"/>
    <cellStyle name="Normal 14 3 3 2" xfId="288"/>
    <cellStyle name="Normal 14 3 3 2 10" xfId="16455"/>
    <cellStyle name="Normal 14 3 3 2 10 2" xfId="39042"/>
    <cellStyle name="Normal 14 3 3 2 11" xfId="13235"/>
    <cellStyle name="Normal 14 3 3 2 11 2" xfId="35822"/>
    <cellStyle name="Normal 14 3 3 2 12" xfId="6795"/>
    <cellStyle name="Normal 14 3 3 2 12 2" xfId="29382"/>
    <cellStyle name="Normal 14 3 3 2 13" xfId="22942"/>
    <cellStyle name="Normal 14 3 3 2 2" xfId="1006"/>
    <cellStyle name="Normal 14 3 3 2 2 2" xfId="2320"/>
    <cellStyle name="Normal 14 3 3 2 2 2 2" xfId="5541"/>
    <cellStyle name="Normal 14 3 3 2 2 2 2 2" xfId="21641"/>
    <cellStyle name="Normal 14 3 3 2 2 2 2 2 2" xfId="44228"/>
    <cellStyle name="Normal 14 3 3 2 2 2 2 3" xfId="11981"/>
    <cellStyle name="Normal 14 3 3 2 2 2 2 3 2" xfId="34568"/>
    <cellStyle name="Normal 14 3 3 2 2 2 2 4" xfId="28128"/>
    <cellStyle name="Normal 14 3 3 2 2 2 3" xfId="18421"/>
    <cellStyle name="Normal 14 3 3 2 2 2 3 2" xfId="41008"/>
    <cellStyle name="Normal 14 3 3 2 2 2 4" xfId="15201"/>
    <cellStyle name="Normal 14 3 3 2 2 2 4 2" xfId="37788"/>
    <cellStyle name="Normal 14 3 3 2 2 2 5" xfId="8761"/>
    <cellStyle name="Normal 14 3 3 2 2 2 5 2" xfId="31348"/>
    <cellStyle name="Normal 14 3 3 2 2 2 6" xfId="24908"/>
    <cellStyle name="Normal 14 3 3 2 2 3" xfId="4233"/>
    <cellStyle name="Normal 14 3 3 2 2 3 2" xfId="20333"/>
    <cellStyle name="Normal 14 3 3 2 2 3 2 2" xfId="42920"/>
    <cellStyle name="Normal 14 3 3 2 2 3 3" xfId="10673"/>
    <cellStyle name="Normal 14 3 3 2 2 3 3 2" xfId="33260"/>
    <cellStyle name="Normal 14 3 3 2 2 3 4" xfId="26820"/>
    <cellStyle name="Normal 14 3 3 2 2 4" xfId="17113"/>
    <cellStyle name="Normal 14 3 3 2 2 4 2" xfId="39700"/>
    <cellStyle name="Normal 14 3 3 2 2 5" xfId="13893"/>
    <cellStyle name="Normal 14 3 3 2 2 5 2" xfId="36480"/>
    <cellStyle name="Normal 14 3 3 2 2 6" xfId="7453"/>
    <cellStyle name="Normal 14 3 3 2 2 6 2" xfId="30040"/>
    <cellStyle name="Normal 14 3 3 2 2 7" xfId="23600"/>
    <cellStyle name="Normal 14 3 3 2 3" xfId="1353"/>
    <cellStyle name="Normal 14 3 3 2 3 2" xfId="2667"/>
    <cellStyle name="Normal 14 3 3 2 3 2 2" xfId="5888"/>
    <cellStyle name="Normal 14 3 3 2 3 2 2 2" xfId="21988"/>
    <cellStyle name="Normal 14 3 3 2 3 2 2 2 2" xfId="44575"/>
    <cellStyle name="Normal 14 3 3 2 3 2 2 3" xfId="12328"/>
    <cellStyle name="Normal 14 3 3 2 3 2 2 3 2" xfId="34915"/>
    <cellStyle name="Normal 14 3 3 2 3 2 2 4" xfId="28475"/>
    <cellStyle name="Normal 14 3 3 2 3 2 3" xfId="18768"/>
    <cellStyle name="Normal 14 3 3 2 3 2 3 2" xfId="41355"/>
    <cellStyle name="Normal 14 3 3 2 3 2 4" xfId="15548"/>
    <cellStyle name="Normal 14 3 3 2 3 2 4 2" xfId="38135"/>
    <cellStyle name="Normal 14 3 3 2 3 2 5" xfId="9108"/>
    <cellStyle name="Normal 14 3 3 2 3 2 5 2" xfId="31695"/>
    <cellStyle name="Normal 14 3 3 2 3 2 6" xfId="25255"/>
    <cellStyle name="Normal 14 3 3 2 3 3" xfId="4580"/>
    <cellStyle name="Normal 14 3 3 2 3 3 2" xfId="20680"/>
    <cellStyle name="Normal 14 3 3 2 3 3 2 2" xfId="43267"/>
    <cellStyle name="Normal 14 3 3 2 3 3 3" xfId="11020"/>
    <cellStyle name="Normal 14 3 3 2 3 3 3 2" xfId="33607"/>
    <cellStyle name="Normal 14 3 3 2 3 3 4" xfId="27167"/>
    <cellStyle name="Normal 14 3 3 2 3 4" xfId="17460"/>
    <cellStyle name="Normal 14 3 3 2 3 4 2" xfId="40047"/>
    <cellStyle name="Normal 14 3 3 2 3 5" xfId="14240"/>
    <cellStyle name="Normal 14 3 3 2 3 5 2" xfId="36827"/>
    <cellStyle name="Normal 14 3 3 2 3 6" xfId="7800"/>
    <cellStyle name="Normal 14 3 3 2 3 6 2" xfId="30387"/>
    <cellStyle name="Normal 14 3 3 2 3 7" xfId="23947"/>
    <cellStyle name="Normal 14 3 3 2 4" xfId="1592"/>
    <cellStyle name="Normal 14 3 3 2 4 2" xfId="4818"/>
    <cellStyle name="Normal 14 3 3 2 4 2 2" xfId="20918"/>
    <cellStyle name="Normal 14 3 3 2 4 2 2 2" xfId="43505"/>
    <cellStyle name="Normal 14 3 3 2 4 2 3" xfId="11258"/>
    <cellStyle name="Normal 14 3 3 2 4 2 3 2" xfId="33845"/>
    <cellStyle name="Normal 14 3 3 2 4 2 4" xfId="27405"/>
    <cellStyle name="Normal 14 3 3 2 4 3" xfId="17698"/>
    <cellStyle name="Normal 14 3 3 2 4 3 2" xfId="40285"/>
    <cellStyle name="Normal 14 3 3 2 4 4" xfId="14478"/>
    <cellStyle name="Normal 14 3 3 2 4 4 2" xfId="37065"/>
    <cellStyle name="Normal 14 3 3 2 4 5" xfId="8038"/>
    <cellStyle name="Normal 14 3 3 2 4 5 2" xfId="30625"/>
    <cellStyle name="Normal 14 3 3 2 4 6" xfId="24185"/>
    <cellStyle name="Normal 14 3 3 2 5" xfId="1972"/>
    <cellStyle name="Normal 14 3 3 2 5 2" xfId="5194"/>
    <cellStyle name="Normal 14 3 3 2 5 2 2" xfId="21294"/>
    <cellStyle name="Normal 14 3 3 2 5 2 2 2" xfId="43881"/>
    <cellStyle name="Normal 14 3 3 2 5 2 3" xfId="11634"/>
    <cellStyle name="Normal 14 3 3 2 5 2 3 2" xfId="34221"/>
    <cellStyle name="Normal 14 3 3 2 5 2 4" xfId="27781"/>
    <cellStyle name="Normal 14 3 3 2 5 3" xfId="18074"/>
    <cellStyle name="Normal 14 3 3 2 5 3 2" xfId="40661"/>
    <cellStyle name="Normal 14 3 3 2 5 4" xfId="14854"/>
    <cellStyle name="Normal 14 3 3 2 5 4 2" xfId="37441"/>
    <cellStyle name="Normal 14 3 3 2 5 5" xfId="8414"/>
    <cellStyle name="Normal 14 3 3 2 5 5 2" xfId="31001"/>
    <cellStyle name="Normal 14 3 3 2 5 6" xfId="24561"/>
    <cellStyle name="Normal 14 3 3 2 6" xfId="2995"/>
    <cellStyle name="Normal 14 3 3 2 6 2" xfId="6215"/>
    <cellStyle name="Normal 14 3 3 2 6 2 2" xfId="22315"/>
    <cellStyle name="Normal 14 3 3 2 6 2 2 2" xfId="44902"/>
    <cellStyle name="Normal 14 3 3 2 6 2 3" xfId="12655"/>
    <cellStyle name="Normal 14 3 3 2 6 2 3 2" xfId="35242"/>
    <cellStyle name="Normal 14 3 3 2 6 2 4" xfId="28802"/>
    <cellStyle name="Normal 14 3 3 2 6 3" xfId="19095"/>
    <cellStyle name="Normal 14 3 3 2 6 3 2" xfId="41682"/>
    <cellStyle name="Normal 14 3 3 2 6 4" xfId="15875"/>
    <cellStyle name="Normal 14 3 3 2 6 4 2" xfId="38462"/>
    <cellStyle name="Normal 14 3 3 2 6 5" xfId="9435"/>
    <cellStyle name="Normal 14 3 3 2 6 5 2" xfId="32022"/>
    <cellStyle name="Normal 14 3 3 2 6 6" xfId="25582"/>
    <cellStyle name="Normal 14 3 3 2 7" xfId="3285"/>
    <cellStyle name="Normal 14 3 3 2 7 2" xfId="6505"/>
    <cellStyle name="Normal 14 3 3 2 7 2 2" xfId="22605"/>
    <cellStyle name="Normal 14 3 3 2 7 2 2 2" xfId="45192"/>
    <cellStyle name="Normal 14 3 3 2 7 2 3" xfId="12945"/>
    <cellStyle name="Normal 14 3 3 2 7 2 3 2" xfId="35532"/>
    <cellStyle name="Normal 14 3 3 2 7 2 4" xfId="29092"/>
    <cellStyle name="Normal 14 3 3 2 7 3" xfId="19385"/>
    <cellStyle name="Normal 14 3 3 2 7 3 2" xfId="41972"/>
    <cellStyle name="Normal 14 3 3 2 7 4" xfId="16165"/>
    <cellStyle name="Normal 14 3 3 2 7 4 2" xfId="38752"/>
    <cellStyle name="Normal 14 3 3 2 7 5" xfId="9725"/>
    <cellStyle name="Normal 14 3 3 2 7 5 2" xfId="32312"/>
    <cellStyle name="Normal 14 3 3 2 7 6" xfId="25872"/>
    <cellStyle name="Normal 14 3 3 2 8" xfId="642"/>
    <cellStyle name="Normal 14 3 3 2 8 2" xfId="3886"/>
    <cellStyle name="Normal 14 3 3 2 8 2 2" xfId="19986"/>
    <cellStyle name="Normal 14 3 3 2 8 2 2 2" xfId="42573"/>
    <cellStyle name="Normal 14 3 3 2 8 2 3" xfId="10326"/>
    <cellStyle name="Normal 14 3 3 2 8 2 3 2" xfId="32913"/>
    <cellStyle name="Normal 14 3 3 2 8 2 4" xfId="26473"/>
    <cellStyle name="Normal 14 3 3 2 8 3" xfId="16766"/>
    <cellStyle name="Normal 14 3 3 2 8 3 2" xfId="39353"/>
    <cellStyle name="Normal 14 3 3 2 8 4" xfId="13546"/>
    <cellStyle name="Normal 14 3 3 2 8 4 2" xfId="36133"/>
    <cellStyle name="Normal 14 3 3 2 8 5" xfId="7106"/>
    <cellStyle name="Normal 14 3 3 2 8 5 2" xfId="29693"/>
    <cellStyle name="Normal 14 3 3 2 8 6" xfId="23253"/>
    <cellStyle name="Normal 14 3 3 2 9" xfId="3575"/>
    <cellStyle name="Normal 14 3 3 2 9 2" xfId="19675"/>
    <cellStyle name="Normal 14 3 3 2 9 2 2" xfId="42262"/>
    <cellStyle name="Normal 14 3 3 2 9 3" xfId="10015"/>
    <cellStyle name="Normal 14 3 3 2 9 3 2" xfId="32602"/>
    <cellStyle name="Normal 14 3 3 2 9 4" xfId="26162"/>
    <cellStyle name="Normal 14 3 3 3" xfId="383"/>
    <cellStyle name="Normal 14 3 3 3 10" xfId="16550"/>
    <cellStyle name="Normal 14 3 3 3 10 2" xfId="39137"/>
    <cellStyle name="Normal 14 3 3 3 11" xfId="13330"/>
    <cellStyle name="Normal 14 3 3 3 11 2" xfId="35917"/>
    <cellStyle name="Normal 14 3 3 3 12" xfId="6890"/>
    <cellStyle name="Normal 14 3 3 3 12 2" xfId="29477"/>
    <cellStyle name="Normal 14 3 3 3 13" xfId="23037"/>
    <cellStyle name="Normal 14 3 3 3 2" xfId="1167"/>
    <cellStyle name="Normal 14 3 3 3 2 2" xfId="2481"/>
    <cellStyle name="Normal 14 3 3 3 2 2 2" xfId="5702"/>
    <cellStyle name="Normal 14 3 3 3 2 2 2 2" xfId="21802"/>
    <cellStyle name="Normal 14 3 3 3 2 2 2 2 2" xfId="44389"/>
    <cellStyle name="Normal 14 3 3 3 2 2 2 3" xfId="12142"/>
    <cellStyle name="Normal 14 3 3 3 2 2 2 3 2" xfId="34729"/>
    <cellStyle name="Normal 14 3 3 3 2 2 2 4" xfId="28289"/>
    <cellStyle name="Normal 14 3 3 3 2 2 3" xfId="18582"/>
    <cellStyle name="Normal 14 3 3 3 2 2 3 2" xfId="41169"/>
    <cellStyle name="Normal 14 3 3 3 2 2 4" xfId="15362"/>
    <cellStyle name="Normal 14 3 3 3 2 2 4 2" xfId="37949"/>
    <cellStyle name="Normal 14 3 3 3 2 2 5" xfId="8922"/>
    <cellStyle name="Normal 14 3 3 3 2 2 5 2" xfId="31509"/>
    <cellStyle name="Normal 14 3 3 3 2 2 6" xfId="25069"/>
    <cellStyle name="Normal 14 3 3 3 2 3" xfId="4394"/>
    <cellStyle name="Normal 14 3 3 3 2 3 2" xfId="20494"/>
    <cellStyle name="Normal 14 3 3 3 2 3 2 2" xfId="43081"/>
    <cellStyle name="Normal 14 3 3 3 2 3 3" xfId="10834"/>
    <cellStyle name="Normal 14 3 3 3 2 3 3 2" xfId="33421"/>
    <cellStyle name="Normal 14 3 3 3 2 3 4" xfId="26981"/>
    <cellStyle name="Normal 14 3 3 3 2 4" xfId="17274"/>
    <cellStyle name="Normal 14 3 3 3 2 4 2" xfId="39861"/>
    <cellStyle name="Normal 14 3 3 3 2 5" xfId="14054"/>
    <cellStyle name="Normal 14 3 3 3 2 5 2" xfId="36641"/>
    <cellStyle name="Normal 14 3 3 3 2 6" xfId="7614"/>
    <cellStyle name="Normal 14 3 3 3 2 6 2" xfId="30201"/>
    <cellStyle name="Normal 14 3 3 3 2 7" xfId="23761"/>
    <cellStyle name="Normal 14 3 3 3 3" xfId="1514"/>
    <cellStyle name="Normal 14 3 3 3 3 2" xfId="2828"/>
    <cellStyle name="Normal 14 3 3 3 3 2 2" xfId="6049"/>
    <cellStyle name="Normal 14 3 3 3 3 2 2 2" xfId="22149"/>
    <cellStyle name="Normal 14 3 3 3 3 2 2 2 2" xfId="44736"/>
    <cellStyle name="Normal 14 3 3 3 3 2 2 3" xfId="12489"/>
    <cellStyle name="Normal 14 3 3 3 3 2 2 3 2" xfId="35076"/>
    <cellStyle name="Normal 14 3 3 3 3 2 2 4" xfId="28636"/>
    <cellStyle name="Normal 14 3 3 3 3 2 3" xfId="18929"/>
    <cellStyle name="Normal 14 3 3 3 3 2 3 2" xfId="41516"/>
    <cellStyle name="Normal 14 3 3 3 3 2 4" xfId="15709"/>
    <cellStyle name="Normal 14 3 3 3 3 2 4 2" xfId="38296"/>
    <cellStyle name="Normal 14 3 3 3 3 2 5" xfId="9269"/>
    <cellStyle name="Normal 14 3 3 3 3 2 5 2" xfId="31856"/>
    <cellStyle name="Normal 14 3 3 3 3 2 6" xfId="25416"/>
    <cellStyle name="Normal 14 3 3 3 3 3" xfId="4741"/>
    <cellStyle name="Normal 14 3 3 3 3 3 2" xfId="20841"/>
    <cellStyle name="Normal 14 3 3 3 3 3 2 2" xfId="43428"/>
    <cellStyle name="Normal 14 3 3 3 3 3 3" xfId="11181"/>
    <cellStyle name="Normal 14 3 3 3 3 3 3 2" xfId="33768"/>
    <cellStyle name="Normal 14 3 3 3 3 3 4" xfId="27328"/>
    <cellStyle name="Normal 14 3 3 3 3 4" xfId="17621"/>
    <cellStyle name="Normal 14 3 3 3 3 4 2" xfId="40208"/>
    <cellStyle name="Normal 14 3 3 3 3 5" xfId="14401"/>
    <cellStyle name="Normal 14 3 3 3 3 5 2" xfId="36988"/>
    <cellStyle name="Normal 14 3 3 3 3 6" xfId="7961"/>
    <cellStyle name="Normal 14 3 3 3 3 6 2" xfId="30548"/>
    <cellStyle name="Normal 14 3 3 3 3 7" xfId="24108"/>
    <cellStyle name="Normal 14 3 3 3 4" xfId="1593"/>
    <cellStyle name="Normal 14 3 3 3 4 2" xfId="4819"/>
    <cellStyle name="Normal 14 3 3 3 4 2 2" xfId="20919"/>
    <cellStyle name="Normal 14 3 3 3 4 2 2 2" xfId="43506"/>
    <cellStyle name="Normal 14 3 3 3 4 2 3" xfId="11259"/>
    <cellStyle name="Normal 14 3 3 3 4 2 3 2" xfId="33846"/>
    <cellStyle name="Normal 14 3 3 3 4 2 4" xfId="27406"/>
    <cellStyle name="Normal 14 3 3 3 4 3" xfId="17699"/>
    <cellStyle name="Normal 14 3 3 3 4 3 2" xfId="40286"/>
    <cellStyle name="Normal 14 3 3 3 4 4" xfId="14479"/>
    <cellStyle name="Normal 14 3 3 3 4 4 2" xfId="37066"/>
    <cellStyle name="Normal 14 3 3 3 4 5" xfId="8039"/>
    <cellStyle name="Normal 14 3 3 3 4 5 2" xfId="30626"/>
    <cellStyle name="Normal 14 3 3 3 4 6" xfId="24186"/>
    <cellStyle name="Normal 14 3 3 3 5" xfId="2134"/>
    <cellStyle name="Normal 14 3 3 3 5 2" xfId="5355"/>
    <cellStyle name="Normal 14 3 3 3 5 2 2" xfId="21455"/>
    <cellStyle name="Normal 14 3 3 3 5 2 2 2" xfId="44042"/>
    <cellStyle name="Normal 14 3 3 3 5 2 3" xfId="11795"/>
    <cellStyle name="Normal 14 3 3 3 5 2 3 2" xfId="34382"/>
    <cellStyle name="Normal 14 3 3 3 5 2 4" xfId="27942"/>
    <cellStyle name="Normal 14 3 3 3 5 3" xfId="18235"/>
    <cellStyle name="Normal 14 3 3 3 5 3 2" xfId="40822"/>
    <cellStyle name="Normal 14 3 3 3 5 4" xfId="15015"/>
    <cellStyle name="Normal 14 3 3 3 5 4 2" xfId="37602"/>
    <cellStyle name="Normal 14 3 3 3 5 5" xfId="8575"/>
    <cellStyle name="Normal 14 3 3 3 5 5 2" xfId="31162"/>
    <cellStyle name="Normal 14 3 3 3 5 6" xfId="24722"/>
    <cellStyle name="Normal 14 3 3 3 6" xfId="3090"/>
    <cellStyle name="Normal 14 3 3 3 6 2" xfId="6310"/>
    <cellStyle name="Normal 14 3 3 3 6 2 2" xfId="22410"/>
    <cellStyle name="Normal 14 3 3 3 6 2 2 2" xfId="44997"/>
    <cellStyle name="Normal 14 3 3 3 6 2 3" xfId="12750"/>
    <cellStyle name="Normal 14 3 3 3 6 2 3 2" xfId="35337"/>
    <cellStyle name="Normal 14 3 3 3 6 2 4" xfId="28897"/>
    <cellStyle name="Normal 14 3 3 3 6 3" xfId="19190"/>
    <cellStyle name="Normal 14 3 3 3 6 3 2" xfId="41777"/>
    <cellStyle name="Normal 14 3 3 3 6 4" xfId="15970"/>
    <cellStyle name="Normal 14 3 3 3 6 4 2" xfId="38557"/>
    <cellStyle name="Normal 14 3 3 3 6 5" xfId="9530"/>
    <cellStyle name="Normal 14 3 3 3 6 5 2" xfId="32117"/>
    <cellStyle name="Normal 14 3 3 3 6 6" xfId="25677"/>
    <cellStyle name="Normal 14 3 3 3 7" xfId="3380"/>
    <cellStyle name="Normal 14 3 3 3 7 2" xfId="6600"/>
    <cellStyle name="Normal 14 3 3 3 7 2 2" xfId="22700"/>
    <cellStyle name="Normal 14 3 3 3 7 2 2 2" xfId="45287"/>
    <cellStyle name="Normal 14 3 3 3 7 2 3" xfId="13040"/>
    <cellStyle name="Normal 14 3 3 3 7 2 3 2" xfId="35627"/>
    <cellStyle name="Normal 14 3 3 3 7 2 4" xfId="29187"/>
    <cellStyle name="Normal 14 3 3 3 7 3" xfId="19480"/>
    <cellStyle name="Normal 14 3 3 3 7 3 2" xfId="42067"/>
    <cellStyle name="Normal 14 3 3 3 7 4" xfId="16260"/>
    <cellStyle name="Normal 14 3 3 3 7 4 2" xfId="38847"/>
    <cellStyle name="Normal 14 3 3 3 7 5" xfId="9820"/>
    <cellStyle name="Normal 14 3 3 3 7 5 2" xfId="32407"/>
    <cellStyle name="Normal 14 3 3 3 7 6" xfId="25967"/>
    <cellStyle name="Normal 14 3 3 3 8" xfId="815"/>
    <cellStyle name="Normal 14 3 3 3 8 2" xfId="4047"/>
    <cellStyle name="Normal 14 3 3 3 8 2 2" xfId="20147"/>
    <cellStyle name="Normal 14 3 3 3 8 2 2 2" xfId="42734"/>
    <cellStyle name="Normal 14 3 3 3 8 2 3" xfId="10487"/>
    <cellStyle name="Normal 14 3 3 3 8 2 3 2" xfId="33074"/>
    <cellStyle name="Normal 14 3 3 3 8 2 4" xfId="26634"/>
    <cellStyle name="Normal 14 3 3 3 8 3" xfId="16927"/>
    <cellStyle name="Normal 14 3 3 3 8 3 2" xfId="39514"/>
    <cellStyle name="Normal 14 3 3 3 8 4" xfId="13707"/>
    <cellStyle name="Normal 14 3 3 3 8 4 2" xfId="36294"/>
    <cellStyle name="Normal 14 3 3 3 8 5" xfId="7267"/>
    <cellStyle name="Normal 14 3 3 3 8 5 2" xfId="29854"/>
    <cellStyle name="Normal 14 3 3 3 8 6" xfId="23414"/>
    <cellStyle name="Normal 14 3 3 3 9" xfId="3670"/>
    <cellStyle name="Normal 14 3 3 3 9 2" xfId="19770"/>
    <cellStyle name="Normal 14 3 3 3 9 2 2" xfId="42357"/>
    <cellStyle name="Normal 14 3 3 3 9 3" xfId="10110"/>
    <cellStyle name="Normal 14 3 3 3 9 3 2" xfId="32697"/>
    <cellStyle name="Normal 14 3 3 3 9 4" xfId="26257"/>
    <cellStyle name="Normal 14 3 3 4" xfId="882"/>
    <cellStyle name="Normal 14 3 3 4 2" xfId="2201"/>
    <cellStyle name="Normal 14 3 3 4 2 2" xfId="5422"/>
    <cellStyle name="Normal 14 3 3 4 2 2 2" xfId="21522"/>
    <cellStyle name="Normal 14 3 3 4 2 2 2 2" xfId="44109"/>
    <cellStyle name="Normal 14 3 3 4 2 2 3" xfId="11862"/>
    <cellStyle name="Normal 14 3 3 4 2 2 3 2" xfId="34449"/>
    <cellStyle name="Normal 14 3 3 4 2 2 4" xfId="28009"/>
    <cellStyle name="Normal 14 3 3 4 2 3" xfId="18302"/>
    <cellStyle name="Normal 14 3 3 4 2 3 2" xfId="40889"/>
    <cellStyle name="Normal 14 3 3 4 2 4" xfId="15082"/>
    <cellStyle name="Normal 14 3 3 4 2 4 2" xfId="37669"/>
    <cellStyle name="Normal 14 3 3 4 2 5" xfId="8642"/>
    <cellStyle name="Normal 14 3 3 4 2 5 2" xfId="31229"/>
    <cellStyle name="Normal 14 3 3 4 2 6" xfId="24789"/>
    <cellStyle name="Normal 14 3 3 4 3" xfId="4114"/>
    <cellStyle name="Normal 14 3 3 4 3 2" xfId="20214"/>
    <cellStyle name="Normal 14 3 3 4 3 2 2" xfId="42801"/>
    <cellStyle name="Normal 14 3 3 4 3 3" xfId="10554"/>
    <cellStyle name="Normal 14 3 3 4 3 3 2" xfId="33141"/>
    <cellStyle name="Normal 14 3 3 4 3 4" xfId="26701"/>
    <cellStyle name="Normal 14 3 3 4 4" xfId="16994"/>
    <cellStyle name="Normal 14 3 3 4 4 2" xfId="39581"/>
    <cellStyle name="Normal 14 3 3 4 5" xfId="13774"/>
    <cellStyle name="Normal 14 3 3 4 5 2" xfId="36361"/>
    <cellStyle name="Normal 14 3 3 4 6" xfId="7334"/>
    <cellStyle name="Normal 14 3 3 4 6 2" xfId="29921"/>
    <cellStyle name="Normal 14 3 3 4 7" xfId="23481"/>
    <cellStyle name="Normal 14 3 3 5" xfId="1234"/>
    <cellStyle name="Normal 14 3 3 5 2" xfId="2548"/>
    <cellStyle name="Normal 14 3 3 5 2 2" xfId="5769"/>
    <cellStyle name="Normal 14 3 3 5 2 2 2" xfId="21869"/>
    <cellStyle name="Normal 14 3 3 5 2 2 2 2" xfId="44456"/>
    <cellStyle name="Normal 14 3 3 5 2 2 3" xfId="12209"/>
    <cellStyle name="Normal 14 3 3 5 2 2 3 2" xfId="34796"/>
    <cellStyle name="Normal 14 3 3 5 2 2 4" xfId="28356"/>
    <cellStyle name="Normal 14 3 3 5 2 3" xfId="18649"/>
    <cellStyle name="Normal 14 3 3 5 2 3 2" xfId="41236"/>
    <cellStyle name="Normal 14 3 3 5 2 4" xfId="15429"/>
    <cellStyle name="Normal 14 3 3 5 2 4 2" xfId="38016"/>
    <cellStyle name="Normal 14 3 3 5 2 5" xfId="8989"/>
    <cellStyle name="Normal 14 3 3 5 2 5 2" xfId="31576"/>
    <cellStyle name="Normal 14 3 3 5 2 6" xfId="25136"/>
    <cellStyle name="Normal 14 3 3 5 3" xfId="4461"/>
    <cellStyle name="Normal 14 3 3 5 3 2" xfId="20561"/>
    <cellStyle name="Normal 14 3 3 5 3 2 2" xfId="43148"/>
    <cellStyle name="Normal 14 3 3 5 3 3" xfId="10901"/>
    <cellStyle name="Normal 14 3 3 5 3 3 2" xfId="33488"/>
    <cellStyle name="Normal 14 3 3 5 3 4" xfId="27048"/>
    <cellStyle name="Normal 14 3 3 5 4" xfId="17341"/>
    <cellStyle name="Normal 14 3 3 5 4 2" xfId="39928"/>
    <cellStyle name="Normal 14 3 3 5 5" xfId="14121"/>
    <cellStyle name="Normal 14 3 3 5 5 2" xfId="36708"/>
    <cellStyle name="Normal 14 3 3 5 6" xfId="7681"/>
    <cellStyle name="Normal 14 3 3 5 6 2" xfId="30268"/>
    <cellStyle name="Normal 14 3 3 5 7" xfId="23828"/>
    <cellStyle name="Normal 14 3 3 6" xfId="1594"/>
    <cellStyle name="Normal 14 3 3 6 2" xfId="4820"/>
    <cellStyle name="Normal 14 3 3 6 2 2" xfId="20920"/>
    <cellStyle name="Normal 14 3 3 6 2 2 2" xfId="43507"/>
    <cellStyle name="Normal 14 3 3 6 2 3" xfId="11260"/>
    <cellStyle name="Normal 14 3 3 6 2 3 2" xfId="33847"/>
    <cellStyle name="Normal 14 3 3 6 2 4" xfId="27407"/>
    <cellStyle name="Normal 14 3 3 6 3" xfId="17700"/>
    <cellStyle name="Normal 14 3 3 6 3 2" xfId="40287"/>
    <cellStyle name="Normal 14 3 3 6 4" xfId="14480"/>
    <cellStyle name="Normal 14 3 3 6 4 2" xfId="37067"/>
    <cellStyle name="Normal 14 3 3 6 5" xfId="8040"/>
    <cellStyle name="Normal 14 3 3 6 5 2" xfId="30627"/>
    <cellStyle name="Normal 14 3 3 6 6" xfId="24187"/>
    <cellStyle name="Normal 14 3 3 7" xfId="1853"/>
    <cellStyle name="Normal 14 3 3 7 2" xfId="5075"/>
    <cellStyle name="Normal 14 3 3 7 2 2" xfId="21175"/>
    <cellStyle name="Normal 14 3 3 7 2 2 2" xfId="43762"/>
    <cellStyle name="Normal 14 3 3 7 2 3" xfId="11515"/>
    <cellStyle name="Normal 14 3 3 7 2 3 2" xfId="34102"/>
    <cellStyle name="Normal 14 3 3 7 2 4" xfId="27662"/>
    <cellStyle name="Normal 14 3 3 7 3" xfId="17955"/>
    <cellStyle name="Normal 14 3 3 7 3 2" xfId="40542"/>
    <cellStyle name="Normal 14 3 3 7 4" xfId="14735"/>
    <cellStyle name="Normal 14 3 3 7 4 2" xfId="37322"/>
    <cellStyle name="Normal 14 3 3 7 5" xfId="8295"/>
    <cellStyle name="Normal 14 3 3 7 5 2" xfId="30882"/>
    <cellStyle name="Normal 14 3 3 7 6" xfId="24442"/>
    <cellStyle name="Normal 14 3 3 8" xfId="2896"/>
    <cellStyle name="Normal 14 3 3 8 2" xfId="6117"/>
    <cellStyle name="Normal 14 3 3 8 2 2" xfId="22217"/>
    <cellStyle name="Normal 14 3 3 8 2 2 2" xfId="44804"/>
    <cellStyle name="Normal 14 3 3 8 2 3" xfId="12557"/>
    <cellStyle name="Normal 14 3 3 8 2 3 2" xfId="35144"/>
    <cellStyle name="Normal 14 3 3 8 2 4" xfId="28704"/>
    <cellStyle name="Normal 14 3 3 8 3" xfId="18997"/>
    <cellStyle name="Normal 14 3 3 8 3 2" xfId="41584"/>
    <cellStyle name="Normal 14 3 3 8 4" xfId="15777"/>
    <cellStyle name="Normal 14 3 3 8 4 2" xfId="38364"/>
    <cellStyle name="Normal 14 3 3 8 5" xfId="9337"/>
    <cellStyle name="Normal 14 3 3 8 5 2" xfId="31924"/>
    <cellStyle name="Normal 14 3 3 8 6" xfId="25484"/>
    <cellStyle name="Normal 14 3 3 9" xfId="3187"/>
    <cellStyle name="Normal 14 3 3 9 2" xfId="6407"/>
    <cellStyle name="Normal 14 3 3 9 2 2" xfId="22507"/>
    <cellStyle name="Normal 14 3 3 9 2 2 2" xfId="45094"/>
    <cellStyle name="Normal 14 3 3 9 2 3" xfId="12847"/>
    <cellStyle name="Normal 14 3 3 9 2 3 2" xfId="35434"/>
    <cellStyle name="Normal 14 3 3 9 2 4" xfId="28994"/>
    <cellStyle name="Normal 14 3 3 9 3" xfId="19287"/>
    <cellStyle name="Normal 14 3 3 9 3 2" xfId="41874"/>
    <cellStyle name="Normal 14 3 3 9 4" xfId="16067"/>
    <cellStyle name="Normal 14 3 3 9 4 2" xfId="38654"/>
    <cellStyle name="Normal 14 3 3 9 5" xfId="9627"/>
    <cellStyle name="Normal 14 3 3 9 5 2" xfId="32214"/>
    <cellStyle name="Normal 14 3 3 9 6" xfId="25774"/>
    <cellStyle name="Normal 14 3 4" xfId="233"/>
    <cellStyle name="Normal 14 3 4 10" xfId="520"/>
    <cellStyle name="Normal 14 3 4 10 2" xfId="3807"/>
    <cellStyle name="Normal 14 3 4 10 2 2" xfId="19907"/>
    <cellStyle name="Normal 14 3 4 10 2 2 2" xfId="42494"/>
    <cellStyle name="Normal 14 3 4 10 2 3" xfId="10247"/>
    <cellStyle name="Normal 14 3 4 10 2 3 2" xfId="32834"/>
    <cellStyle name="Normal 14 3 4 10 2 4" xfId="26394"/>
    <cellStyle name="Normal 14 3 4 10 3" xfId="16687"/>
    <cellStyle name="Normal 14 3 4 10 3 2" xfId="39274"/>
    <cellStyle name="Normal 14 3 4 10 4" xfId="13467"/>
    <cellStyle name="Normal 14 3 4 10 4 2" xfId="36054"/>
    <cellStyle name="Normal 14 3 4 10 5" xfId="7027"/>
    <cellStyle name="Normal 14 3 4 10 5 2" xfId="29614"/>
    <cellStyle name="Normal 14 3 4 10 6" xfId="23174"/>
    <cellStyle name="Normal 14 3 4 11" xfId="3521"/>
    <cellStyle name="Normal 14 3 4 11 2" xfId="19621"/>
    <cellStyle name="Normal 14 3 4 11 2 2" xfId="42208"/>
    <cellStyle name="Normal 14 3 4 11 3" xfId="9961"/>
    <cellStyle name="Normal 14 3 4 11 3 2" xfId="32548"/>
    <cellStyle name="Normal 14 3 4 11 4" xfId="26108"/>
    <cellStyle name="Normal 14 3 4 12" xfId="16401"/>
    <cellStyle name="Normal 14 3 4 12 2" xfId="38988"/>
    <cellStyle name="Normal 14 3 4 13" xfId="13181"/>
    <cellStyle name="Normal 14 3 4 13 2" xfId="35768"/>
    <cellStyle name="Normal 14 3 4 14" xfId="6741"/>
    <cellStyle name="Normal 14 3 4 14 2" xfId="29328"/>
    <cellStyle name="Normal 14 3 4 15" xfId="22888"/>
    <cellStyle name="Normal 14 3 4 2" xfId="331"/>
    <cellStyle name="Normal 14 3 4 2 10" xfId="16498"/>
    <cellStyle name="Normal 14 3 4 2 10 2" xfId="39085"/>
    <cellStyle name="Normal 14 3 4 2 11" xfId="13278"/>
    <cellStyle name="Normal 14 3 4 2 11 2" xfId="35865"/>
    <cellStyle name="Normal 14 3 4 2 12" xfId="6838"/>
    <cellStyle name="Normal 14 3 4 2 12 2" xfId="29425"/>
    <cellStyle name="Normal 14 3 4 2 13" xfId="22985"/>
    <cellStyle name="Normal 14 3 4 2 2" xfId="1043"/>
    <cellStyle name="Normal 14 3 4 2 2 2" xfId="2357"/>
    <cellStyle name="Normal 14 3 4 2 2 2 2" xfId="5578"/>
    <cellStyle name="Normal 14 3 4 2 2 2 2 2" xfId="21678"/>
    <cellStyle name="Normal 14 3 4 2 2 2 2 2 2" xfId="44265"/>
    <cellStyle name="Normal 14 3 4 2 2 2 2 3" xfId="12018"/>
    <cellStyle name="Normal 14 3 4 2 2 2 2 3 2" xfId="34605"/>
    <cellStyle name="Normal 14 3 4 2 2 2 2 4" xfId="28165"/>
    <cellStyle name="Normal 14 3 4 2 2 2 3" xfId="18458"/>
    <cellStyle name="Normal 14 3 4 2 2 2 3 2" xfId="41045"/>
    <cellStyle name="Normal 14 3 4 2 2 2 4" xfId="15238"/>
    <cellStyle name="Normal 14 3 4 2 2 2 4 2" xfId="37825"/>
    <cellStyle name="Normal 14 3 4 2 2 2 5" xfId="8798"/>
    <cellStyle name="Normal 14 3 4 2 2 2 5 2" xfId="31385"/>
    <cellStyle name="Normal 14 3 4 2 2 2 6" xfId="24945"/>
    <cellStyle name="Normal 14 3 4 2 2 3" xfId="4270"/>
    <cellStyle name="Normal 14 3 4 2 2 3 2" xfId="20370"/>
    <cellStyle name="Normal 14 3 4 2 2 3 2 2" xfId="42957"/>
    <cellStyle name="Normal 14 3 4 2 2 3 3" xfId="10710"/>
    <cellStyle name="Normal 14 3 4 2 2 3 3 2" xfId="33297"/>
    <cellStyle name="Normal 14 3 4 2 2 3 4" xfId="26857"/>
    <cellStyle name="Normal 14 3 4 2 2 4" xfId="17150"/>
    <cellStyle name="Normal 14 3 4 2 2 4 2" xfId="39737"/>
    <cellStyle name="Normal 14 3 4 2 2 5" xfId="13930"/>
    <cellStyle name="Normal 14 3 4 2 2 5 2" xfId="36517"/>
    <cellStyle name="Normal 14 3 4 2 2 6" xfId="7490"/>
    <cellStyle name="Normal 14 3 4 2 2 6 2" xfId="30077"/>
    <cellStyle name="Normal 14 3 4 2 2 7" xfId="23637"/>
    <cellStyle name="Normal 14 3 4 2 3" xfId="1390"/>
    <cellStyle name="Normal 14 3 4 2 3 2" xfId="2704"/>
    <cellStyle name="Normal 14 3 4 2 3 2 2" xfId="5925"/>
    <cellStyle name="Normal 14 3 4 2 3 2 2 2" xfId="22025"/>
    <cellStyle name="Normal 14 3 4 2 3 2 2 2 2" xfId="44612"/>
    <cellStyle name="Normal 14 3 4 2 3 2 2 3" xfId="12365"/>
    <cellStyle name="Normal 14 3 4 2 3 2 2 3 2" xfId="34952"/>
    <cellStyle name="Normal 14 3 4 2 3 2 2 4" xfId="28512"/>
    <cellStyle name="Normal 14 3 4 2 3 2 3" xfId="18805"/>
    <cellStyle name="Normal 14 3 4 2 3 2 3 2" xfId="41392"/>
    <cellStyle name="Normal 14 3 4 2 3 2 4" xfId="15585"/>
    <cellStyle name="Normal 14 3 4 2 3 2 4 2" xfId="38172"/>
    <cellStyle name="Normal 14 3 4 2 3 2 5" xfId="9145"/>
    <cellStyle name="Normal 14 3 4 2 3 2 5 2" xfId="31732"/>
    <cellStyle name="Normal 14 3 4 2 3 2 6" xfId="25292"/>
    <cellStyle name="Normal 14 3 4 2 3 3" xfId="4617"/>
    <cellStyle name="Normal 14 3 4 2 3 3 2" xfId="20717"/>
    <cellStyle name="Normal 14 3 4 2 3 3 2 2" xfId="43304"/>
    <cellStyle name="Normal 14 3 4 2 3 3 3" xfId="11057"/>
    <cellStyle name="Normal 14 3 4 2 3 3 3 2" xfId="33644"/>
    <cellStyle name="Normal 14 3 4 2 3 3 4" xfId="27204"/>
    <cellStyle name="Normal 14 3 4 2 3 4" xfId="17497"/>
    <cellStyle name="Normal 14 3 4 2 3 4 2" xfId="40084"/>
    <cellStyle name="Normal 14 3 4 2 3 5" xfId="14277"/>
    <cellStyle name="Normal 14 3 4 2 3 5 2" xfId="36864"/>
    <cellStyle name="Normal 14 3 4 2 3 6" xfId="7837"/>
    <cellStyle name="Normal 14 3 4 2 3 6 2" xfId="30424"/>
    <cellStyle name="Normal 14 3 4 2 3 7" xfId="23984"/>
    <cellStyle name="Normal 14 3 4 2 4" xfId="1595"/>
    <cellStyle name="Normal 14 3 4 2 4 2" xfId="4821"/>
    <cellStyle name="Normal 14 3 4 2 4 2 2" xfId="20921"/>
    <cellStyle name="Normal 14 3 4 2 4 2 2 2" xfId="43508"/>
    <cellStyle name="Normal 14 3 4 2 4 2 3" xfId="11261"/>
    <cellStyle name="Normal 14 3 4 2 4 2 3 2" xfId="33848"/>
    <cellStyle name="Normal 14 3 4 2 4 2 4" xfId="27408"/>
    <cellStyle name="Normal 14 3 4 2 4 3" xfId="17701"/>
    <cellStyle name="Normal 14 3 4 2 4 3 2" xfId="40288"/>
    <cellStyle name="Normal 14 3 4 2 4 4" xfId="14481"/>
    <cellStyle name="Normal 14 3 4 2 4 4 2" xfId="37068"/>
    <cellStyle name="Normal 14 3 4 2 4 5" xfId="8041"/>
    <cellStyle name="Normal 14 3 4 2 4 5 2" xfId="30628"/>
    <cellStyle name="Normal 14 3 4 2 4 6" xfId="24188"/>
    <cellStyle name="Normal 14 3 4 2 5" xfId="2009"/>
    <cellStyle name="Normal 14 3 4 2 5 2" xfId="5231"/>
    <cellStyle name="Normal 14 3 4 2 5 2 2" xfId="21331"/>
    <cellStyle name="Normal 14 3 4 2 5 2 2 2" xfId="43918"/>
    <cellStyle name="Normal 14 3 4 2 5 2 3" xfId="11671"/>
    <cellStyle name="Normal 14 3 4 2 5 2 3 2" xfId="34258"/>
    <cellStyle name="Normal 14 3 4 2 5 2 4" xfId="27818"/>
    <cellStyle name="Normal 14 3 4 2 5 3" xfId="18111"/>
    <cellStyle name="Normal 14 3 4 2 5 3 2" xfId="40698"/>
    <cellStyle name="Normal 14 3 4 2 5 4" xfId="14891"/>
    <cellStyle name="Normal 14 3 4 2 5 4 2" xfId="37478"/>
    <cellStyle name="Normal 14 3 4 2 5 5" xfId="8451"/>
    <cellStyle name="Normal 14 3 4 2 5 5 2" xfId="31038"/>
    <cellStyle name="Normal 14 3 4 2 5 6" xfId="24598"/>
    <cellStyle name="Normal 14 3 4 2 6" xfId="3038"/>
    <cellStyle name="Normal 14 3 4 2 6 2" xfId="6258"/>
    <cellStyle name="Normal 14 3 4 2 6 2 2" xfId="22358"/>
    <cellStyle name="Normal 14 3 4 2 6 2 2 2" xfId="44945"/>
    <cellStyle name="Normal 14 3 4 2 6 2 3" xfId="12698"/>
    <cellStyle name="Normal 14 3 4 2 6 2 3 2" xfId="35285"/>
    <cellStyle name="Normal 14 3 4 2 6 2 4" xfId="28845"/>
    <cellStyle name="Normal 14 3 4 2 6 3" xfId="19138"/>
    <cellStyle name="Normal 14 3 4 2 6 3 2" xfId="41725"/>
    <cellStyle name="Normal 14 3 4 2 6 4" xfId="15918"/>
    <cellStyle name="Normal 14 3 4 2 6 4 2" xfId="38505"/>
    <cellStyle name="Normal 14 3 4 2 6 5" xfId="9478"/>
    <cellStyle name="Normal 14 3 4 2 6 5 2" xfId="32065"/>
    <cellStyle name="Normal 14 3 4 2 6 6" xfId="25625"/>
    <cellStyle name="Normal 14 3 4 2 7" xfId="3328"/>
    <cellStyle name="Normal 14 3 4 2 7 2" xfId="6548"/>
    <cellStyle name="Normal 14 3 4 2 7 2 2" xfId="22648"/>
    <cellStyle name="Normal 14 3 4 2 7 2 2 2" xfId="45235"/>
    <cellStyle name="Normal 14 3 4 2 7 2 3" xfId="12988"/>
    <cellStyle name="Normal 14 3 4 2 7 2 3 2" xfId="35575"/>
    <cellStyle name="Normal 14 3 4 2 7 2 4" xfId="29135"/>
    <cellStyle name="Normal 14 3 4 2 7 3" xfId="19428"/>
    <cellStyle name="Normal 14 3 4 2 7 3 2" xfId="42015"/>
    <cellStyle name="Normal 14 3 4 2 7 4" xfId="16208"/>
    <cellStyle name="Normal 14 3 4 2 7 4 2" xfId="38795"/>
    <cellStyle name="Normal 14 3 4 2 7 5" xfId="9768"/>
    <cellStyle name="Normal 14 3 4 2 7 5 2" xfId="32355"/>
    <cellStyle name="Normal 14 3 4 2 7 6" xfId="25915"/>
    <cellStyle name="Normal 14 3 4 2 8" xfId="679"/>
    <cellStyle name="Normal 14 3 4 2 8 2" xfId="3923"/>
    <cellStyle name="Normal 14 3 4 2 8 2 2" xfId="20023"/>
    <cellStyle name="Normal 14 3 4 2 8 2 2 2" xfId="42610"/>
    <cellStyle name="Normal 14 3 4 2 8 2 3" xfId="10363"/>
    <cellStyle name="Normal 14 3 4 2 8 2 3 2" xfId="32950"/>
    <cellStyle name="Normal 14 3 4 2 8 2 4" xfId="26510"/>
    <cellStyle name="Normal 14 3 4 2 8 3" xfId="16803"/>
    <cellStyle name="Normal 14 3 4 2 8 3 2" xfId="39390"/>
    <cellStyle name="Normal 14 3 4 2 8 4" xfId="13583"/>
    <cellStyle name="Normal 14 3 4 2 8 4 2" xfId="36170"/>
    <cellStyle name="Normal 14 3 4 2 8 5" xfId="7143"/>
    <cellStyle name="Normal 14 3 4 2 8 5 2" xfId="29730"/>
    <cellStyle name="Normal 14 3 4 2 8 6" xfId="23290"/>
    <cellStyle name="Normal 14 3 4 2 9" xfId="3618"/>
    <cellStyle name="Normal 14 3 4 2 9 2" xfId="19718"/>
    <cellStyle name="Normal 14 3 4 2 9 2 2" xfId="42305"/>
    <cellStyle name="Normal 14 3 4 2 9 3" xfId="10058"/>
    <cellStyle name="Normal 14 3 4 2 9 3 2" xfId="32645"/>
    <cellStyle name="Normal 14 3 4 2 9 4" xfId="26205"/>
    <cellStyle name="Normal 14 3 4 3" xfId="427"/>
    <cellStyle name="Normal 14 3 4 3 10" xfId="16594"/>
    <cellStyle name="Normal 14 3 4 3 10 2" xfId="39181"/>
    <cellStyle name="Normal 14 3 4 3 11" xfId="13374"/>
    <cellStyle name="Normal 14 3 4 3 11 2" xfId="35961"/>
    <cellStyle name="Normal 14 3 4 3 12" xfId="6934"/>
    <cellStyle name="Normal 14 3 4 3 12 2" xfId="29521"/>
    <cellStyle name="Normal 14 3 4 3 13" xfId="23081"/>
    <cellStyle name="Normal 14 3 4 3 2" xfId="1127"/>
    <cellStyle name="Normal 14 3 4 3 2 2" xfId="2441"/>
    <cellStyle name="Normal 14 3 4 3 2 2 2" xfId="5662"/>
    <cellStyle name="Normal 14 3 4 3 2 2 2 2" xfId="21762"/>
    <cellStyle name="Normal 14 3 4 3 2 2 2 2 2" xfId="44349"/>
    <cellStyle name="Normal 14 3 4 3 2 2 2 3" xfId="12102"/>
    <cellStyle name="Normal 14 3 4 3 2 2 2 3 2" xfId="34689"/>
    <cellStyle name="Normal 14 3 4 3 2 2 2 4" xfId="28249"/>
    <cellStyle name="Normal 14 3 4 3 2 2 3" xfId="18542"/>
    <cellStyle name="Normal 14 3 4 3 2 2 3 2" xfId="41129"/>
    <cellStyle name="Normal 14 3 4 3 2 2 4" xfId="15322"/>
    <cellStyle name="Normal 14 3 4 3 2 2 4 2" xfId="37909"/>
    <cellStyle name="Normal 14 3 4 3 2 2 5" xfId="8882"/>
    <cellStyle name="Normal 14 3 4 3 2 2 5 2" xfId="31469"/>
    <cellStyle name="Normal 14 3 4 3 2 2 6" xfId="25029"/>
    <cellStyle name="Normal 14 3 4 3 2 3" xfId="4354"/>
    <cellStyle name="Normal 14 3 4 3 2 3 2" xfId="20454"/>
    <cellStyle name="Normal 14 3 4 3 2 3 2 2" xfId="43041"/>
    <cellStyle name="Normal 14 3 4 3 2 3 3" xfId="10794"/>
    <cellStyle name="Normal 14 3 4 3 2 3 3 2" xfId="33381"/>
    <cellStyle name="Normal 14 3 4 3 2 3 4" xfId="26941"/>
    <cellStyle name="Normal 14 3 4 3 2 4" xfId="17234"/>
    <cellStyle name="Normal 14 3 4 3 2 4 2" xfId="39821"/>
    <cellStyle name="Normal 14 3 4 3 2 5" xfId="14014"/>
    <cellStyle name="Normal 14 3 4 3 2 5 2" xfId="36601"/>
    <cellStyle name="Normal 14 3 4 3 2 6" xfId="7574"/>
    <cellStyle name="Normal 14 3 4 3 2 6 2" xfId="30161"/>
    <cellStyle name="Normal 14 3 4 3 2 7" xfId="23721"/>
    <cellStyle name="Normal 14 3 4 3 3" xfId="1474"/>
    <cellStyle name="Normal 14 3 4 3 3 2" xfId="2788"/>
    <cellStyle name="Normal 14 3 4 3 3 2 2" xfId="6009"/>
    <cellStyle name="Normal 14 3 4 3 3 2 2 2" xfId="22109"/>
    <cellStyle name="Normal 14 3 4 3 3 2 2 2 2" xfId="44696"/>
    <cellStyle name="Normal 14 3 4 3 3 2 2 3" xfId="12449"/>
    <cellStyle name="Normal 14 3 4 3 3 2 2 3 2" xfId="35036"/>
    <cellStyle name="Normal 14 3 4 3 3 2 2 4" xfId="28596"/>
    <cellStyle name="Normal 14 3 4 3 3 2 3" xfId="18889"/>
    <cellStyle name="Normal 14 3 4 3 3 2 3 2" xfId="41476"/>
    <cellStyle name="Normal 14 3 4 3 3 2 4" xfId="15669"/>
    <cellStyle name="Normal 14 3 4 3 3 2 4 2" xfId="38256"/>
    <cellStyle name="Normal 14 3 4 3 3 2 5" xfId="9229"/>
    <cellStyle name="Normal 14 3 4 3 3 2 5 2" xfId="31816"/>
    <cellStyle name="Normal 14 3 4 3 3 2 6" xfId="25376"/>
    <cellStyle name="Normal 14 3 4 3 3 3" xfId="4701"/>
    <cellStyle name="Normal 14 3 4 3 3 3 2" xfId="20801"/>
    <cellStyle name="Normal 14 3 4 3 3 3 2 2" xfId="43388"/>
    <cellStyle name="Normal 14 3 4 3 3 3 3" xfId="11141"/>
    <cellStyle name="Normal 14 3 4 3 3 3 3 2" xfId="33728"/>
    <cellStyle name="Normal 14 3 4 3 3 3 4" xfId="27288"/>
    <cellStyle name="Normal 14 3 4 3 3 4" xfId="17581"/>
    <cellStyle name="Normal 14 3 4 3 3 4 2" xfId="40168"/>
    <cellStyle name="Normal 14 3 4 3 3 5" xfId="14361"/>
    <cellStyle name="Normal 14 3 4 3 3 5 2" xfId="36948"/>
    <cellStyle name="Normal 14 3 4 3 3 6" xfId="7921"/>
    <cellStyle name="Normal 14 3 4 3 3 6 2" xfId="30508"/>
    <cellStyle name="Normal 14 3 4 3 3 7" xfId="24068"/>
    <cellStyle name="Normal 14 3 4 3 4" xfId="1596"/>
    <cellStyle name="Normal 14 3 4 3 4 2" xfId="4822"/>
    <cellStyle name="Normal 14 3 4 3 4 2 2" xfId="20922"/>
    <cellStyle name="Normal 14 3 4 3 4 2 2 2" xfId="43509"/>
    <cellStyle name="Normal 14 3 4 3 4 2 3" xfId="11262"/>
    <cellStyle name="Normal 14 3 4 3 4 2 3 2" xfId="33849"/>
    <cellStyle name="Normal 14 3 4 3 4 2 4" xfId="27409"/>
    <cellStyle name="Normal 14 3 4 3 4 3" xfId="17702"/>
    <cellStyle name="Normal 14 3 4 3 4 3 2" xfId="40289"/>
    <cellStyle name="Normal 14 3 4 3 4 4" xfId="14482"/>
    <cellStyle name="Normal 14 3 4 3 4 4 2" xfId="37069"/>
    <cellStyle name="Normal 14 3 4 3 4 5" xfId="8042"/>
    <cellStyle name="Normal 14 3 4 3 4 5 2" xfId="30629"/>
    <cellStyle name="Normal 14 3 4 3 4 6" xfId="24189"/>
    <cellStyle name="Normal 14 3 4 3 5" xfId="2094"/>
    <cellStyle name="Normal 14 3 4 3 5 2" xfId="5315"/>
    <cellStyle name="Normal 14 3 4 3 5 2 2" xfId="21415"/>
    <cellStyle name="Normal 14 3 4 3 5 2 2 2" xfId="44002"/>
    <cellStyle name="Normal 14 3 4 3 5 2 3" xfId="11755"/>
    <cellStyle name="Normal 14 3 4 3 5 2 3 2" xfId="34342"/>
    <cellStyle name="Normal 14 3 4 3 5 2 4" xfId="27902"/>
    <cellStyle name="Normal 14 3 4 3 5 3" xfId="18195"/>
    <cellStyle name="Normal 14 3 4 3 5 3 2" xfId="40782"/>
    <cellStyle name="Normal 14 3 4 3 5 4" xfId="14975"/>
    <cellStyle name="Normal 14 3 4 3 5 4 2" xfId="37562"/>
    <cellStyle name="Normal 14 3 4 3 5 5" xfId="8535"/>
    <cellStyle name="Normal 14 3 4 3 5 5 2" xfId="31122"/>
    <cellStyle name="Normal 14 3 4 3 5 6" xfId="24682"/>
    <cellStyle name="Normal 14 3 4 3 6" xfId="3134"/>
    <cellStyle name="Normal 14 3 4 3 6 2" xfId="6354"/>
    <cellStyle name="Normal 14 3 4 3 6 2 2" xfId="22454"/>
    <cellStyle name="Normal 14 3 4 3 6 2 2 2" xfId="45041"/>
    <cellStyle name="Normal 14 3 4 3 6 2 3" xfId="12794"/>
    <cellStyle name="Normal 14 3 4 3 6 2 3 2" xfId="35381"/>
    <cellStyle name="Normal 14 3 4 3 6 2 4" xfId="28941"/>
    <cellStyle name="Normal 14 3 4 3 6 3" xfId="19234"/>
    <cellStyle name="Normal 14 3 4 3 6 3 2" xfId="41821"/>
    <cellStyle name="Normal 14 3 4 3 6 4" xfId="16014"/>
    <cellStyle name="Normal 14 3 4 3 6 4 2" xfId="38601"/>
    <cellStyle name="Normal 14 3 4 3 6 5" xfId="9574"/>
    <cellStyle name="Normal 14 3 4 3 6 5 2" xfId="32161"/>
    <cellStyle name="Normal 14 3 4 3 6 6" xfId="25721"/>
    <cellStyle name="Normal 14 3 4 3 7" xfId="3424"/>
    <cellStyle name="Normal 14 3 4 3 7 2" xfId="6644"/>
    <cellStyle name="Normal 14 3 4 3 7 2 2" xfId="22744"/>
    <cellStyle name="Normal 14 3 4 3 7 2 2 2" xfId="45331"/>
    <cellStyle name="Normal 14 3 4 3 7 2 3" xfId="13084"/>
    <cellStyle name="Normal 14 3 4 3 7 2 3 2" xfId="35671"/>
    <cellStyle name="Normal 14 3 4 3 7 2 4" xfId="29231"/>
    <cellStyle name="Normal 14 3 4 3 7 3" xfId="19524"/>
    <cellStyle name="Normal 14 3 4 3 7 3 2" xfId="42111"/>
    <cellStyle name="Normal 14 3 4 3 7 4" xfId="16304"/>
    <cellStyle name="Normal 14 3 4 3 7 4 2" xfId="38891"/>
    <cellStyle name="Normal 14 3 4 3 7 5" xfId="9864"/>
    <cellStyle name="Normal 14 3 4 3 7 5 2" xfId="32451"/>
    <cellStyle name="Normal 14 3 4 3 7 6" xfId="26011"/>
    <cellStyle name="Normal 14 3 4 3 8" xfId="775"/>
    <cellStyle name="Normal 14 3 4 3 8 2" xfId="4007"/>
    <cellStyle name="Normal 14 3 4 3 8 2 2" xfId="20107"/>
    <cellStyle name="Normal 14 3 4 3 8 2 2 2" xfId="42694"/>
    <cellStyle name="Normal 14 3 4 3 8 2 3" xfId="10447"/>
    <cellStyle name="Normal 14 3 4 3 8 2 3 2" xfId="33034"/>
    <cellStyle name="Normal 14 3 4 3 8 2 4" xfId="26594"/>
    <cellStyle name="Normal 14 3 4 3 8 3" xfId="16887"/>
    <cellStyle name="Normal 14 3 4 3 8 3 2" xfId="39474"/>
    <cellStyle name="Normal 14 3 4 3 8 4" xfId="13667"/>
    <cellStyle name="Normal 14 3 4 3 8 4 2" xfId="36254"/>
    <cellStyle name="Normal 14 3 4 3 8 5" xfId="7227"/>
    <cellStyle name="Normal 14 3 4 3 8 5 2" xfId="29814"/>
    <cellStyle name="Normal 14 3 4 3 8 6" xfId="23374"/>
    <cellStyle name="Normal 14 3 4 3 9" xfId="3714"/>
    <cellStyle name="Normal 14 3 4 3 9 2" xfId="19814"/>
    <cellStyle name="Normal 14 3 4 3 9 2 2" xfId="42401"/>
    <cellStyle name="Normal 14 3 4 3 9 3" xfId="10154"/>
    <cellStyle name="Normal 14 3 4 3 9 3 2" xfId="32741"/>
    <cellStyle name="Normal 14 3 4 3 9 4" xfId="26301"/>
    <cellStyle name="Normal 14 3 4 4" xfId="922"/>
    <cellStyle name="Normal 14 3 4 4 2" xfId="2241"/>
    <cellStyle name="Normal 14 3 4 4 2 2" xfId="5462"/>
    <cellStyle name="Normal 14 3 4 4 2 2 2" xfId="21562"/>
    <cellStyle name="Normal 14 3 4 4 2 2 2 2" xfId="44149"/>
    <cellStyle name="Normal 14 3 4 4 2 2 3" xfId="11902"/>
    <cellStyle name="Normal 14 3 4 4 2 2 3 2" xfId="34489"/>
    <cellStyle name="Normal 14 3 4 4 2 2 4" xfId="28049"/>
    <cellStyle name="Normal 14 3 4 4 2 3" xfId="18342"/>
    <cellStyle name="Normal 14 3 4 4 2 3 2" xfId="40929"/>
    <cellStyle name="Normal 14 3 4 4 2 4" xfId="15122"/>
    <cellStyle name="Normal 14 3 4 4 2 4 2" xfId="37709"/>
    <cellStyle name="Normal 14 3 4 4 2 5" xfId="8682"/>
    <cellStyle name="Normal 14 3 4 4 2 5 2" xfId="31269"/>
    <cellStyle name="Normal 14 3 4 4 2 6" xfId="24829"/>
    <cellStyle name="Normal 14 3 4 4 3" xfId="4154"/>
    <cellStyle name="Normal 14 3 4 4 3 2" xfId="20254"/>
    <cellStyle name="Normal 14 3 4 4 3 2 2" xfId="42841"/>
    <cellStyle name="Normal 14 3 4 4 3 3" xfId="10594"/>
    <cellStyle name="Normal 14 3 4 4 3 3 2" xfId="33181"/>
    <cellStyle name="Normal 14 3 4 4 3 4" xfId="26741"/>
    <cellStyle name="Normal 14 3 4 4 4" xfId="17034"/>
    <cellStyle name="Normal 14 3 4 4 4 2" xfId="39621"/>
    <cellStyle name="Normal 14 3 4 4 5" xfId="13814"/>
    <cellStyle name="Normal 14 3 4 4 5 2" xfId="36401"/>
    <cellStyle name="Normal 14 3 4 4 6" xfId="7374"/>
    <cellStyle name="Normal 14 3 4 4 6 2" xfId="29961"/>
    <cellStyle name="Normal 14 3 4 4 7" xfId="23521"/>
    <cellStyle name="Normal 14 3 4 5" xfId="1274"/>
    <cellStyle name="Normal 14 3 4 5 2" xfId="2588"/>
    <cellStyle name="Normal 14 3 4 5 2 2" xfId="5809"/>
    <cellStyle name="Normal 14 3 4 5 2 2 2" xfId="21909"/>
    <cellStyle name="Normal 14 3 4 5 2 2 2 2" xfId="44496"/>
    <cellStyle name="Normal 14 3 4 5 2 2 3" xfId="12249"/>
    <cellStyle name="Normal 14 3 4 5 2 2 3 2" xfId="34836"/>
    <cellStyle name="Normal 14 3 4 5 2 2 4" xfId="28396"/>
    <cellStyle name="Normal 14 3 4 5 2 3" xfId="18689"/>
    <cellStyle name="Normal 14 3 4 5 2 3 2" xfId="41276"/>
    <cellStyle name="Normal 14 3 4 5 2 4" xfId="15469"/>
    <cellStyle name="Normal 14 3 4 5 2 4 2" xfId="38056"/>
    <cellStyle name="Normal 14 3 4 5 2 5" xfId="9029"/>
    <cellStyle name="Normal 14 3 4 5 2 5 2" xfId="31616"/>
    <cellStyle name="Normal 14 3 4 5 2 6" xfId="25176"/>
    <cellStyle name="Normal 14 3 4 5 3" xfId="4501"/>
    <cellStyle name="Normal 14 3 4 5 3 2" xfId="20601"/>
    <cellStyle name="Normal 14 3 4 5 3 2 2" xfId="43188"/>
    <cellStyle name="Normal 14 3 4 5 3 3" xfId="10941"/>
    <cellStyle name="Normal 14 3 4 5 3 3 2" xfId="33528"/>
    <cellStyle name="Normal 14 3 4 5 3 4" xfId="27088"/>
    <cellStyle name="Normal 14 3 4 5 4" xfId="17381"/>
    <cellStyle name="Normal 14 3 4 5 4 2" xfId="39968"/>
    <cellStyle name="Normal 14 3 4 5 5" xfId="14161"/>
    <cellStyle name="Normal 14 3 4 5 5 2" xfId="36748"/>
    <cellStyle name="Normal 14 3 4 5 6" xfId="7721"/>
    <cellStyle name="Normal 14 3 4 5 6 2" xfId="30308"/>
    <cellStyle name="Normal 14 3 4 5 7" xfId="23868"/>
    <cellStyle name="Normal 14 3 4 6" xfId="1597"/>
    <cellStyle name="Normal 14 3 4 6 2" xfId="4823"/>
    <cellStyle name="Normal 14 3 4 6 2 2" xfId="20923"/>
    <cellStyle name="Normal 14 3 4 6 2 2 2" xfId="43510"/>
    <cellStyle name="Normal 14 3 4 6 2 3" xfId="11263"/>
    <cellStyle name="Normal 14 3 4 6 2 3 2" xfId="33850"/>
    <cellStyle name="Normal 14 3 4 6 2 4" xfId="27410"/>
    <cellStyle name="Normal 14 3 4 6 3" xfId="17703"/>
    <cellStyle name="Normal 14 3 4 6 3 2" xfId="40290"/>
    <cellStyle name="Normal 14 3 4 6 4" xfId="14483"/>
    <cellStyle name="Normal 14 3 4 6 4 2" xfId="37070"/>
    <cellStyle name="Normal 14 3 4 6 5" xfId="8043"/>
    <cellStyle name="Normal 14 3 4 6 5 2" xfId="30630"/>
    <cellStyle name="Normal 14 3 4 6 6" xfId="24190"/>
    <cellStyle name="Normal 14 3 4 7" xfId="1893"/>
    <cellStyle name="Normal 14 3 4 7 2" xfId="5115"/>
    <cellStyle name="Normal 14 3 4 7 2 2" xfId="21215"/>
    <cellStyle name="Normal 14 3 4 7 2 2 2" xfId="43802"/>
    <cellStyle name="Normal 14 3 4 7 2 3" xfId="11555"/>
    <cellStyle name="Normal 14 3 4 7 2 3 2" xfId="34142"/>
    <cellStyle name="Normal 14 3 4 7 2 4" xfId="27702"/>
    <cellStyle name="Normal 14 3 4 7 3" xfId="17995"/>
    <cellStyle name="Normal 14 3 4 7 3 2" xfId="40582"/>
    <cellStyle name="Normal 14 3 4 7 4" xfId="14775"/>
    <cellStyle name="Normal 14 3 4 7 4 2" xfId="37362"/>
    <cellStyle name="Normal 14 3 4 7 5" xfId="8335"/>
    <cellStyle name="Normal 14 3 4 7 5 2" xfId="30922"/>
    <cellStyle name="Normal 14 3 4 7 6" xfId="24482"/>
    <cellStyle name="Normal 14 3 4 8" xfId="2940"/>
    <cellStyle name="Normal 14 3 4 8 2" xfId="6161"/>
    <cellStyle name="Normal 14 3 4 8 2 2" xfId="22261"/>
    <cellStyle name="Normal 14 3 4 8 2 2 2" xfId="44848"/>
    <cellStyle name="Normal 14 3 4 8 2 3" xfId="12601"/>
    <cellStyle name="Normal 14 3 4 8 2 3 2" xfId="35188"/>
    <cellStyle name="Normal 14 3 4 8 2 4" xfId="28748"/>
    <cellStyle name="Normal 14 3 4 8 3" xfId="19041"/>
    <cellStyle name="Normal 14 3 4 8 3 2" xfId="41628"/>
    <cellStyle name="Normal 14 3 4 8 4" xfId="15821"/>
    <cellStyle name="Normal 14 3 4 8 4 2" xfId="38408"/>
    <cellStyle name="Normal 14 3 4 8 5" xfId="9381"/>
    <cellStyle name="Normal 14 3 4 8 5 2" xfId="31968"/>
    <cellStyle name="Normal 14 3 4 8 6" xfId="25528"/>
    <cellStyle name="Normal 14 3 4 9" xfId="3231"/>
    <cellStyle name="Normal 14 3 4 9 2" xfId="6451"/>
    <cellStyle name="Normal 14 3 4 9 2 2" xfId="22551"/>
    <cellStyle name="Normal 14 3 4 9 2 2 2" xfId="45138"/>
    <cellStyle name="Normal 14 3 4 9 2 3" xfId="12891"/>
    <cellStyle name="Normal 14 3 4 9 2 3 2" xfId="35478"/>
    <cellStyle name="Normal 14 3 4 9 2 4" xfId="29038"/>
    <cellStyle name="Normal 14 3 4 9 3" xfId="19331"/>
    <cellStyle name="Normal 14 3 4 9 3 2" xfId="41918"/>
    <cellStyle name="Normal 14 3 4 9 4" xfId="16111"/>
    <cellStyle name="Normal 14 3 4 9 4 2" xfId="38698"/>
    <cellStyle name="Normal 14 3 4 9 5" xfId="9671"/>
    <cellStyle name="Normal 14 3 4 9 5 2" xfId="32258"/>
    <cellStyle name="Normal 14 3 4 9 6" xfId="25818"/>
    <cellStyle name="Normal 14 3 5" xfId="247"/>
    <cellStyle name="Normal 14 3 5 10" xfId="16415"/>
    <cellStyle name="Normal 14 3 5 10 2" xfId="39002"/>
    <cellStyle name="Normal 14 3 5 11" xfId="13195"/>
    <cellStyle name="Normal 14 3 5 11 2" xfId="35782"/>
    <cellStyle name="Normal 14 3 5 12" xfId="6755"/>
    <cellStyle name="Normal 14 3 5 12 2" xfId="29342"/>
    <cellStyle name="Normal 14 3 5 13" xfId="22902"/>
    <cellStyle name="Normal 14 3 5 2" xfId="972"/>
    <cellStyle name="Normal 14 3 5 2 2" xfId="2290"/>
    <cellStyle name="Normal 14 3 5 2 2 2" xfId="5511"/>
    <cellStyle name="Normal 14 3 5 2 2 2 2" xfId="21611"/>
    <cellStyle name="Normal 14 3 5 2 2 2 2 2" xfId="44198"/>
    <cellStyle name="Normal 14 3 5 2 2 2 3" xfId="11951"/>
    <cellStyle name="Normal 14 3 5 2 2 2 3 2" xfId="34538"/>
    <cellStyle name="Normal 14 3 5 2 2 2 4" xfId="28098"/>
    <cellStyle name="Normal 14 3 5 2 2 3" xfId="18391"/>
    <cellStyle name="Normal 14 3 5 2 2 3 2" xfId="40978"/>
    <cellStyle name="Normal 14 3 5 2 2 4" xfId="15171"/>
    <cellStyle name="Normal 14 3 5 2 2 4 2" xfId="37758"/>
    <cellStyle name="Normal 14 3 5 2 2 5" xfId="8731"/>
    <cellStyle name="Normal 14 3 5 2 2 5 2" xfId="31318"/>
    <cellStyle name="Normal 14 3 5 2 2 6" xfId="24878"/>
    <cellStyle name="Normal 14 3 5 2 3" xfId="4203"/>
    <cellStyle name="Normal 14 3 5 2 3 2" xfId="20303"/>
    <cellStyle name="Normal 14 3 5 2 3 2 2" xfId="42890"/>
    <cellStyle name="Normal 14 3 5 2 3 3" xfId="10643"/>
    <cellStyle name="Normal 14 3 5 2 3 3 2" xfId="33230"/>
    <cellStyle name="Normal 14 3 5 2 3 4" xfId="26790"/>
    <cellStyle name="Normal 14 3 5 2 4" xfId="17083"/>
    <cellStyle name="Normal 14 3 5 2 4 2" xfId="39670"/>
    <cellStyle name="Normal 14 3 5 2 5" xfId="13863"/>
    <cellStyle name="Normal 14 3 5 2 5 2" xfId="36450"/>
    <cellStyle name="Normal 14 3 5 2 6" xfId="7423"/>
    <cellStyle name="Normal 14 3 5 2 6 2" xfId="30010"/>
    <cellStyle name="Normal 14 3 5 2 7" xfId="23570"/>
    <cellStyle name="Normal 14 3 5 3" xfId="1323"/>
    <cellStyle name="Normal 14 3 5 3 2" xfId="2637"/>
    <cellStyle name="Normal 14 3 5 3 2 2" xfId="5858"/>
    <cellStyle name="Normal 14 3 5 3 2 2 2" xfId="21958"/>
    <cellStyle name="Normal 14 3 5 3 2 2 2 2" xfId="44545"/>
    <cellStyle name="Normal 14 3 5 3 2 2 3" xfId="12298"/>
    <cellStyle name="Normal 14 3 5 3 2 2 3 2" xfId="34885"/>
    <cellStyle name="Normal 14 3 5 3 2 2 4" xfId="28445"/>
    <cellStyle name="Normal 14 3 5 3 2 3" xfId="18738"/>
    <cellStyle name="Normal 14 3 5 3 2 3 2" xfId="41325"/>
    <cellStyle name="Normal 14 3 5 3 2 4" xfId="15518"/>
    <cellStyle name="Normal 14 3 5 3 2 4 2" xfId="38105"/>
    <cellStyle name="Normal 14 3 5 3 2 5" xfId="9078"/>
    <cellStyle name="Normal 14 3 5 3 2 5 2" xfId="31665"/>
    <cellStyle name="Normal 14 3 5 3 2 6" xfId="25225"/>
    <cellStyle name="Normal 14 3 5 3 3" xfId="4550"/>
    <cellStyle name="Normal 14 3 5 3 3 2" xfId="20650"/>
    <cellStyle name="Normal 14 3 5 3 3 2 2" xfId="43237"/>
    <cellStyle name="Normal 14 3 5 3 3 3" xfId="10990"/>
    <cellStyle name="Normal 14 3 5 3 3 3 2" xfId="33577"/>
    <cellStyle name="Normal 14 3 5 3 3 4" xfId="27137"/>
    <cellStyle name="Normal 14 3 5 3 4" xfId="17430"/>
    <cellStyle name="Normal 14 3 5 3 4 2" xfId="40017"/>
    <cellStyle name="Normal 14 3 5 3 5" xfId="14210"/>
    <cellStyle name="Normal 14 3 5 3 5 2" xfId="36797"/>
    <cellStyle name="Normal 14 3 5 3 6" xfId="7770"/>
    <cellStyle name="Normal 14 3 5 3 6 2" xfId="30357"/>
    <cellStyle name="Normal 14 3 5 3 7" xfId="23917"/>
    <cellStyle name="Normal 14 3 5 4" xfId="1598"/>
    <cellStyle name="Normal 14 3 5 4 2" xfId="4824"/>
    <cellStyle name="Normal 14 3 5 4 2 2" xfId="20924"/>
    <cellStyle name="Normal 14 3 5 4 2 2 2" xfId="43511"/>
    <cellStyle name="Normal 14 3 5 4 2 3" xfId="11264"/>
    <cellStyle name="Normal 14 3 5 4 2 3 2" xfId="33851"/>
    <cellStyle name="Normal 14 3 5 4 2 4" xfId="27411"/>
    <cellStyle name="Normal 14 3 5 4 3" xfId="17704"/>
    <cellStyle name="Normal 14 3 5 4 3 2" xfId="40291"/>
    <cellStyle name="Normal 14 3 5 4 4" xfId="14484"/>
    <cellStyle name="Normal 14 3 5 4 4 2" xfId="37071"/>
    <cellStyle name="Normal 14 3 5 4 5" xfId="8044"/>
    <cellStyle name="Normal 14 3 5 4 5 2" xfId="30631"/>
    <cellStyle name="Normal 14 3 5 4 6" xfId="24191"/>
    <cellStyle name="Normal 14 3 5 5" xfId="1942"/>
    <cellStyle name="Normal 14 3 5 5 2" xfId="5164"/>
    <cellStyle name="Normal 14 3 5 5 2 2" xfId="21264"/>
    <cellStyle name="Normal 14 3 5 5 2 2 2" xfId="43851"/>
    <cellStyle name="Normal 14 3 5 5 2 3" xfId="11604"/>
    <cellStyle name="Normal 14 3 5 5 2 3 2" xfId="34191"/>
    <cellStyle name="Normal 14 3 5 5 2 4" xfId="27751"/>
    <cellStyle name="Normal 14 3 5 5 3" xfId="18044"/>
    <cellStyle name="Normal 14 3 5 5 3 2" xfId="40631"/>
    <cellStyle name="Normal 14 3 5 5 4" xfId="14824"/>
    <cellStyle name="Normal 14 3 5 5 4 2" xfId="37411"/>
    <cellStyle name="Normal 14 3 5 5 5" xfId="8384"/>
    <cellStyle name="Normal 14 3 5 5 5 2" xfId="30971"/>
    <cellStyle name="Normal 14 3 5 5 6" xfId="24531"/>
    <cellStyle name="Normal 14 3 5 6" xfId="2954"/>
    <cellStyle name="Normal 14 3 5 6 2" xfId="6175"/>
    <cellStyle name="Normal 14 3 5 6 2 2" xfId="22275"/>
    <cellStyle name="Normal 14 3 5 6 2 2 2" xfId="44862"/>
    <cellStyle name="Normal 14 3 5 6 2 3" xfId="12615"/>
    <cellStyle name="Normal 14 3 5 6 2 3 2" xfId="35202"/>
    <cellStyle name="Normal 14 3 5 6 2 4" xfId="28762"/>
    <cellStyle name="Normal 14 3 5 6 3" xfId="19055"/>
    <cellStyle name="Normal 14 3 5 6 3 2" xfId="41642"/>
    <cellStyle name="Normal 14 3 5 6 4" xfId="15835"/>
    <cellStyle name="Normal 14 3 5 6 4 2" xfId="38422"/>
    <cellStyle name="Normal 14 3 5 6 5" xfId="9395"/>
    <cellStyle name="Normal 14 3 5 6 5 2" xfId="31982"/>
    <cellStyle name="Normal 14 3 5 6 6" xfId="25542"/>
    <cellStyle name="Normal 14 3 5 7" xfId="3245"/>
    <cellStyle name="Normal 14 3 5 7 2" xfId="6465"/>
    <cellStyle name="Normal 14 3 5 7 2 2" xfId="22565"/>
    <cellStyle name="Normal 14 3 5 7 2 2 2" xfId="45152"/>
    <cellStyle name="Normal 14 3 5 7 2 3" xfId="12905"/>
    <cellStyle name="Normal 14 3 5 7 2 3 2" xfId="35492"/>
    <cellStyle name="Normal 14 3 5 7 2 4" xfId="29052"/>
    <cellStyle name="Normal 14 3 5 7 3" xfId="19345"/>
    <cellStyle name="Normal 14 3 5 7 3 2" xfId="41932"/>
    <cellStyle name="Normal 14 3 5 7 4" xfId="16125"/>
    <cellStyle name="Normal 14 3 5 7 4 2" xfId="38712"/>
    <cellStyle name="Normal 14 3 5 7 5" xfId="9685"/>
    <cellStyle name="Normal 14 3 5 7 5 2" xfId="32272"/>
    <cellStyle name="Normal 14 3 5 7 6" xfId="25832"/>
    <cellStyle name="Normal 14 3 5 8" xfId="587"/>
    <cellStyle name="Normal 14 3 5 8 2" xfId="3856"/>
    <cellStyle name="Normal 14 3 5 8 2 2" xfId="19956"/>
    <cellStyle name="Normal 14 3 5 8 2 2 2" xfId="42543"/>
    <cellStyle name="Normal 14 3 5 8 2 3" xfId="10296"/>
    <cellStyle name="Normal 14 3 5 8 2 3 2" xfId="32883"/>
    <cellStyle name="Normal 14 3 5 8 2 4" xfId="26443"/>
    <cellStyle name="Normal 14 3 5 8 3" xfId="16736"/>
    <cellStyle name="Normal 14 3 5 8 3 2" xfId="39323"/>
    <cellStyle name="Normal 14 3 5 8 4" xfId="13516"/>
    <cellStyle name="Normal 14 3 5 8 4 2" xfId="36103"/>
    <cellStyle name="Normal 14 3 5 8 5" xfId="7076"/>
    <cellStyle name="Normal 14 3 5 8 5 2" xfId="29663"/>
    <cellStyle name="Normal 14 3 5 8 6" xfId="23223"/>
    <cellStyle name="Normal 14 3 5 9" xfId="3535"/>
    <cellStyle name="Normal 14 3 5 9 2" xfId="19635"/>
    <cellStyle name="Normal 14 3 5 9 2 2" xfId="42222"/>
    <cellStyle name="Normal 14 3 5 9 3" xfId="9975"/>
    <cellStyle name="Normal 14 3 5 9 3 2" xfId="32562"/>
    <cellStyle name="Normal 14 3 5 9 4" xfId="26122"/>
    <cellStyle name="Normal 14 3 6" xfId="350"/>
    <cellStyle name="Normal 14 3 6 10" xfId="16517"/>
    <cellStyle name="Normal 14 3 6 10 2" xfId="39104"/>
    <cellStyle name="Normal 14 3 6 11" xfId="13297"/>
    <cellStyle name="Normal 14 3 6 11 2" xfId="35884"/>
    <cellStyle name="Normal 14 3 6 12" xfId="6857"/>
    <cellStyle name="Normal 14 3 6 12 2" xfId="29444"/>
    <cellStyle name="Normal 14 3 6 13" xfId="23004"/>
    <cellStyle name="Normal 14 3 6 2" xfId="1087"/>
    <cellStyle name="Normal 14 3 6 2 2" xfId="2401"/>
    <cellStyle name="Normal 14 3 6 2 2 2" xfId="5622"/>
    <cellStyle name="Normal 14 3 6 2 2 2 2" xfId="21722"/>
    <cellStyle name="Normal 14 3 6 2 2 2 2 2" xfId="44309"/>
    <cellStyle name="Normal 14 3 6 2 2 2 3" xfId="12062"/>
    <cellStyle name="Normal 14 3 6 2 2 2 3 2" xfId="34649"/>
    <cellStyle name="Normal 14 3 6 2 2 2 4" xfId="28209"/>
    <cellStyle name="Normal 14 3 6 2 2 3" xfId="18502"/>
    <cellStyle name="Normal 14 3 6 2 2 3 2" xfId="41089"/>
    <cellStyle name="Normal 14 3 6 2 2 4" xfId="15282"/>
    <cellStyle name="Normal 14 3 6 2 2 4 2" xfId="37869"/>
    <cellStyle name="Normal 14 3 6 2 2 5" xfId="8842"/>
    <cellStyle name="Normal 14 3 6 2 2 5 2" xfId="31429"/>
    <cellStyle name="Normal 14 3 6 2 2 6" xfId="24989"/>
    <cellStyle name="Normal 14 3 6 2 3" xfId="4314"/>
    <cellStyle name="Normal 14 3 6 2 3 2" xfId="20414"/>
    <cellStyle name="Normal 14 3 6 2 3 2 2" xfId="43001"/>
    <cellStyle name="Normal 14 3 6 2 3 3" xfId="10754"/>
    <cellStyle name="Normal 14 3 6 2 3 3 2" xfId="33341"/>
    <cellStyle name="Normal 14 3 6 2 3 4" xfId="26901"/>
    <cellStyle name="Normal 14 3 6 2 4" xfId="17194"/>
    <cellStyle name="Normal 14 3 6 2 4 2" xfId="39781"/>
    <cellStyle name="Normal 14 3 6 2 5" xfId="13974"/>
    <cellStyle name="Normal 14 3 6 2 5 2" xfId="36561"/>
    <cellStyle name="Normal 14 3 6 2 6" xfId="7534"/>
    <cellStyle name="Normal 14 3 6 2 6 2" xfId="30121"/>
    <cellStyle name="Normal 14 3 6 2 7" xfId="23681"/>
    <cellStyle name="Normal 14 3 6 3" xfId="1434"/>
    <cellStyle name="Normal 14 3 6 3 2" xfId="2748"/>
    <cellStyle name="Normal 14 3 6 3 2 2" xfId="5969"/>
    <cellStyle name="Normal 14 3 6 3 2 2 2" xfId="22069"/>
    <cellStyle name="Normal 14 3 6 3 2 2 2 2" xfId="44656"/>
    <cellStyle name="Normal 14 3 6 3 2 2 3" xfId="12409"/>
    <cellStyle name="Normal 14 3 6 3 2 2 3 2" xfId="34996"/>
    <cellStyle name="Normal 14 3 6 3 2 2 4" xfId="28556"/>
    <cellStyle name="Normal 14 3 6 3 2 3" xfId="18849"/>
    <cellStyle name="Normal 14 3 6 3 2 3 2" xfId="41436"/>
    <cellStyle name="Normal 14 3 6 3 2 4" xfId="15629"/>
    <cellStyle name="Normal 14 3 6 3 2 4 2" xfId="38216"/>
    <cellStyle name="Normal 14 3 6 3 2 5" xfId="9189"/>
    <cellStyle name="Normal 14 3 6 3 2 5 2" xfId="31776"/>
    <cellStyle name="Normal 14 3 6 3 2 6" xfId="25336"/>
    <cellStyle name="Normal 14 3 6 3 3" xfId="4661"/>
    <cellStyle name="Normal 14 3 6 3 3 2" xfId="20761"/>
    <cellStyle name="Normal 14 3 6 3 3 2 2" xfId="43348"/>
    <cellStyle name="Normal 14 3 6 3 3 3" xfId="11101"/>
    <cellStyle name="Normal 14 3 6 3 3 3 2" xfId="33688"/>
    <cellStyle name="Normal 14 3 6 3 3 4" xfId="27248"/>
    <cellStyle name="Normal 14 3 6 3 4" xfId="17541"/>
    <cellStyle name="Normal 14 3 6 3 4 2" xfId="40128"/>
    <cellStyle name="Normal 14 3 6 3 5" xfId="14321"/>
    <cellStyle name="Normal 14 3 6 3 5 2" xfId="36908"/>
    <cellStyle name="Normal 14 3 6 3 6" xfId="7881"/>
    <cellStyle name="Normal 14 3 6 3 6 2" xfId="30468"/>
    <cellStyle name="Normal 14 3 6 3 7" xfId="24028"/>
    <cellStyle name="Normal 14 3 6 4" xfId="1599"/>
    <cellStyle name="Normal 14 3 6 4 2" xfId="4825"/>
    <cellStyle name="Normal 14 3 6 4 2 2" xfId="20925"/>
    <cellStyle name="Normal 14 3 6 4 2 2 2" xfId="43512"/>
    <cellStyle name="Normal 14 3 6 4 2 3" xfId="11265"/>
    <cellStyle name="Normal 14 3 6 4 2 3 2" xfId="33852"/>
    <cellStyle name="Normal 14 3 6 4 2 4" xfId="27412"/>
    <cellStyle name="Normal 14 3 6 4 3" xfId="17705"/>
    <cellStyle name="Normal 14 3 6 4 3 2" xfId="40292"/>
    <cellStyle name="Normal 14 3 6 4 4" xfId="14485"/>
    <cellStyle name="Normal 14 3 6 4 4 2" xfId="37072"/>
    <cellStyle name="Normal 14 3 6 4 5" xfId="8045"/>
    <cellStyle name="Normal 14 3 6 4 5 2" xfId="30632"/>
    <cellStyle name="Normal 14 3 6 4 6" xfId="24192"/>
    <cellStyle name="Normal 14 3 6 5" xfId="2054"/>
    <cellStyle name="Normal 14 3 6 5 2" xfId="5275"/>
    <cellStyle name="Normal 14 3 6 5 2 2" xfId="21375"/>
    <cellStyle name="Normal 14 3 6 5 2 2 2" xfId="43962"/>
    <cellStyle name="Normal 14 3 6 5 2 3" xfId="11715"/>
    <cellStyle name="Normal 14 3 6 5 2 3 2" xfId="34302"/>
    <cellStyle name="Normal 14 3 6 5 2 4" xfId="27862"/>
    <cellStyle name="Normal 14 3 6 5 3" xfId="18155"/>
    <cellStyle name="Normal 14 3 6 5 3 2" xfId="40742"/>
    <cellStyle name="Normal 14 3 6 5 4" xfId="14935"/>
    <cellStyle name="Normal 14 3 6 5 4 2" xfId="37522"/>
    <cellStyle name="Normal 14 3 6 5 5" xfId="8495"/>
    <cellStyle name="Normal 14 3 6 5 5 2" xfId="31082"/>
    <cellStyle name="Normal 14 3 6 5 6" xfId="24642"/>
    <cellStyle name="Normal 14 3 6 6" xfId="3057"/>
    <cellStyle name="Normal 14 3 6 6 2" xfId="6277"/>
    <cellStyle name="Normal 14 3 6 6 2 2" xfId="22377"/>
    <cellStyle name="Normal 14 3 6 6 2 2 2" xfId="44964"/>
    <cellStyle name="Normal 14 3 6 6 2 3" xfId="12717"/>
    <cellStyle name="Normal 14 3 6 6 2 3 2" xfId="35304"/>
    <cellStyle name="Normal 14 3 6 6 2 4" xfId="28864"/>
    <cellStyle name="Normal 14 3 6 6 3" xfId="19157"/>
    <cellStyle name="Normal 14 3 6 6 3 2" xfId="41744"/>
    <cellStyle name="Normal 14 3 6 6 4" xfId="15937"/>
    <cellStyle name="Normal 14 3 6 6 4 2" xfId="38524"/>
    <cellStyle name="Normal 14 3 6 6 5" xfId="9497"/>
    <cellStyle name="Normal 14 3 6 6 5 2" xfId="32084"/>
    <cellStyle name="Normal 14 3 6 6 6" xfId="25644"/>
    <cellStyle name="Normal 14 3 6 7" xfId="3347"/>
    <cellStyle name="Normal 14 3 6 7 2" xfId="6567"/>
    <cellStyle name="Normal 14 3 6 7 2 2" xfId="22667"/>
    <cellStyle name="Normal 14 3 6 7 2 2 2" xfId="45254"/>
    <cellStyle name="Normal 14 3 6 7 2 3" xfId="13007"/>
    <cellStyle name="Normal 14 3 6 7 2 3 2" xfId="35594"/>
    <cellStyle name="Normal 14 3 6 7 2 4" xfId="29154"/>
    <cellStyle name="Normal 14 3 6 7 3" xfId="19447"/>
    <cellStyle name="Normal 14 3 6 7 3 2" xfId="42034"/>
    <cellStyle name="Normal 14 3 6 7 4" xfId="16227"/>
    <cellStyle name="Normal 14 3 6 7 4 2" xfId="38814"/>
    <cellStyle name="Normal 14 3 6 7 5" xfId="9787"/>
    <cellStyle name="Normal 14 3 6 7 5 2" xfId="32374"/>
    <cellStyle name="Normal 14 3 6 7 6" xfId="25934"/>
    <cellStyle name="Normal 14 3 6 8" xfId="735"/>
    <cellStyle name="Normal 14 3 6 8 2" xfId="3967"/>
    <cellStyle name="Normal 14 3 6 8 2 2" xfId="20067"/>
    <cellStyle name="Normal 14 3 6 8 2 2 2" xfId="42654"/>
    <cellStyle name="Normal 14 3 6 8 2 3" xfId="10407"/>
    <cellStyle name="Normal 14 3 6 8 2 3 2" xfId="32994"/>
    <cellStyle name="Normal 14 3 6 8 2 4" xfId="26554"/>
    <cellStyle name="Normal 14 3 6 8 3" xfId="16847"/>
    <cellStyle name="Normal 14 3 6 8 3 2" xfId="39434"/>
    <cellStyle name="Normal 14 3 6 8 4" xfId="13627"/>
    <cellStyle name="Normal 14 3 6 8 4 2" xfId="36214"/>
    <cellStyle name="Normal 14 3 6 8 5" xfId="7187"/>
    <cellStyle name="Normal 14 3 6 8 5 2" xfId="29774"/>
    <cellStyle name="Normal 14 3 6 8 6" xfId="23334"/>
    <cellStyle name="Normal 14 3 6 9" xfId="3637"/>
    <cellStyle name="Normal 14 3 6 9 2" xfId="19737"/>
    <cellStyle name="Normal 14 3 6 9 2 2" xfId="42324"/>
    <cellStyle name="Normal 14 3 6 9 3" xfId="10077"/>
    <cellStyle name="Normal 14 3 6 9 3 2" xfId="32664"/>
    <cellStyle name="Normal 14 3 6 9 4" xfId="26224"/>
    <cellStyle name="Normal 14 3 7" xfId="755"/>
    <cellStyle name="Normal 14 3 7 2" xfId="1107"/>
    <cellStyle name="Normal 14 3 7 2 2" xfId="2421"/>
    <cellStyle name="Normal 14 3 7 2 2 2" xfId="5642"/>
    <cellStyle name="Normal 14 3 7 2 2 2 2" xfId="21742"/>
    <cellStyle name="Normal 14 3 7 2 2 2 2 2" xfId="44329"/>
    <cellStyle name="Normal 14 3 7 2 2 2 3" xfId="12082"/>
    <cellStyle name="Normal 14 3 7 2 2 2 3 2" xfId="34669"/>
    <cellStyle name="Normal 14 3 7 2 2 2 4" xfId="28229"/>
    <cellStyle name="Normal 14 3 7 2 2 3" xfId="18522"/>
    <cellStyle name="Normal 14 3 7 2 2 3 2" xfId="41109"/>
    <cellStyle name="Normal 14 3 7 2 2 4" xfId="15302"/>
    <cellStyle name="Normal 14 3 7 2 2 4 2" xfId="37889"/>
    <cellStyle name="Normal 14 3 7 2 2 5" xfId="8862"/>
    <cellStyle name="Normal 14 3 7 2 2 5 2" xfId="31449"/>
    <cellStyle name="Normal 14 3 7 2 2 6" xfId="25009"/>
    <cellStyle name="Normal 14 3 7 2 3" xfId="4334"/>
    <cellStyle name="Normal 14 3 7 2 3 2" xfId="20434"/>
    <cellStyle name="Normal 14 3 7 2 3 2 2" xfId="43021"/>
    <cellStyle name="Normal 14 3 7 2 3 3" xfId="10774"/>
    <cellStyle name="Normal 14 3 7 2 3 3 2" xfId="33361"/>
    <cellStyle name="Normal 14 3 7 2 3 4" xfId="26921"/>
    <cellStyle name="Normal 14 3 7 2 4" xfId="17214"/>
    <cellStyle name="Normal 14 3 7 2 4 2" xfId="39801"/>
    <cellStyle name="Normal 14 3 7 2 5" xfId="13994"/>
    <cellStyle name="Normal 14 3 7 2 5 2" xfId="36581"/>
    <cellStyle name="Normal 14 3 7 2 6" xfId="7554"/>
    <cellStyle name="Normal 14 3 7 2 6 2" xfId="30141"/>
    <cellStyle name="Normal 14 3 7 2 7" xfId="23701"/>
    <cellStyle name="Normal 14 3 7 3" xfId="1454"/>
    <cellStyle name="Normal 14 3 7 3 2" xfId="2768"/>
    <cellStyle name="Normal 14 3 7 3 2 2" xfId="5989"/>
    <cellStyle name="Normal 14 3 7 3 2 2 2" xfId="22089"/>
    <cellStyle name="Normal 14 3 7 3 2 2 2 2" xfId="44676"/>
    <cellStyle name="Normal 14 3 7 3 2 2 3" xfId="12429"/>
    <cellStyle name="Normal 14 3 7 3 2 2 3 2" xfId="35016"/>
    <cellStyle name="Normal 14 3 7 3 2 2 4" xfId="28576"/>
    <cellStyle name="Normal 14 3 7 3 2 3" xfId="18869"/>
    <cellStyle name="Normal 14 3 7 3 2 3 2" xfId="41456"/>
    <cellStyle name="Normal 14 3 7 3 2 4" xfId="15649"/>
    <cellStyle name="Normal 14 3 7 3 2 4 2" xfId="38236"/>
    <cellStyle name="Normal 14 3 7 3 2 5" xfId="9209"/>
    <cellStyle name="Normal 14 3 7 3 2 5 2" xfId="31796"/>
    <cellStyle name="Normal 14 3 7 3 2 6" xfId="25356"/>
    <cellStyle name="Normal 14 3 7 3 3" xfId="4681"/>
    <cellStyle name="Normal 14 3 7 3 3 2" xfId="20781"/>
    <cellStyle name="Normal 14 3 7 3 3 2 2" xfId="43368"/>
    <cellStyle name="Normal 14 3 7 3 3 3" xfId="11121"/>
    <cellStyle name="Normal 14 3 7 3 3 3 2" xfId="33708"/>
    <cellStyle name="Normal 14 3 7 3 3 4" xfId="27268"/>
    <cellStyle name="Normal 14 3 7 3 4" xfId="17561"/>
    <cellStyle name="Normal 14 3 7 3 4 2" xfId="40148"/>
    <cellStyle name="Normal 14 3 7 3 5" xfId="14341"/>
    <cellStyle name="Normal 14 3 7 3 5 2" xfId="36928"/>
    <cellStyle name="Normal 14 3 7 3 6" xfId="7901"/>
    <cellStyle name="Normal 14 3 7 3 6 2" xfId="30488"/>
    <cellStyle name="Normal 14 3 7 3 7" xfId="24048"/>
    <cellStyle name="Normal 14 3 7 4" xfId="2074"/>
    <cellStyle name="Normal 14 3 7 4 2" xfId="5295"/>
    <cellStyle name="Normal 14 3 7 4 2 2" xfId="21395"/>
    <cellStyle name="Normal 14 3 7 4 2 2 2" xfId="43982"/>
    <cellStyle name="Normal 14 3 7 4 2 3" xfId="11735"/>
    <cellStyle name="Normal 14 3 7 4 2 3 2" xfId="34322"/>
    <cellStyle name="Normal 14 3 7 4 2 4" xfId="27882"/>
    <cellStyle name="Normal 14 3 7 4 3" xfId="18175"/>
    <cellStyle name="Normal 14 3 7 4 3 2" xfId="40762"/>
    <cellStyle name="Normal 14 3 7 4 4" xfId="14955"/>
    <cellStyle name="Normal 14 3 7 4 4 2" xfId="37542"/>
    <cellStyle name="Normal 14 3 7 4 5" xfId="8515"/>
    <cellStyle name="Normal 14 3 7 4 5 2" xfId="31102"/>
    <cellStyle name="Normal 14 3 7 4 6" xfId="24662"/>
    <cellStyle name="Normal 14 3 7 5" xfId="3987"/>
    <cellStyle name="Normal 14 3 7 5 2" xfId="20087"/>
    <cellStyle name="Normal 14 3 7 5 2 2" xfId="42674"/>
    <cellStyle name="Normal 14 3 7 5 3" xfId="10427"/>
    <cellStyle name="Normal 14 3 7 5 3 2" xfId="33014"/>
    <cellStyle name="Normal 14 3 7 5 4" xfId="26574"/>
    <cellStyle name="Normal 14 3 7 6" xfId="16867"/>
    <cellStyle name="Normal 14 3 7 6 2" xfId="39454"/>
    <cellStyle name="Normal 14 3 7 7" xfId="13647"/>
    <cellStyle name="Normal 14 3 7 7 2" xfId="36234"/>
    <cellStyle name="Normal 14 3 7 8" xfId="7207"/>
    <cellStyle name="Normal 14 3 7 8 2" xfId="29794"/>
    <cellStyle name="Normal 14 3 7 9" xfId="23354"/>
    <cellStyle name="Normal 14 3 8" xfId="849"/>
    <cellStyle name="Normal 14 3 8 2" xfId="2168"/>
    <cellStyle name="Normal 14 3 8 2 2" xfId="5389"/>
    <cellStyle name="Normal 14 3 8 2 2 2" xfId="21489"/>
    <cellStyle name="Normal 14 3 8 2 2 2 2" xfId="44076"/>
    <cellStyle name="Normal 14 3 8 2 2 3" xfId="11829"/>
    <cellStyle name="Normal 14 3 8 2 2 3 2" xfId="34416"/>
    <cellStyle name="Normal 14 3 8 2 2 4" xfId="27976"/>
    <cellStyle name="Normal 14 3 8 2 3" xfId="18269"/>
    <cellStyle name="Normal 14 3 8 2 3 2" xfId="40856"/>
    <cellStyle name="Normal 14 3 8 2 4" xfId="15049"/>
    <cellStyle name="Normal 14 3 8 2 4 2" xfId="37636"/>
    <cellStyle name="Normal 14 3 8 2 5" xfId="8609"/>
    <cellStyle name="Normal 14 3 8 2 5 2" xfId="31196"/>
    <cellStyle name="Normal 14 3 8 2 6" xfId="24756"/>
    <cellStyle name="Normal 14 3 8 3" xfId="4081"/>
    <cellStyle name="Normal 14 3 8 3 2" xfId="20181"/>
    <cellStyle name="Normal 14 3 8 3 2 2" xfId="42768"/>
    <cellStyle name="Normal 14 3 8 3 3" xfId="10521"/>
    <cellStyle name="Normal 14 3 8 3 3 2" xfId="33108"/>
    <cellStyle name="Normal 14 3 8 3 4" xfId="26668"/>
    <cellStyle name="Normal 14 3 8 4" xfId="16961"/>
    <cellStyle name="Normal 14 3 8 4 2" xfId="39548"/>
    <cellStyle name="Normal 14 3 8 5" xfId="13741"/>
    <cellStyle name="Normal 14 3 8 5 2" xfId="36328"/>
    <cellStyle name="Normal 14 3 8 6" xfId="7301"/>
    <cellStyle name="Normal 14 3 8 6 2" xfId="29888"/>
    <cellStyle name="Normal 14 3 8 7" xfId="23448"/>
    <cellStyle name="Normal 14 3 9" xfId="1201"/>
    <cellStyle name="Normal 14 3 9 2" xfId="2515"/>
    <cellStyle name="Normal 14 3 9 2 2" xfId="5736"/>
    <cellStyle name="Normal 14 3 9 2 2 2" xfId="21836"/>
    <cellStyle name="Normal 14 3 9 2 2 2 2" xfId="44423"/>
    <cellStyle name="Normal 14 3 9 2 2 3" xfId="12176"/>
    <cellStyle name="Normal 14 3 9 2 2 3 2" xfId="34763"/>
    <cellStyle name="Normal 14 3 9 2 2 4" xfId="28323"/>
    <cellStyle name="Normal 14 3 9 2 3" xfId="18616"/>
    <cellStyle name="Normal 14 3 9 2 3 2" xfId="41203"/>
    <cellStyle name="Normal 14 3 9 2 4" xfId="15396"/>
    <cellStyle name="Normal 14 3 9 2 4 2" xfId="37983"/>
    <cellStyle name="Normal 14 3 9 2 5" xfId="8956"/>
    <cellStyle name="Normal 14 3 9 2 5 2" xfId="31543"/>
    <cellStyle name="Normal 14 3 9 2 6" xfId="25103"/>
    <cellStyle name="Normal 14 3 9 3" xfId="4428"/>
    <cellStyle name="Normal 14 3 9 3 2" xfId="20528"/>
    <cellStyle name="Normal 14 3 9 3 2 2" xfId="43115"/>
    <cellStyle name="Normal 14 3 9 3 3" xfId="10868"/>
    <cellStyle name="Normal 14 3 9 3 3 2" xfId="33455"/>
    <cellStyle name="Normal 14 3 9 3 4" xfId="27015"/>
    <cellStyle name="Normal 14 3 9 4" xfId="17308"/>
    <cellStyle name="Normal 14 3 9 4 2" xfId="39895"/>
    <cellStyle name="Normal 14 3 9 5" xfId="14088"/>
    <cellStyle name="Normal 14 3 9 5 2" xfId="36675"/>
    <cellStyle name="Normal 14 3 9 6" xfId="7648"/>
    <cellStyle name="Normal 14 3 9 6 2" xfId="30235"/>
    <cellStyle name="Normal 14 3 9 7" xfId="23795"/>
    <cellStyle name="Normal 14 4" xfId="113"/>
    <cellStyle name="Normal 14 4 10" xfId="2869"/>
    <cellStyle name="Normal 14 4 10 2" xfId="6090"/>
    <cellStyle name="Normal 14 4 10 2 2" xfId="22190"/>
    <cellStyle name="Normal 14 4 10 2 2 2" xfId="44777"/>
    <cellStyle name="Normal 14 4 10 2 3" xfId="12530"/>
    <cellStyle name="Normal 14 4 10 2 3 2" xfId="35117"/>
    <cellStyle name="Normal 14 4 10 2 4" xfId="28677"/>
    <cellStyle name="Normal 14 4 10 3" xfId="18970"/>
    <cellStyle name="Normal 14 4 10 3 2" xfId="41557"/>
    <cellStyle name="Normal 14 4 10 4" xfId="15750"/>
    <cellStyle name="Normal 14 4 10 4 2" xfId="38337"/>
    <cellStyle name="Normal 14 4 10 5" xfId="9310"/>
    <cellStyle name="Normal 14 4 10 5 2" xfId="31897"/>
    <cellStyle name="Normal 14 4 10 6" xfId="25457"/>
    <cellStyle name="Normal 14 4 11" xfId="3160"/>
    <cellStyle name="Normal 14 4 11 2" xfId="6380"/>
    <cellStyle name="Normal 14 4 11 2 2" xfId="22480"/>
    <cellStyle name="Normal 14 4 11 2 2 2" xfId="45067"/>
    <cellStyle name="Normal 14 4 11 2 3" xfId="12820"/>
    <cellStyle name="Normal 14 4 11 2 3 2" xfId="35407"/>
    <cellStyle name="Normal 14 4 11 2 4" xfId="28967"/>
    <cellStyle name="Normal 14 4 11 3" xfId="19260"/>
    <cellStyle name="Normal 14 4 11 3 2" xfId="41847"/>
    <cellStyle name="Normal 14 4 11 4" xfId="16040"/>
    <cellStyle name="Normal 14 4 11 4 2" xfId="38627"/>
    <cellStyle name="Normal 14 4 11 5" xfId="9600"/>
    <cellStyle name="Normal 14 4 11 5 2" xfId="32187"/>
    <cellStyle name="Normal 14 4 11 6" xfId="25747"/>
    <cellStyle name="Normal 14 4 12" xfId="453"/>
    <cellStyle name="Normal 14 4 12 2" xfId="3740"/>
    <cellStyle name="Normal 14 4 12 2 2" xfId="19840"/>
    <cellStyle name="Normal 14 4 12 2 2 2" xfId="42427"/>
    <cellStyle name="Normal 14 4 12 2 3" xfId="10180"/>
    <cellStyle name="Normal 14 4 12 2 3 2" xfId="32767"/>
    <cellStyle name="Normal 14 4 12 2 4" xfId="26327"/>
    <cellStyle name="Normal 14 4 12 3" xfId="16620"/>
    <cellStyle name="Normal 14 4 12 3 2" xfId="39207"/>
    <cellStyle name="Normal 14 4 12 4" xfId="13400"/>
    <cellStyle name="Normal 14 4 12 4 2" xfId="35987"/>
    <cellStyle name="Normal 14 4 12 5" xfId="6960"/>
    <cellStyle name="Normal 14 4 12 5 2" xfId="29547"/>
    <cellStyle name="Normal 14 4 12 6" xfId="23107"/>
    <cellStyle name="Normal 14 4 13" xfId="3450"/>
    <cellStyle name="Normal 14 4 13 2" xfId="19550"/>
    <cellStyle name="Normal 14 4 13 2 2" xfId="42137"/>
    <cellStyle name="Normal 14 4 13 3" xfId="9890"/>
    <cellStyle name="Normal 14 4 13 3 2" xfId="32477"/>
    <cellStyle name="Normal 14 4 13 4" xfId="26037"/>
    <cellStyle name="Normal 14 4 14" xfId="16330"/>
    <cellStyle name="Normal 14 4 14 2" xfId="38917"/>
    <cellStyle name="Normal 14 4 15" xfId="13110"/>
    <cellStyle name="Normal 14 4 15 2" xfId="35697"/>
    <cellStyle name="Normal 14 4 16" xfId="6670"/>
    <cellStyle name="Normal 14 4 16 2" xfId="29257"/>
    <cellStyle name="Normal 14 4 17" xfId="22817"/>
    <cellStyle name="Normal 14 4 2" xfId="197"/>
    <cellStyle name="Normal 14 4 2 10" xfId="490"/>
    <cellStyle name="Normal 14 4 2 10 2" xfId="3777"/>
    <cellStyle name="Normal 14 4 2 10 2 2" xfId="19877"/>
    <cellStyle name="Normal 14 4 2 10 2 2 2" xfId="42464"/>
    <cellStyle name="Normal 14 4 2 10 2 3" xfId="10217"/>
    <cellStyle name="Normal 14 4 2 10 2 3 2" xfId="32804"/>
    <cellStyle name="Normal 14 4 2 10 2 4" xfId="26364"/>
    <cellStyle name="Normal 14 4 2 10 3" xfId="16657"/>
    <cellStyle name="Normal 14 4 2 10 3 2" xfId="39244"/>
    <cellStyle name="Normal 14 4 2 10 4" xfId="13437"/>
    <cellStyle name="Normal 14 4 2 10 4 2" xfId="36024"/>
    <cellStyle name="Normal 14 4 2 10 5" xfId="6997"/>
    <cellStyle name="Normal 14 4 2 10 5 2" xfId="29584"/>
    <cellStyle name="Normal 14 4 2 10 6" xfId="23144"/>
    <cellStyle name="Normal 14 4 2 11" xfId="3487"/>
    <cellStyle name="Normal 14 4 2 11 2" xfId="19587"/>
    <cellStyle name="Normal 14 4 2 11 2 2" xfId="42174"/>
    <cellStyle name="Normal 14 4 2 11 3" xfId="9927"/>
    <cellStyle name="Normal 14 4 2 11 3 2" xfId="32514"/>
    <cellStyle name="Normal 14 4 2 11 4" xfId="26074"/>
    <cellStyle name="Normal 14 4 2 12" xfId="16367"/>
    <cellStyle name="Normal 14 4 2 12 2" xfId="38954"/>
    <cellStyle name="Normal 14 4 2 13" xfId="13147"/>
    <cellStyle name="Normal 14 4 2 13 2" xfId="35734"/>
    <cellStyle name="Normal 14 4 2 14" xfId="6707"/>
    <cellStyle name="Normal 14 4 2 14 2" xfId="29294"/>
    <cellStyle name="Normal 14 4 2 15" xfId="22854"/>
    <cellStyle name="Normal 14 4 2 2" xfId="297"/>
    <cellStyle name="Normal 14 4 2 2 10" xfId="16464"/>
    <cellStyle name="Normal 14 4 2 2 10 2" xfId="39051"/>
    <cellStyle name="Normal 14 4 2 2 11" xfId="13244"/>
    <cellStyle name="Normal 14 4 2 2 11 2" xfId="35831"/>
    <cellStyle name="Normal 14 4 2 2 12" xfId="6804"/>
    <cellStyle name="Normal 14 4 2 2 12 2" xfId="29391"/>
    <cellStyle name="Normal 14 4 2 2 13" xfId="22951"/>
    <cellStyle name="Normal 14 4 2 2 2" xfId="1016"/>
    <cellStyle name="Normal 14 4 2 2 2 2" xfId="2330"/>
    <cellStyle name="Normal 14 4 2 2 2 2 2" xfId="5551"/>
    <cellStyle name="Normal 14 4 2 2 2 2 2 2" xfId="21651"/>
    <cellStyle name="Normal 14 4 2 2 2 2 2 2 2" xfId="44238"/>
    <cellStyle name="Normal 14 4 2 2 2 2 2 3" xfId="11991"/>
    <cellStyle name="Normal 14 4 2 2 2 2 2 3 2" xfId="34578"/>
    <cellStyle name="Normal 14 4 2 2 2 2 2 4" xfId="28138"/>
    <cellStyle name="Normal 14 4 2 2 2 2 3" xfId="18431"/>
    <cellStyle name="Normal 14 4 2 2 2 2 3 2" xfId="41018"/>
    <cellStyle name="Normal 14 4 2 2 2 2 4" xfId="15211"/>
    <cellStyle name="Normal 14 4 2 2 2 2 4 2" xfId="37798"/>
    <cellStyle name="Normal 14 4 2 2 2 2 5" xfId="8771"/>
    <cellStyle name="Normal 14 4 2 2 2 2 5 2" xfId="31358"/>
    <cellStyle name="Normal 14 4 2 2 2 2 6" xfId="24918"/>
    <cellStyle name="Normal 14 4 2 2 2 3" xfId="4243"/>
    <cellStyle name="Normal 14 4 2 2 2 3 2" xfId="20343"/>
    <cellStyle name="Normal 14 4 2 2 2 3 2 2" xfId="42930"/>
    <cellStyle name="Normal 14 4 2 2 2 3 3" xfId="10683"/>
    <cellStyle name="Normal 14 4 2 2 2 3 3 2" xfId="33270"/>
    <cellStyle name="Normal 14 4 2 2 2 3 4" xfId="26830"/>
    <cellStyle name="Normal 14 4 2 2 2 4" xfId="17123"/>
    <cellStyle name="Normal 14 4 2 2 2 4 2" xfId="39710"/>
    <cellStyle name="Normal 14 4 2 2 2 5" xfId="13903"/>
    <cellStyle name="Normal 14 4 2 2 2 5 2" xfId="36490"/>
    <cellStyle name="Normal 14 4 2 2 2 6" xfId="7463"/>
    <cellStyle name="Normal 14 4 2 2 2 6 2" xfId="30050"/>
    <cellStyle name="Normal 14 4 2 2 2 7" xfId="23610"/>
    <cellStyle name="Normal 14 4 2 2 3" xfId="1363"/>
    <cellStyle name="Normal 14 4 2 2 3 2" xfId="2677"/>
    <cellStyle name="Normal 14 4 2 2 3 2 2" xfId="5898"/>
    <cellStyle name="Normal 14 4 2 2 3 2 2 2" xfId="21998"/>
    <cellStyle name="Normal 14 4 2 2 3 2 2 2 2" xfId="44585"/>
    <cellStyle name="Normal 14 4 2 2 3 2 2 3" xfId="12338"/>
    <cellStyle name="Normal 14 4 2 2 3 2 2 3 2" xfId="34925"/>
    <cellStyle name="Normal 14 4 2 2 3 2 2 4" xfId="28485"/>
    <cellStyle name="Normal 14 4 2 2 3 2 3" xfId="18778"/>
    <cellStyle name="Normal 14 4 2 2 3 2 3 2" xfId="41365"/>
    <cellStyle name="Normal 14 4 2 2 3 2 4" xfId="15558"/>
    <cellStyle name="Normal 14 4 2 2 3 2 4 2" xfId="38145"/>
    <cellStyle name="Normal 14 4 2 2 3 2 5" xfId="9118"/>
    <cellStyle name="Normal 14 4 2 2 3 2 5 2" xfId="31705"/>
    <cellStyle name="Normal 14 4 2 2 3 2 6" xfId="25265"/>
    <cellStyle name="Normal 14 4 2 2 3 3" xfId="4590"/>
    <cellStyle name="Normal 14 4 2 2 3 3 2" xfId="20690"/>
    <cellStyle name="Normal 14 4 2 2 3 3 2 2" xfId="43277"/>
    <cellStyle name="Normal 14 4 2 2 3 3 3" xfId="11030"/>
    <cellStyle name="Normal 14 4 2 2 3 3 3 2" xfId="33617"/>
    <cellStyle name="Normal 14 4 2 2 3 3 4" xfId="27177"/>
    <cellStyle name="Normal 14 4 2 2 3 4" xfId="17470"/>
    <cellStyle name="Normal 14 4 2 2 3 4 2" xfId="40057"/>
    <cellStyle name="Normal 14 4 2 2 3 5" xfId="14250"/>
    <cellStyle name="Normal 14 4 2 2 3 5 2" xfId="36837"/>
    <cellStyle name="Normal 14 4 2 2 3 6" xfId="7810"/>
    <cellStyle name="Normal 14 4 2 2 3 6 2" xfId="30397"/>
    <cellStyle name="Normal 14 4 2 2 3 7" xfId="23957"/>
    <cellStyle name="Normal 14 4 2 2 4" xfId="1600"/>
    <cellStyle name="Normal 14 4 2 2 4 2" xfId="4826"/>
    <cellStyle name="Normal 14 4 2 2 4 2 2" xfId="20926"/>
    <cellStyle name="Normal 14 4 2 2 4 2 2 2" xfId="43513"/>
    <cellStyle name="Normal 14 4 2 2 4 2 3" xfId="11266"/>
    <cellStyle name="Normal 14 4 2 2 4 2 3 2" xfId="33853"/>
    <cellStyle name="Normal 14 4 2 2 4 2 4" xfId="27413"/>
    <cellStyle name="Normal 14 4 2 2 4 3" xfId="17706"/>
    <cellStyle name="Normal 14 4 2 2 4 3 2" xfId="40293"/>
    <cellStyle name="Normal 14 4 2 2 4 4" xfId="14486"/>
    <cellStyle name="Normal 14 4 2 2 4 4 2" xfId="37073"/>
    <cellStyle name="Normal 14 4 2 2 4 5" xfId="8046"/>
    <cellStyle name="Normal 14 4 2 2 4 5 2" xfId="30633"/>
    <cellStyle name="Normal 14 4 2 2 4 6" xfId="24193"/>
    <cellStyle name="Normal 14 4 2 2 5" xfId="1982"/>
    <cellStyle name="Normal 14 4 2 2 5 2" xfId="5204"/>
    <cellStyle name="Normal 14 4 2 2 5 2 2" xfId="21304"/>
    <cellStyle name="Normal 14 4 2 2 5 2 2 2" xfId="43891"/>
    <cellStyle name="Normal 14 4 2 2 5 2 3" xfId="11644"/>
    <cellStyle name="Normal 14 4 2 2 5 2 3 2" xfId="34231"/>
    <cellStyle name="Normal 14 4 2 2 5 2 4" xfId="27791"/>
    <cellStyle name="Normal 14 4 2 2 5 3" xfId="18084"/>
    <cellStyle name="Normal 14 4 2 2 5 3 2" xfId="40671"/>
    <cellStyle name="Normal 14 4 2 2 5 4" xfId="14864"/>
    <cellStyle name="Normal 14 4 2 2 5 4 2" xfId="37451"/>
    <cellStyle name="Normal 14 4 2 2 5 5" xfId="8424"/>
    <cellStyle name="Normal 14 4 2 2 5 5 2" xfId="31011"/>
    <cellStyle name="Normal 14 4 2 2 5 6" xfId="24571"/>
    <cellStyle name="Normal 14 4 2 2 6" xfId="3004"/>
    <cellStyle name="Normal 14 4 2 2 6 2" xfId="6224"/>
    <cellStyle name="Normal 14 4 2 2 6 2 2" xfId="22324"/>
    <cellStyle name="Normal 14 4 2 2 6 2 2 2" xfId="44911"/>
    <cellStyle name="Normal 14 4 2 2 6 2 3" xfId="12664"/>
    <cellStyle name="Normal 14 4 2 2 6 2 3 2" xfId="35251"/>
    <cellStyle name="Normal 14 4 2 2 6 2 4" xfId="28811"/>
    <cellStyle name="Normal 14 4 2 2 6 3" xfId="19104"/>
    <cellStyle name="Normal 14 4 2 2 6 3 2" xfId="41691"/>
    <cellStyle name="Normal 14 4 2 2 6 4" xfId="15884"/>
    <cellStyle name="Normal 14 4 2 2 6 4 2" xfId="38471"/>
    <cellStyle name="Normal 14 4 2 2 6 5" xfId="9444"/>
    <cellStyle name="Normal 14 4 2 2 6 5 2" xfId="32031"/>
    <cellStyle name="Normal 14 4 2 2 6 6" xfId="25591"/>
    <cellStyle name="Normal 14 4 2 2 7" xfId="3294"/>
    <cellStyle name="Normal 14 4 2 2 7 2" xfId="6514"/>
    <cellStyle name="Normal 14 4 2 2 7 2 2" xfId="22614"/>
    <cellStyle name="Normal 14 4 2 2 7 2 2 2" xfId="45201"/>
    <cellStyle name="Normal 14 4 2 2 7 2 3" xfId="12954"/>
    <cellStyle name="Normal 14 4 2 2 7 2 3 2" xfId="35541"/>
    <cellStyle name="Normal 14 4 2 2 7 2 4" xfId="29101"/>
    <cellStyle name="Normal 14 4 2 2 7 3" xfId="19394"/>
    <cellStyle name="Normal 14 4 2 2 7 3 2" xfId="41981"/>
    <cellStyle name="Normal 14 4 2 2 7 4" xfId="16174"/>
    <cellStyle name="Normal 14 4 2 2 7 4 2" xfId="38761"/>
    <cellStyle name="Normal 14 4 2 2 7 5" xfId="9734"/>
    <cellStyle name="Normal 14 4 2 2 7 5 2" xfId="32321"/>
    <cellStyle name="Normal 14 4 2 2 7 6" xfId="25881"/>
    <cellStyle name="Normal 14 4 2 2 8" xfId="652"/>
    <cellStyle name="Normal 14 4 2 2 8 2" xfId="3896"/>
    <cellStyle name="Normal 14 4 2 2 8 2 2" xfId="19996"/>
    <cellStyle name="Normal 14 4 2 2 8 2 2 2" xfId="42583"/>
    <cellStyle name="Normal 14 4 2 2 8 2 3" xfId="10336"/>
    <cellStyle name="Normal 14 4 2 2 8 2 3 2" xfId="32923"/>
    <cellStyle name="Normal 14 4 2 2 8 2 4" xfId="26483"/>
    <cellStyle name="Normal 14 4 2 2 8 3" xfId="16776"/>
    <cellStyle name="Normal 14 4 2 2 8 3 2" xfId="39363"/>
    <cellStyle name="Normal 14 4 2 2 8 4" xfId="13556"/>
    <cellStyle name="Normal 14 4 2 2 8 4 2" xfId="36143"/>
    <cellStyle name="Normal 14 4 2 2 8 5" xfId="7116"/>
    <cellStyle name="Normal 14 4 2 2 8 5 2" xfId="29703"/>
    <cellStyle name="Normal 14 4 2 2 8 6" xfId="23263"/>
    <cellStyle name="Normal 14 4 2 2 9" xfId="3584"/>
    <cellStyle name="Normal 14 4 2 2 9 2" xfId="19684"/>
    <cellStyle name="Normal 14 4 2 2 9 2 2" xfId="42271"/>
    <cellStyle name="Normal 14 4 2 2 9 3" xfId="10024"/>
    <cellStyle name="Normal 14 4 2 2 9 3 2" xfId="32611"/>
    <cellStyle name="Normal 14 4 2 2 9 4" xfId="26171"/>
    <cellStyle name="Normal 14 4 2 3" xfId="393"/>
    <cellStyle name="Normal 14 4 2 3 10" xfId="13340"/>
    <cellStyle name="Normal 14 4 2 3 10 2" xfId="35927"/>
    <cellStyle name="Normal 14 4 2 3 11" xfId="6900"/>
    <cellStyle name="Normal 14 4 2 3 11 2" xfId="29487"/>
    <cellStyle name="Normal 14 4 2 3 12" xfId="23047"/>
    <cellStyle name="Normal 14 4 2 3 2" xfId="1175"/>
    <cellStyle name="Normal 14 4 2 3 2 2" xfId="2489"/>
    <cellStyle name="Normal 14 4 2 3 2 2 2" xfId="5710"/>
    <cellStyle name="Normal 14 4 2 3 2 2 2 2" xfId="21810"/>
    <cellStyle name="Normal 14 4 2 3 2 2 2 2 2" xfId="44397"/>
    <cellStyle name="Normal 14 4 2 3 2 2 2 3" xfId="12150"/>
    <cellStyle name="Normal 14 4 2 3 2 2 2 3 2" xfId="34737"/>
    <cellStyle name="Normal 14 4 2 3 2 2 2 4" xfId="28297"/>
    <cellStyle name="Normal 14 4 2 3 2 2 3" xfId="18590"/>
    <cellStyle name="Normal 14 4 2 3 2 2 3 2" xfId="41177"/>
    <cellStyle name="Normal 14 4 2 3 2 2 4" xfId="15370"/>
    <cellStyle name="Normal 14 4 2 3 2 2 4 2" xfId="37957"/>
    <cellStyle name="Normal 14 4 2 3 2 2 5" xfId="8930"/>
    <cellStyle name="Normal 14 4 2 3 2 2 5 2" xfId="31517"/>
    <cellStyle name="Normal 14 4 2 3 2 2 6" xfId="25077"/>
    <cellStyle name="Normal 14 4 2 3 2 3" xfId="4402"/>
    <cellStyle name="Normal 14 4 2 3 2 3 2" xfId="20502"/>
    <cellStyle name="Normal 14 4 2 3 2 3 2 2" xfId="43089"/>
    <cellStyle name="Normal 14 4 2 3 2 3 3" xfId="10842"/>
    <cellStyle name="Normal 14 4 2 3 2 3 3 2" xfId="33429"/>
    <cellStyle name="Normal 14 4 2 3 2 3 4" xfId="26989"/>
    <cellStyle name="Normal 14 4 2 3 2 4" xfId="17282"/>
    <cellStyle name="Normal 14 4 2 3 2 4 2" xfId="39869"/>
    <cellStyle name="Normal 14 4 2 3 2 5" xfId="14062"/>
    <cellStyle name="Normal 14 4 2 3 2 5 2" xfId="36649"/>
    <cellStyle name="Normal 14 4 2 3 2 6" xfId="7622"/>
    <cellStyle name="Normal 14 4 2 3 2 6 2" xfId="30209"/>
    <cellStyle name="Normal 14 4 2 3 2 7" xfId="23769"/>
    <cellStyle name="Normal 14 4 2 3 3" xfId="1522"/>
    <cellStyle name="Normal 14 4 2 3 3 2" xfId="2836"/>
    <cellStyle name="Normal 14 4 2 3 3 2 2" xfId="6057"/>
    <cellStyle name="Normal 14 4 2 3 3 2 2 2" xfId="22157"/>
    <cellStyle name="Normal 14 4 2 3 3 2 2 2 2" xfId="44744"/>
    <cellStyle name="Normal 14 4 2 3 3 2 2 3" xfId="12497"/>
    <cellStyle name="Normal 14 4 2 3 3 2 2 3 2" xfId="35084"/>
    <cellStyle name="Normal 14 4 2 3 3 2 2 4" xfId="28644"/>
    <cellStyle name="Normal 14 4 2 3 3 2 3" xfId="18937"/>
    <cellStyle name="Normal 14 4 2 3 3 2 3 2" xfId="41524"/>
    <cellStyle name="Normal 14 4 2 3 3 2 4" xfId="15717"/>
    <cellStyle name="Normal 14 4 2 3 3 2 4 2" xfId="38304"/>
    <cellStyle name="Normal 14 4 2 3 3 2 5" xfId="9277"/>
    <cellStyle name="Normal 14 4 2 3 3 2 5 2" xfId="31864"/>
    <cellStyle name="Normal 14 4 2 3 3 2 6" xfId="25424"/>
    <cellStyle name="Normal 14 4 2 3 3 3" xfId="4749"/>
    <cellStyle name="Normal 14 4 2 3 3 3 2" xfId="20849"/>
    <cellStyle name="Normal 14 4 2 3 3 3 2 2" xfId="43436"/>
    <cellStyle name="Normal 14 4 2 3 3 3 3" xfId="11189"/>
    <cellStyle name="Normal 14 4 2 3 3 3 3 2" xfId="33776"/>
    <cellStyle name="Normal 14 4 2 3 3 3 4" xfId="27336"/>
    <cellStyle name="Normal 14 4 2 3 3 4" xfId="17629"/>
    <cellStyle name="Normal 14 4 2 3 3 4 2" xfId="40216"/>
    <cellStyle name="Normal 14 4 2 3 3 5" xfId="14409"/>
    <cellStyle name="Normal 14 4 2 3 3 5 2" xfId="36996"/>
    <cellStyle name="Normal 14 4 2 3 3 6" xfId="7969"/>
    <cellStyle name="Normal 14 4 2 3 3 6 2" xfId="30556"/>
    <cellStyle name="Normal 14 4 2 3 3 7" xfId="24116"/>
    <cellStyle name="Normal 14 4 2 3 4" xfId="2142"/>
    <cellStyle name="Normal 14 4 2 3 4 2" xfId="5363"/>
    <cellStyle name="Normal 14 4 2 3 4 2 2" xfId="21463"/>
    <cellStyle name="Normal 14 4 2 3 4 2 2 2" xfId="44050"/>
    <cellStyle name="Normal 14 4 2 3 4 2 3" xfId="11803"/>
    <cellStyle name="Normal 14 4 2 3 4 2 3 2" xfId="34390"/>
    <cellStyle name="Normal 14 4 2 3 4 2 4" xfId="27950"/>
    <cellStyle name="Normal 14 4 2 3 4 3" xfId="18243"/>
    <cellStyle name="Normal 14 4 2 3 4 3 2" xfId="40830"/>
    <cellStyle name="Normal 14 4 2 3 4 4" xfId="15023"/>
    <cellStyle name="Normal 14 4 2 3 4 4 2" xfId="37610"/>
    <cellStyle name="Normal 14 4 2 3 4 5" xfId="8583"/>
    <cellStyle name="Normal 14 4 2 3 4 5 2" xfId="31170"/>
    <cellStyle name="Normal 14 4 2 3 4 6" xfId="24730"/>
    <cellStyle name="Normal 14 4 2 3 5" xfId="3100"/>
    <cellStyle name="Normal 14 4 2 3 5 2" xfId="6320"/>
    <cellStyle name="Normal 14 4 2 3 5 2 2" xfId="22420"/>
    <cellStyle name="Normal 14 4 2 3 5 2 2 2" xfId="45007"/>
    <cellStyle name="Normal 14 4 2 3 5 2 3" xfId="12760"/>
    <cellStyle name="Normal 14 4 2 3 5 2 3 2" xfId="35347"/>
    <cellStyle name="Normal 14 4 2 3 5 2 4" xfId="28907"/>
    <cellStyle name="Normal 14 4 2 3 5 3" xfId="19200"/>
    <cellStyle name="Normal 14 4 2 3 5 3 2" xfId="41787"/>
    <cellStyle name="Normal 14 4 2 3 5 4" xfId="15980"/>
    <cellStyle name="Normal 14 4 2 3 5 4 2" xfId="38567"/>
    <cellStyle name="Normal 14 4 2 3 5 5" xfId="9540"/>
    <cellStyle name="Normal 14 4 2 3 5 5 2" xfId="32127"/>
    <cellStyle name="Normal 14 4 2 3 5 6" xfId="25687"/>
    <cellStyle name="Normal 14 4 2 3 6" xfId="3390"/>
    <cellStyle name="Normal 14 4 2 3 6 2" xfId="6610"/>
    <cellStyle name="Normal 14 4 2 3 6 2 2" xfId="22710"/>
    <cellStyle name="Normal 14 4 2 3 6 2 2 2" xfId="45297"/>
    <cellStyle name="Normal 14 4 2 3 6 2 3" xfId="13050"/>
    <cellStyle name="Normal 14 4 2 3 6 2 3 2" xfId="35637"/>
    <cellStyle name="Normal 14 4 2 3 6 2 4" xfId="29197"/>
    <cellStyle name="Normal 14 4 2 3 6 3" xfId="19490"/>
    <cellStyle name="Normal 14 4 2 3 6 3 2" xfId="42077"/>
    <cellStyle name="Normal 14 4 2 3 6 4" xfId="16270"/>
    <cellStyle name="Normal 14 4 2 3 6 4 2" xfId="38857"/>
    <cellStyle name="Normal 14 4 2 3 6 5" xfId="9830"/>
    <cellStyle name="Normal 14 4 2 3 6 5 2" xfId="32417"/>
    <cellStyle name="Normal 14 4 2 3 6 6" xfId="25977"/>
    <cellStyle name="Normal 14 4 2 3 7" xfId="823"/>
    <cellStyle name="Normal 14 4 2 3 7 2" xfId="4055"/>
    <cellStyle name="Normal 14 4 2 3 7 2 2" xfId="20155"/>
    <cellStyle name="Normal 14 4 2 3 7 2 2 2" xfId="42742"/>
    <cellStyle name="Normal 14 4 2 3 7 2 3" xfId="10495"/>
    <cellStyle name="Normal 14 4 2 3 7 2 3 2" xfId="33082"/>
    <cellStyle name="Normal 14 4 2 3 7 2 4" xfId="26642"/>
    <cellStyle name="Normal 14 4 2 3 7 3" xfId="16935"/>
    <cellStyle name="Normal 14 4 2 3 7 3 2" xfId="39522"/>
    <cellStyle name="Normal 14 4 2 3 7 4" xfId="13715"/>
    <cellStyle name="Normal 14 4 2 3 7 4 2" xfId="36302"/>
    <cellStyle name="Normal 14 4 2 3 7 5" xfId="7275"/>
    <cellStyle name="Normal 14 4 2 3 7 5 2" xfId="29862"/>
    <cellStyle name="Normal 14 4 2 3 7 6" xfId="23422"/>
    <cellStyle name="Normal 14 4 2 3 8" xfId="3680"/>
    <cellStyle name="Normal 14 4 2 3 8 2" xfId="19780"/>
    <cellStyle name="Normal 14 4 2 3 8 2 2" xfId="42367"/>
    <cellStyle name="Normal 14 4 2 3 8 3" xfId="10120"/>
    <cellStyle name="Normal 14 4 2 3 8 3 2" xfId="32707"/>
    <cellStyle name="Normal 14 4 2 3 8 4" xfId="26267"/>
    <cellStyle name="Normal 14 4 2 3 9" xfId="16560"/>
    <cellStyle name="Normal 14 4 2 3 9 2" xfId="39147"/>
    <cellStyle name="Normal 14 4 2 4" xfId="892"/>
    <cellStyle name="Normal 14 4 2 4 2" xfId="2211"/>
    <cellStyle name="Normal 14 4 2 4 2 2" xfId="5432"/>
    <cellStyle name="Normal 14 4 2 4 2 2 2" xfId="21532"/>
    <cellStyle name="Normal 14 4 2 4 2 2 2 2" xfId="44119"/>
    <cellStyle name="Normal 14 4 2 4 2 2 3" xfId="11872"/>
    <cellStyle name="Normal 14 4 2 4 2 2 3 2" xfId="34459"/>
    <cellStyle name="Normal 14 4 2 4 2 2 4" xfId="28019"/>
    <cellStyle name="Normal 14 4 2 4 2 3" xfId="18312"/>
    <cellStyle name="Normal 14 4 2 4 2 3 2" xfId="40899"/>
    <cellStyle name="Normal 14 4 2 4 2 4" xfId="15092"/>
    <cellStyle name="Normal 14 4 2 4 2 4 2" xfId="37679"/>
    <cellStyle name="Normal 14 4 2 4 2 5" xfId="8652"/>
    <cellStyle name="Normal 14 4 2 4 2 5 2" xfId="31239"/>
    <cellStyle name="Normal 14 4 2 4 2 6" xfId="24799"/>
    <cellStyle name="Normal 14 4 2 4 3" xfId="4124"/>
    <cellStyle name="Normal 14 4 2 4 3 2" xfId="20224"/>
    <cellStyle name="Normal 14 4 2 4 3 2 2" xfId="42811"/>
    <cellStyle name="Normal 14 4 2 4 3 3" xfId="10564"/>
    <cellStyle name="Normal 14 4 2 4 3 3 2" xfId="33151"/>
    <cellStyle name="Normal 14 4 2 4 3 4" xfId="26711"/>
    <cellStyle name="Normal 14 4 2 4 4" xfId="17004"/>
    <cellStyle name="Normal 14 4 2 4 4 2" xfId="39591"/>
    <cellStyle name="Normal 14 4 2 4 5" xfId="13784"/>
    <cellStyle name="Normal 14 4 2 4 5 2" xfId="36371"/>
    <cellStyle name="Normal 14 4 2 4 6" xfId="7344"/>
    <cellStyle name="Normal 14 4 2 4 6 2" xfId="29931"/>
    <cellStyle name="Normal 14 4 2 4 7" xfId="23491"/>
    <cellStyle name="Normal 14 4 2 5" xfId="1244"/>
    <cellStyle name="Normal 14 4 2 5 2" xfId="2558"/>
    <cellStyle name="Normal 14 4 2 5 2 2" xfId="5779"/>
    <cellStyle name="Normal 14 4 2 5 2 2 2" xfId="21879"/>
    <cellStyle name="Normal 14 4 2 5 2 2 2 2" xfId="44466"/>
    <cellStyle name="Normal 14 4 2 5 2 2 3" xfId="12219"/>
    <cellStyle name="Normal 14 4 2 5 2 2 3 2" xfId="34806"/>
    <cellStyle name="Normal 14 4 2 5 2 2 4" xfId="28366"/>
    <cellStyle name="Normal 14 4 2 5 2 3" xfId="18659"/>
    <cellStyle name="Normal 14 4 2 5 2 3 2" xfId="41246"/>
    <cellStyle name="Normal 14 4 2 5 2 4" xfId="15439"/>
    <cellStyle name="Normal 14 4 2 5 2 4 2" xfId="38026"/>
    <cellStyle name="Normal 14 4 2 5 2 5" xfId="8999"/>
    <cellStyle name="Normal 14 4 2 5 2 5 2" xfId="31586"/>
    <cellStyle name="Normal 14 4 2 5 2 6" xfId="25146"/>
    <cellStyle name="Normal 14 4 2 5 3" xfId="4471"/>
    <cellStyle name="Normal 14 4 2 5 3 2" xfId="20571"/>
    <cellStyle name="Normal 14 4 2 5 3 2 2" xfId="43158"/>
    <cellStyle name="Normal 14 4 2 5 3 3" xfId="10911"/>
    <cellStyle name="Normal 14 4 2 5 3 3 2" xfId="33498"/>
    <cellStyle name="Normal 14 4 2 5 3 4" xfId="27058"/>
    <cellStyle name="Normal 14 4 2 5 4" xfId="17351"/>
    <cellStyle name="Normal 14 4 2 5 4 2" xfId="39938"/>
    <cellStyle name="Normal 14 4 2 5 5" xfId="14131"/>
    <cellStyle name="Normal 14 4 2 5 5 2" xfId="36718"/>
    <cellStyle name="Normal 14 4 2 5 6" xfId="7691"/>
    <cellStyle name="Normal 14 4 2 5 6 2" xfId="30278"/>
    <cellStyle name="Normal 14 4 2 5 7" xfId="23838"/>
    <cellStyle name="Normal 14 4 2 6" xfId="1601"/>
    <cellStyle name="Normal 14 4 2 6 2" xfId="4827"/>
    <cellStyle name="Normal 14 4 2 6 2 2" xfId="20927"/>
    <cellStyle name="Normal 14 4 2 6 2 2 2" xfId="43514"/>
    <cellStyle name="Normal 14 4 2 6 2 3" xfId="11267"/>
    <cellStyle name="Normal 14 4 2 6 2 3 2" xfId="33854"/>
    <cellStyle name="Normal 14 4 2 6 2 4" xfId="27414"/>
    <cellStyle name="Normal 14 4 2 6 3" xfId="17707"/>
    <cellStyle name="Normal 14 4 2 6 3 2" xfId="40294"/>
    <cellStyle name="Normal 14 4 2 6 4" xfId="14487"/>
    <cellStyle name="Normal 14 4 2 6 4 2" xfId="37074"/>
    <cellStyle name="Normal 14 4 2 6 5" xfId="8047"/>
    <cellStyle name="Normal 14 4 2 6 5 2" xfId="30634"/>
    <cellStyle name="Normal 14 4 2 6 6" xfId="24194"/>
    <cellStyle name="Normal 14 4 2 7" xfId="1863"/>
    <cellStyle name="Normal 14 4 2 7 2" xfId="5085"/>
    <cellStyle name="Normal 14 4 2 7 2 2" xfId="21185"/>
    <cellStyle name="Normal 14 4 2 7 2 2 2" xfId="43772"/>
    <cellStyle name="Normal 14 4 2 7 2 3" xfId="11525"/>
    <cellStyle name="Normal 14 4 2 7 2 3 2" xfId="34112"/>
    <cellStyle name="Normal 14 4 2 7 2 4" xfId="27672"/>
    <cellStyle name="Normal 14 4 2 7 3" xfId="17965"/>
    <cellStyle name="Normal 14 4 2 7 3 2" xfId="40552"/>
    <cellStyle name="Normal 14 4 2 7 4" xfId="14745"/>
    <cellStyle name="Normal 14 4 2 7 4 2" xfId="37332"/>
    <cellStyle name="Normal 14 4 2 7 5" xfId="8305"/>
    <cellStyle name="Normal 14 4 2 7 5 2" xfId="30892"/>
    <cellStyle name="Normal 14 4 2 7 6" xfId="24452"/>
    <cellStyle name="Normal 14 4 2 8" xfId="2906"/>
    <cellStyle name="Normal 14 4 2 8 2" xfId="6127"/>
    <cellStyle name="Normal 14 4 2 8 2 2" xfId="22227"/>
    <cellStyle name="Normal 14 4 2 8 2 2 2" xfId="44814"/>
    <cellStyle name="Normal 14 4 2 8 2 3" xfId="12567"/>
    <cellStyle name="Normal 14 4 2 8 2 3 2" xfId="35154"/>
    <cellStyle name="Normal 14 4 2 8 2 4" xfId="28714"/>
    <cellStyle name="Normal 14 4 2 8 3" xfId="19007"/>
    <cellStyle name="Normal 14 4 2 8 3 2" xfId="41594"/>
    <cellStyle name="Normal 14 4 2 8 4" xfId="15787"/>
    <cellStyle name="Normal 14 4 2 8 4 2" xfId="38374"/>
    <cellStyle name="Normal 14 4 2 8 5" xfId="9347"/>
    <cellStyle name="Normal 14 4 2 8 5 2" xfId="31934"/>
    <cellStyle name="Normal 14 4 2 8 6" xfId="25494"/>
    <cellStyle name="Normal 14 4 2 9" xfId="3197"/>
    <cellStyle name="Normal 14 4 2 9 2" xfId="6417"/>
    <cellStyle name="Normal 14 4 2 9 2 2" xfId="22517"/>
    <cellStyle name="Normal 14 4 2 9 2 2 2" xfId="45104"/>
    <cellStyle name="Normal 14 4 2 9 2 3" xfId="12857"/>
    <cellStyle name="Normal 14 4 2 9 2 3 2" xfId="35444"/>
    <cellStyle name="Normal 14 4 2 9 2 4" xfId="29004"/>
    <cellStyle name="Normal 14 4 2 9 3" xfId="19297"/>
    <cellStyle name="Normal 14 4 2 9 3 2" xfId="41884"/>
    <cellStyle name="Normal 14 4 2 9 4" xfId="16077"/>
    <cellStyle name="Normal 14 4 2 9 4 2" xfId="38664"/>
    <cellStyle name="Normal 14 4 2 9 5" xfId="9637"/>
    <cellStyle name="Normal 14 4 2 9 5 2" xfId="32224"/>
    <cellStyle name="Normal 14 4 2 9 6" xfId="25784"/>
    <cellStyle name="Normal 14 4 3" xfId="256"/>
    <cellStyle name="Normal 14 4 3 10" xfId="3543"/>
    <cellStyle name="Normal 14 4 3 10 2" xfId="19643"/>
    <cellStyle name="Normal 14 4 3 10 2 2" xfId="42230"/>
    <cellStyle name="Normal 14 4 3 10 3" xfId="9983"/>
    <cellStyle name="Normal 14 4 3 10 3 2" xfId="32570"/>
    <cellStyle name="Normal 14 4 3 10 4" xfId="26130"/>
    <cellStyle name="Normal 14 4 3 11" xfId="16423"/>
    <cellStyle name="Normal 14 4 3 11 2" xfId="39010"/>
    <cellStyle name="Normal 14 4 3 12" xfId="13203"/>
    <cellStyle name="Normal 14 4 3 12 2" xfId="35790"/>
    <cellStyle name="Normal 14 4 3 13" xfId="6763"/>
    <cellStyle name="Normal 14 4 3 13 2" xfId="29350"/>
    <cellStyle name="Normal 14 4 3 14" xfId="22910"/>
    <cellStyle name="Normal 14 4 3 2" xfId="689"/>
    <cellStyle name="Normal 14 4 3 2 2" xfId="1053"/>
    <cellStyle name="Normal 14 4 3 2 2 2" xfId="2367"/>
    <cellStyle name="Normal 14 4 3 2 2 2 2" xfId="5588"/>
    <cellStyle name="Normal 14 4 3 2 2 2 2 2" xfId="21688"/>
    <cellStyle name="Normal 14 4 3 2 2 2 2 2 2" xfId="44275"/>
    <cellStyle name="Normal 14 4 3 2 2 2 2 3" xfId="12028"/>
    <cellStyle name="Normal 14 4 3 2 2 2 2 3 2" xfId="34615"/>
    <cellStyle name="Normal 14 4 3 2 2 2 2 4" xfId="28175"/>
    <cellStyle name="Normal 14 4 3 2 2 2 3" xfId="18468"/>
    <cellStyle name="Normal 14 4 3 2 2 2 3 2" xfId="41055"/>
    <cellStyle name="Normal 14 4 3 2 2 2 4" xfId="15248"/>
    <cellStyle name="Normal 14 4 3 2 2 2 4 2" xfId="37835"/>
    <cellStyle name="Normal 14 4 3 2 2 2 5" xfId="8808"/>
    <cellStyle name="Normal 14 4 3 2 2 2 5 2" xfId="31395"/>
    <cellStyle name="Normal 14 4 3 2 2 2 6" xfId="24955"/>
    <cellStyle name="Normal 14 4 3 2 2 3" xfId="4280"/>
    <cellStyle name="Normal 14 4 3 2 2 3 2" xfId="20380"/>
    <cellStyle name="Normal 14 4 3 2 2 3 2 2" xfId="42967"/>
    <cellStyle name="Normal 14 4 3 2 2 3 3" xfId="10720"/>
    <cellStyle name="Normal 14 4 3 2 2 3 3 2" xfId="33307"/>
    <cellStyle name="Normal 14 4 3 2 2 3 4" xfId="26867"/>
    <cellStyle name="Normal 14 4 3 2 2 4" xfId="17160"/>
    <cellStyle name="Normal 14 4 3 2 2 4 2" xfId="39747"/>
    <cellStyle name="Normal 14 4 3 2 2 5" xfId="13940"/>
    <cellStyle name="Normal 14 4 3 2 2 5 2" xfId="36527"/>
    <cellStyle name="Normal 14 4 3 2 2 6" xfId="7500"/>
    <cellStyle name="Normal 14 4 3 2 2 6 2" xfId="30087"/>
    <cellStyle name="Normal 14 4 3 2 2 7" xfId="23647"/>
    <cellStyle name="Normal 14 4 3 2 3" xfId="1400"/>
    <cellStyle name="Normal 14 4 3 2 3 2" xfId="2714"/>
    <cellStyle name="Normal 14 4 3 2 3 2 2" xfId="5935"/>
    <cellStyle name="Normal 14 4 3 2 3 2 2 2" xfId="22035"/>
    <cellStyle name="Normal 14 4 3 2 3 2 2 2 2" xfId="44622"/>
    <cellStyle name="Normal 14 4 3 2 3 2 2 3" xfId="12375"/>
    <cellStyle name="Normal 14 4 3 2 3 2 2 3 2" xfId="34962"/>
    <cellStyle name="Normal 14 4 3 2 3 2 2 4" xfId="28522"/>
    <cellStyle name="Normal 14 4 3 2 3 2 3" xfId="18815"/>
    <cellStyle name="Normal 14 4 3 2 3 2 3 2" xfId="41402"/>
    <cellStyle name="Normal 14 4 3 2 3 2 4" xfId="15595"/>
    <cellStyle name="Normal 14 4 3 2 3 2 4 2" xfId="38182"/>
    <cellStyle name="Normal 14 4 3 2 3 2 5" xfId="9155"/>
    <cellStyle name="Normal 14 4 3 2 3 2 5 2" xfId="31742"/>
    <cellStyle name="Normal 14 4 3 2 3 2 6" xfId="25302"/>
    <cellStyle name="Normal 14 4 3 2 3 3" xfId="4627"/>
    <cellStyle name="Normal 14 4 3 2 3 3 2" xfId="20727"/>
    <cellStyle name="Normal 14 4 3 2 3 3 2 2" xfId="43314"/>
    <cellStyle name="Normal 14 4 3 2 3 3 3" xfId="11067"/>
    <cellStyle name="Normal 14 4 3 2 3 3 3 2" xfId="33654"/>
    <cellStyle name="Normal 14 4 3 2 3 3 4" xfId="27214"/>
    <cellStyle name="Normal 14 4 3 2 3 4" xfId="17507"/>
    <cellStyle name="Normal 14 4 3 2 3 4 2" xfId="40094"/>
    <cellStyle name="Normal 14 4 3 2 3 5" xfId="14287"/>
    <cellStyle name="Normal 14 4 3 2 3 5 2" xfId="36874"/>
    <cellStyle name="Normal 14 4 3 2 3 6" xfId="7847"/>
    <cellStyle name="Normal 14 4 3 2 3 6 2" xfId="30434"/>
    <cellStyle name="Normal 14 4 3 2 3 7" xfId="23994"/>
    <cellStyle name="Normal 14 4 3 2 4" xfId="2019"/>
    <cellStyle name="Normal 14 4 3 2 4 2" xfId="5241"/>
    <cellStyle name="Normal 14 4 3 2 4 2 2" xfId="21341"/>
    <cellStyle name="Normal 14 4 3 2 4 2 2 2" xfId="43928"/>
    <cellStyle name="Normal 14 4 3 2 4 2 3" xfId="11681"/>
    <cellStyle name="Normal 14 4 3 2 4 2 3 2" xfId="34268"/>
    <cellStyle name="Normal 14 4 3 2 4 2 4" xfId="27828"/>
    <cellStyle name="Normal 14 4 3 2 4 3" xfId="18121"/>
    <cellStyle name="Normal 14 4 3 2 4 3 2" xfId="40708"/>
    <cellStyle name="Normal 14 4 3 2 4 4" xfId="14901"/>
    <cellStyle name="Normal 14 4 3 2 4 4 2" xfId="37488"/>
    <cellStyle name="Normal 14 4 3 2 4 5" xfId="8461"/>
    <cellStyle name="Normal 14 4 3 2 4 5 2" xfId="31048"/>
    <cellStyle name="Normal 14 4 3 2 4 6" xfId="24608"/>
    <cellStyle name="Normal 14 4 3 2 5" xfId="3933"/>
    <cellStyle name="Normal 14 4 3 2 5 2" xfId="20033"/>
    <cellStyle name="Normal 14 4 3 2 5 2 2" xfId="42620"/>
    <cellStyle name="Normal 14 4 3 2 5 3" xfId="10373"/>
    <cellStyle name="Normal 14 4 3 2 5 3 2" xfId="32960"/>
    <cellStyle name="Normal 14 4 3 2 5 4" xfId="26520"/>
    <cellStyle name="Normal 14 4 3 2 6" xfId="16813"/>
    <cellStyle name="Normal 14 4 3 2 6 2" xfId="39400"/>
    <cellStyle name="Normal 14 4 3 2 7" xfId="13593"/>
    <cellStyle name="Normal 14 4 3 2 7 2" xfId="36180"/>
    <cellStyle name="Normal 14 4 3 2 8" xfId="7153"/>
    <cellStyle name="Normal 14 4 3 2 8 2" xfId="29740"/>
    <cellStyle name="Normal 14 4 3 2 9" xfId="23300"/>
    <cellStyle name="Normal 14 4 3 3" xfId="932"/>
    <cellStyle name="Normal 14 4 3 3 2" xfId="2251"/>
    <cellStyle name="Normal 14 4 3 3 2 2" xfId="5472"/>
    <cellStyle name="Normal 14 4 3 3 2 2 2" xfId="21572"/>
    <cellStyle name="Normal 14 4 3 3 2 2 2 2" xfId="44159"/>
    <cellStyle name="Normal 14 4 3 3 2 2 3" xfId="11912"/>
    <cellStyle name="Normal 14 4 3 3 2 2 3 2" xfId="34499"/>
    <cellStyle name="Normal 14 4 3 3 2 2 4" xfId="28059"/>
    <cellStyle name="Normal 14 4 3 3 2 3" xfId="18352"/>
    <cellStyle name="Normal 14 4 3 3 2 3 2" xfId="40939"/>
    <cellStyle name="Normal 14 4 3 3 2 4" xfId="15132"/>
    <cellStyle name="Normal 14 4 3 3 2 4 2" xfId="37719"/>
    <cellStyle name="Normal 14 4 3 3 2 5" xfId="8692"/>
    <cellStyle name="Normal 14 4 3 3 2 5 2" xfId="31279"/>
    <cellStyle name="Normal 14 4 3 3 2 6" xfId="24839"/>
    <cellStyle name="Normal 14 4 3 3 3" xfId="4164"/>
    <cellStyle name="Normal 14 4 3 3 3 2" xfId="20264"/>
    <cellStyle name="Normal 14 4 3 3 3 2 2" xfId="42851"/>
    <cellStyle name="Normal 14 4 3 3 3 3" xfId="10604"/>
    <cellStyle name="Normal 14 4 3 3 3 3 2" xfId="33191"/>
    <cellStyle name="Normal 14 4 3 3 3 4" xfId="26751"/>
    <cellStyle name="Normal 14 4 3 3 4" xfId="17044"/>
    <cellStyle name="Normal 14 4 3 3 4 2" xfId="39631"/>
    <cellStyle name="Normal 14 4 3 3 5" xfId="13824"/>
    <cellStyle name="Normal 14 4 3 3 5 2" xfId="36411"/>
    <cellStyle name="Normal 14 4 3 3 6" xfId="7384"/>
    <cellStyle name="Normal 14 4 3 3 6 2" xfId="29971"/>
    <cellStyle name="Normal 14 4 3 3 7" xfId="23531"/>
    <cellStyle name="Normal 14 4 3 4" xfId="1284"/>
    <cellStyle name="Normal 14 4 3 4 2" xfId="2598"/>
    <cellStyle name="Normal 14 4 3 4 2 2" xfId="5819"/>
    <cellStyle name="Normal 14 4 3 4 2 2 2" xfId="21919"/>
    <cellStyle name="Normal 14 4 3 4 2 2 2 2" xfId="44506"/>
    <cellStyle name="Normal 14 4 3 4 2 2 3" xfId="12259"/>
    <cellStyle name="Normal 14 4 3 4 2 2 3 2" xfId="34846"/>
    <cellStyle name="Normal 14 4 3 4 2 2 4" xfId="28406"/>
    <cellStyle name="Normal 14 4 3 4 2 3" xfId="18699"/>
    <cellStyle name="Normal 14 4 3 4 2 3 2" xfId="41286"/>
    <cellStyle name="Normal 14 4 3 4 2 4" xfId="15479"/>
    <cellStyle name="Normal 14 4 3 4 2 4 2" xfId="38066"/>
    <cellStyle name="Normal 14 4 3 4 2 5" xfId="9039"/>
    <cellStyle name="Normal 14 4 3 4 2 5 2" xfId="31626"/>
    <cellStyle name="Normal 14 4 3 4 2 6" xfId="25186"/>
    <cellStyle name="Normal 14 4 3 4 3" xfId="4511"/>
    <cellStyle name="Normal 14 4 3 4 3 2" xfId="20611"/>
    <cellStyle name="Normal 14 4 3 4 3 2 2" xfId="43198"/>
    <cellStyle name="Normal 14 4 3 4 3 3" xfId="10951"/>
    <cellStyle name="Normal 14 4 3 4 3 3 2" xfId="33538"/>
    <cellStyle name="Normal 14 4 3 4 3 4" xfId="27098"/>
    <cellStyle name="Normal 14 4 3 4 4" xfId="17391"/>
    <cellStyle name="Normal 14 4 3 4 4 2" xfId="39978"/>
    <cellStyle name="Normal 14 4 3 4 5" xfId="14171"/>
    <cellStyle name="Normal 14 4 3 4 5 2" xfId="36758"/>
    <cellStyle name="Normal 14 4 3 4 6" xfId="7731"/>
    <cellStyle name="Normal 14 4 3 4 6 2" xfId="30318"/>
    <cellStyle name="Normal 14 4 3 4 7" xfId="23878"/>
    <cellStyle name="Normal 14 4 3 5" xfId="1602"/>
    <cellStyle name="Normal 14 4 3 5 2" xfId="4828"/>
    <cellStyle name="Normal 14 4 3 5 2 2" xfId="20928"/>
    <cellStyle name="Normal 14 4 3 5 2 2 2" xfId="43515"/>
    <cellStyle name="Normal 14 4 3 5 2 3" xfId="11268"/>
    <cellStyle name="Normal 14 4 3 5 2 3 2" xfId="33855"/>
    <cellStyle name="Normal 14 4 3 5 2 4" xfId="27415"/>
    <cellStyle name="Normal 14 4 3 5 3" xfId="17708"/>
    <cellStyle name="Normal 14 4 3 5 3 2" xfId="40295"/>
    <cellStyle name="Normal 14 4 3 5 4" xfId="14488"/>
    <cellStyle name="Normal 14 4 3 5 4 2" xfId="37075"/>
    <cellStyle name="Normal 14 4 3 5 5" xfId="8048"/>
    <cellStyle name="Normal 14 4 3 5 5 2" xfId="30635"/>
    <cellStyle name="Normal 14 4 3 5 6" xfId="24195"/>
    <cellStyle name="Normal 14 4 3 6" xfId="1903"/>
    <cellStyle name="Normal 14 4 3 6 2" xfId="5125"/>
    <cellStyle name="Normal 14 4 3 6 2 2" xfId="21225"/>
    <cellStyle name="Normal 14 4 3 6 2 2 2" xfId="43812"/>
    <cellStyle name="Normal 14 4 3 6 2 3" xfId="11565"/>
    <cellStyle name="Normal 14 4 3 6 2 3 2" xfId="34152"/>
    <cellStyle name="Normal 14 4 3 6 2 4" xfId="27712"/>
    <cellStyle name="Normal 14 4 3 6 3" xfId="18005"/>
    <cellStyle name="Normal 14 4 3 6 3 2" xfId="40592"/>
    <cellStyle name="Normal 14 4 3 6 4" xfId="14785"/>
    <cellStyle name="Normal 14 4 3 6 4 2" xfId="37372"/>
    <cellStyle name="Normal 14 4 3 6 5" xfId="8345"/>
    <cellStyle name="Normal 14 4 3 6 5 2" xfId="30932"/>
    <cellStyle name="Normal 14 4 3 6 6" xfId="24492"/>
    <cellStyle name="Normal 14 4 3 7" xfId="2963"/>
    <cellStyle name="Normal 14 4 3 7 2" xfId="6183"/>
    <cellStyle name="Normal 14 4 3 7 2 2" xfId="22283"/>
    <cellStyle name="Normal 14 4 3 7 2 2 2" xfId="44870"/>
    <cellStyle name="Normal 14 4 3 7 2 3" xfId="12623"/>
    <cellStyle name="Normal 14 4 3 7 2 3 2" xfId="35210"/>
    <cellStyle name="Normal 14 4 3 7 2 4" xfId="28770"/>
    <cellStyle name="Normal 14 4 3 7 3" xfId="19063"/>
    <cellStyle name="Normal 14 4 3 7 3 2" xfId="41650"/>
    <cellStyle name="Normal 14 4 3 7 4" xfId="15843"/>
    <cellStyle name="Normal 14 4 3 7 4 2" xfId="38430"/>
    <cellStyle name="Normal 14 4 3 7 5" xfId="9403"/>
    <cellStyle name="Normal 14 4 3 7 5 2" xfId="31990"/>
    <cellStyle name="Normal 14 4 3 7 6" xfId="25550"/>
    <cellStyle name="Normal 14 4 3 8" xfId="3253"/>
    <cellStyle name="Normal 14 4 3 8 2" xfId="6473"/>
    <cellStyle name="Normal 14 4 3 8 2 2" xfId="22573"/>
    <cellStyle name="Normal 14 4 3 8 2 2 2" xfId="45160"/>
    <cellStyle name="Normal 14 4 3 8 2 3" xfId="12913"/>
    <cellStyle name="Normal 14 4 3 8 2 3 2" xfId="35500"/>
    <cellStyle name="Normal 14 4 3 8 2 4" xfId="29060"/>
    <cellStyle name="Normal 14 4 3 8 3" xfId="19353"/>
    <cellStyle name="Normal 14 4 3 8 3 2" xfId="41940"/>
    <cellStyle name="Normal 14 4 3 8 4" xfId="16133"/>
    <cellStyle name="Normal 14 4 3 8 4 2" xfId="38720"/>
    <cellStyle name="Normal 14 4 3 8 5" xfId="9693"/>
    <cellStyle name="Normal 14 4 3 8 5 2" xfId="32280"/>
    <cellStyle name="Normal 14 4 3 8 6" xfId="25840"/>
    <cellStyle name="Normal 14 4 3 9" xfId="530"/>
    <cellStyle name="Normal 14 4 3 9 2" xfId="3817"/>
    <cellStyle name="Normal 14 4 3 9 2 2" xfId="19917"/>
    <cellStyle name="Normal 14 4 3 9 2 2 2" xfId="42504"/>
    <cellStyle name="Normal 14 4 3 9 2 3" xfId="10257"/>
    <cellStyle name="Normal 14 4 3 9 2 3 2" xfId="32844"/>
    <cellStyle name="Normal 14 4 3 9 2 4" xfId="26404"/>
    <cellStyle name="Normal 14 4 3 9 3" xfId="16697"/>
    <cellStyle name="Normal 14 4 3 9 3 2" xfId="39284"/>
    <cellStyle name="Normal 14 4 3 9 4" xfId="13477"/>
    <cellStyle name="Normal 14 4 3 9 4 2" xfId="36064"/>
    <cellStyle name="Normal 14 4 3 9 5" xfId="7037"/>
    <cellStyle name="Normal 14 4 3 9 5 2" xfId="29624"/>
    <cellStyle name="Normal 14 4 3 9 6" xfId="23184"/>
    <cellStyle name="Normal 14 4 4" xfId="356"/>
    <cellStyle name="Normal 14 4 4 10" xfId="16523"/>
    <cellStyle name="Normal 14 4 4 10 2" xfId="39110"/>
    <cellStyle name="Normal 14 4 4 11" xfId="13303"/>
    <cellStyle name="Normal 14 4 4 11 2" xfId="35890"/>
    <cellStyle name="Normal 14 4 4 12" xfId="6863"/>
    <cellStyle name="Normal 14 4 4 12 2" xfId="29450"/>
    <cellStyle name="Normal 14 4 4 13" xfId="23010"/>
    <cellStyle name="Normal 14 4 4 2" xfId="954"/>
    <cellStyle name="Normal 14 4 4 2 2" xfId="2273"/>
    <cellStyle name="Normal 14 4 4 2 2 2" xfId="5494"/>
    <cellStyle name="Normal 14 4 4 2 2 2 2" xfId="21594"/>
    <cellStyle name="Normal 14 4 4 2 2 2 2 2" xfId="44181"/>
    <cellStyle name="Normal 14 4 4 2 2 2 3" xfId="11934"/>
    <cellStyle name="Normal 14 4 4 2 2 2 3 2" xfId="34521"/>
    <cellStyle name="Normal 14 4 4 2 2 2 4" xfId="28081"/>
    <cellStyle name="Normal 14 4 4 2 2 3" xfId="18374"/>
    <cellStyle name="Normal 14 4 4 2 2 3 2" xfId="40961"/>
    <cellStyle name="Normal 14 4 4 2 2 4" xfId="15154"/>
    <cellStyle name="Normal 14 4 4 2 2 4 2" xfId="37741"/>
    <cellStyle name="Normal 14 4 4 2 2 5" xfId="8714"/>
    <cellStyle name="Normal 14 4 4 2 2 5 2" xfId="31301"/>
    <cellStyle name="Normal 14 4 4 2 2 6" xfId="24861"/>
    <cellStyle name="Normal 14 4 4 2 3" xfId="4186"/>
    <cellStyle name="Normal 14 4 4 2 3 2" xfId="20286"/>
    <cellStyle name="Normal 14 4 4 2 3 2 2" xfId="42873"/>
    <cellStyle name="Normal 14 4 4 2 3 3" xfId="10626"/>
    <cellStyle name="Normal 14 4 4 2 3 3 2" xfId="33213"/>
    <cellStyle name="Normal 14 4 4 2 3 4" xfId="26773"/>
    <cellStyle name="Normal 14 4 4 2 4" xfId="17066"/>
    <cellStyle name="Normal 14 4 4 2 4 2" xfId="39653"/>
    <cellStyle name="Normal 14 4 4 2 5" xfId="13846"/>
    <cellStyle name="Normal 14 4 4 2 5 2" xfId="36433"/>
    <cellStyle name="Normal 14 4 4 2 6" xfId="7406"/>
    <cellStyle name="Normal 14 4 4 2 6 2" xfId="29993"/>
    <cellStyle name="Normal 14 4 4 2 7" xfId="23553"/>
    <cellStyle name="Normal 14 4 4 3" xfId="1306"/>
    <cellStyle name="Normal 14 4 4 3 2" xfId="2620"/>
    <cellStyle name="Normal 14 4 4 3 2 2" xfId="5841"/>
    <cellStyle name="Normal 14 4 4 3 2 2 2" xfId="21941"/>
    <cellStyle name="Normal 14 4 4 3 2 2 2 2" xfId="44528"/>
    <cellStyle name="Normal 14 4 4 3 2 2 3" xfId="12281"/>
    <cellStyle name="Normal 14 4 4 3 2 2 3 2" xfId="34868"/>
    <cellStyle name="Normal 14 4 4 3 2 2 4" xfId="28428"/>
    <cellStyle name="Normal 14 4 4 3 2 3" xfId="18721"/>
    <cellStyle name="Normal 14 4 4 3 2 3 2" xfId="41308"/>
    <cellStyle name="Normal 14 4 4 3 2 4" xfId="15501"/>
    <cellStyle name="Normal 14 4 4 3 2 4 2" xfId="38088"/>
    <cellStyle name="Normal 14 4 4 3 2 5" xfId="9061"/>
    <cellStyle name="Normal 14 4 4 3 2 5 2" xfId="31648"/>
    <cellStyle name="Normal 14 4 4 3 2 6" xfId="25208"/>
    <cellStyle name="Normal 14 4 4 3 3" xfId="4533"/>
    <cellStyle name="Normal 14 4 4 3 3 2" xfId="20633"/>
    <cellStyle name="Normal 14 4 4 3 3 2 2" xfId="43220"/>
    <cellStyle name="Normal 14 4 4 3 3 3" xfId="10973"/>
    <cellStyle name="Normal 14 4 4 3 3 3 2" xfId="33560"/>
    <cellStyle name="Normal 14 4 4 3 3 4" xfId="27120"/>
    <cellStyle name="Normal 14 4 4 3 4" xfId="17413"/>
    <cellStyle name="Normal 14 4 4 3 4 2" xfId="40000"/>
    <cellStyle name="Normal 14 4 4 3 5" xfId="14193"/>
    <cellStyle name="Normal 14 4 4 3 5 2" xfId="36780"/>
    <cellStyle name="Normal 14 4 4 3 6" xfId="7753"/>
    <cellStyle name="Normal 14 4 4 3 6 2" xfId="30340"/>
    <cellStyle name="Normal 14 4 4 3 7" xfId="23900"/>
    <cellStyle name="Normal 14 4 4 4" xfId="1603"/>
    <cellStyle name="Normal 14 4 4 4 2" xfId="4829"/>
    <cellStyle name="Normal 14 4 4 4 2 2" xfId="20929"/>
    <cellStyle name="Normal 14 4 4 4 2 2 2" xfId="43516"/>
    <cellStyle name="Normal 14 4 4 4 2 3" xfId="11269"/>
    <cellStyle name="Normal 14 4 4 4 2 3 2" xfId="33856"/>
    <cellStyle name="Normal 14 4 4 4 2 4" xfId="27416"/>
    <cellStyle name="Normal 14 4 4 4 3" xfId="17709"/>
    <cellStyle name="Normal 14 4 4 4 3 2" xfId="40296"/>
    <cellStyle name="Normal 14 4 4 4 4" xfId="14489"/>
    <cellStyle name="Normal 14 4 4 4 4 2" xfId="37076"/>
    <cellStyle name="Normal 14 4 4 4 5" xfId="8049"/>
    <cellStyle name="Normal 14 4 4 4 5 2" xfId="30636"/>
    <cellStyle name="Normal 14 4 4 4 6" xfId="24196"/>
    <cellStyle name="Normal 14 4 4 5" xfId="1925"/>
    <cellStyle name="Normal 14 4 4 5 2" xfId="5147"/>
    <cellStyle name="Normal 14 4 4 5 2 2" xfId="21247"/>
    <cellStyle name="Normal 14 4 4 5 2 2 2" xfId="43834"/>
    <cellStyle name="Normal 14 4 4 5 2 3" xfId="11587"/>
    <cellStyle name="Normal 14 4 4 5 2 3 2" xfId="34174"/>
    <cellStyle name="Normal 14 4 4 5 2 4" xfId="27734"/>
    <cellStyle name="Normal 14 4 4 5 3" xfId="18027"/>
    <cellStyle name="Normal 14 4 4 5 3 2" xfId="40614"/>
    <cellStyle name="Normal 14 4 4 5 4" xfId="14807"/>
    <cellStyle name="Normal 14 4 4 5 4 2" xfId="37394"/>
    <cellStyle name="Normal 14 4 4 5 5" xfId="8367"/>
    <cellStyle name="Normal 14 4 4 5 5 2" xfId="30954"/>
    <cellStyle name="Normal 14 4 4 5 6" xfId="24514"/>
    <cellStyle name="Normal 14 4 4 6" xfId="3063"/>
    <cellStyle name="Normal 14 4 4 6 2" xfId="6283"/>
    <cellStyle name="Normal 14 4 4 6 2 2" xfId="22383"/>
    <cellStyle name="Normal 14 4 4 6 2 2 2" xfId="44970"/>
    <cellStyle name="Normal 14 4 4 6 2 3" xfId="12723"/>
    <cellStyle name="Normal 14 4 4 6 2 3 2" xfId="35310"/>
    <cellStyle name="Normal 14 4 4 6 2 4" xfId="28870"/>
    <cellStyle name="Normal 14 4 4 6 3" xfId="19163"/>
    <cellStyle name="Normal 14 4 4 6 3 2" xfId="41750"/>
    <cellStyle name="Normal 14 4 4 6 4" xfId="15943"/>
    <cellStyle name="Normal 14 4 4 6 4 2" xfId="38530"/>
    <cellStyle name="Normal 14 4 4 6 5" xfId="9503"/>
    <cellStyle name="Normal 14 4 4 6 5 2" xfId="32090"/>
    <cellStyle name="Normal 14 4 4 6 6" xfId="25650"/>
    <cellStyle name="Normal 14 4 4 7" xfId="3353"/>
    <cellStyle name="Normal 14 4 4 7 2" xfId="6573"/>
    <cellStyle name="Normal 14 4 4 7 2 2" xfId="22673"/>
    <cellStyle name="Normal 14 4 4 7 2 2 2" xfId="45260"/>
    <cellStyle name="Normal 14 4 4 7 2 3" xfId="13013"/>
    <cellStyle name="Normal 14 4 4 7 2 3 2" xfId="35600"/>
    <cellStyle name="Normal 14 4 4 7 2 4" xfId="29160"/>
    <cellStyle name="Normal 14 4 4 7 3" xfId="19453"/>
    <cellStyle name="Normal 14 4 4 7 3 2" xfId="42040"/>
    <cellStyle name="Normal 14 4 4 7 4" xfId="16233"/>
    <cellStyle name="Normal 14 4 4 7 4 2" xfId="38820"/>
    <cellStyle name="Normal 14 4 4 7 5" xfId="9793"/>
    <cellStyle name="Normal 14 4 4 7 5 2" xfId="32380"/>
    <cellStyle name="Normal 14 4 4 7 6" xfId="25940"/>
    <cellStyle name="Normal 14 4 4 8" xfId="555"/>
    <cellStyle name="Normal 14 4 4 8 2" xfId="3839"/>
    <cellStyle name="Normal 14 4 4 8 2 2" xfId="19939"/>
    <cellStyle name="Normal 14 4 4 8 2 2 2" xfId="42526"/>
    <cellStyle name="Normal 14 4 4 8 2 3" xfId="10279"/>
    <cellStyle name="Normal 14 4 4 8 2 3 2" xfId="32866"/>
    <cellStyle name="Normal 14 4 4 8 2 4" xfId="26426"/>
    <cellStyle name="Normal 14 4 4 8 3" xfId="16719"/>
    <cellStyle name="Normal 14 4 4 8 3 2" xfId="39306"/>
    <cellStyle name="Normal 14 4 4 8 4" xfId="13499"/>
    <cellStyle name="Normal 14 4 4 8 4 2" xfId="36086"/>
    <cellStyle name="Normal 14 4 4 8 5" xfId="7059"/>
    <cellStyle name="Normal 14 4 4 8 5 2" xfId="29646"/>
    <cellStyle name="Normal 14 4 4 8 6" xfId="23206"/>
    <cellStyle name="Normal 14 4 4 9" xfId="3643"/>
    <cellStyle name="Normal 14 4 4 9 2" xfId="19743"/>
    <cellStyle name="Normal 14 4 4 9 2 2" xfId="42330"/>
    <cellStyle name="Normal 14 4 4 9 3" xfId="10083"/>
    <cellStyle name="Normal 14 4 4 9 3 2" xfId="32670"/>
    <cellStyle name="Normal 14 4 4 9 4" xfId="26230"/>
    <cellStyle name="Normal 14 4 5" xfId="785"/>
    <cellStyle name="Normal 14 4 5 2" xfId="1137"/>
    <cellStyle name="Normal 14 4 5 2 2" xfId="2451"/>
    <cellStyle name="Normal 14 4 5 2 2 2" xfId="5672"/>
    <cellStyle name="Normal 14 4 5 2 2 2 2" xfId="21772"/>
    <cellStyle name="Normal 14 4 5 2 2 2 2 2" xfId="44359"/>
    <cellStyle name="Normal 14 4 5 2 2 2 3" xfId="12112"/>
    <cellStyle name="Normal 14 4 5 2 2 2 3 2" xfId="34699"/>
    <cellStyle name="Normal 14 4 5 2 2 2 4" xfId="28259"/>
    <cellStyle name="Normal 14 4 5 2 2 3" xfId="18552"/>
    <cellStyle name="Normal 14 4 5 2 2 3 2" xfId="41139"/>
    <cellStyle name="Normal 14 4 5 2 2 4" xfId="15332"/>
    <cellStyle name="Normal 14 4 5 2 2 4 2" xfId="37919"/>
    <cellStyle name="Normal 14 4 5 2 2 5" xfId="8892"/>
    <cellStyle name="Normal 14 4 5 2 2 5 2" xfId="31479"/>
    <cellStyle name="Normal 14 4 5 2 2 6" xfId="25039"/>
    <cellStyle name="Normal 14 4 5 2 3" xfId="4364"/>
    <cellStyle name="Normal 14 4 5 2 3 2" xfId="20464"/>
    <cellStyle name="Normal 14 4 5 2 3 2 2" xfId="43051"/>
    <cellStyle name="Normal 14 4 5 2 3 3" xfId="10804"/>
    <cellStyle name="Normal 14 4 5 2 3 3 2" xfId="33391"/>
    <cellStyle name="Normal 14 4 5 2 3 4" xfId="26951"/>
    <cellStyle name="Normal 14 4 5 2 4" xfId="17244"/>
    <cellStyle name="Normal 14 4 5 2 4 2" xfId="39831"/>
    <cellStyle name="Normal 14 4 5 2 5" xfId="14024"/>
    <cellStyle name="Normal 14 4 5 2 5 2" xfId="36611"/>
    <cellStyle name="Normal 14 4 5 2 6" xfId="7584"/>
    <cellStyle name="Normal 14 4 5 2 6 2" xfId="30171"/>
    <cellStyle name="Normal 14 4 5 2 7" xfId="23731"/>
    <cellStyle name="Normal 14 4 5 3" xfId="1484"/>
    <cellStyle name="Normal 14 4 5 3 2" xfId="2798"/>
    <cellStyle name="Normal 14 4 5 3 2 2" xfId="6019"/>
    <cellStyle name="Normal 14 4 5 3 2 2 2" xfId="22119"/>
    <cellStyle name="Normal 14 4 5 3 2 2 2 2" xfId="44706"/>
    <cellStyle name="Normal 14 4 5 3 2 2 3" xfId="12459"/>
    <cellStyle name="Normal 14 4 5 3 2 2 3 2" xfId="35046"/>
    <cellStyle name="Normal 14 4 5 3 2 2 4" xfId="28606"/>
    <cellStyle name="Normal 14 4 5 3 2 3" xfId="18899"/>
    <cellStyle name="Normal 14 4 5 3 2 3 2" xfId="41486"/>
    <cellStyle name="Normal 14 4 5 3 2 4" xfId="15679"/>
    <cellStyle name="Normal 14 4 5 3 2 4 2" xfId="38266"/>
    <cellStyle name="Normal 14 4 5 3 2 5" xfId="9239"/>
    <cellStyle name="Normal 14 4 5 3 2 5 2" xfId="31826"/>
    <cellStyle name="Normal 14 4 5 3 2 6" xfId="25386"/>
    <cellStyle name="Normal 14 4 5 3 3" xfId="4711"/>
    <cellStyle name="Normal 14 4 5 3 3 2" xfId="20811"/>
    <cellStyle name="Normal 14 4 5 3 3 2 2" xfId="43398"/>
    <cellStyle name="Normal 14 4 5 3 3 3" xfId="11151"/>
    <cellStyle name="Normal 14 4 5 3 3 3 2" xfId="33738"/>
    <cellStyle name="Normal 14 4 5 3 3 4" xfId="27298"/>
    <cellStyle name="Normal 14 4 5 3 4" xfId="17591"/>
    <cellStyle name="Normal 14 4 5 3 4 2" xfId="40178"/>
    <cellStyle name="Normal 14 4 5 3 5" xfId="14371"/>
    <cellStyle name="Normal 14 4 5 3 5 2" xfId="36958"/>
    <cellStyle name="Normal 14 4 5 3 6" xfId="7931"/>
    <cellStyle name="Normal 14 4 5 3 6 2" xfId="30518"/>
    <cellStyle name="Normal 14 4 5 3 7" xfId="24078"/>
    <cellStyle name="Normal 14 4 5 4" xfId="2104"/>
    <cellStyle name="Normal 14 4 5 4 2" xfId="5325"/>
    <cellStyle name="Normal 14 4 5 4 2 2" xfId="21425"/>
    <cellStyle name="Normal 14 4 5 4 2 2 2" xfId="44012"/>
    <cellStyle name="Normal 14 4 5 4 2 3" xfId="11765"/>
    <cellStyle name="Normal 14 4 5 4 2 3 2" xfId="34352"/>
    <cellStyle name="Normal 14 4 5 4 2 4" xfId="27912"/>
    <cellStyle name="Normal 14 4 5 4 3" xfId="18205"/>
    <cellStyle name="Normal 14 4 5 4 3 2" xfId="40792"/>
    <cellStyle name="Normal 14 4 5 4 4" xfId="14985"/>
    <cellStyle name="Normal 14 4 5 4 4 2" xfId="37572"/>
    <cellStyle name="Normal 14 4 5 4 5" xfId="8545"/>
    <cellStyle name="Normal 14 4 5 4 5 2" xfId="31132"/>
    <cellStyle name="Normal 14 4 5 4 6" xfId="24692"/>
    <cellStyle name="Normal 14 4 5 5" xfId="4017"/>
    <cellStyle name="Normal 14 4 5 5 2" xfId="20117"/>
    <cellStyle name="Normal 14 4 5 5 2 2" xfId="42704"/>
    <cellStyle name="Normal 14 4 5 5 3" xfId="10457"/>
    <cellStyle name="Normal 14 4 5 5 3 2" xfId="33044"/>
    <cellStyle name="Normal 14 4 5 5 4" xfId="26604"/>
    <cellStyle name="Normal 14 4 5 6" xfId="16897"/>
    <cellStyle name="Normal 14 4 5 6 2" xfId="39484"/>
    <cellStyle name="Normal 14 4 5 7" xfId="13677"/>
    <cellStyle name="Normal 14 4 5 7 2" xfId="36264"/>
    <cellStyle name="Normal 14 4 5 8" xfId="7237"/>
    <cellStyle name="Normal 14 4 5 8 2" xfId="29824"/>
    <cellStyle name="Normal 14 4 5 9" xfId="23384"/>
    <cellStyle name="Normal 14 4 6" xfId="855"/>
    <cellStyle name="Normal 14 4 6 2" xfId="2174"/>
    <cellStyle name="Normal 14 4 6 2 2" xfId="5395"/>
    <cellStyle name="Normal 14 4 6 2 2 2" xfId="21495"/>
    <cellStyle name="Normal 14 4 6 2 2 2 2" xfId="44082"/>
    <cellStyle name="Normal 14 4 6 2 2 3" xfId="11835"/>
    <cellStyle name="Normal 14 4 6 2 2 3 2" xfId="34422"/>
    <cellStyle name="Normal 14 4 6 2 2 4" xfId="27982"/>
    <cellStyle name="Normal 14 4 6 2 3" xfId="18275"/>
    <cellStyle name="Normal 14 4 6 2 3 2" xfId="40862"/>
    <cellStyle name="Normal 14 4 6 2 4" xfId="15055"/>
    <cellStyle name="Normal 14 4 6 2 4 2" xfId="37642"/>
    <cellStyle name="Normal 14 4 6 2 5" xfId="8615"/>
    <cellStyle name="Normal 14 4 6 2 5 2" xfId="31202"/>
    <cellStyle name="Normal 14 4 6 2 6" xfId="24762"/>
    <cellStyle name="Normal 14 4 6 3" xfId="4087"/>
    <cellStyle name="Normal 14 4 6 3 2" xfId="20187"/>
    <cellStyle name="Normal 14 4 6 3 2 2" xfId="42774"/>
    <cellStyle name="Normal 14 4 6 3 3" xfId="10527"/>
    <cellStyle name="Normal 14 4 6 3 3 2" xfId="33114"/>
    <cellStyle name="Normal 14 4 6 3 4" xfId="26674"/>
    <cellStyle name="Normal 14 4 6 4" xfId="16967"/>
    <cellStyle name="Normal 14 4 6 4 2" xfId="39554"/>
    <cellStyle name="Normal 14 4 6 5" xfId="13747"/>
    <cellStyle name="Normal 14 4 6 5 2" xfId="36334"/>
    <cellStyle name="Normal 14 4 6 6" xfId="7307"/>
    <cellStyle name="Normal 14 4 6 6 2" xfId="29894"/>
    <cellStyle name="Normal 14 4 6 7" xfId="23454"/>
    <cellStyle name="Normal 14 4 7" xfId="1207"/>
    <cellStyle name="Normal 14 4 7 2" xfId="2521"/>
    <cellStyle name="Normal 14 4 7 2 2" xfId="5742"/>
    <cellStyle name="Normal 14 4 7 2 2 2" xfId="21842"/>
    <cellStyle name="Normal 14 4 7 2 2 2 2" xfId="44429"/>
    <cellStyle name="Normal 14 4 7 2 2 3" xfId="12182"/>
    <cellStyle name="Normal 14 4 7 2 2 3 2" xfId="34769"/>
    <cellStyle name="Normal 14 4 7 2 2 4" xfId="28329"/>
    <cellStyle name="Normal 14 4 7 2 3" xfId="18622"/>
    <cellStyle name="Normal 14 4 7 2 3 2" xfId="41209"/>
    <cellStyle name="Normal 14 4 7 2 4" xfId="15402"/>
    <cellStyle name="Normal 14 4 7 2 4 2" xfId="37989"/>
    <cellStyle name="Normal 14 4 7 2 5" xfId="8962"/>
    <cellStyle name="Normal 14 4 7 2 5 2" xfId="31549"/>
    <cellStyle name="Normal 14 4 7 2 6" xfId="25109"/>
    <cellStyle name="Normal 14 4 7 3" xfId="4434"/>
    <cellStyle name="Normal 14 4 7 3 2" xfId="20534"/>
    <cellStyle name="Normal 14 4 7 3 2 2" xfId="43121"/>
    <cellStyle name="Normal 14 4 7 3 3" xfId="10874"/>
    <cellStyle name="Normal 14 4 7 3 3 2" xfId="33461"/>
    <cellStyle name="Normal 14 4 7 3 4" xfId="27021"/>
    <cellStyle name="Normal 14 4 7 4" xfId="17314"/>
    <cellStyle name="Normal 14 4 7 4 2" xfId="39901"/>
    <cellStyle name="Normal 14 4 7 5" xfId="14094"/>
    <cellStyle name="Normal 14 4 7 5 2" xfId="36681"/>
    <cellStyle name="Normal 14 4 7 6" xfId="7654"/>
    <cellStyle name="Normal 14 4 7 6 2" xfId="30241"/>
    <cellStyle name="Normal 14 4 7 7" xfId="23801"/>
    <cellStyle name="Normal 14 4 8" xfId="1604"/>
    <cellStyle name="Normal 14 4 8 2" xfId="4830"/>
    <cellStyle name="Normal 14 4 8 2 2" xfId="20930"/>
    <cellStyle name="Normal 14 4 8 2 2 2" xfId="43517"/>
    <cellStyle name="Normal 14 4 8 2 3" xfId="11270"/>
    <cellStyle name="Normal 14 4 8 2 3 2" xfId="33857"/>
    <cellStyle name="Normal 14 4 8 2 4" xfId="27417"/>
    <cellStyle name="Normal 14 4 8 3" xfId="17710"/>
    <cellStyle name="Normal 14 4 8 3 2" xfId="40297"/>
    <cellStyle name="Normal 14 4 8 4" xfId="14490"/>
    <cellStyle name="Normal 14 4 8 4 2" xfId="37077"/>
    <cellStyle name="Normal 14 4 8 5" xfId="8050"/>
    <cellStyle name="Normal 14 4 8 5 2" xfId="30637"/>
    <cellStyle name="Normal 14 4 8 6" xfId="24197"/>
    <cellStyle name="Normal 14 4 9" xfId="1826"/>
    <cellStyle name="Normal 14 4 9 2" xfId="5048"/>
    <cellStyle name="Normal 14 4 9 2 2" xfId="21148"/>
    <cellStyle name="Normal 14 4 9 2 2 2" xfId="43735"/>
    <cellStyle name="Normal 14 4 9 2 3" xfId="11488"/>
    <cellStyle name="Normal 14 4 9 2 3 2" xfId="34075"/>
    <cellStyle name="Normal 14 4 9 2 4" xfId="27635"/>
    <cellStyle name="Normal 14 4 9 3" xfId="17928"/>
    <cellStyle name="Normal 14 4 9 3 2" xfId="40515"/>
    <cellStyle name="Normal 14 4 9 4" xfId="14708"/>
    <cellStyle name="Normal 14 4 9 4 2" xfId="37295"/>
    <cellStyle name="Normal 14 4 9 5" xfId="8268"/>
    <cellStyle name="Normal 14 4 9 5 2" xfId="30855"/>
    <cellStyle name="Normal 14 4 9 6" xfId="24415"/>
    <cellStyle name="Normal 14 5" xfId="132"/>
    <cellStyle name="Normal 14 5 10" xfId="470"/>
    <cellStyle name="Normal 14 5 10 2" xfId="3757"/>
    <cellStyle name="Normal 14 5 10 2 2" xfId="19857"/>
    <cellStyle name="Normal 14 5 10 2 2 2" xfId="42444"/>
    <cellStyle name="Normal 14 5 10 2 3" xfId="10197"/>
    <cellStyle name="Normal 14 5 10 2 3 2" xfId="32784"/>
    <cellStyle name="Normal 14 5 10 2 4" xfId="26344"/>
    <cellStyle name="Normal 14 5 10 3" xfId="16637"/>
    <cellStyle name="Normal 14 5 10 3 2" xfId="39224"/>
    <cellStyle name="Normal 14 5 10 4" xfId="13417"/>
    <cellStyle name="Normal 14 5 10 4 2" xfId="36004"/>
    <cellStyle name="Normal 14 5 10 5" xfId="6977"/>
    <cellStyle name="Normal 14 5 10 5 2" xfId="29564"/>
    <cellStyle name="Normal 14 5 10 6" xfId="23124"/>
    <cellStyle name="Normal 14 5 11" xfId="3467"/>
    <cellStyle name="Normal 14 5 11 2" xfId="19567"/>
    <cellStyle name="Normal 14 5 11 2 2" xfId="42154"/>
    <cellStyle name="Normal 14 5 11 3" xfId="9907"/>
    <cellStyle name="Normal 14 5 11 3 2" xfId="32494"/>
    <cellStyle name="Normal 14 5 11 4" xfId="26054"/>
    <cellStyle name="Normal 14 5 12" xfId="16347"/>
    <cellStyle name="Normal 14 5 12 2" xfId="38934"/>
    <cellStyle name="Normal 14 5 13" xfId="13127"/>
    <cellStyle name="Normal 14 5 13 2" xfId="35714"/>
    <cellStyle name="Normal 14 5 14" xfId="6687"/>
    <cellStyle name="Normal 14 5 14 2" xfId="29274"/>
    <cellStyle name="Normal 14 5 15" xfId="22834"/>
    <cellStyle name="Normal 14 5 2" xfId="279"/>
    <cellStyle name="Normal 14 5 2 10" xfId="16446"/>
    <cellStyle name="Normal 14 5 2 10 2" xfId="39033"/>
    <cellStyle name="Normal 14 5 2 11" xfId="13226"/>
    <cellStyle name="Normal 14 5 2 11 2" xfId="35813"/>
    <cellStyle name="Normal 14 5 2 12" xfId="6786"/>
    <cellStyle name="Normal 14 5 2 12 2" xfId="29373"/>
    <cellStyle name="Normal 14 5 2 13" xfId="22933"/>
    <cellStyle name="Normal 14 5 2 2" xfId="996"/>
    <cellStyle name="Normal 14 5 2 2 2" xfId="2310"/>
    <cellStyle name="Normal 14 5 2 2 2 2" xfId="5531"/>
    <cellStyle name="Normal 14 5 2 2 2 2 2" xfId="21631"/>
    <cellStyle name="Normal 14 5 2 2 2 2 2 2" xfId="44218"/>
    <cellStyle name="Normal 14 5 2 2 2 2 3" xfId="11971"/>
    <cellStyle name="Normal 14 5 2 2 2 2 3 2" xfId="34558"/>
    <cellStyle name="Normal 14 5 2 2 2 2 4" xfId="28118"/>
    <cellStyle name="Normal 14 5 2 2 2 3" xfId="18411"/>
    <cellStyle name="Normal 14 5 2 2 2 3 2" xfId="40998"/>
    <cellStyle name="Normal 14 5 2 2 2 4" xfId="15191"/>
    <cellStyle name="Normal 14 5 2 2 2 4 2" xfId="37778"/>
    <cellStyle name="Normal 14 5 2 2 2 5" xfId="8751"/>
    <cellStyle name="Normal 14 5 2 2 2 5 2" xfId="31338"/>
    <cellStyle name="Normal 14 5 2 2 2 6" xfId="24898"/>
    <cellStyle name="Normal 14 5 2 2 3" xfId="4223"/>
    <cellStyle name="Normal 14 5 2 2 3 2" xfId="20323"/>
    <cellStyle name="Normal 14 5 2 2 3 2 2" xfId="42910"/>
    <cellStyle name="Normal 14 5 2 2 3 3" xfId="10663"/>
    <cellStyle name="Normal 14 5 2 2 3 3 2" xfId="33250"/>
    <cellStyle name="Normal 14 5 2 2 3 4" xfId="26810"/>
    <cellStyle name="Normal 14 5 2 2 4" xfId="17103"/>
    <cellStyle name="Normal 14 5 2 2 4 2" xfId="39690"/>
    <cellStyle name="Normal 14 5 2 2 5" xfId="13883"/>
    <cellStyle name="Normal 14 5 2 2 5 2" xfId="36470"/>
    <cellStyle name="Normal 14 5 2 2 6" xfId="7443"/>
    <cellStyle name="Normal 14 5 2 2 6 2" xfId="30030"/>
    <cellStyle name="Normal 14 5 2 2 7" xfId="23590"/>
    <cellStyle name="Normal 14 5 2 3" xfId="1343"/>
    <cellStyle name="Normal 14 5 2 3 2" xfId="2657"/>
    <cellStyle name="Normal 14 5 2 3 2 2" xfId="5878"/>
    <cellStyle name="Normal 14 5 2 3 2 2 2" xfId="21978"/>
    <cellStyle name="Normal 14 5 2 3 2 2 2 2" xfId="44565"/>
    <cellStyle name="Normal 14 5 2 3 2 2 3" xfId="12318"/>
    <cellStyle name="Normal 14 5 2 3 2 2 3 2" xfId="34905"/>
    <cellStyle name="Normal 14 5 2 3 2 2 4" xfId="28465"/>
    <cellStyle name="Normal 14 5 2 3 2 3" xfId="18758"/>
    <cellStyle name="Normal 14 5 2 3 2 3 2" xfId="41345"/>
    <cellStyle name="Normal 14 5 2 3 2 4" xfId="15538"/>
    <cellStyle name="Normal 14 5 2 3 2 4 2" xfId="38125"/>
    <cellStyle name="Normal 14 5 2 3 2 5" xfId="9098"/>
    <cellStyle name="Normal 14 5 2 3 2 5 2" xfId="31685"/>
    <cellStyle name="Normal 14 5 2 3 2 6" xfId="25245"/>
    <cellStyle name="Normal 14 5 2 3 3" xfId="4570"/>
    <cellStyle name="Normal 14 5 2 3 3 2" xfId="20670"/>
    <cellStyle name="Normal 14 5 2 3 3 2 2" xfId="43257"/>
    <cellStyle name="Normal 14 5 2 3 3 3" xfId="11010"/>
    <cellStyle name="Normal 14 5 2 3 3 3 2" xfId="33597"/>
    <cellStyle name="Normal 14 5 2 3 3 4" xfId="27157"/>
    <cellStyle name="Normal 14 5 2 3 4" xfId="17450"/>
    <cellStyle name="Normal 14 5 2 3 4 2" xfId="40037"/>
    <cellStyle name="Normal 14 5 2 3 5" xfId="14230"/>
    <cellStyle name="Normal 14 5 2 3 5 2" xfId="36817"/>
    <cellStyle name="Normal 14 5 2 3 6" xfId="7790"/>
    <cellStyle name="Normal 14 5 2 3 6 2" xfId="30377"/>
    <cellStyle name="Normal 14 5 2 3 7" xfId="23937"/>
    <cellStyle name="Normal 14 5 2 4" xfId="1605"/>
    <cellStyle name="Normal 14 5 2 4 2" xfId="4831"/>
    <cellStyle name="Normal 14 5 2 4 2 2" xfId="20931"/>
    <cellStyle name="Normal 14 5 2 4 2 2 2" xfId="43518"/>
    <cellStyle name="Normal 14 5 2 4 2 3" xfId="11271"/>
    <cellStyle name="Normal 14 5 2 4 2 3 2" xfId="33858"/>
    <cellStyle name="Normal 14 5 2 4 2 4" xfId="27418"/>
    <cellStyle name="Normal 14 5 2 4 3" xfId="17711"/>
    <cellStyle name="Normal 14 5 2 4 3 2" xfId="40298"/>
    <cellStyle name="Normal 14 5 2 4 4" xfId="14491"/>
    <cellStyle name="Normal 14 5 2 4 4 2" xfId="37078"/>
    <cellStyle name="Normal 14 5 2 4 5" xfId="8051"/>
    <cellStyle name="Normal 14 5 2 4 5 2" xfId="30638"/>
    <cellStyle name="Normal 14 5 2 4 6" xfId="24198"/>
    <cellStyle name="Normal 14 5 2 5" xfId="1962"/>
    <cellStyle name="Normal 14 5 2 5 2" xfId="5184"/>
    <cellStyle name="Normal 14 5 2 5 2 2" xfId="21284"/>
    <cellStyle name="Normal 14 5 2 5 2 2 2" xfId="43871"/>
    <cellStyle name="Normal 14 5 2 5 2 3" xfId="11624"/>
    <cellStyle name="Normal 14 5 2 5 2 3 2" xfId="34211"/>
    <cellStyle name="Normal 14 5 2 5 2 4" xfId="27771"/>
    <cellStyle name="Normal 14 5 2 5 3" xfId="18064"/>
    <cellStyle name="Normal 14 5 2 5 3 2" xfId="40651"/>
    <cellStyle name="Normal 14 5 2 5 4" xfId="14844"/>
    <cellStyle name="Normal 14 5 2 5 4 2" xfId="37431"/>
    <cellStyle name="Normal 14 5 2 5 5" xfId="8404"/>
    <cellStyle name="Normal 14 5 2 5 5 2" xfId="30991"/>
    <cellStyle name="Normal 14 5 2 5 6" xfId="24551"/>
    <cellStyle name="Normal 14 5 2 6" xfId="2986"/>
    <cellStyle name="Normal 14 5 2 6 2" xfId="6206"/>
    <cellStyle name="Normal 14 5 2 6 2 2" xfId="22306"/>
    <cellStyle name="Normal 14 5 2 6 2 2 2" xfId="44893"/>
    <cellStyle name="Normal 14 5 2 6 2 3" xfId="12646"/>
    <cellStyle name="Normal 14 5 2 6 2 3 2" xfId="35233"/>
    <cellStyle name="Normal 14 5 2 6 2 4" xfId="28793"/>
    <cellStyle name="Normal 14 5 2 6 3" xfId="19086"/>
    <cellStyle name="Normal 14 5 2 6 3 2" xfId="41673"/>
    <cellStyle name="Normal 14 5 2 6 4" xfId="15866"/>
    <cellStyle name="Normal 14 5 2 6 4 2" xfId="38453"/>
    <cellStyle name="Normal 14 5 2 6 5" xfId="9426"/>
    <cellStyle name="Normal 14 5 2 6 5 2" xfId="32013"/>
    <cellStyle name="Normal 14 5 2 6 6" xfId="25573"/>
    <cellStyle name="Normal 14 5 2 7" xfId="3276"/>
    <cellStyle name="Normal 14 5 2 7 2" xfId="6496"/>
    <cellStyle name="Normal 14 5 2 7 2 2" xfId="22596"/>
    <cellStyle name="Normal 14 5 2 7 2 2 2" xfId="45183"/>
    <cellStyle name="Normal 14 5 2 7 2 3" xfId="12936"/>
    <cellStyle name="Normal 14 5 2 7 2 3 2" xfId="35523"/>
    <cellStyle name="Normal 14 5 2 7 2 4" xfId="29083"/>
    <cellStyle name="Normal 14 5 2 7 3" xfId="19376"/>
    <cellStyle name="Normal 14 5 2 7 3 2" xfId="41963"/>
    <cellStyle name="Normal 14 5 2 7 4" xfId="16156"/>
    <cellStyle name="Normal 14 5 2 7 4 2" xfId="38743"/>
    <cellStyle name="Normal 14 5 2 7 5" xfId="9716"/>
    <cellStyle name="Normal 14 5 2 7 5 2" xfId="32303"/>
    <cellStyle name="Normal 14 5 2 7 6" xfId="25863"/>
    <cellStyle name="Normal 14 5 2 8" xfId="632"/>
    <cellStyle name="Normal 14 5 2 8 2" xfId="3876"/>
    <cellStyle name="Normal 14 5 2 8 2 2" xfId="19976"/>
    <cellStyle name="Normal 14 5 2 8 2 2 2" xfId="42563"/>
    <cellStyle name="Normal 14 5 2 8 2 3" xfId="10316"/>
    <cellStyle name="Normal 14 5 2 8 2 3 2" xfId="32903"/>
    <cellStyle name="Normal 14 5 2 8 2 4" xfId="26463"/>
    <cellStyle name="Normal 14 5 2 8 3" xfId="16756"/>
    <cellStyle name="Normal 14 5 2 8 3 2" xfId="39343"/>
    <cellStyle name="Normal 14 5 2 8 4" xfId="13536"/>
    <cellStyle name="Normal 14 5 2 8 4 2" xfId="36123"/>
    <cellStyle name="Normal 14 5 2 8 5" xfId="7096"/>
    <cellStyle name="Normal 14 5 2 8 5 2" xfId="29683"/>
    <cellStyle name="Normal 14 5 2 8 6" xfId="23243"/>
    <cellStyle name="Normal 14 5 2 9" xfId="3566"/>
    <cellStyle name="Normal 14 5 2 9 2" xfId="19666"/>
    <cellStyle name="Normal 14 5 2 9 2 2" xfId="42253"/>
    <cellStyle name="Normal 14 5 2 9 3" xfId="10006"/>
    <cellStyle name="Normal 14 5 2 9 3 2" xfId="32593"/>
    <cellStyle name="Normal 14 5 2 9 4" xfId="26153"/>
    <cellStyle name="Normal 14 5 3" xfId="373"/>
    <cellStyle name="Normal 14 5 3 10" xfId="16540"/>
    <cellStyle name="Normal 14 5 3 10 2" xfId="39127"/>
    <cellStyle name="Normal 14 5 3 11" xfId="13320"/>
    <cellStyle name="Normal 14 5 3 11 2" xfId="35907"/>
    <cellStyle name="Normal 14 5 3 12" xfId="6880"/>
    <cellStyle name="Normal 14 5 3 12 2" xfId="29467"/>
    <cellStyle name="Normal 14 5 3 13" xfId="23027"/>
    <cellStyle name="Normal 14 5 3 2" xfId="1157"/>
    <cellStyle name="Normal 14 5 3 2 2" xfId="2471"/>
    <cellStyle name="Normal 14 5 3 2 2 2" xfId="5692"/>
    <cellStyle name="Normal 14 5 3 2 2 2 2" xfId="21792"/>
    <cellStyle name="Normal 14 5 3 2 2 2 2 2" xfId="44379"/>
    <cellStyle name="Normal 14 5 3 2 2 2 3" xfId="12132"/>
    <cellStyle name="Normal 14 5 3 2 2 2 3 2" xfId="34719"/>
    <cellStyle name="Normal 14 5 3 2 2 2 4" xfId="28279"/>
    <cellStyle name="Normal 14 5 3 2 2 3" xfId="18572"/>
    <cellStyle name="Normal 14 5 3 2 2 3 2" xfId="41159"/>
    <cellStyle name="Normal 14 5 3 2 2 4" xfId="15352"/>
    <cellStyle name="Normal 14 5 3 2 2 4 2" xfId="37939"/>
    <cellStyle name="Normal 14 5 3 2 2 5" xfId="8912"/>
    <cellStyle name="Normal 14 5 3 2 2 5 2" xfId="31499"/>
    <cellStyle name="Normal 14 5 3 2 2 6" xfId="25059"/>
    <cellStyle name="Normal 14 5 3 2 3" xfId="4384"/>
    <cellStyle name="Normal 14 5 3 2 3 2" xfId="20484"/>
    <cellStyle name="Normal 14 5 3 2 3 2 2" xfId="43071"/>
    <cellStyle name="Normal 14 5 3 2 3 3" xfId="10824"/>
    <cellStyle name="Normal 14 5 3 2 3 3 2" xfId="33411"/>
    <cellStyle name="Normal 14 5 3 2 3 4" xfId="26971"/>
    <cellStyle name="Normal 14 5 3 2 4" xfId="17264"/>
    <cellStyle name="Normal 14 5 3 2 4 2" xfId="39851"/>
    <cellStyle name="Normal 14 5 3 2 5" xfId="14044"/>
    <cellStyle name="Normal 14 5 3 2 5 2" xfId="36631"/>
    <cellStyle name="Normal 14 5 3 2 6" xfId="7604"/>
    <cellStyle name="Normal 14 5 3 2 6 2" xfId="30191"/>
    <cellStyle name="Normal 14 5 3 2 7" xfId="23751"/>
    <cellStyle name="Normal 14 5 3 3" xfId="1504"/>
    <cellStyle name="Normal 14 5 3 3 2" xfId="2818"/>
    <cellStyle name="Normal 14 5 3 3 2 2" xfId="6039"/>
    <cellStyle name="Normal 14 5 3 3 2 2 2" xfId="22139"/>
    <cellStyle name="Normal 14 5 3 3 2 2 2 2" xfId="44726"/>
    <cellStyle name="Normal 14 5 3 3 2 2 3" xfId="12479"/>
    <cellStyle name="Normal 14 5 3 3 2 2 3 2" xfId="35066"/>
    <cellStyle name="Normal 14 5 3 3 2 2 4" xfId="28626"/>
    <cellStyle name="Normal 14 5 3 3 2 3" xfId="18919"/>
    <cellStyle name="Normal 14 5 3 3 2 3 2" xfId="41506"/>
    <cellStyle name="Normal 14 5 3 3 2 4" xfId="15699"/>
    <cellStyle name="Normal 14 5 3 3 2 4 2" xfId="38286"/>
    <cellStyle name="Normal 14 5 3 3 2 5" xfId="9259"/>
    <cellStyle name="Normal 14 5 3 3 2 5 2" xfId="31846"/>
    <cellStyle name="Normal 14 5 3 3 2 6" xfId="25406"/>
    <cellStyle name="Normal 14 5 3 3 3" xfId="4731"/>
    <cellStyle name="Normal 14 5 3 3 3 2" xfId="20831"/>
    <cellStyle name="Normal 14 5 3 3 3 2 2" xfId="43418"/>
    <cellStyle name="Normal 14 5 3 3 3 3" xfId="11171"/>
    <cellStyle name="Normal 14 5 3 3 3 3 2" xfId="33758"/>
    <cellStyle name="Normal 14 5 3 3 3 4" xfId="27318"/>
    <cellStyle name="Normal 14 5 3 3 4" xfId="17611"/>
    <cellStyle name="Normal 14 5 3 3 4 2" xfId="40198"/>
    <cellStyle name="Normal 14 5 3 3 5" xfId="14391"/>
    <cellStyle name="Normal 14 5 3 3 5 2" xfId="36978"/>
    <cellStyle name="Normal 14 5 3 3 6" xfId="7951"/>
    <cellStyle name="Normal 14 5 3 3 6 2" xfId="30538"/>
    <cellStyle name="Normal 14 5 3 3 7" xfId="24098"/>
    <cellStyle name="Normal 14 5 3 4" xfId="1606"/>
    <cellStyle name="Normal 14 5 3 4 2" xfId="4832"/>
    <cellStyle name="Normal 14 5 3 4 2 2" xfId="20932"/>
    <cellStyle name="Normal 14 5 3 4 2 2 2" xfId="43519"/>
    <cellStyle name="Normal 14 5 3 4 2 3" xfId="11272"/>
    <cellStyle name="Normal 14 5 3 4 2 3 2" xfId="33859"/>
    <cellStyle name="Normal 14 5 3 4 2 4" xfId="27419"/>
    <cellStyle name="Normal 14 5 3 4 3" xfId="17712"/>
    <cellStyle name="Normal 14 5 3 4 3 2" xfId="40299"/>
    <cellStyle name="Normal 14 5 3 4 4" xfId="14492"/>
    <cellStyle name="Normal 14 5 3 4 4 2" xfId="37079"/>
    <cellStyle name="Normal 14 5 3 4 5" xfId="8052"/>
    <cellStyle name="Normal 14 5 3 4 5 2" xfId="30639"/>
    <cellStyle name="Normal 14 5 3 4 6" xfId="24199"/>
    <cellStyle name="Normal 14 5 3 5" xfId="2124"/>
    <cellStyle name="Normal 14 5 3 5 2" xfId="5345"/>
    <cellStyle name="Normal 14 5 3 5 2 2" xfId="21445"/>
    <cellStyle name="Normal 14 5 3 5 2 2 2" xfId="44032"/>
    <cellStyle name="Normal 14 5 3 5 2 3" xfId="11785"/>
    <cellStyle name="Normal 14 5 3 5 2 3 2" xfId="34372"/>
    <cellStyle name="Normal 14 5 3 5 2 4" xfId="27932"/>
    <cellStyle name="Normal 14 5 3 5 3" xfId="18225"/>
    <cellStyle name="Normal 14 5 3 5 3 2" xfId="40812"/>
    <cellStyle name="Normal 14 5 3 5 4" xfId="15005"/>
    <cellStyle name="Normal 14 5 3 5 4 2" xfId="37592"/>
    <cellStyle name="Normal 14 5 3 5 5" xfId="8565"/>
    <cellStyle name="Normal 14 5 3 5 5 2" xfId="31152"/>
    <cellStyle name="Normal 14 5 3 5 6" xfId="24712"/>
    <cellStyle name="Normal 14 5 3 6" xfId="3080"/>
    <cellStyle name="Normal 14 5 3 6 2" xfId="6300"/>
    <cellStyle name="Normal 14 5 3 6 2 2" xfId="22400"/>
    <cellStyle name="Normal 14 5 3 6 2 2 2" xfId="44987"/>
    <cellStyle name="Normal 14 5 3 6 2 3" xfId="12740"/>
    <cellStyle name="Normal 14 5 3 6 2 3 2" xfId="35327"/>
    <cellStyle name="Normal 14 5 3 6 2 4" xfId="28887"/>
    <cellStyle name="Normal 14 5 3 6 3" xfId="19180"/>
    <cellStyle name="Normal 14 5 3 6 3 2" xfId="41767"/>
    <cellStyle name="Normal 14 5 3 6 4" xfId="15960"/>
    <cellStyle name="Normal 14 5 3 6 4 2" xfId="38547"/>
    <cellStyle name="Normal 14 5 3 6 5" xfId="9520"/>
    <cellStyle name="Normal 14 5 3 6 5 2" xfId="32107"/>
    <cellStyle name="Normal 14 5 3 6 6" xfId="25667"/>
    <cellStyle name="Normal 14 5 3 7" xfId="3370"/>
    <cellStyle name="Normal 14 5 3 7 2" xfId="6590"/>
    <cellStyle name="Normal 14 5 3 7 2 2" xfId="22690"/>
    <cellStyle name="Normal 14 5 3 7 2 2 2" xfId="45277"/>
    <cellStyle name="Normal 14 5 3 7 2 3" xfId="13030"/>
    <cellStyle name="Normal 14 5 3 7 2 3 2" xfId="35617"/>
    <cellStyle name="Normal 14 5 3 7 2 4" xfId="29177"/>
    <cellStyle name="Normal 14 5 3 7 3" xfId="19470"/>
    <cellStyle name="Normal 14 5 3 7 3 2" xfId="42057"/>
    <cellStyle name="Normal 14 5 3 7 4" xfId="16250"/>
    <cellStyle name="Normal 14 5 3 7 4 2" xfId="38837"/>
    <cellStyle name="Normal 14 5 3 7 5" xfId="9810"/>
    <cellStyle name="Normal 14 5 3 7 5 2" xfId="32397"/>
    <cellStyle name="Normal 14 5 3 7 6" xfId="25957"/>
    <cellStyle name="Normal 14 5 3 8" xfId="805"/>
    <cellStyle name="Normal 14 5 3 8 2" xfId="4037"/>
    <cellStyle name="Normal 14 5 3 8 2 2" xfId="20137"/>
    <cellStyle name="Normal 14 5 3 8 2 2 2" xfId="42724"/>
    <cellStyle name="Normal 14 5 3 8 2 3" xfId="10477"/>
    <cellStyle name="Normal 14 5 3 8 2 3 2" xfId="33064"/>
    <cellStyle name="Normal 14 5 3 8 2 4" xfId="26624"/>
    <cellStyle name="Normal 14 5 3 8 3" xfId="16917"/>
    <cellStyle name="Normal 14 5 3 8 3 2" xfId="39504"/>
    <cellStyle name="Normal 14 5 3 8 4" xfId="13697"/>
    <cellStyle name="Normal 14 5 3 8 4 2" xfId="36284"/>
    <cellStyle name="Normal 14 5 3 8 5" xfId="7257"/>
    <cellStyle name="Normal 14 5 3 8 5 2" xfId="29844"/>
    <cellStyle name="Normal 14 5 3 8 6" xfId="23404"/>
    <cellStyle name="Normal 14 5 3 9" xfId="3660"/>
    <cellStyle name="Normal 14 5 3 9 2" xfId="19760"/>
    <cellStyle name="Normal 14 5 3 9 2 2" xfId="42347"/>
    <cellStyle name="Normal 14 5 3 9 3" xfId="10100"/>
    <cellStyle name="Normal 14 5 3 9 3 2" xfId="32687"/>
    <cellStyle name="Normal 14 5 3 9 4" xfId="26247"/>
    <cellStyle name="Normal 14 5 4" xfId="872"/>
    <cellStyle name="Normal 14 5 4 2" xfId="2191"/>
    <cellStyle name="Normal 14 5 4 2 2" xfId="5412"/>
    <cellStyle name="Normal 14 5 4 2 2 2" xfId="21512"/>
    <cellStyle name="Normal 14 5 4 2 2 2 2" xfId="44099"/>
    <cellStyle name="Normal 14 5 4 2 2 3" xfId="11852"/>
    <cellStyle name="Normal 14 5 4 2 2 3 2" xfId="34439"/>
    <cellStyle name="Normal 14 5 4 2 2 4" xfId="27999"/>
    <cellStyle name="Normal 14 5 4 2 3" xfId="18292"/>
    <cellStyle name="Normal 14 5 4 2 3 2" xfId="40879"/>
    <cellStyle name="Normal 14 5 4 2 4" xfId="15072"/>
    <cellStyle name="Normal 14 5 4 2 4 2" xfId="37659"/>
    <cellStyle name="Normal 14 5 4 2 5" xfId="8632"/>
    <cellStyle name="Normal 14 5 4 2 5 2" xfId="31219"/>
    <cellStyle name="Normal 14 5 4 2 6" xfId="24779"/>
    <cellStyle name="Normal 14 5 4 3" xfId="4104"/>
    <cellStyle name="Normal 14 5 4 3 2" xfId="20204"/>
    <cellStyle name="Normal 14 5 4 3 2 2" xfId="42791"/>
    <cellStyle name="Normal 14 5 4 3 3" xfId="10544"/>
    <cellStyle name="Normal 14 5 4 3 3 2" xfId="33131"/>
    <cellStyle name="Normal 14 5 4 3 4" xfId="26691"/>
    <cellStyle name="Normal 14 5 4 4" xfId="16984"/>
    <cellStyle name="Normal 14 5 4 4 2" xfId="39571"/>
    <cellStyle name="Normal 14 5 4 5" xfId="13764"/>
    <cellStyle name="Normal 14 5 4 5 2" xfId="36351"/>
    <cellStyle name="Normal 14 5 4 6" xfId="7324"/>
    <cellStyle name="Normal 14 5 4 6 2" xfId="29911"/>
    <cellStyle name="Normal 14 5 4 7" xfId="23471"/>
    <cellStyle name="Normal 14 5 5" xfId="1224"/>
    <cellStyle name="Normal 14 5 5 2" xfId="2538"/>
    <cellStyle name="Normal 14 5 5 2 2" xfId="5759"/>
    <cellStyle name="Normal 14 5 5 2 2 2" xfId="21859"/>
    <cellStyle name="Normal 14 5 5 2 2 2 2" xfId="44446"/>
    <cellStyle name="Normal 14 5 5 2 2 3" xfId="12199"/>
    <cellStyle name="Normal 14 5 5 2 2 3 2" xfId="34786"/>
    <cellStyle name="Normal 14 5 5 2 2 4" xfId="28346"/>
    <cellStyle name="Normal 14 5 5 2 3" xfId="18639"/>
    <cellStyle name="Normal 14 5 5 2 3 2" xfId="41226"/>
    <cellStyle name="Normal 14 5 5 2 4" xfId="15419"/>
    <cellStyle name="Normal 14 5 5 2 4 2" xfId="38006"/>
    <cellStyle name="Normal 14 5 5 2 5" xfId="8979"/>
    <cellStyle name="Normal 14 5 5 2 5 2" xfId="31566"/>
    <cellStyle name="Normal 14 5 5 2 6" xfId="25126"/>
    <cellStyle name="Normal 14 5 5 3" xfId="4451"/>
    <cellStyle name="Normal 14 5 5 3 2" xfId="20551"/>
    <cellStyle name="Normal 14 5 5 3 2 2" xfId="43138"/>
    <cellStyle name="Normal 14 5 5 3 3" xfId="10891"/>
    <cellStyle name="Normal 14 5 5 3 3 2" xfId="33478"/>
    <cellStyle name="Normal 14 5 5 3 4" xfId="27038"/>
    <cellStyle name="Normal 14 5 5 4" xfId="17331"/>
    <cellStyle name="Normal 14 5 5 4 2" xfId="39918"/>
    <cellStyle name="Normal 14 5 5 5" xfId="14111"/>
    <cellStyle name="Normal 14 5 5 5 2" xfId="36698"/>
    <cellStyle name="Normal 14 5 5 6" xfId="7671"/>
    <cellStyle name="Normal 14 5 5 6 2" xfId="30258"/>
    <cellStyle name="Normal 14 5 5 7" xfId="23818"/>
    <cellStyle name="Normal 14 5 6" xfId="1607"/>
    <cellStyle name="Normal 14 5 6 2" xfId="4833"/>
    <cellStyle name="Normal 14 5 6 2 2" xfId="20933"/>
    <cellStyle name="Normal 14 5 6 2 2 2" xfId="43520"/>
    <cellStyle name="Normal 14 5 6 2 3" xfId="11273"/>
    <cellStyle name="Normal 14 5 6 2 3 2" xfId="33860"/>
    <cellStyle name="Normal 14 5 6 2 4" xfId="27420"/>
    <cellStyle name="Normal 14 5 6 3" xfId="17713"/>
    <cellStyle name="Normal 14 5 6 3 2" xfId="40300"/>
    <cellStyle name="Normal 14 5 6 4" xfId="14493"/>
    <cellStyle name="Normal 14 5 6 4 2" xfId="37080"/>
    <cellStyle name="Normal 14 5 6 5" xfId="8053"/>
    <cellStyle name="Normal 14 5 6 5 2" xfId="30640"/>
    <cellStyle name="Normal 14 5 6 6" xfId="24200"/>
    <cellStyle name="Normal 14 5 7" xfId="1843"/>
    <cellStyle name="Normal 14 5 7 2" xfId="5065"/>
    <cellStyle name="Normal 14 5 7 2 2" xfId="21165"/>
    <cellStyle name="Normal 14 5 7 2 2 2" xfId="43752"/>
    <cellStyle name="Normal 14 5 7 2 3" xfId="11505"/>
    <cellStyle name="Normal 14 5 7 2 3 2" xfId="34092"/>
    <cellStyle name="Normal 14 5 7 2 4" xfId="27652"/>
    <cellStyle name="Normal 14 5 7 3" xfId="17945"/>
    <cellStyle name="Normal 14 5 7 3 2" xfId="40532"/>
    <cellStyle name="Normal 14 5 7 4" xfId="14725"/>
    <cellStyle name="Normal 14 5 7 4 2" xfId="37312"/>
    <cellStyle name="Normal 14 5 7 5" xfId="8285"/>
    <cellStyle name="Normal 14 5 7 5 2" xfId="30872"/>
    <cellStyle name="Normal 14 5 7 6" xfId="24432"/>
    <cellStyle name="Normal 14 5 8" xfId="2886"/>
    <cellStyle name="Normal 14 5 8 2" xfId="6107"/>
    <cellStyle name="Normal 14 5 8 2 2" xfId="22207"/>
    <cellStyle name="Normal 14 5 8 2 2 2" xfId="44794"/>
    <cellStyle name="Normal 14 5 8 2 3" xfId="12547"/>
    <cellStyle name="Normal 14 5 8 2 3 2" xfId="35134"/>
    <cellStyle name="Normal 14 5 8 2 4" xfId="28694"/>
    <cellStyle name="Normal 14 5 8 3" xfId="18987"/>
    <cellStyle name="Normal 14 5 8 3 2" xfId="41574"/>
    <cellStyle name="Normal 14 5 8 4" xfId="15767"/>
    <cellStyle name="Normal 14 5 8 4 2" xfId="38354"/>
    <cellStyle name="Normal 14 5 8 5" xfId="9327"/>
    <cellStyle name="Normal 14 5 8 5 2" xfId="31914"/>
    <cellStyle name="Normal 14 5 8 6" xfId="25474"/>
    <cellStyle name="Normal 14 5 9" xfId="3177"/>
    <cellStyle name="Normal 14 5 9 2" xfId="6397"/>
    <cellStyle name="Normal 14 5 9 2 2" xfId="22497"/>
    <cellStyle name="Normal 14 5 9 2 2 2" xfId="45084"/>
    <cellStyle name="Normal 14 5 9 2 3" xfId="12837"/>
    <cellStyle name="Normal 14 5 9 2 3 2" xfId="35424"/>
    <cellStyle name="Normal 14 5 9 2 4" xfId="28984"/>
    <cellStyle name="Normal 14 5 9 3" xfId="19277"/>
    <cellStyle name="Normal 14 5 9 3 2" xfId="41864"/>
    <cellStyle name="Normal 14 5 9 4" xfId="16057"/>
    <cellStyle name="Normal 14 5 9 4 2" xfId="38644"/>
    <cellStyle name="Normal 14 5 9 5" xfId="9617"/>
    <cellStyle name="Normal 14 5 9 5 2" xfId="32204"/>
    <cellStyle name="Normal 14 5 9 6" xfId="25764"/>
    <cellStyle name="Normal 14 6" xfId="223"/>
    <cellStyle name="Normal 14 6 10" xfId="510"/>
    <cellStyle name="Normal 14 6 10 2" xfId="3797"/>
    <cellStyle name="Normal 14 6 10 2 2" xfId="19897"/>
    <cellStyle name="Normal 14 6 10 2 2 2" xfId="42484"/>
    <cellStyle name="Normal 14 6 10 2 3" xfId="10237"/>
    <cellStyle name="Normal 14 6 10 2 3 2" xfId="32824"/>
    <cellStyle name="Normal 14 6 10 2 4" xfId="26384"/>
    <cellStyle name="Normal 14 6 10 3" xfId="16677"/>
    <cellStyle name="Normal 14 6 10 3 2" xfId="39264"/>
    <cellStyle name="Normal 14 6 10 4" xfId="13457"/>
    <cellStyle name="Normal 14 6 10 4 2" xfId="36044"/>
    <cellStyle name="Normal 14 6 10 5" xfId="7017"/>
    <cellStyle name="Normal 14 6 10 5 2" xfId="29604"/>
    <cellStyle name="Normal 14 6 10 6" xfId="23164"/>
    <cellStyle name="Normal 14 6 11" xfId="3511"/>
    <cellStyle name="Normal 14 6 11 2" xfId="19611"/>
    <cellStyle name="Normal 14 6 11 2 2" xfId="42198"/>
    <cellStyle name="Normal 14 6 11 3" xfId="9951"/>
    <cellStyle name="Normal 14 6 11 3 2" xfId="32538"/>
    <cellStyle name="Normal 14 6 11 4" xfId="26098"/>
    <cellStyle name="Normal 14 6 12" xfId="16391"/>
    <cellStyle name="Normal 14 6 12 2" xfId="38978"/>
    <cellStyle name="Normal 14 6 13" xfId="13171"/>
    <cellStyle name="Normal 14 6 13 2" xfId="35758"/>
    <cellStyle name="Normal 14 6 14" xfId="6731"/>
    <cellStyle name="Normal 14 6 14 2" xfId="29318"/>
    <cellStyle name="Normal 14 6 15" xfId="22878"/>
    <cellStyle name="Normal 14 6 2" xfId="321"/>
    <cellStyle name="Normal 14 6 2 10" xfId="16488"/>
    <cellStyle name="Normal 14 6 2 10 2" xfId="39075"/>
    <cellStyle name="Normal 14 6 2 11" xfId="13268"/>
    <cellStyle name="Normal 14 6 2 11 2" xfId="35855"/>
    <cellStyle name="Normal 14 6 2 12" xfId="6828"/>
    <cellStyle name="Normal 14 6 2 12 2" xfId="29415"/>
    <cellStyle name="Normal 14 6 2 13" xfId="22975"/>
    <cellStyle name="Normal 14 6 2 2" xfId="1033"/>
    <cellStyle name="Normal 14 6 2 2 2" xfId="2347"/>
    <cellStyle name="Normal 14 6 2 2 2 2" xfId="5568"/>
    <cellStyle name="Normal 14 6 2 2 2 2 2" xfId="21668"/>
    <cellStyle name="Normal 14 6 2 2 2 2 2 2" xfId="44255"/>
    <cellStyle name="Normal 14 6 2 2 2 2 3" xfId="12008"/>
    <cellStyle name="Normal 14 6 2 2 2 2 3 2" xfId="34595"/>
    <cellStyle name="Normal 14 6 2 2 2 2 4" xfId="28155"/>
    <cellStyle name="Normal 14 6 2 2 2 3" xfId="18448"/>
    <cellStyle name="Normal 14 6 2 2 2 3 2" xfId="41035"/>
    <cellStyle name="Normal 14 6 2 2 2 4" xfId="15228"/>
    <cellStyle name="Normal 14 6 2 2 2 4 2" xfId="37815"/>
    <cellStyle name="Normal 14 6 2 2 2 5" xfId="8788"/>
    <cellStyle name="Normal 14 6 2 2 2 5 2" xfId="31375"/>
    <cellStyle name="Normal 14 6 2 2 2 6" xfId="24935"/>
    <cellStyle name="Normal 14 6 2 2 3" xfId="4260"/>
    <cellStyle name="Normal 14 6 2 2 3 2" xfId="20360"/>
    <cellStyle name="Normal 14 6 2 2 3 2 2" xfId="42947"/>
    <cellStyle name="Normal 14 6 2 2 3 3" xfId="10700"/>
    <cellStyle name="Normal 14 6 2 2 3 3 2" xfId="33287"/>
    <cellStyle name="Normal 14 6 2 2 3 4" xfId="26847"/>
    <cellStyle name="Normal 14 6 2 2 4" xfId="17140"/>
    <cellStyle name="Normal 14 6 2 2 4 2" xfId="39727"/>
    <cellStyle name="Normal 14 6 2 2 5" xfId="13920"/>
    <cellStyle name="Normal 14 6 2 2 5 2" xfId="36507"/>
    <cellStyle name="Normal 14 6 2 2 6" xfId="7480"/>
    <cellStyle name="Normal 14 6 2 2 6 2" xfId="30067"/>
    <cellStyle name="Normal 14 6 2 2 7" xfId="23627"/>
    <cellStyle name="Normal 14 6 2 3" xfId="1380"/>
    <cellStyle name="Normal 14 6 2 3 2" xfId="2694"/>
    <cellStyle name="Normal 14 6 2 3 2 2" xfId="5915"/>
    <cellStyle name="Normal 14 6 2 3 2 2 2" xfId="22015"/>
    <cellStyle name="Normal 14 6 2 3 2 2 2 2" xfId="44602"/>
    <cellStyle name="Normal 14 6 2 3 2 2 3" xfId="12355"/>
    <cellStyle name="Normal 14 6 2 3 2 2 3 2" xfId="34942"/>
    <cellStyle name="Normal 14 6 2 3 2 2 4" xfId="28502"/>
    <cellStyle name="Normal 14 6 2 3 2 3" xfId="18795"/>
    <cellStyle name="Normal 14 6 2 3 2 3 2" xfId="41382"/>
    <cellStyle name="Normal 14 6 2 3 2 4" xfId="15575"/>
    <cellStyle name="Normal 14 6 2 3 2 4 2" xfId="38162"/>
    <cellStyle name="Normal 14 6 2 3 2 5" xfId="9135"/>
    <cellStyle name="Normal 14 6 2 3 2 5 2" xfId="31722"/>
    <cellStyle name="Normal 14 6 2 3 2 6" xfId="25282"/>
    <cellStyle name="Normal 14 6 2 3 3" xfId="4607"/>
    <cellStyle name="Normal 14 6 2 3 3 2" xfId="20707"/>
    <cellStyle name="Normal 14 6 2 3 3 2 2" xfId="43294"/>
    <cellStyle name="Normal 14 6 2 3 3 3" xfId="11047"/>
    <cellStyle name="Normal 14 6 2 3 3 3 2" xfId="33634"/>
    <cellStyle name="Normal 14 6 2 3 3 4" xfId="27194"/>
    <cellStyle name="Normal 14 6 2 3 4" xfId="17487"/>
    <cellStyle name="Normal 14 6 2 3 4 2" xfId="40074"/>
    <cellStyle name="Normal 14 6 2 3 5" xfId="14267"/>
    <cellStyle name="Normal 14 6 2 3 5 2" xfId="36854"/>
    <cellStyle name="Normal 14 6 2 3 6" xfId="7827"/>
    <cellStyle name="Normal 14 6 2 3 6 2" xfId="30414"/>
    <cellStyle name="Normal 14 6 2 3 7" xfId="23974"/>
    <cellStyle name="Normal 14 6 2 4" xfId="1608"/>
    <cellStyle name="Normal 14 6 2 4 2" xfId="4834"/>
    <cellStyle name="Normal 14 6 2 4 2 2" xfId="20934"/>
    <cellStyle name="Normal 14 6 2 4 2 2 2" xfId="43521"/>
    <cellStyle name="Normal 14 6 2 4 2 3" xfId="11274"/>
    <cellStyle name="Normal 14 6 2 4 2 3 2" xfId="33861"/>
    <cellStyle name="Normal 14 6 2 4 2 4" xfId="27421"/>
    <cellStyle name="Normal 14 6 2 4 3" xfId="17714"/>
    <cellStyle name="Normal 14 6 2 4 3 2" xfId="40301"/>
    <cellStyle name="Normal 14 6 2 4 4" xfId="14494"/>
    <cellStyle name="Normal 14 6 2 4 4 2" xfId="37081"/>
    <cellStyle name="Normal 14 6 2 4 5" xfId="8054"/>
    <cellStyle name="Normal 14 6 2 4 5 2" xfId="30641"/>
    <cellStyle name="Normal 14 6 2 4 6" xfId="24201"/>
    <cellStyle name="Normal 14 6 2 5" xfId="1999"/>
    <cellStyle name="Normal 14 6 2 5 2" xfId="5221"/>
    <cellStyle name="Normal 14 6 2 5 2 2" xfId="21321"/>
    <cellStyle name="Normal 14 6 2 5 2 2 2" xfId="43908"/>
    <cellStyle name="Normal 14 6 2 5 2 3" xfId="11661"/>
    <cellStyle name="Normal 14 6 2 5 2 3 2" xfId="34248"/>
    <cellStyle name="Normal 14 6 2 5 2 4" xfId="27808"/>
    <cellStyle name="Normal 14 6 2 5 3" xfId="18101"/>
    <cellStyle name="Normal 14 6 2 5 3 2" xfId="40688"/>
    <cellStyle name="Normal 14 6 2 5 4" xfId="14881"/>
    <cellStyle name="Normal 14 6 2 5 4 2" xfId="37468"/>
    <cellStyle name="Normal 14 6 2 5 5" xfId="8441"/>
    <cellStyle name="Normal 14 6 2 5 5 2" xfId="31028"/>
    <cellStyle name="Normal 14 6 2 5 6" xfId="24588"/>
    <cellStyle name="Normal 14 6 2 6" xfId="3028"/>
    <cellStyle name="Normal 14 6 2 6 2" xfId="6248"/>
    <cellStyle name="Normal 14 6 2 6 2 2" xfId="22348"/>
    <cellStyle name="Normal 14 6 2 6 2 2 2" xfId="44935"/>
    <cellStyle name="Normal 14 6 2 6 2 3" xfId="12688"/>
    <cellStyle name="Normal 14 6 2 6 2 3 2" xfId="35275"/>
    <cellStyle name="Normal 14 6 2 6 2 4" xfId="28835"/>
    <cellStyle name="Normal 14 6 2 6 3" xfId="19128"/>
    <cellStyle name="Normal 14 6 2 6 3 2" xfId="41715"/>
    <cellStyle name="Normal 14 6 2 6 4" xfId="15908"/>
    <cellStyle name="Normal 14 6 2 6 4 2" xfId="38495"/>
    <cellStyle name="Normal 14 6 2 6 5" xfId="9468"/>
    <cellStyle name="Normal 14 6 2 6 5 2" xfId="32055"/>
    <cellStyle name="Normal 14 6 2 6 6" xfId="25615"/>
    <cellStyle name="Normal 14 6 2 7" xfId="3318"/>
    <cellStyle name="Normal 14 6 2 7 2" xfId="6538"/>
    <cellStyle name="Normal 14 6 2 7 2 2" xfId="22638"/>
    <cellStyle name="Normal 14 6 2 7 2 2 2" xfId="45225"/>
    <cellStyle name="Normal 14 6 2 7 2 3" xfId="12978"/>
    <cellStyle name="Normal 14 6 2 7 2 3 2" xfId="35565"/>
    <cellStyle name="Normal 14 6 2 7 2 4" xfId="29125"/>
    <cellStyle name="Normal 14 6 2 7 3" xfId="19418"/>
    <cellStyle name="Normal 14 6 2 7 3 2" xfId="42005"/>
    <cellStyle name="Normal 14 6 2 7 4" xfId="16198"/>
    <cellStyle name="Normal 14 6 2 7 4 2" xfId="38785"/>
    <cellStyle name="Normal 14 6 2 7 5" xfId="9758"/>
    <cellStyle name="Normal 14 6 2 7 5 2" xfId="32345"/>
    <cellStyle name="Normal 14 6 2 7 6" xfId="25905"/>
    <cellStyle name="Normal 14 6 2 8" xfId="669"/>
    <cellStyle name="Normal 14 6 2 8 2" xfId="3913"/>
    <cellStyle name="Normal 14 6 2 8 2 2" xfId="20013"/>
    <cellStyle name="Normal 14 6 2 8 2 2 2" xfId="42600"/>
    <cellStyle name="Normal 14 6 2 8 2 3" xfId="10353"/>
    <cellStyle name="Normal 14 6 2 8 2 3 2" xfId="32940"/>
    <cellStyle name="Normal 14 6 2 8 2 4" xfId="26500"/>
    <cellStyle name="Normal 14 6 2 8 3" xfId="16793"/>
    <cellStyle name="Normal 14 6 2 8 3 2" xfId="39380"/>
    <cellStyle name="Normal 14 6 2 8 4" xfId="13573"/>
    <cellStyle name="Normal 14 6 2 8 4 2" xfId="36160"/>
    <cellStyle name="Normal 14 6 2 8 5" xfId="7133"/>
    <cellStyle name="Normal 14 6 2 8 5 2" xfId="29720"/>
    <cellStyle name="Normal 14 6 2 8 6" xfId="23280"/>
    <cellStyle name="Normal 14 6 2 9" xfId="3608"/>
    <cellStyle name="Normal 14 6 2 9 2" xfId="19708"/>
    <cellStyle name="Normal 14 6 2 9 2 2" xfId="42295"/>
    <cellStyle name="Normal 14 6 2 9 3" xfId="10048"/>
    <cellStyle name="Normal 14 6 2 9 3 2" xfId="32635"/>
    <cellStyle name="Normal 14 6 2 9 4" xfId="26195"/>
    <cellStyle name="Normal 14 6 3" xfId="417"/>
    <cellStyle name="Normal 14 6 3 10" xfId="16584"/>
    <cellStyle name="Normal 14 6 3 10 2" xfId="39171"/>
    <cellStyle name="Normal 14 6 3 11" xfId="13364"/>
    <cellStyle name="Normal 14 6 3 11 2" xfId="35951"/>
    <cellStyle name="Normal 14 6 3 12" xfId="6924"/>
    <cellStyle name="Normal 14 6 3 12 2" xfId="29511"/>
    <cellStyle name="Normal 14 6 3 13" xfId="23071"/>
    <cellStyle name="Normal 14 6 3 2" xfId="1117"/>
    <cellStyle name="Normal 14 6 3 2 2" xfId="2431"/>
    <cellStyle name="Normal 14 6 3 2 2 2" xfId="5652"/>
    <cellStyle name="Normal 14 6 3 2 2 2 2" xfId="21752"/>
    <cellStyle name="Normal 14 6 3 2 2 2 2 2" xfId="44339"/>
    <cellStyle name="Normal 14 6 3 2 2 2 3" xfId="12092"/>
    <cellStyle name="Normal 14 6 3 2 2 2 3 2" xfId="34679"/>
    <cellStyle name="Normal 14 6 3 2 2 2 4" xfId="28239"/>
    <cellStyle name="Normal 14 6 3 2 2 3" xfId="18532"/>
    <cellStyle name="Normal 14 6 3 2 2 3 2" xfId="41119"/>
    <cellStyle name="Normal 14 6 3 2 2 4" xfId="15312"/>
    <cellStyle name="Normal 14 6 3 2 2 4 2" xfId="37899"/>
    <cellStyle name="Normal 14 6 3 2 2 5" xfId="8872"/>
    <cellStyle name="Normal 14 6 3 2 2 5 2" xfId="31459"/>
    <cellStyle name="Normal 14 6 3 2 2 6" xfId="25019"/>
    <cellStyle name="Normal 14 6 3 2 3" xfId="4344"/>
    <cellStyle name="Normal 14 6 3 2 3 2" xfId="20444"/>
    <cellStyle name="Normal 14 6 3 2 3 2 2" xfId="43031"/>
    <cellStyle name="Normal 14 6 3 2 3 3" xfId="10784"/>
    <cellStyle name="Normal 14 6 3 2 3 3 2" xfId="33371"/>
    <cellStyle name="Normal 14 6 3 2 3 4" xfId="26931"/>
    <cellStyle name="Normal 14 6 3 2 4" xfId="17224"/>
    <cellStyle name="Normal 14 6 3 2 4 2" xfId="39811"/>
    <cellStyle name="Normal 14 6 3 2 5" xfId="14004"/>
    <cellStyle name="Normal 14 6 3 2 5 2" xfId="36591"/>
    <cellStyle name="Normal 14 6 3 2 6" xfId="7564"/>
    <cellStyle name="Normal 14 6 3 2 6 2" xfId="30151"/>
    <cellStyle name="Normal 14 6 3 2 7" xfId="23711"/>
    <cellStyle name="Normal 14 6 3 3" xfId="1464"/>
    <cellStyle name="Normal 14 6 3 3 2" xfId="2778"/>
    <cellStyle name="Normal 14 6 3 3 2 2" xfId="5999"/>
    <cellStyle name="Normal 14 6 3 3 2 2 2" xfId="22099"/>
    <cellStyle name="Normal 14 6 3 3 2 2 2 2" xfId="44686"/>
    <cellStyle name="Normal 14 6 3 3 2 2 3" xfId="12439"/>
    <cellStyle name="Normal 14 6 3 3 2 2 3 2" xfId="35026"/>
    <cellStyle name="Normal 14 6 3 3 2 2 4" xfId="28586"/>
    <cellStyle name="Normal 14 6 3 3 2 3" xfId="18879"/>
    <cellStyle name="Normal 14 6 3 3 2 3 2" xfId="41466"/>
    <cellStyle name="Normal 14 6 3 3 2 4" xfId="15659"/>
    <cellStyle name="Normal 14 6 3 3 2 4 2" xfId="38246"/>
    <cellStyle name="Normal 14 6 3 3 2 5" xfId="9219"/>
    <cellStyle name="Normal 14 6 3 3 2 5 2" xfId="31806"/>
    <cellStyle name="Normal 14 6 3 3 2 6" xfId="25366"/>
    <cellStyle name="Normal 14 6 3 3 3" xfId="4691"/>
    <cellStyle name="Normal 14 6 3 3 3 2" xfId="20791"/>
    <cellStyle name="Normal 14 6 3 3 3 2 2" xfId="43378"/>
    <cellStyle name="Normal 14 6 3 3 3 3" xfId="11131"/>
    <cellStyle name="Normal 14 6 3 3 3 3 2" xfId="33718"/>
    <cellStyle name="Normal 14 6 3 3 3 4" xfId="27278"/>
    <cellStyle name="Normal 14 6 3 3 4" xfId="17571"/>
    <cellStyle name="Normal 14 6 3 3 4 2" xfId="40158"/>
    <cellStyle name="Normal 14 6 3 3 5" xfId="14351"/>
    <cellStyle name="Normal 14 6 3 3 5 2" xfId="36938"/>
    <cellStyle name="Normal 14 6 3 3 6" xfId="7911"/>
    <cellStyle name="Normal 14 6 3 3 6 2" xfId="30498"/>
    <cellStyle name="Normal 14 6 3 3 7" xfId="24058"/>
    <cellStyle name="Normal 14 6 3 4" xfId="1609"/>
    <cellStyle name="Normal 14 6 3 4 2" xfId="4835"/>
    <cellStyle name="Normal 14 6 3 4 2 2" xfId="20935"/>
    <cellStyle name="Normal 14 6 3 4 2 2 2" xfId="43522"/>
    <cellStyle name="Normal 14 6 3 4 2 3" xfId="11275"/>
    <cellStyle name="Normal 14 6 3 4 2 3 2" xfId="33862"/>
    <cellStyle name="Normal 14 6 3 4 2 4" xfId="27422"/>
    <cellStyle name="Normal 14 6 3 4 3" xfId="17715"/>
    <cellStyle name="Normal 14 6 3 4 3 2" xfId="40302"/>
    <cellStyle name="Normal 14 6 3 4 4" xfId="14495"/>
    <cellStyle name="Normal 14 6 3 4 4 2" xfId="37082"/>
    <cellStyle name="Normal 14 6 3 4 5" xfId="8055"/>
    <cellStyle name="Normal 14 6 3 4 5 2" xfId="30642"/>
    <cellStyle name="Normal 14 6 3 4 6" xfId="24202"/>
    <cellStyle name="Normal 14 6 3 5" xfId="2084"/>
    <cellStyle name="Normal 14 6 3 5 2" xfId="5305"/>
    <cellStyle name="Normal 14 6 3 5 2 2" xfId="21405"/>
    <cellStyle name="Normal 14 6 3 5 2 2 2" xfId="43992"/>
    <cellStyle name="Normal 14 6 3 5 2 3" xfId="11745"/>
    <cellStyle name="Normal 14 6 3 5 2 3 2" xfId="34332"/>
    <cellStyle name="Normal 14 6 3 5 2 4" xfId="27892"/>
    <cellStyle name="Normal 14 6 3 5 3" xfId="18185"/>
    <cellStyle name="Normal 14 6 3 5 3 2" xfId="40772"/>
    <cellStyle name="Normal 14 6 3 5 4" xfId="14965"/>
    <cellStyle name="Normal 14 6 3 5 4 2" xfId="37552"/>
    <cellStyle name="Normal 14 6 3 5 5" xfId="8525"/>
    <cellStyle name="Normal 14 6 3 5 5 2" xfId="31112"/>
    <cellStyle name="Normal 14 6 3 5 6" xfId="24672"/>
    <cellStyle name="Normal 14 6 3 6" xfId="3124"/>
    <cellStyle name="Normal 14 6 3 6 2" xfId="6344"/>
    <cellStyle name="Normal 14 6 3 6 2 2" xfId="22444"/>
    <cellStyle name="Normal 14 6 3 6 2 2 2" xfId="45031"/>
    <cellStyle name="Normal 14 6 3 6 2 3" xfId="12784"/>
    <cellStyle name="Normal 14 6 3 6 2 3 2" xfId="35371"/>
    <cellStyle name="Normal 14 6 3 6 2 4" xfId="28931"/>
    <cellStyle name="Normal 14 6 3 6 3" xfId="19224"/>
    <cellStyle name="Normal 14 6 3 6 3 2" xfId="41811"/>
    <cellStyle name="Normal 14 6 3 6 4" xfId="16004"/>
    <cellStyle name="Normal 14 6 3 6 4 2" xfId="38591"/>
    <cellStyle name="Normal 14 6 3 6 5" xfId="9564"/>
    <cellStyle name="Normal 14 6 3 6 5 2" xfId="32151"/>
    <cellStyle name="Normal 14 6 3 6 6" xfId="25711"/>
    <cellStyle name="Normal 14 6 3 7" xfId="3414"/>
    <cellStyle name="Normal 14 6 3 7 2" xfId="6634"/>
    <cellStyle name="Normal 14 6 3 7 2 2" xfId="22734"/>
    <cellStyle name="Normal 14 6 3 7 2 2 2" xfId="45321"/>
    <cellStyle name="Normal 14 6 3 7 2 3" xfId="13074"/>
    <cellStyle name="Normal 14 6 3 7 2 3 2" xfId="35661"/>
    <cellStyle name="Normal 14 6 3 7 2 4" xfId="29221"/>
    <cellStyle name="Normal 14 6 3 7 3" xfId="19514"/>
    <cellStyle name="Normal 14 6 3 7 3 2" xfId="42101"/>
    <cellStyle name="Normal 14 6 3 7 4" xfId="16294"/>
    <cellStyle name="Normal 14 6 3 7 4 2" xfId="38881"/>
    <cellStyle name="Normal 14 6 3 7 5" xfId="9854"/>
    <cellStyle name="Normal 14 6 3 7 5 2" xfId="32441"/>
    <cellStyle name="Normal 14 6 3 7 6" xfId="26001"/>
    <cellStyle name="Normal 14 6 3 8" xfId="765"/>
    <cellStyle name="Normal 14 6 3 8 2" xfId="3997"/>
    <cellStyle name="Normal 14 6 3 8 2 2" xfId="20097"/>
    <cellStyle name="Normal 14 6 3 8 2 2 2" xfId="42684"/>
    <cellStyle name="Normal 14 6 3 8 2 3" xfId="10437"/>
    <cellStyle name="Normal 14 6 3 8 2 3 2" xfId="33024"/>
    <cellStyle name="Normal 14 6 3 8 2 4" xfId="26584"/>
    <cellStyle name="Normal 14 6 3 8 3" xfId="16877"/>
    <cellStyle name="Normal 14 6 3 8 3 2" xfId="39464"/>
    <cellStyle name="Normal 14 6 3 8 4" xfId="13657"/>
    <cellStyle name="Normal 14 6 3 8 4 2" xfId="36244"/>
    <cellStyle name="Normal 14 6 3 8 5" xfId="7217"/>
    <cellStyle name="Normal 14 6 3 8 5 2" xfId="29804"/>
    <cellStyle name="Normal 14 6 3 8 6" xfId="23364"/>
    <cellStyle name="Normal 14 6 3 9" xfId="3704"/>
    <cellStyle name="Normal 14 6 3 9 2" xfId="19804"/>
    <cellStyle name="Normal 14 6 3 9 2 2" xfId="42391"/>
    <cellStyle name="Normal 14 6 3 9 3" xfId="10144"/>
    <cellStyle name="Normal 14 6 3 9 3 2" xfId="32731"/>
    <cellStyle name="Normal 14 6 3 9 4" xfId="26291"/>
    <cellStyle name="Normal 14 6 4" xfId="912"/>
    <cellStyle name="Normal 14 6 4 2" xfId="2231"/>
    <cellStyle name="Normal 14 6 4 2 2" xfId="5452"/>
    <cellStyle name="Normal 14 6 4 2 2 2" xfId="21552"/>
    <cellStyle name="Normal 14 6 4 2 2 2 2" xfId="44139"/>
    <cellStyle name="Normal 14 6 4 2 2 3" xfId="11892"/>
    <cellStyle name="Normal 14 6 4 2 2 3 2" xfId="34479"/>
    <cellStyle name="Normal 14 6 4 2 2 4" xfId="28039"/>
    <cellStyle name="Normal 14 6 4 2 3" xfId="18332"/>
    <cellStyle name="Normal 14 6 4 2 3 2" xfId="40919"/>
    <cellStyle name="Normal 14 6 4 2 4" xfId="15112"/>
    <cellStyle name="Normal 14 6 4 2 4 2" xfId="37699"/>
    <cellStyle name="Normal 14 6 4 2 5" xfId="8672"/>
    <cellStyle name="Normal 14 6 4 2 5 2" xfId="31259"/>
    <cellStyle name="Normal 14 6 4 2 6" xfId="24819"/>
    <cellStyle name="Normal 14 6 4 3" xfId="4144"/>
    <cellStyle name="Normal 14 6 4 3 2" xfId="20244"/>
    <cellStyle name="Normal 14 6 4 3 2 2" xfId="42831"/>
    <cellStyle name="Normal 14 6 4 3 3" xfId="10584"/>
    <cellStyle name="Normal 14 6 4 3 3 2" xfId="33171"/>
    <cellStyle name="Normal 14 6 4 3 4" xfId="26731"/>
    <cellStyle name="Normal 14 6 4 4" xfId="17024"/>
    <cellStyle name="Normal 14 6 4 4 2" xfId="39611"/>
    <cellStyle name="Normal 14 6 4 5" xfId="13804"/>
    <cellStyle name="Normal 14 6 4 5 2" xfId="36391"/>
    <cellStyle name="Normal 14 6 4 6" xfId="7364"/>
    <cellStyle name="Normal 14 6 4 6 2" xfId="29951"/>
    <cellStyle name="Normal 14 6 4 7" xfId="23511"/>
    <cellStyle name="Normal 14 6 5" xfId="1264"/>
    <cellStyle name="Normal 14 6 5 2" xfId="2578"/>
    <cellStyle name="Normal 14 6 5 2 2" xfId="5799"/>
    <cellStyle name="Normal 14 6 5 2 2 2" xfId="21899"/>
    <cellStyle name="Normal 14 6 5 2 2 2 2" xfId="44486"/>
    <cellStyle name="Normal 14 6 5 2 2 3" xfId="12239"/>
    <cellStyle name="Normal 14 6 5 2 2 3 2" xfId="34826"/>
    <cellStyle name="Normal 14 6 5 2 2 4" xfId="28386"/>
    <cellStyle name="Normal 14 6 5 2 3" xfId="18679"/>
    <cellStyle name="Normal 14 6 5 2 3 2" xfId="41266"/>
    <cellStyle name="Normal 14 6 5 2 4" xfId="15459"/>
    <cellStyle name="Normal 14 6 5 2 4 2" xfId="38046"/>
    <cellStyle name="Normal 14 6 5 2 5" xfId="9019"/>
    <cellStyle name="Normal 14 6 5 2 5 2" xfId="31606"/>
    <cellStyle name="Normal 14 6 5 2 6" xfId="25166"/>
    <cellStyle name="Normal 14 6 5 3" xfId="4491"/>
    <cellStyle name="Normal 14 6 5 3 2" xfId="20591"/>
    <cellStyle name="Normal 14 6 5 3 2 2" xfId="43178"/>
    <cellStyle name="Normal 14 6 5 3 3" xfId="10931"/>
    <cellStyle name="Normal 14 6 5 3 3 2" xfId="33518"/>
    <cellStyle name="Normal 14 6 5 3 4" xfId="27078"/>
    <cellStyle name="Normal 14 6 5 4" xfId="17371"/>
    <cellStyle name="Normal 14 6 5 4 2" xfId="39958"/>
    <cellStyle name="Normal 14 6 5 5" xfId="14151"/>
    <cellStyle name="Normal 14 6 5 5 2" xfId="36738"/>
    <cellStyle name="Normal 14 6 5 6" xfId="7711"/>
    <cellStyle name="Normal 14 6 5 6 2" xfId="30298"/>
    <cellStyle name="Normal 14 6 5 7" xfId="23858"/>
    <cellStyle name="Normal 14 6 6" xfId="1610"/>
    <cellStyle name="Normal 14 6 6 2" xfId="4836"/>
    <cellStyle name="Normal 14 6 6 2 2" xfId="20936"/>
    <cellStyle name="Normal 14 6 6 2 2 2" xfId="43523"/>
    <cellStyle name="Normal 14 6 6 2 3" xfId="11276"/>
    <cellStyle name="Normal 14 6 6 2 3 2" xfId="33863"/>
    <cellStyle name="Normal 14 6 6 2 4" xfId="27423"/>
    <cellStyle name="Normal 14 6 6 3" xfId="17716"/>
    <cellStyle name="Normal 14 6 6 3 2" xfId="40303"/>
    <cellStyle name="Normal 14 6 6 4" xfId="14496"/>
    <cellStyle name="Normal 14 6 6 4 2" xfId="37083"/>
    <cellStyle name="Normal 14 6 6 5" xfId="8056"/>
    <cellStyle name="Normal 14 6 6 5 2" xfId="30643"/>
    <cellStyle name="Normal 14 6 6 6" xfId="24203"/>
    <cellStyle name="Normal 14 6 7" xfId="1883"/>
    <cellStyle name="Normal 14 6 7 2" xfId="5105"/>
    <cellStyle name="Normal 14 6 7 2 2" xfId="21205"/>
    <cellStyle name="Normal 14 6 7 2 2 2" xfId="43792"/>
    <cellStyle name="Normal 14 6 7 2 3" xfId="11545"/>
    <cellStyle name="Normal 14 6 7 2 3 2" xfId="34132"/>
    <cellStyle name="Normal 14 6 7 2 4" xfId="27692"/>
    <cellStyle name="Normal 14 6 7 3" xfId="17985"/>
    <cellStyle name="Normal 14 6 7 3 2" xfId="40572"/>
    <cellStyle name="Normal 14 6 7 4" xfId="14765"/>
    <cellStyle name="Normal 14 6 7 4 2" xfId="37352"/>
    <cellStyle name="Normal 14 6 7 5" xfId="8325"/>
    <cellStyle name="Normal 14 6 7 5 2" xfId="30912"/>
    <cellStyle name="Normal 14 6 7 6" xfId="24472"/>
    <cellStyle name="Normal 14 6 8" xfId="2930"/>
    <cellStyle name="Normal 14 6 8 2" xfId="6151"/>
    <cellStyle name="Normal 14 6 8 2 2" xfId="22251"/>
    <cellStyle name="Normal 14 6 8 2 2 2" xfId="44838"/>
    <cellStyle name="Normal 14 6 8 2 3" xfId="12591"/>
    <cellStyle name="Normal 14 6 8 2 3 2" xfId="35178"/>
    <cellStyle name="Normal 14 6 8 2 4" xfId="28738"/>
    <cellStyle name="Normal 14 6 8 3" xfId="19031"/>
    <cellStyle name="Normal 14 6 8 3 2" xfId="41618"/>
    <cellStyle name="Normal 14 6 8 4" xfId="15811"/>
    <cellStyle name="Normal 14 6 8 4 2" xfId="38398"/>
    <cellStyle name="Normal 14 6 8 5" xfId="9371"/>
    <cellStyle name="Normal 14 6 8 5 2" xfId="31958"/>
    <cellStyle name="Normal 14 6 8 6" xfId="25518"/>
    <cellStyle name="Normal 14 6 9" xfId="3221"/>
    <cellStyle name="Normal 14 6 9 2" xfId="6441"/>
    <cellStyle name="Normal 14 6 9 2 2" xfId="22541"/>
    <cellStyle name="Normal 14 6 9 2 2 2" xfId="45128"/>
    <cellStyle name="Normal 14 6 9 2 3" xfId="12881"/>
    <cellStyle name="Normal 14 6 9 2 3 2" xfId="35468"/>
    <cellStyle name="Normal 14 6 9 2 4" xfId="29028"/>
    <cellStyle name="Normal 14 6 9 3" xfId="19321"/>
    <cellStyle name="Normal 14 6 9 3 2" xfId="41908"/>
    <cellStyle name="Normal 14 6 9 4" xfId="16101"/>
    <cellStyle name="Normal 14 6 9 4 2" xfId="38688"/>
    <cellStyle name="Normal 14 6 9 5" xfId="9661"/>
    <cellStyle name="Normal 14 6 9 5 2" xfId="32248"/>
    <cellStyle name="Normal 14 6 9 6" xfId="25808"/>
    <cellStyle name="Normal 14 7" xfId="242"/>
    <cellStyle name="Normal 14 7 10" xfId="16410"/>
    <cellStyle name="Normal 14 7 10 2" xfId="38997"/>
    <cellStyle name="Normal 14 7 11" xfId="13190"/>
    <cellStyle name="Normal 14 7 11 2" xfId="35777"/>
    <cellStyle name="Normal 14 7 12" xfId="6750"/>
    <cellStyle name="Normal 14 7 12 2" xfId="29337"/>
    <cellStyle name="Normal 14 7 13" xfId="22897"/>
    <cellStyle name="Normal 14 7 2" xfId="961"/>
    <cellStyle name="Normal 14 7 2 2" xfId="2280"/>
    <cellStyle name="Normal 14 7 2 2 2" xfId="5501"/>
    <cellStyle name="Normal 14 7 2 2 2 2" xfId="21601"/>
    <cellStyle name="Normal 14 7 2 2 2 2 2" xfId="44188"/>
    <cellStyle name="Normal 14 7 2 2 2 3" xfId="11941"/>
    <cellStyle name="Normal 14 7 2 2 2 3 2" xfId="34528"/>
    <cellStyle name="Normal 14 7 2 2 2 4" xfId="28088"/>
    <cellStyle name="Normal 14 7 2 2 3" xfId="18381"/>
    <cellStyle name="Normal 14 7 2 2 3 2" xfId="40968"/>
    <cellStyle name="Normal 14 7 2 2 4" xfId="15161"/>
    <cellStyle name="Normal 14 7 2 2 4 2" xfId="37748"/>
    <cellStyle name="Normal 14 7 2 2 5" xfId="8721"/>
    <cellStyle name="Normal 14 7 2 2 5 2" xfId="31308"/>
    <cellStyle name="Normal 14 7 2 2 6" xfId="24868"/>
    <cellStyle name="Normal 14 7 2 3" xfId="4193"/>
    <cellStyle name="Normal 14 7 2 3 2" xfId="20293"/>
    <cellStyle name="Normal 14 7 2 3 2 2" xfId="42880"/>
    <cellStyle name="Normal 14 7 2 3 3" xfId="10633"/>
    <cellStyle name="Normal 14 7 2 3 3 2" xfId="33220"/>
    <cellStyle name="Normal 14 7 2 3 4" xfId="26780"/>
    <cellStyle name="Normal 14 7 2 4" xfId="17073"/>
    <cellStyle name="Normal 14 7 2 4 2" xfId="39660"/>
    <cellStyle name="Normal 14 7 2 5" xfId="13853"/>
    <cellStyle name="Normal 14 7 2 5 2" xfId="36440"/>
    <cellStyle name="Normal 14 7 2 6" xfId="7413"/>
    <cellStyle name="Normal 14 7 2 6 2" xfId="30000"/>
    <cellStyle name="Normal 14 7 2 7" xfId="23560"/>
    <cellStyle name="Normal 14 7 3" xfId="1313"/>
    <cellStyle name="Normal 14 7 3 2" xfId="2627"/>
    <cellStyle name="Normal 14 7 3 2 2" xfId="5848"/>
    <cellStyle name="Normal 14 7 3 2 2 2" xfId="21948"/>
    <cellStyle name="Normal 14 7 3 2 2 2 2" xfId="44535"/>
    <cellStyle name="Normal 14 7 3 2 2 3" xfId="12288"/>
    <cellStyle name="Normal 14 7 3 2 2 3 2" xfId="34875"/>
    <cellStyle name="Normal 14 7 3 2 2 4" xfId="28435"/>
    <cellStyle name="Normal 14 7 3 2 3" xfId="18728"/>
    <cellStyle name="Normal 14 7 3 2 3 2" xfId="41315"/>
    <cellStyle name="Normal 14 7 3 2 4" xfId="15508"/>
    <cellStyle name="Normal 14 7 3 2 4 2" xfId="38095"/>
    <cellStyle name="Normal 14 7 3 2 5" xfId="9068"/>
    <cellStyle name="Normal 14 7 3 2 5 2" xfId="31655"/>
    <cellStyle name="Normal 14 7 3 2 6" xfId="25215"/>
    <cellStyle name="Normal 14 7 3 3" xfId="4540"/>
    <cellStyle name="Normal 14 7 3 3 2" xfId="20640"/>
    <cellStyle name="Normal 14 7 3 3 2 2" xfId="43227"/>
    <cellStyle name="Normal 14 7 3 3 3" xfId="10980"/>
    <cellStyle name="Normal 14 7 3 3 3 2" xfId="33567"/>
    <cellStyle name="Normal 14 7 3 3 4" xfId="27127"/>
    <cellStyle name="Normal 14 7 3 4" xfId="17420"/>
    <cellStyle name="Normal 14 7 3 4 2" xfId="40007"/>
    <cellStyle name="Normal 14 7 3 5" xfId="14200"/>
    <cellStyle name="Normal 14 7 3 5 2" xfId="36787"/>
    <cellStyle name="Normal 14 7 3 6" xfId="7760"/>
    <cellStyle name="Normal 14 7 3 6 2" xfId="30347"/>
    <cellStyle name="Normal 14 7 3 7" xfId="23907"/>
    <cellStyle name="Normal 14 7 4" xfId="1611"/>
    <cellStyle name="Normal 14 7 4 2" xfId="4837"/>
    <cellStyle name="Normal 14 7 4 2 2" xfId="20937"/>
    <cellStyle name="Normal 14 7 4 2 2 2" xfId="43524"/>
    <cellStyle name="Normal 14 7 4 2 3" xfId="11277"/>
    <cellStyle name="Normal 14 7 4 2 3 2" xfId="33864"/>
    <cellStyle name="Normal 14 7 4 2 4" xfId="27424"/>
    <cellStyle name="Normal 14 7 4 3" xfId="17717"/>
    <cellStyle name="Normal 14 7 4 3 2" xfId="40304"/>
    <cellStyle name="Normal 14 7 4 4" xfId="14497"/>
    <cellStyle name="Normal 14 7 4 4 2" xfId="37084"/>
    <cellStyle name="Normal 14 7 4 5" xfId="8057"/>
    <cellStyle name="Normal 14 7 4 5 2" xfId="30644"/>
    <cellStyle name="Normal 14 7 4 6" xfId="24204"/>
    <cellStyle name="Normal 14 7 5" xfId="1932"/>
    <cellStyle name="Normal 14 7 5 2" xfId="5154"/>
    <cellStyle name="Normal 14 7 5 2 2" xfId="21254"/>
    <cellStyle name="Normal 14 7 5 2 2 2" xfId="43841"/>
    <cellStyle name="Normal 14 7 5 2 3" xfId="11594"/>
    <cellStyle name="Normal 14 7 5 2 3 2" xfId="34181"/>
    <cellStyle name="Normal 14 7 5 2 4" xfId="27741"/>
    <cellStyle name="Normal 14 7 5 3" xfId="18034"/>
    <cellStyle name="Normal 14 7 5 3 2" xfId="40621"/>
    <cellStyle name="Normal 14 7 5 4" xfId="14814"/>
    <cellStyle name="Normal 14 7 5 4 2" xfId="37401"/>
    <cellStyle name="Normal 14 7 5 5" xfId="8374"/>
    <cellStyle name="Normal 14 7 5 5 2" xfId="30961"/>
    <cellStyle name="Normal 14 7 5 6" xfId="24521"/>
    <cellStyle name="Normal 14 7 6" xfId="2949"/>
    <cellStyle name="Normal 14 7 6 2" xfId="6170"/>
    <cellStyle name="Normal 14 7 6 2 2" xfId="22270"/>
    <cellStyle name="Normal 14 7 6 2 2 2" xfId="44857"/>
    <cellStyle name="Normal 14 7 6 2 3" xfId="12610"/>
    <cellStyle name="Normal 14 7 6 2 3 2" xfId="35197"/>
    <cellStyle name="Normal 14 7 6 2 4" xfId="28757"/>
    <cellStyle name="Normal 14 7 6 3" xfId="19050"/>
    <cellStyle name="Normal 14 7 6 3 2" xfId="41637"/>
    <cellStyle name="Normal 14 7 6 4" xfId="15830"/>
    <cellStyle name="Normal 14 7 6 4 2" xfId="38417"/>
    <cellStyle name="Normal 14 7 6 5" xfId="9390"/>
    <cellStyle name="Normal 14 7 6 5 2" xfId="31977"/>
    <cellStyle name="Normal 14 7 6 6" xfId="25537"/>
    <cellStyle name="Normal 14 7 7" xfId="3240"/>
    <cellStyle name="Normal 14 7 7 2" xfId="6460"/>
    <cellStyle name="Normal 14 7 7 2 2" xfId="22560"/>
    <cellStyle name="Normal 14 7 7 2 2 2" xfId="45147"/>
    <cellStyle name="Normal 14 7 7 2 3" xfId="12900"/>
    <cellStyle name="Normal 14 7 7 2 3 2" xfId="35487"/>
    <cellStyle name="Normal 14 7 7 2 4" xfId="29047"/>
    <cellStyle name="Normal 14 7 7 3" xfId="19340"/>
    <cellStyle name="Normal 14 7 7 3 2" xfId="41927"/>
    <cellStyle name="Normal 14 7 7 4" xfId="16120"/>
    <cellStyle name="Normal 14 7 7 4 2" xfId="38707"/>
    <cellStyle name="Normal 14 7 7 5" xfId="9680"/>
    <cellStyle name="Normal 14 7 7 5 2" xfId="32267"/>
    <cellStyle name="Normal 14 7 7 6" xfId="25827"/>
    <cellStyle name="Normal 14 7 8" xfId="575"/>
    <cellStyle name="Normal 14 7 8 2" xfId="3846"/>
    <cellStyle name="Normal 14 7 8 2 2" xfId="19946"/>
    <cellStyle name="Normal 14 7 8 2 2 2" xfId="42533"/>
    <cellStyle name="Normal 14 7 8 2 3" xfId="10286"/>
    <cellStyle name="Normal 14 7 8 2 3 2" xfId="32873"/>
    <cellStyle name="Normal 14 7 8 2 4" xfId="26433"/>
    <cellStyle name="Normal 14 7 8 3" xfId="16726"/>
    <cellStyle name="Normal 14 7 8 3 2" xfId="39313"/>
    <cellStyle name="Normal 14 7 8 4" xfId="13506"/>
    <cellStyle name="Normal 14 7 8 4 2" xfId="36093"/>
    <cellStyle name="Normal 14 7 8 5" xfId="7066"/>
    <cellStyle name="Normal 14 7 8 5 2" xfId="29653"/>
    <cellStyle name="Normal 14 7 8 6" xfId="23213"/>
    <cellStyle name="Normal 14 7 9" xfId="3530"/>
    <cellStyle name="Normal 14 7 9 2" xfId="19630"/>
    <cellStyle name="Normal 14 7 9 2 2" xfId="42217"/>
    <cellStyle name="Normal 14 7 9 3" xfId="9970"/>
    <cellStyle name="Normal 14 7 9 3 2" xfId="32557"/>
    <cellStyle name="Normal 14 7 9 4" xfId="26117"/>
    <cellStyle name="Normal 14 8" xfId="340"/>
    <cellStyle name="Normal 14 8 10" xfId="16507"/>
    <cellStyle name="Normal 14 8 10 2" xfId="39094"/>
    <cellStyle name="Normal 14 8 11" xfId="13287"/>
    <cellStyle name="Normal 14 8 11 2" xfId="35874"/>
    <cellStyle name="Normal 14 8 12" xfId="6847"/>
    <cellStyle name="Normal 14 8 12 2" xfId="29434"/>
    <cellStyle name="Normal 14 8 13" xfId="22994"/>
    <cellStyle name="Normal 14 8 2" xfId="1078"/>
    <cellStyle name="Normal 14 8 2 2" xfId="2392"/>
    <cellStyle name="Normal 14 8 2 2 2" xfId="5613"/>
    <cellStyle name="Normal 14 8 2 2 2 2" xfId="21713"/>
    <cellStyle name="Normal 14 8 2 2 2 2 2" xfId="44300"/>
    <cellStyle name="Normal 14 8 2 2 2 3" xfId="12053"/>
    <cellStyle name="Normal 14 8 2 2 2 3 2" xfId="34640"/>
    <cellStyle name="Normal 14 8 2 2 2 4" xfId="28200"/>
    <cellStyle name="Normal 14 8 2 2 3" xfId="18493"/>
    <cellStyle name="Normal 14 8 2 2 3 2" xfId="41080"/>
    <cellStyle name="Normal 14 8 2 2 4" xfId="15273"/>
    <cellStyle name="Normal 14 8 2 2 4 2" xfId="37860"/>
    <cellStyle name="Normal 14 8 2 2 5" xfId="8833"/>
    <cellStyle name="Normal 14 8 2 2 5 2" xfId="31420"/>
    <cellStyle name="Normal 14 8 2 2 6" xfId="24980"/>
    <cellStyle name="Normal 14 8 2 3" xfId="4305"/>
    <cellStyle name="Normal 14 8 2 3 2" xfId="20405"/>
    <cellStyle name="Normal 14 8 2 3 2 2" xfId="42992"/>
    <cellStyle name="Normal 14 8 2 3 3" xfId="10745"/>
    <cellStyle name="Normal 14 8 2 3 3 2" xfId="33332"/>
    <cellStyle name="Normal 14 8 2 3 4" xfId="26892"/>
    <cellStyle name="Normal 14 8 2 4" xfId="17185"/>
    <cellStyle name="Normal 14 8 2 4 2" xfId="39772"/>
    <cellStyle name="Normal 14 8 2 5" xfId="13965"/>
    <cellStyle name="Normal 14 8 2 5 2" xfId="36552"/>
    <cellStyle name="Normal 14 8 2 6" xfId="7525"/>
    <cellStyle name="Normal 14 8 2 6 2" xfId="30112"/>
    <cellStyle name="Normal 14 8 2 7" xfId="23672"/>
    <cellStyle name="Normal 14 8 3" xfId="1425"/>
    <cellStyle name="Normal 14 8 3 2" xfId="2739"/>
    <cellStyle name="Normal 14 8 3 2 2" xfId="5960"/>
    <cellStyle name="Normal 14 8 3 2 2 2" xfId="22060"/>
    <cellStyle name="Normal 14 8 3 2 2 2 2" xfId="44647"/>
    <cellStyle name="Normal 14 8 3 2 2 3" xfId="12400"/>
    <cellStyle name="Normal 14 8 3 2 2 3 2" xfId="34987"/>
    <cellStyle name="Normal 14 8 3 2 2 4" xfId="28547"/>
    <cellStyle name="Normal 14 8 3 2 3" xfId="18840"/>
    <cellStyle name="Normal 14 8 3 2 3 2" xfId="41427"/>
    <cellStyle name="Normal 14 8 3 2 4" xfId="15620"/>
    <cellStyle name="Normal 14 8 3 2 4 2" xfId="38207"/>
    <cellStyle name="Normal 14 8 3 2 5" xfId="9180"/>
    <cellStyle name="Normal 14 8 3 2 5 2" xfId="31767"/>
    <cellStyle name="Normal 14 8 3 2 6" xfId="25327"/>
    <cellStyle name="Normal 14 8 3 3" xfId="4652"/>
    <cellStyle name="Normal 14 8 3 3 2" xfId="20752"/>
    <cellStyle name="Normal 14 8 3 3 2 2" xfId="43339"/>
    <cellStyle name="Normal 14 8 3 3 3" xfId="11092"/>
    <cellStyle name="Normal 14 8 3 3 3 2" xfId="33679"/>
    <cellStyle name="Normal 14 8 3 3 4" xfId="27239"/>
    <cellStyle name="Normal 14 8 3 4" xfId="17532"/>
    <cellStyle name="Normal 14 8 3 4 2" xfId="40119"/>
    <cellStyle name="Normal 14 8 3 5" xfId="14312"/>
    <cellStyle name="Normal 14 8 3 5 2" xfId="36899"/>
    <cellStyle name="Normal 14 8 3 6" xfId="7872"/>
    <cellStyle name="Normal 14 8 3 6 2" xfId="30459"/>
    <cellStyle name="Normal 14 8 3 7" xfId="24019"/>
    <cellStyle name="Normal 14 8 4" xfId="1612"/>
    <cellStyle name="Normal 14 8 4 2" xfId="4838"/>
    <cellStyle name="Normal 14 8 4 2 2" xfId="20938"/>
    <cellStyle name="Normal 14 8 4 2 2 2" xfId="43525"/>
    <cellStyle name="Normal 14 8 4 2 3" xfId="11278"/>
    <cellStyle name="Normal 14 8 4 2 3 2" xfId="33865"/>
    <cellStyle name="Normal 14 8 4 2 4" xfId="27425"/>
    <cellStyle name="Normal 14 8 4 3" xfId="17718"/>
    <cellStyle name="Normal 14 8 4 3 2" xfId="40305"/>
    <cellStyle name="Normal 14 8 4 4" xfId="14498"/>
    <cellStyle name="Normal 14 8 4 4 2" xfId="37085"/>
    <cellStyle name="Normal 14 8 4 5" xfId="8058"/>
    <cellStyle name="Normal 14 8 4 5 2" xfId="30645"/>
    <cellStyle name="Normal 14 8 4 6" xfId="24205"/>
    <cellStyle name="Normal 14 8 5" xfId="2045"/>
    <cellStyle name="Normal 14 8 5 2" xfId="5266"/>
    <cellStyle name="Normal 14 8 5 2 2" xfId="21366"/>
    <cellStyle name="Normal 14 8 5 2 2 2" xfId="43953"/>
    <cellStyle name="Normal 14 8 5 2 3" xfId="11706"/>
    <cellStyle name="Normal 14 8 5 2 3 2" xfId="34293"/>
    <cellStyle name="Normal 14 8 5 2 4" xfId="27853"/>
    <cellStyle name="Normal 14 8 5 3" xfId="18146"/>
    <cellStyle name="Normal 14 8 5 3 2" xfId="40733"/>
    <cellStyle name="Normal 14 8 5 4" xfId="14926"/>
    <cellStyle name="Normal 14 8 5 4 2" xfId="37513"/>
    <cellStyle name="Normal 14 8 5 5" xfId="8486"/>
    <cellStyle name="Normal 14 8 5 5 2" xfId="31073"/>
    <cellStyle name="Normal 14 8 5 6" xfId="24633"/>
    <cellStyle name="Normal 14 8 6" xfId="3047"/>
    <cellStyle name="Normal 14 8 6 2" xfId="6267"/>
    <cellStyle name="Normal 14 8 6 2 2" xfId="22367"/>
    <cellStyle name="Normal 14 8 6 2 2 2" xfId="44954"/>
    <cellStyle name="Normal 14 8 6 2 3" xfId="12707"/>
    <cellStyle name="Normal 14 8 6 2 3 2" xfId="35294"/>
    <cellStyle name="Normal 14 8 6 2 4" xfId="28854"/>
    <cellStyle name="Normal 14 8 6 3" xfId="19147"/>
    <cellStyle name="Normal 14 8 6 3 2" xfId="41734"/>
    <cellStyle name="Normal 14 8 6 4" xfId="15927"/>
    <cellStyle name="Normal 14 8 6 4 2" xfId="38514"/>
    <cellStyle name="Normal 14 8 6 5" xfId="9487"/>
    <cellStyle name="Normal 14 8 6 5 2" xfId="32074"/>
    <cellStyle name="Normal 14 8 6 6" xfId="25634"/>
    <cellStyle name="Normal 14 8 7" xfId="3337"/>
    <cellStyle name="Normal 14 8 7 2" xfId="6557"/>
    <cellStyle name="Normal 14 8 7 2 2" xfId="22657"/>
    <cellStyle name="Normal 14 8 7 2 2 2" xfId="45244"/>
    <cellStyle name="Normal 14 8 7 2 3" xfId="12997"/>
    <cellStyle name="Normal 14 8 7 2 3 2" xfId="35584"/>
    <cellStyle name="Normal 14 8 7 2 4" xfId="29144"/>
    <cellStyle name="Normal 14 8 7 3" xfId="19437"/>
    <cellStyle name="Normal 14 8 7 3 2" xfId="42024"/>
    <cellStyle name="Normal 14 8 7 4" xfId="16217"/>
    <cellStyle name="Normal 14 8 7 4 2" xfId="38804"/>
    <cellStyle name="Normal 14 8 7 5" xfId="9777"/>
    <cellStyle name="Normal 14 8 7 5 2" xfId="32364"/>
    <cellStyle name="Normal 14 8 7 6" xfId="25924"/>
    <cellStyle name="Normal 14 8 8" xfId="726"/>
    <cellStyle name="Normal 14 8 8 2" xfId="3958"/>
    <cellStyle name="Normal 14 8 8 2 2" xfId="20058"/>
    <cellStyle name="Normal 14 8 8 2 2 2" xfId="42645"/>
    <cellStyle name="Normal 14 8 8 2 3" xfId="10398"/>
    <cellStyle name="Normal 14 8 8 2 3 2" xfId="32985"/>
    <cellStyle name="Normal 14 8 8 2 4" xfId="26545"/>
    <cellStyle name="Normal 14 8 8 3" xfId="16838"/>
    <cellStyle name="Normal 14 8 8 3 2" xfId="39425"/>
    <cellStyle name="Normal 14 8 8 4" xfId="13618"/>
    <cellStyle name="Normal 14 8 8 4 2" xfId="36205"/>
    <cellStyle name="Normal 14 8 8 5" xfId="7178"/>
    <cellStyle name="Normal 14 8 8 5 2" xfId="29765"/>
    <cellStyle name="Normal 14 8 8 6" xfId="23325"/>
    <cellStyle name="Normal 14 8 9" xfId="3627"/>
    <cellStyle name="Normal 14 8 9 2" xfId="19727"/>
    <cellStyle name="Normal 14 8 9 2 2" xfId="42314"/>
    <cellStyle name="Normal 14 8 9 3" xfId="10067"/>
    <cellStyle name="Normal 14 8 9 3 2" xfId="32654"/>
    <cellStyle name="Normal 14 8 9 4" xfId="26214"/>
    <cellStyle name="Normal 14 9" xfId="745"/>
    <cellStyle name="Normal 14 9 2" xfId="1097"/>
    <cellStyle name="Normal 14 9 2 2" xfId="2411"/>
    <cellStyle name="Normal 14 9 2 2 2" xfId="5632"/>
    <cellStyle name="Normal 14 9 2 2 2 2" xfId="21732"/>
    <cellStyle name="Normal 14 9 2 2 2 2 2" xfId="44319"/>
    <cellStyle name="Normal 14 9 2 2 2 3" xfId="12072"/>
    <cellStyle name="Normal 14 9 2 2 2 3 2" xfId="34659"/>
    <cellStyle name="Normal 14 9 2 2 2 4" xfId="28219"/>
    <cellStyle name="Normal 14 9 2 2 3" xfId="18512"/>
    <cellStyle name="Normal 14 9 2 2 3 2" xfId="41099"/>
    <cellStyle name="Normal 14 9 2 2 4" xfId="15292"/>
    <cellStyle name="Normal 14 9 2 2 4 2" xfId="37879"/>
    <cellStyle name="Normal 14 9 2 2 5" xfId="8852"/>
    <cellStyle name="Normal 14 9 2 2 5 2" xfId="31439"/>
    <cellStyle name="Normal 14 9 2 2 6" xfId="24999"/>
    <cellStyle name="Normal 14 9 2 3" xfId="4324"/>
    <cellStyle name="Normal 14 9 2 3 2" xfId="20424"/>
    <cellStyle name="Normal 14 9 2 3 2 2" xfId="43011"/>
    <cellStyle name="Normal 14 9 2 3 3" xfId="10764"/>
    <cellStyle name="Normal 14 9 2 3 3 2" xfId="33351"/>
    <cellStyle name="Normal 14 9 2 3 4" xfId="26911"/>
    <cellStyle name="Normal 14 9 2 4" xfId="17204"/>
    <cellStyle name="Normal 14 9 2 4 2" xfId="39791"/>
    <cellStyle name="Normal 14 9 2 5" xfId="13984"/>
    <cellStyle name="Normal 14 9 2 5 2" xfId="36571"/>
    <cellStyle name="Normal 14 9 2 6" xfId="7544"/>
    <cellStyle name="Normal 14 9 2 6 2" xfId="30131"/>
    <cellStyle name="Normal 14 9 2 7" xfId="23691"/>
    <cellStyle name="Normal 14 9 3" xfId="1444"/>
    <cellStyle name="Normal 14 9 3 2" xfId="2758"/>
    <cellStyle name="Normal 14 9 3 2 2" xfId="5979"/>
    <cellStyle name="Normal 14 9 3 2 2 2" xfId="22079"/>
    <cellStyle name="Normal 14 9 3 2 2 2 2" xfId="44666"/>
    <cellStyle name="Normal 14 9 3 2 2 3" xfId="12419"/>
    <cellStyle name="Normal 14 9 3 2 2 3 2" xfId="35006"/>
    <cellStyle name="Normal 14 9 3 2 2 4" xfId="28566"/>
    <cellStyle name="Normal 14 9 3 2 3" xfId="18859"/>
    <cellStyle name="Normal 14 9 3 2 3 2" xfId="41446"/>
    <cellStyle name="Normal 14 9 3 2 4" xfId="15639"/>
    <cellStyle name="Normal 14 9 3 2 4 2" xfId="38226"/>
    <cellStyle name="Normal 14 9 3 2 5" xfId="9199"/>
    <cellStyle name="Normal 14 9 3 2 5 2" xfId="31786"/>
    <cellStyle name="Normal 14 9 3 2 6" xfId="25346"/>
    <cellStyle name="Normal 14 9 3 3" xfId="4671"/>
    <cellStyle name="Normal 14 9 3 3 2" xfId="20771"/>
    <cellStyle name="Normal 14 9 3 3 2 2" xfId="43358"/>
    <cellStyle name="Normal 14 9 3 3 3" xfId="11111"/>
    <cellStyle name="Normal 14 9 3 3 3 2" xfId="33698"/>
    <cellStyle name="Normal 14 9 3 3 4" xfId="27258"/>
    <cellStyle name="Normal 14 9 3 4" xfId="17551"/>
    <cellStyle name="Normal 14 9 3 4 2" xfId="40138"/>
    <cellStyle name="Normal 14 9 3 5" xfId="14331"/>
    <cellStyle name="Normal 14 9 3 5 2" xfId="36918"/>
    <cellStyle name="Normal 14 9 3 6" xfId="7891"/>
    <cellStyle name="Normal 14 9 3 6 2" xfId="30478"/>
    <cellStyle name="Normal 14 9 3 7" xfId="24038"/>
    <cellStyle name="Normal 14 9 4" xfId="2064"/>
    <cellStyle name="Normal 14 9 4 2" xfId="5285"/>
    <cellStyle name="Normal 14 9 4 2 2" xfId="21385"/>
    <cellStyle name="Normal 14 9 4 2 2 2" xfId="43972"/>
    <cellStyle name="Normal 14 9 4 2 3" xfId="11725"/>
    <cellStyle name="Normal 14 9 4 2 3 2" xfId="34312"/>
    <cellStyle name="Normal 14 9 4 2 4" xfId="27872"/>
    <cellStyle name="Normal 14 9 4 3" xfId="18165"/>
    <cellStyle name="Normal 14 9 4 3 2" xfId="40752"/>
    <cellStyle name="Normal 14 9 4 4" xfId="14945"/>
    <cellStyle name="Normal 14 9 4 4 2" xfId="37532"/>
    <cellStyle name="Normal 14 9 4 5" xfId="8505"/>
    <cellStyle name="Normal 14 9 4 5 2" xfId="31092"/>
    <cellStyle name="Normal 14 9 4 6" xfId="24652"/>
    <cellStyle name="Normal 14 9 5" xfId="3977"/>
    <cellStyle name="Normal 14 9 5 2" xfId="20077"/>
    <cellStyle name="Normal 14 9 5 2 2" xfId="42664"/>
    <cellStyle name="Normal 14 9 5 3" xfId="10417"/>
    <cellStyle name="Normal 14 9 5 3 2" xfId="33004"/>
    <cellStyle name="Normal 14 9 5 4" xfId="26564"/>
    <cellStyle name="Normal 14 9 6" xfId="16857"/>
    <cellStyle name="Normal 14 9 6 2" xfId="39444"/>
    <cellStyle name="Normal 14 9 7" xfId="13637"/>
    <cellStyle name="Normal 14 9 7 2" xfId="36224"/>
    <cellStyle name="Normal 14 9 8" xfId="7197"/>
    <cellStyle name="Normal 14 9 8 2" xfId="29784"/>
    <cellStyle name="Normal 14 9 9" xfId="23344"/>
    <cellStyle name="Normal 15" xfId="130"/>
    <cellStyle name="Normal 15 10" xfId="1841"/>
    <cellStyle name="Normal 15 10 2" xfId="5063"/>
    <cellStyle name="Normal 15 10 2 2" xfId="21163"/>
    <cellStyle name="Normal 15 10 2 2 2" xfId="43750"/>
    <cellStyle name="Normal 15 10 2 3" xfId="11503"/>
    <cellStyle name="Normal 15 10 2 3 2" xfId="34090"/>
    <cellStyle name="Normal 15 10 2 4" xfId="27650"/>
    <cellStyle name="Normal 15 10 3" xfId="17943"/>
    <cellStyle name="Normal 15 10 3 2" xfId="40530"/>
    <cellStyle name="Normal 15 10 4" xfId="14723"/>
    <cellStyle name="Normal 15 10 4 2" xfId="37310"/>
    <cellStyle name="Normal 15 10 5" xfId="8283"/>
    <cellStyle name="Normal 15 10 5 2" xfId="30870"/>
    <cellStyle name="Normal 15 10 6" xfId="24430"/>
    <cellStyle name="Normal 15 11" xfId="2884"/>
    <cellStyle name="Normal 15 11 2" xfId="6105"/>
    <cellStyle name="Normal 15 11 2 2" xfId="22205"/>
    <cellStyle name="Normal 15 11 2 2 2" xfId="44792"/>
    <cellStyle name="Normal 15 11 2 3" xfId="12545"/>
    <cellStyle name="Normal 15 11 2 3 2" xfId="35132"/>
    <cellStyle name="Normal 15 11 2 4" xfId="28692"/>
    <cellStyle name="Normal 15 11 3" xfId="18985"/>
    <cellStyle name="Normal 15 11 3 2" xfId="41572"/>
    <cellStyle name="Normal 15 11 4" xfId="15765"/>
    <cellStyle name="Normal 15 11 4 2" xfId="38352"/>
    <cellStyle name="Normal 15 11 5" xfId="9325"/>
    <cellStyle name="Normal 15 11 5 2" xfId="31912"/>
    <cellStyle name="Normal 15 11 6" xfId="25472"/>
    <cellStyle name="Normal 15 12" xfId="3175"/>
    <cellStyle name="Normal 15 12 2" xfId="6395"/>
    <cellStyle name="Normal 15 12 2 2" xfId="22495"/>
    <cellStyle name="Normal 15 12 2 2 2" xfId="45082"/>
    <cellStyle name="Normal 15 12 2 3" xfId="12835"/>
    <cellStyle name="Normal 15 12 2 3 2" xfId="35422"/>
    <cellStyle name="Normal 15 12 2 4" xfId="28982"/>
    <cellStyle name="Normal 15 12 3" xfId="19275"/>
    <cellStyle name="Normal 15 12 3 2" xfId="41862"/>
    <cellStyle name="Normal 15 12 4" xfId="16055"/>
    <cellStyle name="Normal 15 12 4 2" xfId="38642"/>
    <cellStyle name="Normal 15 12 5" xfId="9615"/>
    <cellStyle name="Normal 15 12 5 2" xfId="32202"/>
    <cellStyle name="Normal 15 12 6" xfId="25762"/>
    <cellStyle name="Normal 15 13" xfId="468"/>
    <cellStyle name="Normal 15 13 2" xfId="3755"/>
    <cellStyle name="Normal 15 13 2 2" xfId="19855"/>
    <cellStyle name="Normal 15 13 2 2 2" xfId="42442"/>
    <cellStyle name="Normal 15 13 2 3" xfId="10195"/>
    <cellStyle name="Normal 15 13 2 3 2" xfId="32782"/>
    <cellStyle name="Normal 15 13 2 4" xfId="26342"/>
    <cellStyle name="Normal 15 13 3" xfId="16635"/>
    <cellStyle name="Normal 15 13 3 2" xfId="39222"/>
    <cellStyle name="Normal 15 13 4" xfId="13415"/>
    <cellStyle name="Normal 15 13 4 2" xfId="36002"/>
    <cellStyle name="Normal 15 13 5" xfId="6975"/>
    <cellStyle name="Normal 15 13 5 2" xfId="29562"/>
    <cellStyle name="Normal 15 13 6" xfId="23122"/>
    <cellStyle name="Normal 15 14" xfId="3465"/>
    <cellStyle name="Normal 15 14 2" xfId="19565"/>
    <cellStyle name="Normal 15 14 2 2" xfId="42152"/>
    <cellStyle name="Normal 15 14 3" xfId="9905"/>
    <cellStyle name="Normal 15 14 3 2" xfId="32492"/>
    <cellStyle name="Normal 15 14 4" xfId="26052"/>
    <cellStyle name="Normal 15 15" xfId="16345"/>
    <cellStyle name="Normal 15 15 2" xfId="38932"/>
    <cellStyle name="Normal 15 16" xfId="13125"/>
    <cellStyle name="Normal 15 16 2" xfId="35712"/>
    <cellStyle name="Normal 15 17" xfId="6685"/>
    <cellStyle name="Normal 15 17 2" xfId="29272"/>
    <cellStyle name="Normal 15 18" xfId="22832"/>
    <cellStyle name="Normal 15 2" xfId="147"/>
    <cellStyle name="Normal 15 2 10" xfId="485"/>
    <cellStyle name="Normal 15 2 10 2" xfId="3772"/>
    <cellStyle name="Normal 15 2 10 2 2" xfId="19872"/>
    <cellStyle name="Normal 15 2 10 2 2 2" xfId="42459"/>
    <cellStyle name="Normal 15 2 10 2 3" xfId="10212"/>
    <cellStyle name="Normal 15 2 10 2 3 2" xfId="32799"/>
    <cellStyle name="Normal 15 2 10 2 4" xfId="26359"/>
    <cellStyle name="Normal 15 2 10 3" xfId="16652"/>
    <cellStyle name="Normal 15 2 10 3 2" xfId="39239"/>
    <cellStyle name="Normal 15 2 10 4" xfId="13432"/>
    <cellStyle name="Normal 15 2 10 4 2" xfId="36019"/>
    <cellStyle name="Normal 15 2 10 5" xfId="6992"/>
    <cellStyle name="Normal 15 2 10 5 2" xfId="29579"/>
    <cellStyle name="Normal 15 2 10 6" xfId="23139"/>
    <cellStyle name="Normal 15 2 11" xfId="3482"/>
    <cellStyle name="Normal 15 2 11 2" xfId="19582"/>
    <cellStyle name="Normal 15 2 11 2 2" xfId="42169"/>
    <cellStyle name="Normal 15 2 11 3" xfId="9922"/>
    <cellStyle name="Normal 15 2 11 3 2" xfId="32509"/>
    <cellStyle name="Normal 15 2 11 4" xfId="26069"/>
    <cellStyle name="Normal 15 2 12" xfId="16362"/>
    <cellStyle name="Normal 15 2 12 2" xfId="38949"/>
    <cellStyle name="Normal 15 2 13" xfId="13142"/>
    <cellStyle name="Normal 15 2 13 2" xfId="35729"/>
    <cellStyle name="Normal 15 2 14" xfId="6702"/>
    <cellStyle name="Normal 15 2 14 2" xfId="29289"/>
    <cellStyle name="Normal 15 2 15" xfId="22849"/>
    <cellStyle name="Normal 15 2 2" xfId="293"/>
    <cellStyle name="Normal 15 2 2 10" xfId="13240"/>
    <cellStyle name="Normal 15 2 2 10 2" xfId="35827"/>
    <cellStyle name="Normal 15 2 2 11" xfId="6800"/>
    <cellStyle name="Normal 15 2 2 11 2" xfId="29387"/>
    <cellStyle name="Normal 15 2 2 12" xfId="22947"/>
    <cellStyle name="Normal 15 2 2 2" xfId="1011"/>
    <cellStyle name="Normal 15 2 2 2 2" xfId="2325"/>
    <cellStyle name="Normal 15 2 2 2 2 2" xfId="5546"/>
    <cellStyle name="Normal 15 2 2 2 2 2 2" xfId="21646"/>
    <cellStyle name="Normal 15 2 2 2 2 2 2 2" xfId="44233"/>
    <cellStyle name="Normal 15 2 2 2 2 2 3" xfId="11986"/>
    <cellStyle name="Normal 15 2 2 2 2 2 3 2" xfId="34573"/>
    <cellStyle name="Normal 15 2 2 2 2 2 4" xfId="28133"/>
    <cellStyle name="Normal 15 2 2 2 2 3" xfId="18426"/>
    <cellStyle name="Normal 15 2 2 2 2 3 2" xfId="41013"/>
    <cellStyle name="Normal 15 2 2 2 2 4" xfId="15206"/>
    <cellStyle name="Normal 15 2 2 2 2 4 2" xfId="37793"/>
    <cellStyle name="Normal 15 2 2 2 2 5" xfId="8766"/>
    <cellStyle name="Normal 15 2 2 2 2 5 2" xfId="31353"/>
    <cellStyle name="Normal 15 2 2 2 2 6" xfId="24913"/>
    <cellStyle name="Normal 15 2 2 2 3" xfId="4238"/>
    <cellStyle name="Normal 15 2 2 2 3 2" xfId="20338"/>
    <cellStyle name="Normal 15 2 2 2 3 2 2" xfId="42925"/>
    <cellStyle name="Normal 15 2 2 2 3 3" xfId="10678"/>
    <cellStyle name="Normal 15 2 2 2 3 3 2" xfId="33265"/>
    <cellStyle name="Normal 15 2 2 2 3 4" xfId="26825"/>
    <cellStyle name="Normal 15 2 2 2 4" xfId="17118"/>
    <cellStyle name="Normal 15 2 2 2 4 2" xfId="39705"/>
    <cellStyle name="Normal 15 2 2 2 5" xfId="13898"/>
    <cellStyle name="Normal 15 2 2 2 5 2" xfId="36485"/>
    <cellStyle name="Normal 15 2 2 2 6" xfId="7458"/>
    <cellStyle name="Normal 15 2 2 2 6 2" xfId="30045"/>
    <cellStyle name="Normal 15 2 2 2 7" xfId="23605"/>
    <cellStyle name="Normal 15 2 2 3" xfId="1358"/>
    <cellStyle name="Normal 15 2 2 3 2" xfId="2672"/>
    <cellStyle name="Normal 15 2 2 3 2 2" xfId="5893"/>
    <cellStyle name="Normal 15 2 2 3 2 2 2" xfId="21993"/>
    <cellStyle name="Normal 15 2 2 3 2 2 2 2" xfId="44580"/>
    <cellStyle name="Normal 15 2 2 3 2 2 3" xfId="12333"/>
    <cellStyle name="Normal 15 2 2 3 2 2 3 2" xfId="34920"/>
    <cellStyle name="Normal 15 2 2 3 2 2 4" xfId="28480"/>
    <cellStyle name="Normal 15 2 2 3 2 3" xfId="18773"/>
    <cellStyle name="Normal 15 2 2 3 2 3 2" xfId="41360"/>
    <cellStyle name="Normal 15 2 2 3 2 4" xfId="15553"/>
    <cellStyle name="Normal 15 2 2 3 2 4 2" xfId="38140"/>
    <cellStyle name="Normal 15 2 2 3 2 5" xfId="9113"/>
    <cellStyle name="Normal 15 2 2 3 2 5 2" xfId="31700"/>
    <cellStyle name="Normal 15 2 2 3 2 6" xfId="25260"/>
    <cellStyle name="Normal 15 2 2 3 3" xfId="4585"/>
    <cellStyle name="Normal 15 2 2 3 3 2" xfId="20685"/>
    <cellStyle name="Normal 15 2 2 3 3 2 2" xfId="43272"/>
    <cellStyle name="Normal 15 2 2 3 3 3" xfId="11025"/>
    <cellStyle name="Normal 15 2 2 3 3 3 2" xfId="33612"/>
    <cellStyle name="Normal 15 2 2 3 3 4" xfId="27172"/>
    <cellStyle name="Normal 15 2 2 3 4" xfId="17465"/>
    <cellStyle name="Normal 15 2 2 3 4 2" xfId="40052"/>
    <cellStyle name="Normal 15 2 2 3 5" xfId="14245"/>
    <cellStyle name="Normal 15 2 2 3 5 2" xfId="36832"/>
    <cellStyle name="Normal 15 2 2 3 6" xfId="7805"/>
    <cellStyle name="Normal 15 2 2 3 6 2" xfId="30392"/>
    <cellStyle name="Normal 15 2 2 3 7" xfId="23952"/>
    <cellStyle name="Normal 15 2 2 4" xfId="1977"/>
    <cellStyle name="Normal 15 2 2 4 2" xfId="5199"/>
    <cellStyle name="Normal 15 2 2 4 2 2" xfId="21299"/>
    <cellStyle name="Normal 15 2 2 4 2 2 2" xfId="43886"/>
    <cellStyle name="Normal 15 2 2 4 2 3" xfId="11639"/>
    <cellStyle name="Normal 15 2 2 4 2 3 2" xfId="34226"/>
    <cellStyle name="Normal 15 2 2 4 2 4" xfId="27786"/>
    <cellStyle name="Normal 15 2 2 4 3" xfId="18079"/>
    <cellStyle name="Normal 15 2 2 4 3 2" xfId="40666"/>
    <cellStyle name="Normal 15 2 2 4 4" xfId="14859"/>
    <cellStyle name="Normal 15 2 2 4 4 2" xfId="37446"/>
    <cellStyle name="Normal 15 2 2 4 5" xfId="8419"/>
    <cellStyle name="Normal 15 2 2 4 5 2" xfId="31006"/>
    <cellStyle name="Normal 15 2 2 4 6" xfId="24566"/>
    <cellStyle name="Normal 15 2 2 5" xfId="3000"/>
    <cellStyle name="Normal 15 2 2 5 2" xfId="6220"/>
    <cellStyle name="Normal 15 2 2 5 2 2" xfId="22320"/>
    <cellStyle name="Normal 15 2 2 5 2 2 2" xfId="44907"/>
    <cellStyle name="Normal 15 2 2 5 2 3" xfId="12660"/>
    <cellStyle name="Normal 15 2 2 5 2 3 2" xfId="35247"/>
    <cellStyle name="Normal 15 2 2 5 2 4" xfId="28807"/>
    <cellStyle name="Normal 15 2 2 5 3" xfId="19100"/>
    <cellStyle name="Normal 15 2 2 5 3 2" xfId="41687"/>
    <cellStyle name="Normal 15 2 2 5 4" xfId="15880"/>
    <cellStyle name="Normal 15 2 2 5 4 2" xfId="38467"/>
    <cellStyle name="Normal 15 2 2 5 5" xfId="9440"/>
    <cellStyle name="Normal 15 2 2 5 5 2" xfId="32027"/>
    <cellStyle name="Normal 15 2 2 5 6" xfId="25587"/>
    <cellStyle name="Normal 15 2 2 6" xfId="3290"/>
    <cellStyle name="Normal 15 2 2 6 2" xfId="6510"/>
    <cellStyle name="Normal 15 2 2 6 2 2" xfId="22610"/>
    <cellStyle name="Normal 15 2 2 6 2 2 2" xfId="45197"/>
    <cellStyle name="Normal 15 2 2 6 2 3" xfId="12950"/>
    <cellStyle name="Normal 15 2 2 6 2 3 2" xfId="35537"/>
    <cellStyle name="Normal 15 2 2 6 2 4" xfId="29097"/>
    <cellStyle name="Normal 15 2 2 6 3" xfId="19390"/>
    <cellStyle name="Normal 15 2 2 6 3 2" xfId="41977"/>
    <cellStyle name="Normal 15 2 2 6 4" xfId="16170"/>
    <cellStyle name="Normal 15 2 2 6 4 2" xfId="38757"/>
    <cellStyle name="Normal 15 2 2 6 5" xfId="9730"/>
    <cellStyle name="Normal 15 2 2 6 5 2" xfId="32317"/>
    <cellStyle name="Normal 15 2 2 6 6" xfId="25877"/>
    <cellStyle name="Normal 15 2 2 7" xfId="647"/>
    <cellStyle name="Normal 15 2 2 7 2" xfId="3891"/>
    <cellStyle name="Normal 15 2 2 7 2 2" xfId="19991"/>
    <cellStyle name="Normal 15 2 2 7 2 2 2" xfId="42578"/>
    <cellStyle name="Normal 15 2 2 7 2 3" xfId="10331"/>
    <cellStyle name="Normal 15 2 2 7 2 3 2" xfId="32918"/>
    <cellStyle name="Normal 15 2 2 7 2 4" xfId="26478"/>
    <cellStyle name="Normal 15 2 2 7 3" xfId="16771"/>
    <cellStyle name="Normal 15 2 2 7 3 2" xfId="39358"/>
    <cellStyle name="Normal 15 2 2 7 4" xfId="13551"/>
    <cellStyle name="Normal 15 2 2 7 4 2" xfId="36138"/>
    <cellStyle name="Normal 15 2 2 7 5" xfId="7111"/>
    <cellStyle name="Normal 15 2 2 7 5 2" xfId="29698"/>
    <cellStyle name="Normal 15 2 2 7 6" xfId="23258"/>
    <cellStyle name="Normal 15 2 2 8" xfId="3580"/>
    <cellStyle name="Normal 15 2 2 8 2" xfId="19680"/>
    <cellStyle name="Normal 15 2 2 8 2 2" xfId="42267"/>
    <cellStyle name="Normal 15 2 2 8 3" xfId="10020"/>
    <cellStyle name="Normal 15 2 2 8 3 2" xfId="32607"/>
    <cellStyle name="Normal 15 2 2 8 4" xfId="26167"/>
    <cellStyle name="Normal 15 2 2 9" xfId="16460"/>
    <cellStyle name="Normal 15 2 2 9 2" xfId="39047"/>
    <cellStyle name="Normal 15 2 3" xfId="388"/>
    <cellStyle name="Normal 15 2 3 10" xfId="13335"/>
    <cellStyle name="Normal 15 2 3 10 2" xfId="35922"/>
    <cellStyle name="Normal 15 2 3 11" xfId="6895"/>
    <cellStyle name="Normal 15 2 3 11 2" xfId="29482"/>
    <cellStyle name="Normal 15 2 3 12" xfId="23042"/>
    <cellStyle name="Normal 15 2 3 2" xfId="1172"/>
    <cellStyle name="Normal 15 2 3 2 2" xfId="2486"/>
    <cellStyle name="Normal 15 2 3 2 2 2" xfId="5707"/>
    <cellStyle name="Normal 15 2 3 2 2 2 2" xfId="21807"/>
    <cellStyle name="Normal 15 2 3 2 2 2 2 2" xfId="44394"/>
    <cellStyle name="Normal 15 2 3 2 2 2 3" xfId="12147"/>
    <cellStyle name="Normal 15 2 3 2 2 2 3 2" xfId="34734"/>
    <cellStyle name="Normal 15 2 3 2 2 2 4" xfId="28294"/>
    <cellStyle name="Normal 15 2 3 2 2 3" xfId="18587"/>
    <cellStyle name="Normal 15 2 3 2 2 3 2" xfId="41174"/>
    <cellStyle name="Normal 15 2 3 2 2 4" xfId="15367"/>
    <cellStyle name="Normal 15 2 3 2 2 4 2" xfId="37954"/>
    <cellStyle name="Normal 15 2 3 2 2 5" xfId="8927"/>
    <cellStyle name="Normal 15 2 3 2 2 5 2" xfId="31514"/>
    <cellStyle name="Normal 15 2 3 2 2 6" xfId="25074"/>
    <cellStyle name="Normal 15 2 3 2 3" xfId="4399"/>
    <cellStyle name="Normal 15 2 3 2 3 2" xfId="20499"/>
    <cellStyle name="Normal 15 2 3 2 3 2 2" xfId="43086"/>
    <cellStyle name="Normal 15 2 3 2 3 3" xfId="10839"/>
    <cellStyle name="Normal 15 2 3 2 3 3 2" xfId="33426"/>
    <cellStyle name="Normal 15 2 3 2 3 4" xfId="26986"/>
    <cellStyle name="Normal 15 2 3 2 4" xfId="17279"/>
    <cellStyle name="Normal 15 2 3 2 4 2" xfId="39866"/>
    <cellStyle name="Normal 15 2 3 2 5" xfId="14059"/>
    <cellStyle name="Normal 15 2 3 2 5 2" xfId="36646"/>
    <cellStyle name="Normal 15 2 3 2 6" xfId="7619"/>
    <cellStyle name="Normal 15 2 3 2 6 2" xfId="30206"/>
    <cellStyle name="Normal 15 2 3 2 7" xfId="23766"/>
    <cellStyle name="Normal 15 2 3 3" xfId="1519"/>
    <cellStyle name="Normal 15 2 3 3 2" xfId="2833"/>
    <cellStyle name="Normal 15 2 3 3 2 2" xfId="6054"/>
    <cellStyle name="Normal 15 2 3 3 2 2 2" xfId="22154"/>
    <cellStyle name="Normal 15 2 3 3 2 2 2 2" xfId="44741"/>
    <cellStyle name="Normal 15 2 3 3 2 2 3" xfId="12494"/>
    <cellStyle name="Normal 15 2 3 3 2 2 3 2" xfId="35081"/>
    <cellStyle name="Normal 15 2 3 3 2 2 4" xfId="28641"/>
    <cellStyle name="Normal 15 2 3 3 2 3" xfId="18934"/>
    <cellStyle name="Normal 15 2 3 3 2 3 2" xfId="41521"/>
    <cellStyle name="Normal 15 2 3 3 2 4" xfId="15714"/>
    <cellStyle name="Normal 15 2 3 3 2 4 2" xfId="38301"/>
    <cellStyle name="Normal 15 2 3 3 2 5" xfId="9274"/>
    <cellStyle name="Normal 15 2 3 3 2 5 2" xfId="31861"/>
    <cellStyle name="Normal 15 2 3 3 2 6" xfId="25421"/>
    <cellStyle name="Normal 15 2 3 3 3" xfId="4746"/>
    <cellStyle name="Normal 15 2 3 3 3 2" xfId="20846"/>
    <cellStyle name="Normal 15 2 3 3 3 2 2" xfId="43433"/>
    <cellStyle name="Normal 15 2 3 3 3 3" xfId="11186"/>
    <cellStyle name="Normal 15 2 3 3 3 3 2" xfId="33773"/>
    <cellStyle name="Normal 15 2 3 3 3 4" xfId="27333"/>
    <cellStyle name="Normal 15 2 3 3 4" xfId="17626"/>
    <cellStyle name="Normal 15 2 3 3 4 2" xfId="40213"/>
    <cellStyle name="Normal 15 2 3 3 5" xfId="14406"/>
    <cellStyle name="Normal 15 2 3 3 5 2" xfId="36993"/>
    <cellStyle name="Normal 15 2 3 3 6" xfId="7966"/>
    <cellStyle name="Normal 15 2 3 3 6 2" xfId="30553"/>
    <cellStyle name="Normal 15 2 3 3 7" xfId="24113"/>
    <cellStyle name="Normal 15 2 3 4" xfId="2139"/>
    <cellStyle name="Normal 15 2 3 4 2" xfId="5360"/>
    <cellStyle name="Normal 15 2 3 4 2 2" xfId="21460"/>
    <cellStyle name="Normal 15 2 3 4 2 2 2" xfId="44047"/>
    <cellStyle name="Normal 15 2 3 4 2 3" xfId="11800"/>
    <cellStyle name="Normal 15 2 3 4 2 3 2" xfId="34387"/>
    <cellStyle name="Normal 15 2 3 4 2 4" xfId="27947"/>
    <cellStyle name="Normal 15 2 3 4 3" xfId="18240"/>
    <cellStyle name="Normal 15 2 3 4 3 2" xfId="40827"/>
    <cellStyle name="Normal 15 2 3 4 4" xfId="15020"/>
    <cellStyle name="Normal 15 2 3 4 4 2" xfId="37607"/>
    <cellStyle name="Normal 15 2 3 4 5" xfId="8580"/>
    <cellStyle name="Normal 15 2 3 4 5 2" xfId="31167"/>
    <cellStyle name="Normal 15 2 3 4 6" xfId="24727"/>
    <cellStyle name="Normal 15 2 3 5" xfId="3095"/>
    <cellStyle name="Normal 15 2 3 5 2" xfId="6315"/>
    <cellStyle name="Normal 15 2 3 5 2 2" xfId="22415"/>
    <cellStyle name="Normal 15 2 3 5 2 2 2" xfId="45002"/>
    <cellStyle name="Normal 15 2 3 5 2 3" xfId="12755"/>
    <cellStyle name="Normal 15 2 3 5 2 3 2" xfId="35342"/>
    <cellStyle name="Normal 15 2 3 5 2 4" xfId="28902"/>
    <cellStyle name="Normal 15 2 3 5 3" xfId="19195"/>
    <cellStyle name="Normal 15 2 3 5 3 2" xfId="41782"/>
    <cellStyle name="Normal 15 2 3 5 4" xfId="15975"/>
    <cellStyle name="Normal 15 2 3 5 4 2" xfId="38562"/>
    <cellStyle name="Normal 15 2 3 5 5" xfId="9535"/>
    <cellStyle name="Normal 15 2 3 5 5 2" xfId="32122"/>
    <cellStyle name="Normal 15 2 3 5 6" xfId="25682"/>
    <cellStyle name="Normal 15 2 3 6" xfId="3385"/>
    <cellStyle name="Normal 15 2 3 6 2" xfId="6605"/>
    <cellStyle name="Normal 15 2 3 6 2 2" xfId="22705"/>
    <cellStyle name="Normal 15 2 3 6 2 2 2" xfId="45292"/>
    <cellStyle name="Normal 15 2 3 6 2 3" xfId="13045"/>
    <cellStyle name="Normal 15 2 3 6 2 3 2" xfId="35632"/>
    <cellStyle name="Normal 15 2 3 6 2 4" xfId="29192"/>
    <cellStyle name="Normal 15 2 3 6 3" xfId="19485"/>
    <cellStyle name="Normal 15 2 3 6 3 2" xfId="42072"/>
    <cellStyle name="Normal 15 2 3 6 4" xfId="16265"/>
    <cellStyle name="Normal 15 2 3 6 4 2" xfId="38852"/>
    <cellStyle name="Normal 15 2 3 6 5" xfId="9825"/>
    <cellStyle name="Normal 15 2 3 6 5 2" xfId="32412"/>
    <cellStyle name="Normal 15 2 3 6 6" xfId="25972"/>
    <cellStyle name="Normal 15 2 3 7" xfId="820"/>
    <cellStyle name="Normal 15 2 3 7 2" xfId="4052"/>
    <cellStyle name="Normal 15 2 3 7 2 2" xfId="20152"/>
    <cellStyle name="Normal 15 2 3 7 2 2 2" xfId="42739"/>
    <cellStyle name="Normal 15 2 3 7 2 3" xfId="10492"/>
    <cellStyle name="Normal 15 2 3 7 2 3 2" xfId="33079"/>
    <cellStyle name="Normal 15 2 3 7 2 4" xfId="26639"/>
    <cellStyle name="Normal 15 2 3 7 3" xfId="16932"/>
    <cellStyle name="Normal 15 2 3 7 3 2" xfId="39519"/>
    <cellStyle name="Normal 15 2 3 7 4" xfId="13712"/>
    <cellStyle name="Normal 15 2 3 7 4 2" xfId="36299"/>
    <cellStyle name="Normal 15 2 3 7 5" xfId="7272"/>
    <cellStyle name="Normal 15 2 3 7 5 2" xfId="29859"/>
    <cellStyle name="Normal 15 2 3 7 6" xfId="23419"/>
    <cellStyle name="Normal 15 2 3 8" xfId="3675"/>
    <cellStyle name="Normal 15 2 3 8 2" xfId="19775"/>
    <cellStyle name="Normal 15 2 3 8 2 2" xfId="42362"/>
    <cellStyle name="Normal 15 2 3 8 3" xfId="10115"/>
    <cellStyle name="Normal 15 2 3 8 3 2" xfId="32702"/>
    <cellStyle name="Normal 15 2 3 8 4" xfId="26262"/>
    <cellStyle name="Normal 15 2 3 9" xfId="16555"/>
    <cellStyle name="Normal 15 2 3 9 2" xfId="39142"/>
    <cellStyle name="Normal 15 2 4" xfId="887"/>
    <cellStyle name="Normal 15 2 4 2" xfId="2206"/>
    <cellStyle name="Normal 15 2 4 2 2" xfId="5427"/>
    <cellStyle name="Normal 15 2 4 2 2 2" xfId="21527"/>
    <cellStyle name="Normal 15 2 4 2 2 2 2" xfId="44114"/>
    <cellStyle name="Normal 15 2 4 2 2 3" xfId="11867"/>
    <cellStyle name="Normal 15 2 4 2 2 3 2" xfId="34454"/>
    <cellStyle name="Normal 15 2 4 2 2 4" xfId="28014"/>
    <cellStyle name="Normal 15 2 4 2 3" xfId="18307"/>
    <cellStyle name="Normal 15 2 4 2 3 2" xfId="40894"/>
    <cellStyle name="Normal 15 2 4 2 4" xfId="15087"/>
    <cellStyle name="Normal 15 2 4 2 4 2" xfId="37674"/>
    <cellStyle name="Normal 15 2 4 2 5" xfId="8647"/>
    <cellStyle name="Normal 15 2 4 2 5 2" xfId="31234"/>
    <cellStyle name="Normal 15 2 4 2 6" xfId="24794"/>
    <cellStyle name="Normal 15 2 4 3" xfId="4119"/>
    <cellStyle name="Normal 15 2 4 3 2" xfId="20219"/>
    <cellStyle name="Normal 15 2 4 3 2 2" xfId="42806"/>
    <cellStyle name="Normal 15 2 4 3 3" xfId="10559"/>
    <cellStyle name="Normal 15 2 4 3 3 2" xfId="33146"/>
    <cellStyle name="Normal 15 2 4 3 4" xfId="26706"/>
    <cellStyle name="Normal 15 2 4 4" xfId="16999"/>
    <cellStyle name="Normal 15 2 4 4 2" xfId="39586"/>
    <cellStyle name="Normal 15 2 4 5" xfId="13779"/>
    <cellStyle name="Normal 15 2 4 5 2" xfId="36366"/>
    <cellStyle name="Normal 15 2 4 6" xfId="7339"/>
    <cellStyle name="Normal 15 2 4 6 2" xfId="29926"/>
    <cellStyle name="Normal 15 2 4 7" xfId="23486"/>
    <cellStyle name="Normal 15 2 5" xfId="1239"/>
    <cellStyle name="Normal 15 2 5 2" xfId="2553"/>
    <cellStyle name="Normal 15 2 5 2 2" xfId="5774"/>
    <cellStyle name="Normal 15 2 5 2 2 2" xfId="21874"/>
    <cellStyle name="Normal 15 2 5 2 2 2 2" xfId="44461"/>
    <cellStyle name="Normal 15 2 5 2 2 3" xfId="12214"/>
    <cellStyle name="Normal 15 2 5 2 2 3 2" xfId="34801"/>
    <cellStyle name="Normal 15 2 5 2 2 4" xfId="28361"/>
    <cellStyle name="Normal 15 2 5 2 3" xfId="18654"/>
    <cellStyle name="Normal 15 2 5 2 3 2" xfId="41241"/>
    <cellStyle name="Normal 15 2 5 2 4" xfId="15434"/>
    <cellStyle name="Normal 15 2 5 2 4 2" xfId="38021"/>
    <cellStyle name="Normal 15 2 5 2 5" xfId="8994"/>
    <cellStyle name="Normal 15 2 5 2 5 2" xfId="31581"/>
    <cellStyle name="Normal 15 2 5 2 6" xfId="25141"/>
    <cellStyle name="Normal 15 2 5 3" xfId="4466"/>
    <cellStyle name="Normal 15 2 5 3 2" xfId="20566"/>
    <cellStyle name="Normal 15 2 5 3 2 2" xfId="43153"/>
    <cellStyle name="Normal 15 2 5 3 3" xfId="10906"/>
    <cellStyle name="Normal 15 2 5 3 3 2" xfId="33493"/>
    <cellStyle name="Normal 15 2 5 3 4" xfId="27053"/>
    <cellStyle name="Normal 15 2 5 4" xfId="17346"/>
    <cellStyle name="Normal 15 2 5 4 2" xfId="39933"/>
    <cellStyle name="Normal 15 2 5 5" xfId="14126"/>
    <cellStyle name="Normal 15 2 5 5 2" xfId="36713"/>
    <cellStyle name="Normal 15 2 5 6" xfId="7686"/>
    <cellStyle name="Normal 15 2 5 6 2" xfId="30273"/>
    <cellStyle name="Normal 15 2 5 7" xfId="23833"/>
    <cellStyle name="Normal 15 2 6" xfId="1613"/>
    <cellStyle name="Normal 15 2 6 2" xfId="4839"/>
    <cellStyle name="Normal 15 2 6 2 2" xfId="20939"/>
    <cellStyle name="Normal 15 2 6 2 2 2" xfId="43526"/>
    <cellStyle name="Normal 15 2 6 2 3" xfId="11279"/>
    <cellStyle name="Normal 15 2 6 2 3 2" xfId="33866"/>
    <cellStyle name="Normal 15 2 6 2 4" xfId="27426"/>
    <cellStyle name="Normal 15 2 6 3" xfId="17719"/>
    <cellStyle name="Normal 15 2 6 3 2" xfId="40306"/>
    <cellStyle name="Normal 15 2 6 4" xfId="14499"/>
    <cellStyle name="Normal 15 2 6 4 2" xfId="37086"/>
    <cellStyle name="Normal 15 2 6 5" xfId="8059"/>
    <cellStyle name="Normal 15 2 6 5 2" xfId="30646"/>
    <cellStyle name="Normal 15 2 6 6" xfId="24206"/>
    <cellStyle name="Normal 15 2 7" xfId="1858"/>
    <cellStyle name="Normal 15 2 7 2" xfId="5080"/>
    <cellStyle name="Normal 15 2 7 2 2" xfId="21180"/>
    <cellStyle name="Normal 15 2 7 2 2 2" xfId="43767"/>
    <cellStyle name="Normal 15 2 7 2 3" xfId="11520"/>
    <cellStyle name="Normal 15 2 7 2 3 2" xfId="34107"/>
    <cellStyle name="Normal 15 2 7 2 4" xfId="27667"/>
    <cellStyle name="Normal 15 2 7 3" xfId="17960"/>
    <cellStyle name="Normal 15 2 7 3 2" xfId="40547"/>
    <cellStyle name="Normal 15 2 7 4" xfId="14740"/>
    <cellStyle name="Normal 15 2 7 4 2" xfId="37327"/>
    <cellStyle name="Normal 15 2 7 5" xfId="8300"/>
    <cellStyle name="Normal 15 2 7 5 2" xfId="30887"/>
    <cellStyle name="Normal 15 2 7 6" xfId="24447"/>
    <cellStyle name="Normal 15 2 8" xfId="2901"/>
    <cellStyle name="Normal 15 2 8 2" xfId="6122"/>
    <cellStyle name="Normal 15 2 8 2 2" xfId="22222"/>
    <cellStyle name="Normal 15 2 8 2 2 2" xfId="44809"/>
    <cellStyle name="Normal 15 2 8 2 3" xfId="12562"/>
    <cellStyle name="Normal 15 2 8 2 3 2" xfId="35149"/>
    <cellStyle name="Normal 15 2 8 2 4" xfId="28709"/>
    <cellStyle name="Normal 15 2 8 3" xfId="19002"/>
    <cellStyle name="Normal 15 2 8 3 2" xfId="41589"/>
    <cellStyle name="Normal 15 2 8 4" xfId="15782"/>
    <cellStyle name="Normal 15 2 8 4 2" xfId="38369"/>
    <cellStyle name="Normal 15 2 8 5" xfId="9342"/>
    <cellStyle name="Normal 15 2 8 5 2" xfId="31929"/>
    <cellStyle name="Normal 15 2 8 6" xfId="25489"/>
    <cellStyle name="Normal 15 2 9" xfId="3192"/>
    <cellStyle name="Normal 15 2 9 2" xfId="6412"/>
    <cellStyle name="Normal 15 2 9 2 2" xfId="22512"/>
    <cellStyle name="Normal 15 2 9 2 2 2" xfId="45099"/>
    <cellStyle name="Normal 15 2 9 2 3" xfId="12852"/>
    <cellStyle name="Normal 15 2 9 2 3 2" xfId="35439"/>
    <cellStyle name="Normal 15 2 9 2 4" xfId="28999"/>
    <cellStyle name="Normal 15 2 9 3" xfId="19292"/>
    <cellStyle name="Normal 15 2 9 3 2" xfId="41879"/>
    <cellStyle name="Normal 15 2 9 4" xfId="16072"/>
    <cellStyle name="Normal 15 2 9 4 2" xfId="38659"/>
    <cellStyle name="Normal 15 2 9 5" xfId="9632"/>
    <cellStyle name="Normal 15 2 9 5 2" xfId="32219"/>
    <cellStyle name="Normal 15 2 9 6" xfId="25779"/>
    <cellStyle name="Normal 15 3" xfId="278"/>
    <cellStyle name="Normal 15 3 10" xfId="525"/>
    <cellStyle name="Normal 15 3 10 2" xfId="3812"/>
    <cellStyle name="Normal 15 3 10 2 2" xfId="19912"/>
    <cellStyle name="Normal 15 3 10 2 2 2" xfId="42499"/>
    <cellStyle name="Normal 15 3 10 2 3" xfId="10252"/>
    <cellStyle name="Normal 15 3 10 2 3 2" xfId="32839"/>
    <cellStyle name="Normal 15 3 10 2 4" xfId="26399"/>
    <cellStyle name="Normal 15 3 10 3" xfId="16692"/>
    <cellStyle name="Normal 15 3 10 3 2" xfId="39279"/>
    <cellStyle name="Normal 15 3 10 4" xfId="13472"/>
    <cellStyle name="Normal 15 3 10 4 2" xfId="36059"/>
    <cellStyle name="Normal 15 3 10 5" xfId="7032"/>
    <cellStyle name="Normal 15 3 10 5 2" xfId="29619"/>
    <cellStyle name="Normal 15 3 10 6" xfId="23179"/>
    <cellStyle name="Normal 15 3 11" xfId="3565"/>
    <cellStyle name="Normal 15 3 11 2" xfId="19665"/>
    <cellStyle name="Normal 15 3 11 2 2" xfId="42252"/>
    <cellStyle name="Normal 15 3 11 3" xfId="10005"/>
    <cellStyle name="Normal 15 3 11 3 2" xfId="32592"/>
    <cellStyle name="Normal 15 3 11 4" xfId="26152"/>
    <cellStyle name="Normal 15 3 12" xfId="16445"/>
    <cellStyle name="Normal 15 3 12 2" xfId="39032"/>
    <cellStyle name="Normal 15 3 13" xfId="13225"/>
    <cellStyle name="Normal 15 3 13 2" xfId="35812"/>
    <cellStyle name="Normal 15 3 14" xfId="6785"/>
    <cellStyle name="Normal 15 3 14 2" xfId="29372"/>
    <cellStyle name="Normal 15 3 15" xfId="22932"/>
    <cellStyle name="Normal 15 3 2" xfId="684"/>
    <cellStyle name="Normal 15 3 2 2" xfId="1048"/>
    <cellStyle name="Normal 15 3 2 2 2" xfId="2362"/>
    <cellStyle name="Normal 15 3 2 2 2 2" xfId="5583"/>
    <cellStyle name="Normal 15 3 2 2 2 2 2" xfId="21683"/>
    <cellStyle name="Normal 15 3 2 2 2 2 2 2" xfId="44270"/>
    <cellStyle name="Normal 15 3 2 2 2 2 3" xfId="12023"/>
    <cellStyle name="Normal 15 3 2 2 2 2 3 2" xfId="34610"/>
    <cellStyle name="Normal 15 3 2 2 2 2 4" xfId="28170"/>
    <cellStyle name="Normal 15 3 2 2 2 3" xfId="18463"/>
    <cellStyle name="Normal 15 3 2 2 2 3 2" xfId="41050"/>
    <cellStyle name="Normal 15 3 2 2 2 4" xfId="15243"/>
    <cellStyle name="Normal 15 3 2 2 2 4 2" xfId="37830"/>
    <cellStyle name="Normal 15 3 2 2 2 5" xfId="8803"/>
    <cellStyle name="Normal 15 3 2 2 2 5 2" xfId="31390"/>
    <cellStyle name="Normal 15 3 2 2 2 6" xfId="24950"/>
    <cellStyle name="Normal 15 3 2 2 3" xfId="4275"/>
    <cellStyle name="Normal 15 3 2 2 3 2" xfId="20375"/>
    <cellStyle name="Normal 15 3 2 2 3 2 2" xfId="42962"/>
    <cellStyle name="Normal 15 3 2 2 3 3" xfId="10715"/>
    <cellStyle name="Normal 15 3 2 2 3 3 2" xfId="33302"/>
    <cellStyle name="Normal 15 3 2 2 3 4" xfId="26862"/>
    <cellStyle name="Normal 15 3 2 2 4" xfId="17155"/>
    <cellStyle name="Normal 15 3 2 2 4 2" xfId="39742"/>
    <cellStyle name="Normal 15 3 2 2 5" xfId="13935"/>
    <cellStyle name="Normal 15 3 2 2 5 2" xfId="36522"/>
    <cellStyle name="Normal 15 3 2 2 6" xfId="7495"/>
    <cellStyle name="Normal 15 3 2 2 6 2" xfId="30082"/>
    <cellStyle name="Normal 15 3 2 2 7" xfId="23642"/>
    <cellStyle name="Normal 15 3 2 3" xfId="1395"/>
    <cellStyle name="Normal 15 3 2 3 2" xfId="2709"/>
    <cellStyle name="Normal 15 3 2 3 2 2" xfId="5930"/>
    <cellStyle name="Normal 15 3 2 3 2 2 2" xfId="22030"/>
    <cellStyle name="Normal 15 3 2 3 2 2 2 2" xfId="44617"/>
    <cellStyle name="Normal 15 3 2 3 2 2 3" xfId="12370"/>
    <cellStyle name="Normal 15 3 2 3 2 2 3 2" xfId="34957"/>
    <cellStyle name="Normal 15 3 2 3 2 2 4" xfId="28517"/>
    <cellStyle name="Normal 15 3 2 3 2 3" xfId="18810"/>
    <cellStyle name="Normal 15 3 2 3 2 3 2" xfId="41397"/>
    <cellStyle name="Normal 15 3 2 3 2 4" xfId="15590"/>
    <cellStyle name="Normal 15 3 2 3 2 4 2" xfId="38177"/>
    <cellStyle name="Normal 15 3 2 3 2 5" xfId="9150"/>
    <cellStyle name="Normal 15 3 2 3 2 5 2" xfId="31737"/>
    <cellStyle name="Normal 15 3 2 3 2 6" xfId="25297"/>
    <cellStyle name="Normal 15 3 2 3 3" xfId="4622"/>
    <cellStyle name="Normal 15 3 2 3 3 2" xfId="20722"/>
    <cellStyle name="Normal 15 3 2 3 3 2 2" xfId="43309"/>
    <cellStyle name="Normal 15 3 2 3 3 3" xfId="11062"/>
    <cellStyle name="Normal 15 3 2 3 3 3 2" xfId="33649"/>
    <cellStyle name="Normal 15 3 2 3 3 4" xfId="27209"/>
    <cellStyle name="Normal 15 3 2 3 4" xfId="17502"/>
    <cellStyle name="Normal 15 3 2 3 4 2" xfId="40089"/>
    <cellStyle name="Normal 15 3 2 3 5" xfId="14282"/>
    <cellStyle name="Normal 15 3 2 3 5 2" xfId="36869"/>
    <cellStyle name="Normal 15 3 2 3 6" xfId="7842"/>
    <cellStyle name="Normal 15 3 2 3 6 2" xfId="30429"/>
    <cellStyle name="Normal 15 3 2 3 7" xfId="23989"/>
    <cellStyle name="Normal 15 3 2 4" xfId="2014"/>
    <cellStyle name="Normal 15 3 2 4 2" xfId="5236"/>
    <cellStyle name="Normal 15 3 2 4 2 2" xfId="21336"/>
    <cellStyle name="Normal 15 3 2 4 2 2 2" xfId="43923"/>
    <cellStyle name="Normal 15 3 2 4 2 3" xfId="11676"/>
    <cellStyle name="Normal 15 3 2 4 2 3 2" xfId="34263"/>
    <cellStyle name="Normal 15 3 2 4 2 4" xfId="27823"/>
    <cellStyle name="Normal 15 3 2 4 3" xfId="18116"/>
    <cellStyle name="Normal 15 3 2 4 3 2" xfId="40703"/>
    <cellStyle name="Normal 15 3 2 4 4" xfId="14896"/>
    <cellStyle name="Normal 15 3 2 4 4 2" xfId="37483"/>
    <cellStyle name="Normal 15 3 2 4 5" xfId="8456"/>
    <cellStyle name="Normal 15 3 2 4 5 2" xfId="31043"/>
    <cellStyle name="Normal 15 3 2 4 6" xfId="24603"/>
    <cellStyle name="Normal 15 3 2 5" xfId="3928"/>
    <cellStyle name="Normal 15 3 2 5 2" xfId="20028"/>
    <cellStyle name="Normal 15 3 2 5 2 2" xfId="42615"/>
    <cellStyle name="Normal 15 3 2 5 3" xfId="10368"/>
    <cellStyle name="Normal 15 3 2 5 3 2" xfId="32955"/>
    <cellStyle name="Normal 15 3 2 5 4" xfId="26515"/>
    <cellStyle name="Normal 15 3 2 6" xfId="16808"/>
    <cellStyle name="Normal 15 3 2 6 2" xfId="39395"/>
    <cellStyle name="Normal 15 3 2 7" xfId="13588"/>
    <cellStyle name="Normal 15 3 2 7 2" xfId="36175"/>
    <cellStyle name="Normal 15 3 2 8" xfId="7148"/>
    <cellStyle name="Normal 15 3 2 8 2" xfId="29735"/>
    <cellStyle name="Normal 15 3 2 9" xfId="23295"/>
    <cellStyle name="Normal 15 3 3" xfId="803"/>
    <cellStyle name="Normal 15 3 3 2" xfId="1155"/>
    <cellStyle name="Normal 15 3 3 2 2" xfId="2469"/>
    <cellStyle name="Normal 15 3 3 2 2 2" xfId="5690"/>
    <cellStyle name="Normal 15 3 3 2 2 2 2" xfId="21790"/>
    <cellStyle name="Normal 15 3 3 2 2 2 2 2" xfId="44377"/>
    <cellStyle name="Normal 15 3 3 2 2 2 3" xfId="12130"/>
    <cellStyle name="Normal 15 3 3 2 2 2 3 2" xfId="34717"/>
    <cellStyle name="Normal 15 3 3 2 2 2 4" xfId="28277"/>
    <cellStyle name="Normal 15 3 3 2 2 3" xfId="18570"/>
    <cellStyle name="Normal 15 3 3 2 2 3 2" xfId="41157"/>
    <cellStyle name="Normal 15 3 3 2 2 4" xfId="15350"/>
    <cellStyle name="Normal 15 3 3 2 2 4 2" xfId="37937"/>
    <cellStyle name="Normal 15 3 3 2 2 5" xfId="8910"/>
    <cellStyle name="Normal 15 3 3 2 2 5 2" xfId="31497"/>
    <cellStyle name="Normal 15 3 3 2 2 6" xfId="25057"/>
    <cellStyle name="Normal 15 3 3 2 3" xfId="4382"/>
    <cellStyle name="Normal 15 3 3 2 3 2" xfId="20482"/>
    <cellStyle name="Normal 15 3 3 2 3 2 2" xfId="43069"/>
    <cellStyle name="Normal 15 3 3 2 3 3" xfId="10822"/>
    <cellStyle name="Normal 15 3 3 2 3 3 2" xfId="33409"/>
    <cellStyle name="Normal 15 3 3 2 3 4" xfId="26969"/>
    <cellStyle name="Normal 15 3 3 2 4" xfId="17262"/>
    <cellStyle name="Normal 15 3 3 2 4 2" xfId="39849"/>
    <cellStyle name="Normal 15 3 3 2 5" xfId="14042"/>
    <cellStyle name="Normal 15 3 3 2 5 2" xfId="36629"/>
    <cellStyle name="Normal 15 3 3 2 6" xfId="7602"/>
    <cellStyle name="Normal 15 3 3 2 6 2" xfId="30189"/>
    <cellStyle name="Normal 15 3 3 2 7" xfId="23749"/>
    <cellStyle name="Normal 15 3 3 3" xfId="1502"/>
    <cellStyle name="Normal 15 3 3 3 2" xfId="2816"/>
    <cellStyle name="Normal 15 3 3 3 2 2" xfId="6037"/>
    <cellStyle name="Normal 15 3 3 3 2 2 2" xfId="22137"/>
    <cellStyle name="Normal 15 3 3 3 2 2 2 2" xfId="44724"/>
    <cellStyle name="Normal 15 3 3 3 2 2 3" xfId="12477"/>
    <cellStyle name="Normal 15 3 3 3 2 2 3 2" xfId="35064"/>
    <cellStyle name="Normal 15 3 3 3 2 2 4" xfId="28624"/>
    <cellStyle name="Normal 15 3 3 3 2 3" xfId="18917"/>
    <cellStyle name="Normal 15 3 3 3 2 3 2" xfId="41504"/>
    <cellStyle name="Normal 15 3 3 3 2 4" xfId="15697"/>
    <cellStyle name="Normal 15 3 3 3 2 4 2" xfId="38284"/>
    <cellStyle name="Normal 15 3 3 3 2 5" xfId="9257"/>
    <cellStyle name="Normal 15 3 3 3 2 5 2" xfId="31844"/>
    <cellStyle name="Normal 15 3 3 3 2 6" xfId="25404"/>
    <cellStyle name="Normal 15 3 3 3 3" xfId="4729"/>
    <cellStyle name="Normal 15 3 3 3 3 2" xfId="20829"/>
    <cellStyle name="Normal 15 3 3 3 3 2 2" xfId="43416"/>
    <cellStyle name="Normal 15 3 3 3 3 3" xfId="11169"/>
    <cellStyle name="Normal 15 3 3 3 3 3 2" xfId="33756"/>
    <cellStyle name="Normal 15 3 3 3 3 4" xfId="27316"/>
    <cellStyle name="Normal 15 3 3 3 4" xfId="17609"/>
    <cellStyle name="Normal 15 3 3 3 4 2" xfId="40196"/>
    <cellStyle name="Normal 15 3 3 3 5" xfId="14389"/>
    <cellStyle name="Normal 15 3 3 3 5 2" xfId="36976"/>
    <cellStyle name="Normal 15 3 3 3 6" xfId="7949"/>
    <cellStyle name="Normal 15 3 3 3 6 2" xfId="30536"/>
    <cellStyle name="Normal 15 3 3 3 7" xfId="24096"/>
    <cellStyle name="Normal 15 3 3 4" xfId="2122"/>
    <cellStyle name="Normal 15 3 3 4 2" xfId="5343"/>
    <cellStyle name="Normal 15 3 3 4 2 2" xfId="21443"/>
    <cellStyle name="Normal 15 3 3 4 2 2 2" xfId="44030"/>
    <cellStyle name="Normal 15 3 3 4 2 3" xfId="11783"/>
    <cellStyle name="Normal 15 3 3 4 2 3 2" xfId="34370"/>
    <cellStyle name="Normal 15 3 3 4 2 4" xfId="27930"/>
    <cellStyle name="Normal 15 3 3 4 3" xfId="18223"/>
    <cellStyle name="Normal 15 3 3 4 3 2" xfId="40810"/>
    <cellStyle name="Normal 15 3 3 4 4" xfId="15003"/>
    <cellStyle name="Normal 15 3 3 4 4 2" xfId="37590"/>
    <cellStyle name="Normal 15 3 3 4 5" xfId="8563"/>
    <cellStyle name="Normal 15 3 3 4 5 2" xfId="31150"/>
    <cellStyle name="Normal 15 3 3 4 6" xfId="24710"/>
    <cellStyle name="Normal 15 3 3 5" xfId="4035"/>
    <cellStyle name="Normal 15 3 3 5 2" xfId="20135"/>
    <cellStyle name="Normal 15 3 3 5 2 2" xfId="42722"/>
    <cellStyle name="Normal 15 3 3 5 3" xfId="10475"/>
    <cellStyle name="Normal 15 3 3 5 3 2" xfId="33062"/>
    <cellStyle name="Normal 15 3 3 5 4" xfId="26622"/>
    <cellStyle name="Normal 15 3 3 6" xfId="16915"/>
    <cellStyle name="Normal 15 3 3 6 2" xfId="39502"/>
    <cellStyle name="Normal 15 3 3 7" xfId="13695"/>
    <cellStyle name="Normal 15 3 3 7 2" xfId="36282"/>
    <cellStyle name="Normal 15 3 3 8" xfId="7255"/>
    <cellStyle name="Normal 15 3 3 8 2" xfId="29842"/>
    <cellStyle name="Normal 15 3 3 9" xfId="23402"/>
    <cellStyle name="Normal 15 3 4" xfId="927"/>
    <cellStyle name="Normal 15 3 4 2" xfId="2246"/>
    <cellStyle name="Normal 15 3 4 2 2" xfId="5467"/>
    <cellStyle name="Normal 15 3 4 2 2 2" xfId="21567"/>
    <cellStyle name="Normal 15 3 4 2 2 2 2" xfId="44154"/>
    <cellStyle name="Normal 15 3 4 2 2 3" xfId="11907"/>
    <cellStyle name="Normal 15 3 4 2 2 3 2" xfId="34494"/>
    <cellStyle name="Normal 15 3 4 2 2 4" xfId="28054"/>
    <cellStyle name="Normal 15 3 4 2 3" xfId="18347"/>
    <cellStyle name="Normal 15 3 4 2 3 2" xfId="40934"/>
    <cellStyle name="Normal 15 3 4 2 4" xfId="15127"/>
    <cellStyle name="Normal 15 3 4 2 4 2" xfId="37714"/>
    <cellStyle name="Normal 15 3 4 2 5" xfId="8687"/>
    <cellStyle name="Normal 15 3 4 2 5 2" xfId="31274"/>
    <cellStyle name="Normal 15 3 4 2 6" xfId="24834"/>
    <cellStyle name="Normal 15 3 4 3" xfId="4159"/>
    <cellStyle name="Normal 15 3 4 3 2" xfId="20259"/>
    <cellStyle name="Normal 15 3 4 3 2 2" xfId="42846"/>
    <cellStyle name="Normal 15 3 4 3 3" xfId="10599"/>
    <cellStyle name="Normal 15 3 4 3 3 2" xfId="33186"/>
    <cellStyle name="Normal 15 3 4 3 4" xfId="26746"/>
    <cellStyle name="Normal 15 3 4 4" xfId="17039"/>
    <cellStyle name="Normal 15 3 4 4 2" xfId="39626"/>
    <cellStyle name="Normal 15 3 4 5" xfId="13819"/>
    <cellStyle name="Normal 15 3 4 5 2" xfId="36406"/>
    <cellStyle name="Normal 15 3 4 6" xfId="7379"/>
    <cellStyle name="Normal 15 3 4 6 2" xfId="29966"/>
    <cellStyle name="Normal 15 3 4 7" xfId="23526"/>
    <cellStyle name="Normal 15 3 5" xfId="1279"/>
    <cellStyle name="Normal 15 3 5 2" xfId="2593"/>
    <cellStyle name="Normal 15 3 5 2 2" xfId="5814"/>
    <cellStyle name="Normal 15 3 5 2 2 2" xfId="21914"/>
    <cellStyle name="Normal 15 3 5 2 2 2 2" xfId="44501"/>
    <cellStyle name="Normal 15 3 5 2 2 3" xfId="12254"/>
    <cellStyle name="Normal 15 3 5 2 2 3 2" xfId="34841"/>
    <cellStyle name="Normal 15 3 5 2 2 4" xfId="28401"/>
    <cellStyle name="Normal 15 3 5 2 3" xfId="18694"/>
    <cellStyle name="Normal 15 3 5 2 3 2" xfId="41281"/>
    <cellStyle name="Normal 15 3 5 2 4" xfId="15474"/>
    <cellStyle name="Normal 15 3 5 2 4 2" xfId="38061"/>
    <cellStyle name="Normal 15 3 5 2 5" xfId="9034"/>
    <cellStyle name="Normal 15 3 5 2 5 2" xfId="31621"/>
    <cellStyle name="Normal 15 3 5 2 6" xfId="25181"/>
    <cellStyle name="Normal 15 3 5 3" xfId="4506"/>
    <cellStyle name="Normal 15 3 5 3 2" xfId="20606"/>
    <cellStyle name="Normal 15 3 5 3 2 2" xfId="43193"/>
    <cellStyle name="Normal 15 3 5 3 3" xfId="10946"/>
    <cellStyle name="Normal 15 3 5 3 3 2" xfId="33533"/>
    <cellStyle name="Normal 15 3 5 3 4" xfId="27093"/>
    <cellStyle name="Normal 15 3 5 4" xfId="17386"/>
    <cellStyle name="Normal 15 3 5 4 2" xfId="39973"/>
    <cellStyle name="Normal 15 3 5 5" xfId="14166"/>
    <cellStyle name="Normal 15 3 5 5 2" xfId="36753"/>
    <cellStyle name="Normal 15 3 5 6" xfId="7726"/>
    <cellStyle name="Normal 15 3 5 6 2" xfId="30313"/>
    <cellStyle name="Normal 15 3 5 7" xfId="23873"/>
    <cellStyle name="Normal 15 3 6" xfId="1614"/>
    <cellStyle name="Normal 15 3 6 2" xfId="4840"/>
    <cellStyle name="Normal 15 3 6 2 2" xfId="20940"/>
    <cellStyle name="Normal 15 3 6 2 2 2" xfId="43527"/>
    <cellStyle name="Normal 15 3 6 2 3" xfId="11280"/>
    <cellStyle name="Normal 15 3 6 2 3 2" xfId="33867"/>
    <cellStyle name="Normal 15 3 6 2 4" xfId="27427"/>
    <cellStyle name="Normal 15 3 6 3" xfId="17720"/>
    <cellStyle name="Normal 15 3 6 3 2" xfId="40307"/>
    <cellStyle name="Normal 15 3 6 4" xfId="14500"/>
    <cellStyle name="Normal 15 3 6 4 2" xfId="37087"/>
    <cellStyle name="Normal 15 3 6 5" xfId="8060"/>
    <cellStyle name="Normal 15 3 6 5 2" xfId="30647"/>
    <cellStyle name="Normal 15 3 6 6" xfId="24207"/>
    <cellStyle name="Normal 15 3 7" xfId="1898"/>
    <cellStyle name="Normal 15 3 7 2" xfId="5120"/>
    <cellStyle name="Normal 15 3 7 2 2" xfId="21220"/>
    <cellStyle name="Normal 15 3 7 2 2 2" xfId="43807"/>
    <cellStyle name="Normal 15 3 7 2 3" xfId="11560"/>
    <cellStyle name="Normal 15 3 7 2 3 2" xfId="34147"/>
    <cellStyle name="Normal 15 3 7 2 4" xfId="27707"/>
    <cellStyle name="Normal 15 3 7 3" xfId="18000"/>
    <cellStyle name="Normal 15 3 7 3 2" xfId="40587"/>
    <cellStyle name="Normal 15 3 7 4" xfId="14780"/>
    <cellStyle name="Normal 15 3 7 4 2" xfId="37367"/>
    <cellStyle name="Normal 15 3 7 5" xfId="8340"/>
    <cellStyle name="Normal 15 3 7 5 2" xfId="30927"/>
    <cellStyle name="Normal 15 3 7 6" xfId="24487"/>
    <cellStyle name="Normal 15 3 8" xfId="2985"/>
    <cellStyle name="Normal 15 3 8 2" xfId="6205"/>
    <cellStyle name="Normal 15 3 8 2 2" xfId="22305"/>
    <cellStyle name="Normal 15 3 8 2 2 2" xfId="44892"/>
    <cellStyle name="Normal 15 3 8 2 3" xfId="12645"/>
    <cellStyle name="Normal 15 3 8 2 3 2" xfId="35232"/>
    <cellStyle name="Normal 15 3 8 2 4" xfId="28792"/>
    <cellStyle name="Normal 15 3 8 3" xfId="19085"/>
    <cellStyle name="Normal 15 3 8 3 2" xfId="41672"/>
    <cellStyle name="Normal 15 3 8 4" xfId="15865"/>
    <cellStyle name="Normal 15 3 8 4 2" xfId="38452"/>
    <cellStyle name="Normal 15 3 8 5" xfId="9425"/>
    <cellStyle name="Normal 15 3 8 5 2" xfId="32012"/>
    <cellStyle name="Normal 15 3 8 6" xfId="25572"/>
    <cellStyle name="Normal 15 3 9" xfId="3275"/>
    <cellStyle name="Normal 15 3 9 2" xfId="6495"/>
    <cellStyle name="Normal 15 3 9 2 2" xfId="22595"/>
    <cellStyle name="Normal 15 3 9 2 2 2" xfId="45182"/>
    <cellStyle name="Normal 15 3 9 2 3" xfId="12935"/>
    <cellStyle name="Normal 15 3 9 2 3 2" xfId="35522"/>
    <cellStyle name="Normal 15 3 9 2 4" xfId="29082"/>
    <cellStyle name="Normal 15 3 9 3" xfId="19375"/>
    <cellStyle name="Normal 15 3 9 3 2" xfId="41962"/>
    <cellStyle name="Normal 15 3 9 4" xfId="16155"/>
    <cellStyle name="Normal 15 3 9 4 2" xfId="38742"/>
    <cellStyle name="Normal 15 3 9 5" xfId="9715"/>
    <cellStyle name="Normal 15 3 9 5 2" xfId="32302"/>
    <cellStyle name="Normal 15 3 9 6" xfId="25862"/>
    <cellStyle name="Normal 15 4" xfId="371"/>
    <cellStyle name="Normal 15 4 10" xfId="16538"/>
    <cellStyle name="Normal 15 4 10 2" xfId="39125"/>
    <cellStyle name="Normal 15 4 11" xfId="13318"/>
    <cellStyle name="Normal 15 4 11 2" xfId="35905"/>
    <cellStyle name="Normal 15 4 12" xfId="6878"/>
    <cellStyle name="Normal 15 4 12 2" xfId="29465"/>
    <cellStyle name="Normal 15 4 13" xfId="23025"/>
    <cellStyle name="Normal 15 4 2" xfId="760"/>
    <cellStyle name="Normal 15 4 2 2" xfId="1112"/>
    <cellStyle name="Normal 15 4 2 2 2" xfId="2426"/>
    <cellStyle name="Normal 15 4 2 2 2 2" xfId="5647"/>
    <cellStyle name="Normal 15 4 2 2 2 2 2" xfId="21747"/>
    <cellStyle name="Normal 15 4 2 2 2 2 2 2" xfId="44334"/>
    <cellStyle name="Normal 15 4 2 2 2 2 3" xfId="12087"/>
    <cellStyle name="Normal 15 4 2 2 2 2 3 2" xfId="34674"/>
    <cellStyle name="Normal 15 4 2 2 2 2 4" xfId="28234"/>
    <cellStyle name="Normal 15 4 2 2 2 3" xfId="18527"/>
    <cellStyle name="Normal 15 4 2 2 2 3 2" xfId="41114"/>
    <cellStyle name="Normal 15 4 2 2 2 4" xfId="15307"/>
    <cellStyle name="Normal 15 4 2 2 2 4 2" xfId="37894"/>
    <cellStyle name="Normal 15 4 2 2 2 5" xfId="8867"/>
    <cellStyle name="Normal 15 4 2 2 2 5 2" xfId="31454"/>
    <cellStyle name="Normal 15 4 2 2 2 6" xfId="25014"/>
    <cellStyle name="Normal 15 4 2 2 3" xfId="4339"/>
    <cellStyle name="Normal 15 4 2 2 3 2" xfId="20439"/>
    <cellStyle name="Normal 15 4 2 2 3 2 2" xfId="43026"/>
    <cellStyle name="Normal 15 4 2 2 3 3" xfId="10779"/>
    <cellStyle name="Normal 15 4 2 2 3 3 2" xfId="33366"/>
    <cellStyle name="Normal 15 4 2 2 3 4" xfId="26926"/>
    <cellStyle name="Normal 15 4 2 2 4" xfId="17219"/>
    <cellStyle name="Normal 15 4 2 2 4 2" xfId="39806"/>
    <cellStyle name="Normal 15 4 2 2 5" xfId="13999"/>
    <cellStyle name="Normal 15 4 2 2 5 2" xfId="36586"/>
    <cellStyle name="Normal 15 4 2 2 6" xfId="7559"/>
    <cellStyle name="Normal 15 4 2 2 6 2" xfId="30146"/>
    <cellStyle name="Normal 15 4 2 2 7" xfId="23706"/>
    <cellStyle name="Normal 15 4 2 3" xfId="1459"/>
    <cellStyle name="Normal 15 4 2 3 2" xfId="2773"/>
    <cellStyle name="Normal 15 4 2 3 2 2" xfId="5994"/>
    <cellStyle name="Normal 15 4 2 3 2 2 2" xfId="22094"/>
    <cellStyle name="Normal 15 4 2 3 2 2 2 2" xfId="44681"/>
    <cellStyle name="Normal 15 4 2 3 2 2 3" xfId="12434"/>
    <cellStyle name="Normal 15 4 2 3 2 2 3 2" xfId="35021"/>
    <cellStyle name="Normal 15 4 2 3 2 2 4" xfId="28581"/>
    <cellStyle name="Normal 15 4 2 3 2 3" xfId="18874"/>
    <cellStyle name="Normal 15 4 2 3 2 3 2" xfId="41461"/>
    <cellStyle name="Normal 15 4 2 3 2 4" xfId="15654"/>
    <cellStyle name="Normal 15 4 2 3 2 4 2" xfId="38241"/>
    <cellStyle name="Normal 15 4 2 3 2 5" xfId="9214"/>
    <cellStyle name="Normal 15 4 2 3 2 5 2" xfId="31801"/>
    <cellStyle name="Normal 15 4 2 3 2 6" xfId="25361"/>
    <cellStyle name="Normal 15 4 2 3 3" xfId="4686"/>
    <cellStyle name="Normal 15 4 2 3 3 2" xfId="20786"/>
    <cellStyle name="Normal 15 4 2 3 3 2 2" xfId="43373"/>
    <cellStyle name="Normal 15 4 2 3 3 3" xfId="11126"/>
    <cellStyle name="Normal 15 4 2 3 3 3 2" xfId="33713"/>
    <cellStyle name="Normal 15 4 2 3 3 4" xfId="27273"/>
    <cellStyle name="Normal 15 4 2 3 4" xfId="17566"/>
    <cellStyle name="Normal 15 4 2 3 4 2" xfId="40153"/>
    <cellStyle name="Normal 15 4 2 3 5" xfId="14346"/>
    <cellStyle name="Normal 15 4 2 3 5 2" xfId="36933"/>
    <cellStyle name="Normal 15 4 2 3 6" xfId="7906"/>
    <cellStyle name="Normal 15 4 2 3 6 2" xfId="30493"/>
    <cellStyle name="Normal 15 4 2 3 7" xfId="24053"/>
    <cellStyle name="Normal 15 4 2 4" xfId="2079"/>
    <cellStyle name="Normal 15 4 2 4 2" xfId="5300"/>
    <cellStyle name="Normal 15 4 2 4 2 2" xfId="21400"/>
    <cellStyle name="Normal 15 4 2 4 2 2 2" xfId="43987"/>
    <cellStyle name="Normal 15 4 2 4 2 3" xfId="11740"/>
    <cellStyle name="Normal 15 4 2 4 2 3 2" xfId="34327"/>
    <cellStyle name="Normal 15 4 2 4 2 4" xfId="27887"/>
    <cellStyle name="Normal 15 4 2 4 3" xfId="18180"/>
    <cellStyle name="Normal 15 4 2 4 3 2" xfId="40767"/>
    <cellStyle name="Normal 15 4 2 4 4" xfId="14960"/>
    <cellStyle name="Normal 15 4 2 4 4 2" xfId="37547"/>
    <cellStyle name="Normal 15 4 2 4 5" xfId="8520"/>
    <cellStyle name="Normal 15 4 2 4 5 2" xfId="31107"/>
    <cellStyle name="Normal 15 4 2 4 6" xfId="24667"/>
    <cellStyle name="Normal 15 4 2 5" xfId="3992"/>
    <cellStyle name="Normal 15 4 2 5 2" xfId="20092"/>
    <cellStyle name="Normal 15 4 2 5 2 2" xfId="42679"/>
    <cellStyle name="Normal 15 4 2 5 3" xfId="10432"/>
    <cellStyle name="Normal 15 4 2 5 3 2" xfId="33019"/>
    <cellStyle name="Normal 15 4 2 5 4" xfId="26579"/>
    <cellStyle name="Normal 15 4 2 6" xfId="16872"/>
    <cellStyle name="Normal 15 4 2 6 2" xfId="39459"/>
    <cellStyle name="Normal 15 4 2 7" xfId="13652"/>
    <cellStyle name="Normal 15 4 2 7 2" xfId="36239"/>
    <cellStyle name="Normal 15 4 2 8" xfId="7212"/>
    <cellStyle name="Normal 15 4 2 8 2" xfId="29799"/>
    <cellStyle name="Normal 15 4 2 9" xfId="23359"/>
    <cellStyle name="Normal 15 4 3" xfId="994"/>
    <cellStyle name="Normal 15 4 3 2" xfId="2308"/>
    <cellStyle name="Normal 15 4 3 2 2" xfId="5529"/>
    <cellStyle name="Normal 15 4 3 2 2 2" xfId="21629"/>
    <cellStyle name="Normal 15 4 3 2 2 2 2" xfId="44216"/>
    <cellStyle name="Normal 15 4 3 2 2 3" xfId="11969"/>
    <cellStyle name="Normal 15 4 3 2 2 3 2" xfId="34556"/>
    <cellStyle name="Normal 15 4 3 2 2 4" xfId="28116"/>
    <cellStyle name="Normal 15 4 3 2 3" xfId="18409"/>
    <cellStyle name="Normal 15 4 3 2 3 2" xfId="40996"/>
    <cellStyle name="Normal 15 4 3 2 4" xfId="15189"/>
    <cellStyle name="Normal 15 4 3 2 4 2" xfId="37776"/>
    <cellStyle name="Normal 15 4 3 2 5" xfId="8749"/>
    <cellStyle name="Normal 15 4 3 2 5 2" xfId="31336"/>
    <cellStyle name="Normal 15 4 3 2 6" xfId="24896"/>
    <cellStyle name="Normal 15 4 3 3" xfId="4221"/>
    <cellStyle name="Normal 15 4 3 3 2" xfId="20321"/>
    <cellStyle name="Normal 15 4 3 3 2 2" xfId="42908"/>
    <cellStyle name="Normal 15 4 3 3 3" xfId="10661"/>
    <cellStyle name="Normal 15 4 3 3 3 2" xfId="33248"/>
    <cellStyle name="Normal 15 4 3 3 4" xfId="26808"/>
    <cellStyle name="Normal 15 4 3 4" xfId="17101"/>
    <cellStyle name="Normal 15 4 3 4 2" xfId="39688"/>
    <cellStyle name="Normal 15 4 3 5" xfId="13881"/>
    <cellStyle name="Normal 15 4 3 5 2" xfId="36468"/>
    <cellStyle name="Normal 15 4 3 6" xfId="7441"/>
    <cellStyle name="Normal 15 4 3 6 2" xfId="30028"/>
    <cellStyle name="Normal 15 4 3 7" xfId="23588"/>
    <cellStyle name="Normal 15 4 4" xfId="1341"/>
    <cellStyle name="Normal 15 4 4 2" xfId="2655"/>
    <cellStyle name="Normal 15 4 4 2 2" xfId="5876"/>
    <cellStyle name="Normal 15 4 4 2 2 2" xfId="21976"/>
    <cellStyle name="Normal 15 4 4 2 2 2 2" xfId="44563"/>
    <cellStyle name="Normal 15 4 4 2 2 3" xfId="12316"/>
    <cellStyle name="Normal 15 4 4 2 2 3 2" xfId="34903"/>
    <cellStyle name="Normal 15 4 4 2 2 4" xfId="28463"/>
    <cellStyle name="Normal 15 4 4 2 3" xfId="18756"/>
    <cellStyle name="Normal 15 4 4 2 3 2" xfId="41343"/>
    <cellStyle name="Normal 15 4 4 2 4" xfId="15536"/>
    <cellStyle name="Normal 15 4 4 2 4 2" xfId="38123"/>
    <cellStyle name="Normal 15 4 4 2 5" xfId="9096"/>
    <cellStyle name="Normal 15 4 4 2 5 2" xfId="31683"/>
    <cellStyle name="Normal 15 4 4 2 6" xfId="25243"/>
    <cellStyle name="Normal 15 4 4 3" xfId="4568"/>
    <cellStyle name="Normal 15 4 4 3 2" xfId="20668"/>
    <cellStyle name="Normal 15 4 4 3 2 2" xfId="43255"/>
    <cellStyle name="Normal 15 4 4 3 3" xfId="11008"/>
    <cellStyle name="Normal 15 4 4 3 3 2" xfId="33595"/>
    <cellStyle name="Normal 15 4 4 3 4" xfId="27155"/>
    <cellStyle name="Normal 15 4 4 4" xfId="17448"/>
    <cellStyle name="Normal 15 4 4 4 2" xfId="40035"/>
    <cellStyle name="Normal 15 4 4 5" xfId="14228"/>
    <cellStyle name="Normal 15 4 4 5 2" xfId="36815"/>
    <cellStyle name="Normal 15 4 4 6" xfId="7788"/>
    <cellStyle name="Normal 15 4 4 6 2" xfId="30375"/>
    <cellStyle name="Normal 15 4 4 7" xfId="23935"/>
    <cellStyle name="Normal 15 4 5" xfId="1960"/>
    <cellStyle name="Normal 15 4 5 2" xfId="5182"/>
    <cellStyle name="Normal 15 4 5 2 2" xfId="21282"/>
    <cellStyle name="Normal 15 4 5 2 2 2" xfId="43869"/>
    <cellStyle name="Normal 15 4 5 2 3" xfId="11622"/>
    <cellStyle name="Normal 15 4 5 2 3 2" xfId="34209"/>
    <cellStyle name="Normal 15 4 5 2 4" xfId="27769"/>
    <cellStyle name="Normal 15 4 5 3" xfId="18062"/>
    <cellStyle name="Normal 15 4 5 3 2" xfId="40649"/>
    <cellStyle name="Normal 15 4 5 4" xfId="14842"/>
    <cellStyle name="Normal 15 4 5 4 2" xfId="37429"/>
    <cellStyle name="Normal 15 4 5 5" xfId="8402"/>
    <cellStyle name="Normal 15 4 5 5 2" xfId="30989"/>
    <cellStyle name="Normal 15 4 5 6" xfId="24549"/>
    <cellStyle name="Normal 15 4 6" xfId="3078"/>
    <cellStyle name="Normal 15 4 6 2" xfId="6298"/>
    <cellStyle name="Normal 15 4 6 2 2" xfId="22398"/>
    <cellStyle name="Normal 15 4 6 2 2 2" xfId="44985"/>
    <cellStyle name="Normal 15 4 6 2 3" xfId="12738"/>
    <cellStyle name="Normal 15 4 6 2 3 2" xfId="35325"/>
    <cellStyle name="Normal 15 4 6 2 4" xfId="28885"/>
    <cellStyle name="Normal 15 4 6 3" xfId="19178"/>
    <cellStyle name="Normal 15 4 6 3 2" xfId="41765"/>
    <cellStyle name="Normal 15 4 6 4" xfId="15958"/>
    <cellStyle name="Normal 15 4 6 4 2" xfId="38545"/>
    <cellStyle name="Normal 15 4 6 5" xfId="9518"/>
    <cellStyle name="Normal 15 4 6 5 2" xfId="32105"/>
    <cellStyle name="Normal 15 4 6 6" xfId="25665"/>
    <cellStyle name="Normal 15 4 7" xfId="3368"/>
    <cellStyle name="Normal 15 4 7 2" xfId="6588"/>
    <cellStyle name="Normal 15 4 7 2 2" xfId="22688"/>
    <cellStyle name="Normal 15 4 7 2 2 2" xfId="45275"/>
    <cellStyle name="Normal 15 4 7 2 3" xfId="13028"/>
    <cellStyle name="Normal 15 4 7 2 3 2" xfId="35615"/>
    <cellStyle name="Normal 15 4 7 2 4" xfId="29175"/>
    <cellStyle name="Normal 15 4 7 3" xfId="19468"/>
    <cellStyle name="Normal 15 4 7 3 2" xfId="42055"/>
    <cellStyle name="Normal 15 4 7 4" xfId="16248"/>
    <cellStyle name="Normal 15 4 7 4 2" xfId="38835"/>
    <cellStyle name="Normal 15 4 7 5" xfId="9808"/>
    <cellStyle name="Normal 15 4 7 5 2" xfId="32395"/>
    <cellStyle name="Normal 15 4 7 6" xfId="25955"/>
    <cellStyle name="Normal 15 4 8" xfId="630"/>
    <cellStyle name="Normal 15 4 8 2" xfId="3874"/>
    <cellStyle name="Normal 15 4 8 2 2" xfId="19974"/>
    <cellStyle name="Normal 15 4 8 2 2 2" xfId="42561"/>
    <cellStyle name="Normal 15 4 8 2 3" xfId="10314"/>
    <cellStyle name="Normal 15 4 8 2 3 2" xfId="32901"/>
    <cellStyle name="Normal 15 4 8 2 4" xfId="26461"/>
    <cellStyle name="Normal 15 4 8 3" xfId="16754"/>
    <cellStyle name="Normal 15 4 8 3 2" xfId="39341"/>
    <cellStyle name="Normal 15 4 8 4" xfId="13534"/>
    <cellStyle name="Normal 15 4 8 4 2" xfId="36121"/>
    <cellStyle name="Normal 15 4 8 5" xfId="7094"/>
    <cellStyle name="Normal 15 4 8 5 2" xfId="29681"/>
    <cellStyle name="Normal 15 4 8 6" xfId="23241"/>
    <cellStyle name="Normal 15 4 9" xfId="3658"/>
    <cellStyle name="Normal 15 4 9 2" xfId="19758"/>
    <cellStyle name="Normal 15 4 9 2 2" xfId="42345"/>
    <cellStyle name="Normal 15 4 9 3" xfId="10098"/>
    <cellStyle name="Normal 15 4 9 3 2" xfId="32685"/>
    <cellStyle name="Normal 15 4 9 4" xfId="26245"/>
    <cellStyle name="Normal 15 5" xfId="711"/>
    <cellStyle name="Normal 15 5 2" xfId="1073"/>
    <cellStyle name="Normal 15 5 2 2" xfId="2387"/>
    <cellStyle name="Normal 15 5 2 2 2" xfId="5608"/>
    <cellStyle name="Normal 15 5 2 2 2 2" xfId="21708"/>
    <cellStyle name="Normal 15 5 2 2 2 2 2" xfId="44295"/>
    <cellStyle name="Normal 15 5 2 2 2 3" xfId="12048"/>
    <cellStyle name="Normal 15 5 2 2 2 3 2" xfId="34635"/>
    <cellStyle name="Normal 15 5 2 2 2 4" xfId="28195"/>
    <cellStyle name="Normal 15 5 2 2 3" xfId="18488"/>
    <cellStyle name="Normal 15 5 2 2 3 2" xfId="41075"/>
    <cellStyle name="Normal 15 5 2 2 4" xfId="15268"/>
    <cellStyle name="Normal 15 5 2 2 4 2" xfId="37855"/>
    <cellStyle name="Normal 15 5 2 2 5" xfId="8828"/>
    <cellStyle name="Normal 15 5 2 2 5 2" xfId="31415"/>
    <cellStyle name="Normal 15 5 2 2 6" xfId="24975"/>
    <cellStyle name="Normal 15 5 2 3" xfId="4300"/>
    <cellStyle name="Normal 15 5 2 3 2" xfId="20400"/>
    <cellStyle name="Normal 15 5 2 3 2 2" xfId="42987"/>
    <cellStyle name="Normal 15 5 2 3 3" xfId="10740"/>
    <cellStyle name="Normal 15 5 2 3 3 2" xfId="33327"/>
    <cellStyle name="Normal 15 5 2 3 4" xfId="26887"/>
    <cellStyle name="Normal 15 5 2 4" xfId="17180"/>
    <cellStyle name="Normal 15 5 2 4 2" xfId="39767"/>
    <cellStyle name="Normal 15 5 2 5" xfId="13960"/>
    <cellStyle name="Normal 15 5 2 5 2" xfId="36547"/>
    <cellStyle name="Normal 15 5 2 6" xfId="7520"/>
    <cellStyle name="Normal 15 5 2 6 2" xfId="30107"/>
    <cellStyle name="Normal 15 5 2 7" xfId="23667"/>
    <cellStyle name="Normal 15 5 3" xfId="1420"/>
    <cellStyle name="Normal 15 5 3 2" xfId="2734"/>
    <cellStyle name="Normal 15 5 3 2 2" xfId="5955"/>
    <cellStyle name="Normal 15 5 3 2 2 2" xfId="22055"/>
    <cellStyle name="Normal 15 5 3 2 2 2 2" xfId="44642"/>
    <cellStyle name="Normal 15 5 3 2 2 3" xfId="12395"/>
    <cellStyle name="Normal 15 5 3 2 2 3 2" xfId="34982"/>
    <cellStyle name="Normal 15 5 3 2 2 4" xfId="28542"/>
    <cellStyle name="Normal 15 5 3 2 3" xfId="18835"/>
    <cellStyle name="Normal 15 5 3 2 3 2" xfId="41422"/>
    <cellStyle name="Normal 15 5 3 2 4" xfId="15615"/>
    <cellStyle name="Normal 15 5 3 2 4 2" xfId="38202"/>
    <cellStyle name="Normal 15 5 3 2 5" xfId="9175"/>
    <cellStyle name="Normal 15 5 3 2 5 2" xfId="31762"/>
    <cellStyle name="Normal 15 5 3 2 6" xfId="25322"/>
    <cellStyle name="Normal 15 5 3 3" xfId="4647"/>
    <cellStyle name="Normal 15 5 3 3 2" xfId="20747"/>
    <cellStyle name="Normal 15 5 3 3 2 2" xfId="43334"/>
    <cellStyle name="Normal 15 5 3 3 3" xfId="11087"/>
    <cellStyle name="Normal 15 5 3 3 3 2" xfId="33674"/>
    <cellStyle name="Normal 15 5 3 3 4" xfId="27234"/>
    <cellStyle name="Normal 15 5 3 4" xfId="17527"/>
    <cellStyle name="Normal 15 5 3 4 2" xfId="40114"/>
    <cellStyle name="Normal 15 5 3 5" xfId="14307"/>
    <cellStyle name="Normal 15 5 3 5 2" xfId="36894"/>
    <cellStyle name="Normal 15 5 3 6" xfId="7867"/>
    <cellStyle name="Normal 15 5 3 6 2" xfId="30454"/>
    <cellStyle name="Normal 15 5 3 7" xfId="24014"/>
    <cellStyle name="Normal 15 5 4" xfId="2040"/>
    <cellStyle name="Normal 15 5 4 2" xfId="5261"/>
    <cellStyle name="Normal 15 5 4 2 2" xfId="21361"/>
    <cellStyle name="Normal 15 5 4 2 2 2" xfId="43948"/>
    <cellStyle name="Normal 15 5 4 2 3" xfId="11701"/>
    <cellStyle name="Normal 15 5 4 2 3 2" xfId="34288"/>
    <cellStyle name="Normal 15 5 4 2 4" xfId="27848"/>
    <cellStyle name="Normal 15 5 4 3" xfId="18141"/>
    <cellStyle name="Normal 15 5 4 3 2" xfId="40728"/>
    <cellStyle name="Normal 15 5 4 4" xfId="14921"/>
    <cellStyle name="Normal 15 5 4 4 2" xfId="37508"/>
    <cellStyle name="Normal 15 5 4 5" xfId="8481"/>
    <cellStyle name="Normal 15 5 4 5 2" xfId="31068"/>
    <cellStyle name="Normal 15 5 4 6" xfId="24628"/>
    <cellStyle name="Normal 15 5 5" xfId="3953"/>
    <cellStyle name="Normal 15 5 5 2" xfId="20053"/>
    <cellStyle name="Normal 15 5 5 2 2" xfId="42640"/>
    <cellStyle name="Normal 15 5 5 3" xfId="10393"/>
    <cellStyle name="Normal 15 5 5 3 2" xfId="32980"/>
    <cellStyle name="Normal 15 5 5 4" xfId="26540"/>
    <cellStyle name="Normal 15 5 6" xfId="16833"/>
    <cellStyle name="Normal 15 5 6 2" xfId="39420"/>
    <cellStyle name="Normal 15 5 7" xfId="13613"/>
    <cellStyle name="Normal 15 5 7 2" xfId="36200"/>
    <cellStyle name="Normal 15 5 8" xfId="7173"/>
    <cellStyle name="Normal 15 5 8 2" xfId="29760"/>
    <cellStyle name="Normal 15 5 9" xfId="23320"/>
    <cellStyle name="Normal 15 6" xfId="740"/>
    <cellStyle name="Normal 15 6 2" xfId="1092"/>
    <cellStyle name="Normal 15 6 2 2" xfId="2406"/>
    <cellStyle name="Normal 15 6 2 2 2" xfId="5627"/>
    <cellStyle name="Normal 15 6 2 2 2 2" xfId="21727"/>
    <cellStyle name="Normal 15 6 2 2 2 2 2" xfId="44314"/>
    <cellStyle name="Normal 15 6 2 2 2 3" xfId="12067"/>
    <cellStyle name="Normal 15 6 2 2 2 3 2" xfId="34654"/>
    <cellStyle name="Normal 15 6 2 2 2 4" xfId="28214"/>
    <cellStyle name="Normal 15 6 2 2 3" xfId="18507"/>
    <cellStyle name="Normal 15 6 2 2 3 2" xfId="41094"/>
    <cellStyle name="Normal 15 6 2 2 4" xfId="15287"/>
    <cellStyle name="Normal 15 6 2 2 4 2" xfId="37874"/>
    <cellStyle name="Normal 15 6 2 2 5" xfId="8847"/>
    <cellStyle name="Normal 15 6 2 2 5 2" xfId="31434"/>
    <cellStyle name="Normal 15 6 2 2 6" xfId="24994"/>
    <cellStyle name="Normal 15 6 2 3" xfId="4319"/>
    <cellStyle name="Normal 15 6 2 3 2" xfId="20419"/>
    <cellStyle name="Normal 15 6 2 3 2 2" xfId="43006"/>
    <cellStyle name="Normal 15 6 2 3 3" xfId="10759"/>
    <cellStyle name="Normal 15 6 2 3 3 2" xfId="33346"/>
    <cellStyle name="Normal 15 6 2 3 4" xfId="26906"/>
    <cellStyle name="Normal 15 6 2 4" xfId="17199"/>
    <cellStyle name="Normal 15 6 2 4 2" xfId="39786"/>
    <cellStyle name="Normal 15 6 2 5" xfId="13979"/>
    <cellStyle name="Normal 15 6 2 5 2" xfId="36566"/>
    <cellStyle name="Normal 15 6 2 6" xfId="7539"/>
    <cellStyle name="Normal 15 6 2 6 2" xfId="30126"/>
    <cellStyle name="Normal 15 6 2 7" xfId="23686"/>
    <cellStyle name="Normal 15 6 3" xfId="1439"/>
    <cellStyle name="Normal 15 6 3 2" xfId="2753"/>
    <cellStyle name="Normal 15 6 3 2 2" xfId="5974"/>
    <cellStyle name="Normal 15 6 3 2 2 2" xfId="22074"/>
    <cellStyle name="Normal 15 6 3 2 2 2 2" xfId="44661"/>
    <cellStyle name="Normal 15 6 3 2 2 3" xfId="12414"/>
    <cellStyle name="Normal 15 6 3 2 2 3 2" xfId="35001"/>
    <cellStyle name="Normal 15 6 3 2 2 4" xfId="28561"/>
    <cellStyle name="Normal 15 6 3 2 3" xfId="18854"/>
    <cellStyle name="Normal 15 6 3 2 3 2" xfId="41441"/>
    <cellStyle name="Normal 15 6 3 2 4" xfId="15634"/>
    <cellStyle name="Normal 15 6 3 2 4 2" xfId="38221"/>
    <cellStyle name="Normal 15 6 3 2 5" xfId="9194"/>
    <cellStyle name="Normal 15 6 3 2 5 2" xfId="31781"/>
    <cellStyle name="Normal 15 6 3 2 6" xfId="25341"/>
    <cellStyle name="Normal 15 6 3 3" xfId="4666"/>
    <cellStyle name="Normal 15 6 3 3 2" xfId="20766"/>
    <cellStyle name="Normal 15 6 3 3 2 2" xfId="43353"/>
    <cellStyle name="Normal 15 6 3 3 3" xfId="11106"/>
    <cellStyle name="Normal 15 6 3 3 3 2" xfId="33693"/>
    <cellStyle name="Normal 15 6 3 3 4" xfId="27253"/>
    <cellStyle name="Normal 15 6 3 4" xfId="17546"/>
    <cellStyle name="Normal 15 6 3 4 2" xfId="40133"/>
    <cellStyle name="Normal 15 6 3 5" xfId="14326"/>
    <cellStyle name="Normal 15 6 3 5 2" xfId="36913"/>
    <cellStyle name="Normal 15 6 3 6" xfId="7886"/>
    <cellStyle name="Normal 15 6 3 6 2" xfId="30473"/>
    <cellStyle name="Normal 15 6 3 7" xfId="24033"/>
    <cellStyle name="Normal 15 6 4" xfId="2059"/>
    <cellStyle name="Normal 15 6 4 2" xfId="5280"/>
    <cellStyle name="Normal 15 6 4 2 2" xfId="21380"/>
    <cellStyle name="Normal 15 6 4 2 2 2" xfId="43967"/>
    <cellStyle name="Normal 15 6 4 2 3" xfId="11720"/>
    <cellStyle name="Normal 15 6 4 2 3 2" xfId="34307"/>
    <cellStyle name="Normal 15 6 4 2 4" xfId="27867"/>
    <cellStyle name="Normal 15 6 4 3" xfId="18160"/>
    <cellStyle name="Normal 15 6 4 3 2" xfId="40747"/>
    <cellStyle name="Normal 15 6 4 4" xfId="14940"/>
    <cellStyle name="Normal 15 6 4 4 2" xfId="37527"/>
    <cellStyle name="Normal 15 6 4 5" xfId="8500"/>
    <cellStyle name="Normal 15 6 4 5 2" xfId="31087"/>
    <cellStyle name="Normal 15 6 4 6" xfId="24647"/>
    <cellStyle name="Normal 15 6 5" xfId="3972"/>
    <cellStyle name="Normal 15 6 5 2" xfId="20072"/>
    <cellStyle name="Normal 15 6 5 2 2" xfId="42659"/>
    <cellStyle name="Normal 15 6 5 3" xfId="10412"/>
    <cellStyle name="Normal 15 6 5 3 2" xfId="32999"/>
    <cellStyle name="Normal 15 6 5 4" xfId="26559"/>
    <cellStyle name="Normal 15 6 6" xfId="16852"/>
    <cellStyle name="Normal 15 6 6 2" xfId="39439"/>
    <cellStyle name="Normal 15 6 7" xfId="13632"/>
    <cellStyle name="Normal 15 6 7 2" xfId="36219"/>
    <cellStyle name="Normal 15 6 8" xfId="7192"/>
    <cellStyle name="Normal 15 6 8 2" xfId="29779"/>
    <cellStyle name="Normal 15 6 9" xfId="23339"/>
    <cellStyle name="Normal 15 7" xfId="870"/>
    <cellStyle name="Normal 15 7 2" xfId="2189"/>
    <cellStyle name="Normal 15 7 2 2" xfId="5410"/>
    <cellStyle name="Normal 15 7 2 2 2" xfId="21510"/>
    <cellStyle name="Normal 15 7 2 2 2 2" xfId="44097"/>
    <cellStyle name="Normal 15 7 2 2 3" xfId="11850"/>
    <cellStyle name="Normal 15 7 2 2 3 2" xfId="34437"/>
    <cellStyle name="Normal 15 7 2 2 4" xfId="27997"/>
    <cellStyle name="Normal 15 7 2 3" xfId="18290"/>
    <cellStyle name="Normal 15 7 2 3 2" xfId="40877"/>
    <cellStyle name="Normal 15 7 2 4" xfId="15070"/>
    <cellStyle name="Normal 15 7 2 4 2" xfId="37657"/>
    <cellStyle name="Normal 15 7 2 5" xfId="8630"/>
    <cellStyle name="Normal 15 7 2 5 2" xfId="31217"/>
    <cellStyle name="Normal 15 7 2 6" xfId="24777"/>
    <cellStyle name="Normal 15 7 3" xfId="4102"/>
    <cellStyle name="Normal 15 7 3 2" xfId="20202"/>
    <cellStyle name="Normal 15 7 3 2 2" xfId="42789"/>
    <cellStyle name="Normal 15 7 3 3" xfId="10542"/>
    <cellStyle name="Normal 15 7 3 3 2" xfId="33129"/>
    <cellStyle name="Normal 15 7 3 4" xfId="26689"/>
    <cellStyle name="Normal 15 7 4" xfId="16982"/>
    <cellStyle name="Normal 15 7 4 2" xfId="39569"/>
    <cellStyle name="Normal 15 7 5" xfId="13762"/>
    <cellStyle name="Normal 15 7 5 2" xfId="36349"/>
    <cellStyle name="Normal 15 7 6" xfId="7322"/>
    <cellStyle name="Normal 15 7 6 2" xfId="29909"/>
    <cellStyle name="Normal 15 7 7" xfId="23469"/>
    <cellStyle name="Normal 15 8" xfId="1222"/>
    <cellStyle name="Normal 15 8 2" xfId="2536"/>
    <cellStyle name="Normal 15 8 2 2" xfId="5757"/>
    <cellStyle name="Normal 15 8 2 2 2" xfId="21857"/>
    <cellStyle name="Normal 15 8 2 2 2 2" xfId="44444"/>
    <cellStyle name="Normal 15 8 2 2 3" xfId="12197"/>
    <cellStyle name="Normal 15 8 2 2 3 2" xfId="34784"/>
    <cellStyle name="Normal 15 8 2 2 4" xfId="28344"/>
    <cellStyle name="Normal 15 8 2 3" xfId="18637"/>
    <cellStyle name="Normal 15 8 2 3 2" xfId="41224"/>
    <cellStyle name="Normal 15 8 2 4" xfId="15417"/>
    <cellStyle name="Normal 15 8 2 4 2" xfId="38004"/>
    <cellStyle name="Normal 15 8 2 5" xfId="8977"/>
    <cellStyle name="Normal 15 8 2 5 2" xfId="31564"/>
    <cellStyle name="Normal 15 8 2 6" xfId="25124"/>
    <cellStyle name="Normal 15 8 3" xfId="4449"/>
    <cellStyle name="Normal 15 8 3 2" xfId="20549"/>
    <cellStyle name="Normal 15 8 3 2 2" xfId="43136"/>
    <cellStyle name="Normal 15 8 3 3" xfId="10889"/>
    <cellStyle name="Normal 15 8 3 3 2" xfId="33476"/>
    <cellStyle name="Normal 15 8 3 4" xfId="27036"/>
    <cellStyle name="Normal 15 8 4" xfId="17329"/>
    <cellStyle name="Normal 15 8 4 2" xfId="39916"/>
    <cellStyle name="Normal 15 8 5" xfId="14109"/>
    <cellStyle name="Normal 15 8 5 2" xfId="36696"/>
    <cellStyle name="Normal 15 8 6" xfId="7669"/>
    <cellStyle name="Normal 15 8 6 2" xfId="30256"/>
    <cellStyle name="Normal 15 8 7" xfId="23816"/>
    <cellStyle name="Normal 15 9" xfId="1615"/>
    <cellStyle name="Normal 15 9 2" xfId="4841"/>
    <cellStyle name="Normal 15 9 2 2" xfId="20941"/>
    <cellStyle name="Normal 15 9 2 2 2" xfId="43528"/>
    <cellStyle name="Normal 15 9 2 3" xfId="11281"/>
    <cellStyle name="Normal 15 9 2 3 2" xfId="33868"/>
    <cellStyle name="Normal 15 9 2 4" xfId="27428"/>
    <cellStyle name="Normal 15 9 3" xfId="17721"/>
    <cellStyle name="Normal 15 9 3 2" xfId="40308"/>
    <cellStyle name="Normal 15 9 4" xfId="14501"/>
    <cellStyle name="Normal 15 9 4 2" xfId="37088"/>
    <cellStyle name="Normal 15 9 5" xfId="8061"/>
    <cellStyle name="Normal 15 9 5 2" xfId="30648"/>
    <cellStyle name="Normal 15 9 6" xfId="24208"/>
    <cellStyle name="Normal 16" xfId="217"/>
    <cellStyle name="Normal 16 10" xfId="2924"/>
    <cellStyle name="Normal 16 10 2" xfId="6145"/>
    <cellStyle name="Normal 16 10 2 2" xfId="22245"/>
    <cellStyle name="Normal 16 10 2 2 2" xfId="44832"/>
    <cellStyle name="Normal 16 10 2 3" xfId="12585"/>
    <cellStyle name="Normal 16 10 2 3 2" xfId="35172"/>
    <cellStyle name="Normal 16 10 2 4" xfId="28732"/>
    <cellStyle name="Normal 16 10 3" xfId="19025"/>
    <cellStyle name="Normal 16 10 3 2" xfId="41612"/>
    <cellStyle name="Normal 16 10 4" xfId="15805"/>
    <cellStyle name="Normal 16 10 4 2" xfId="38392"/>
    <cellStyle name="Normal 16 10 5" xfId="9365"/>
    <cellStyle name="Normal 16 10 5 2" xfId="31952"/>
    <cellStyle name="Normal 16 10 6" xfId="25512"/>
    <cellStyle name="Normal 16 11" xfId="3215"/>
    <cellStyle name="Normal 16 11 2" xfId="6435"/>
    <cellStyle name="Normal 16 11 2 2" xfId="22535"/>
    <cellStyle name="Normal 16 11 2 2 2" xfId="45122"/>
    <cellStyle name="Normal 16 11 2 3" xfId="12875"/>
    <cellStyle name="Normal 16 11 2 3 2" xfId="35462"/>
    <cellStyle name="Normal 16 11 2 4" xfId="29022"/>
    <cellStyle name="Normal 16 11 3" xfId="19315"/>
    <cellStyle name="Normal 16 11 3 2" xfId="41902"/>
    <cellStyle name="Normal 16 11 4" xfId="16095"/>
    <cellStyle name="Normal 16 11 4 2" xfId="38682"/>
    <cellStyle name="Normal 16 11 5" xfId="9655"/>
    <cellStyle name="Normal 16 11 5 2" xfId="32242"/>
    <cellStyle name="Normal 16 11 6" xfId="25802"/>
    <cellStyle name="Normal 16 12" xfId="508"/>
    <cellStyle name="Normal 16 12 2" xfId="3795"/>
    <cellStyle name="Normal 16 12 2 2" xfId="19895"/>
    <cellStyle name="Normal 16 12 2 2 2" xfId="42482"/>
    <cellStyle name="Normal 16 12 2 3" xfId="10235"/>
    <cellStyle name="Normal 16 12 2 3 2" xfId="32822"/>
    <cellStyle name="Normal 16 12 2 4" xfId="26382"/>
    <cellStyle name="Normal 16 12 3" xfId="16675"/>
    <cellStyle name="Normal 16 12 3 2" xfId="39262"/>
    <cellStyle name="Normal 16 12 4" xfId="13455"/>
    <cellStyle name="Normal 16 12 4 2" xfId="36042"/>
    <cellStyle name="Normal 16 12 5" xfId="7015"/>
    <cellStyle name="Normal 16 12 5 2" xfId="29602"/>
    <cellStyle name="Normal 16 12 6" xfId="23162"/>
    <cellStyle name="Normal 16 13" xfId="3505"/>
    <cellStyle name="Normal 16 13 2" xfId="19605"/>
    <cellStyle name="Normal 16 13 2 2" xfId="42192"/>
    <cellStyle name="Normal 16 13 3" xfId="9945"/>
    <cellStyle name="Normal 16 13 3 2" xfId="32532"/>
    <cellStyle name="Normal 16 13 4" xfId="26092"/>
    <cellStyle name="Normal 16 14" xfId="16385"/>
    <cellStyle name="Normal 16 14 2" xfId="38972"/>
    <cellStyle name="Normal 16 15" xfId="13165"/>
    <cellStyle name="Normal 16 15 2" xfId="35752"/>
    <cellStyle name="Normal 16 16" xfId="6725"/>
    <cellStyle name="Normal 16 16 2" xfId="29312"/>
    <cellStyle name="Normal 16 17" xfId="22872"/>
    <cellStyle name="Normal 16 2" xfId="315"/>
    <cellStyle name="Normal 16 2 10" xfId="13262"/>
    <cellStyle name="Normal 16 2 10 2" xfId="35849"/>
    <cellStyle name="Normal 16 2 11" xfId="6822"/>
    <cellStyle name="Normal 16 2 11 2" xfId="29409"/>
    <cellStyle name="Normal 16 2 12" xfId="22969"/>
    <cellStyle name="Normal 16 2 2" xfId="1031"/>
    <cellStyle name="Normal 16 2 2 2" xfId="2345"/>
    <cellStyle name="Normal 16 2 2 2 2" xfId="5566"/>
    <cellStyle name="Normal 16 2 2 2 2 2" xfId="21666"/>
    <cellStyle name="Normal 16 2 2 2 2 2 2" xfId="44253"/>
    <cellStyle name="Normal 16 2 2 2 2 3" xfId="12006"/>
    <cellStyle name="Normal 16 2 2 2 2 3 2" xfId="34593"/>
    <cellStyle name="Normal 16 2 2 2 2 4" xfId="28153"/>
    <cellStyle name="Normal 16 2 2 2 3" xfId="18446"/>
    <cellStyle name="Normal 16 2 2 2 3 2" xfId="41033"/>
    <cellStyle name="Normal 16 2 2 2 4" xfId="15226"/>
    <cellStyle name="Normal 16 2 2 2 4 2" xfId="37813"/>
    <cellStyle name="Normal 16 2 2 2 5" xfId="8786"/>
    <cellStyle name="Normal 16 2 2 2 5 2" xfId="31373"/>
    <cellStyle name="Normal 16 2 2 2 6" xfId="24933"/>
    <cellStyle name="Normal 16 2 2 3" xfId="4258"/>
    <cellStyle name="Normal 16 2 2 3 2" xfId="20358"/>
    <cellStyle name="Normal 16 2 2 3 2 2" xfId="42945"/>
    <cellStyle name="Normal 16 2 2 3 3" xfId="10698"/>
    <cellStyle name="Normal 16 2 2 3 3 2" xfId="33285"/>
    <cellStyle name="Normal 16 2 2 3 4" xfId="26845"/>
    <cellStyle name="Normal 16 2 2 4" xfId="17138"/>
    <cellStyle name="Normal 16 2 2 4 2" xfId="39725"/>
    <cellStyle name="Normal 16 2 2 5" xfId="13918"/>
    <cellStyle name="Normal 16 2 2 5 2" xfId="36505"/>
    <cellStyle name="Normal 16 2 2 6" xfId="7478"/>
    <cellStyle name="Normal 16 2 2 6 2" xfId="30065"/>
    <cellStyle name="Normal 16 2 2 7" xfId="23625"/>
    <cellStyle name="Normal 16 2 3" xfId="1378"/>
    <cellStyle name="Normal 16 2 3 2" xfId="2692"/>
    <cellStyle name="Normal 16 2 3 2 2" xfId="5913"/>
    <cellStyle name="Normal 16 2 3 2 2 2" xfId="22013"/>
    <cellStyle name="Normal 16 2 3 2 2 2 2" xfId="44600"/>
    <cellStyle name="Normal 16 2 3 2 2 3" xfId="12353"/>
    <cellStyle name="Normal 16 2 3 2 2 3 2" xfId="34940"/>
    <cellStyle name="Normal 16 2 3 2 2 4" xfId="28500"/>
    <cellStyle name="Normal 16 2 3 2 3" xfId="18793"/>
    <cellStyle name="Normal 16 2 3 2 3 2" xfId="41380"/>
    <cellStyle name="Normal 16 2 3 2 4" xfId="15573"/>
    <cellStyle name="Normal 16 2 3 2 4 2" xfId="38160"/>
    <cellStyle name="Normal 16 2 3 2 5" xfId="9133"/>
    <cellStyle name="Normal 16 2 3 2 5 2" xfId="31720"/>
    <cellStyle name="Normal 16 2 3 2 6" xfId="25280"/>
    <cellStyle name="Normal 16 2 3 3" xfId="4605"/>
    <cellStyle name="Normal 16 2 3 3 2" xfId="20705"/>
    <cellStyle name="Normal 16 2 3 3 2 2" xfId="43292"/>
    <cellStyle name="Normal 16 2 3 3 3" xfId="11045"/>
    <cellStyle name="Normal 16 2 3 3 3 2" xfId="33632"/>
    <cellStyle name="Normal 16 2 3 3 4" xfId="27192"/>
    <cellStyle name="Normal 16 2 3 4" xfId="17485"/>
    <cellStyle name="Normal 16 2 3 4 2" xfId="40072"/>
    <cellStyle name="Normal 16 2 3 5" xfId="14265"/>
    <cellStyle name="Normal 16 2 3 5 2" xfId="36852"/>
    <cellStyle name="Normal 16 2 3 6" xfId="7825"/>
    <cellStyle name="Normal 16 2 3 6 2" xfId="30412"/>
    <cellStyle name="Normal 16 2 3 7" xfId="23972"/>
    <cellStyle name="Normal 16 2 4" xfId="1997"/>
    <cellStyle name="Normal 16 2 4 2" xfId="5219"/>
    <cellStyle name="Normal 16 2 4 2 2" xfId="21319"/>
    <cellStyle name="Normal 16 2 4 2 2 2" xfId="43906"/>
    <cellStyle name="Normal 16 2 4 2 3" xfId="11659"/>
    <cellStyle name="Normal 16 2 4 2 3 2" xfId="34246"/>
    <cellStyle name="Normal 16 2 4 2 4" xfId="27806"/>
    <cellStyle name="Normal 16 2 4 3" xfId="18099"/>
    <cellStyle name="Normal 16 2 4 3 2" xfId="40686"/>
    <cellStyle name="Normal 16 2 4 4" xfId="14879"/>
    <cellStyle name="Normal 16 2 4 4 2" xfId="37466"/>
    <cellStyle name="Normal 16 2 4 5" xfId="8439"/>
    <cellStyle name="Normal 16 2 4 5 2" xfId="31026"/>
    <cellStyle name="Normal 16 2 4 6" xfId="24586"/>
    <cellStyle name="Normal 16 2 5" xfId="3022"/>
    <cellStyle name="Normal 16 2 5 2" xfId="6242"/>
    <cellStyle name="Normal 16 2 5 2 2" xfId="22342"/>
    <cellStyle name="Normal 16 2 5 2 2 2" xfId="44929"/>
    <cellStyle name="Normal 16 2 5 2 3" xfId="12682"/>
    <cellStyle name="Normal 16 2 5 2 3 2" xfId="35269"/>
    <cellStyle name="Normal 16 2 5 2 4" xfId="28829"/>
    <cellStyle name="Normal 16 2 5 3" xfId="19122"/>
    <cellStyle name="Normal 16 2 5 3 2" xfId="41709"/>
    <cellStyle name="Normal 16 2 5 4" xfId="15902"/>
    <cellStyle name="Normal 16 2 5 4 2" xfId="38489"/>
    <cellStyle name="Normal 16 2 5 5" xfId="9462"/>
    <cellStyle name="Normal 16 2 5 5 2" xfId="32049"/>
    <cellStyle name="Normal 16 2 5 6" xfId="25609"/>
    <cellStyle name="Normal 16 2 6" xfId="3312"/>
    <cellStyle name="Normal 16 2 6 2" xfId="6532"/>
    <cellStyle name="Normal 16 2 6 2 2" xfId="22632"/>
    <cellStyle name="Normal 16 2 6 2 2 2" xfId="45219"/>
    <cellStyle name="Normal 16 2 6 2 3" xfId="12972"/>
    <cellStyle name="Normal 16 2 6 2 3 2" xfId="35559"/>
    <cellStyle name="Normal 16 2 6 2 4" xfId="29119"/>
    <cellStyle name="Normal 16 2 6 3" xfId="19412"/>
    <cellStyle name="Normal 16 2 6 3 2" xfId="41999"/>
    <cellStyle name="Normal 16 2 6 4" xfId="16192"/>
    <cellStyle name="Normal 16 2 6 4 2" xfId="38779"/>
    <cellStyle name="Normal 16 2 6 5" xfId="9752"/>
    <cellStyle name="Normal 16 2 6 5 2" xfId="32339"/>
    <cellStyle name="Normal 16 2 6 6" xfId="25899"/>
    <cellStyle name="Normal 16 2 7" xfId="667"/>
    <cellStyle name="Normal 16 2 7 2" xfId="3911"/>
    <cellStyle name="Normal 16 2 7 2 2" xfId="20011"/>
    <cellStyle name="Normal 16 2 7 2 2 2" xfId="42598"/>
    <cellStyle name="Normal 16 2 7 2 3" xfId="10351"/>
    <cellStyle name="Normal 16 2 7 2 3 2" xfId="32938"/>
    <cellStyle name="Normal 16 2 7 2 4" xfId="26498"/>
    <cellStyle name="Normal 16 2 7 3" xfId="16791"/>
    <cellStyle name="Normal 16 2 7 3 2" xfId="39378"/>
    <cellStyle name="Normal 16 2 7 4" xfId="13571"/>
    <cellStyle name="Normal 16 2 7 4 2" xfId="36158"/>
    <cellStyle name="Normal 16 2 7 5" xfId="7131"/>
    <cellStyle name="Normal 16 2 7 5 2" xfId="29718"/>
    <cellStyle name="Normal 16 2 7 6" xfId="23278"/>
    <cellStyle name="Normal 16 2 8" xfId="3602"/>
    <cellStyle name="Normal 16 2 8 2" xfId="19702"/>
    <cellStyle name="Normal 16 2 8 2 2" xfId="42289"/>
    <cellStyle name="Normal 16 2 8 3" xfId="10042"/>
    <cellStyle name="Normal 16 2 8 3 2" xfId="32629"/>
    <cellStyle name="Normal 16 2 8 4" xfId="26189"/>
    <cellStyle name="Normal 16 2 9" xfId="16482"/>
    <cellStyle name="Normal 16 2 9 2" xfId="39069"/>
    <cellStyle name="Normal 16 3" xfId="411"/>
    <cellStyle name="Normal 16 3 2" xfId="3118"/>
    <cellStyle name="Normal 16 3 2 2" xfId="6338"/>
    <cellStyle name="Normal 16 3 2 2 2" xfId="22438"/>
    <cellStyle name="Normal 16 3 2 2 2 2" xfId="45025"/>
    <cellStyle name="Normal 16 3 2 2 3" xfId="12778"/>
    <cellStyle name="Normal 16 3 2 2 3 2" xfId="35365"/>
    <cellStyle name="Normal 16 3 2 2 4" xfId="28925"/>
    <cellStyle name="Normal 16 3 2 3" xfId="19218"/>
    <cellStyle name="Normal 16 3 2 3 2" xfId="41805"/>
    <cellStyle name="Normal 16 3 2 4" xfId="15998"/>
    <cellStyle name="Normal 16 3 2 4 2" xfId="38585"/>
    <cellStyle name="Normal 16 3 2 5" xfId="9558"/>
    <cellStyle name="Normal 16 3 2 5 2" xfId="32145"/>
    <cellStyle name="Normal 16 3 2 6" xfId="25705"/>
    <cellStyle name="Normal 16 3 3" xfId="3408"/>
    <cellStyle name="Normal 16 3 3 2" xfId="6628"/>
    <cellStyle name="Normal 16 3 3 2 2" xfId="22728"/>
    <cellStyle name="Normal 16 3 3 2 2 2" xfId="45315"/>
    <cellStyle name="Normal 16 3 3 2 3" xfId="13068"/>
    <cellStyle name="Normal 16 3 3 2 3 2" xfId="35655"/>
    <cellStyle name="Normal 16 3 3 2 4" xfId="29215"/>
    <cellStyle name="Normal 16 3 3 3" xfId="19508"/>
    <cellStyle name="Normal 16 3 3 3 2" xfId="42095"/>
    <cellStyle name="Normal 16 3 3 4" xfId="16288"/>
    <cellStyle name="Normal 16 3 3 4 2" xfId="38875"/>
    <cellStyle name="Normal 16 3 3 5" xfId="9848"/>
    <cellStyle name="Normal 16 3 3 5 2" xfId="32435"/>
    <cellStyle name="Normal 16 3 3 6" xfId="25995"/>
    <cellStyle name="Normal 16 3 4" xfId="707"/>
    <cellStyle name="Normal 16 3 5" xfId="3698"/>
    <cellStyle name="Normal 16 3 5 2" xfId="19798"/>
    <cellStyle name="Normal 16 3 5 2 2" xfId="42385"/>
    <cellStyle name="Normal 16 3 5 3" xfId="10138"/>
    <cellStyle name="Normal 16 3 5 3 2" xfId="32725"/>
    <cellStyle name="Normal 16 3 5 4" xfId="26285"/>
    <cellStyle name="Normal 16 3 6" xfId="16578"/>
    <cellStyle name="Normal 16 3 6 2" xfId="39165"/>
    <cellStyle name="Normal 16 3 7" xfId="13358"/>
    <cellStyle name="Normal 16 3 7 2" xfId="35945"/>
    <cellStyle name="Normal 16 3 8" xfId="6918"/>
    <cellStyle name="Normal 16 3 8 2" xfId="29505"/>
    <cellStyle name="Normal 16 3 9" xfId="23065"/>
    <cellStyle name="Normal 16 4" xfId="710"/>
    <cellStyle name="Normal 16 4 2" xfId="2039"/>
    <cellStyle name="Normal 16 5" xfId="780"/>
    <cellStyle name="Normal 16 5 2" xfId="1132"/>
    <cellStyle name="Normal 16 5 2 2" xfId="2446"/>
    <cellStyle name="Normal 16 5 2 2 2" xfId="5667"/>
    <cellStyle name="Normal 16 5 2 2 2 2" xfId="21767"/>
    <cellStyle name="Normal 16 5 2 2 2 2 2" xfId="44354"/>
    <cellStyle name="Normal 16 5 2 2 2 3" xfId="12107"/>
    <cellStyle name="Normal 16 5 2 2 2 3 2" xfId="34694"/>
    <cellStyle name="Normal 16 5 2 2 2 4" xfId="28254"/>
    <cellStyle name="Normal 16 5 2 2 3" xfId="18547"/>
    <cellStyle name="Normal 16 5 2 2 3 2" xfId="41134"/>
    <cellStyle name="Normal 16 5 2 2 4" xfId="15327"/>
    <cellStyle name="Normal 16 5 2 2 4 2" xfId="37914"/>
    <cellStyle name="Normal 16 5 2 2 5" xfId="8887"/>
    <cellStyle name="Normal 16 5 2 2 5 2" xfId="31474"/>
    <cellStyle name="Normal 16 5 2 2 6" xfId="25034"/>
    <cellStyle name="Normal 16 5 2 3" xfId="4359"/>
    <cellStyle name="Normal 16 5 2 3 2" xfId="20459"/>
    <cellStyle name="Normal 16 5 2 3 2 2" xfId="43046"/>
    <cellStyle name="Normal 16 5 2 3 3" xfId="10799"/>
    <cellStyle name="Normal 16 5 2 3 3 2" xfId="33386"/>
    <cellStyle name="Normal 16 5 2 3 4" xfId="26946"/>
    <cellStyle name="Normal 16 5 2 4" xfId="17239"/>
    <cellStyle name="Normal 16 5 2 4 2" xfId="39826"/>
    <cellStyle name="Normal 16 5 2 5" xfId="14019"/>
    <cellStyle name="Normal 16 5 2 5 2" xfId="36606"/>
    <cellStyle name="Normal 16 5 2 6" xfId="7579"/>
    <cellStyle name="Normal 16 5 2 6 2" xfId="30166"/>
    <cellStyle name="Normal 16 5 2 7" xfId="23726"/>
    <cellStyle name="Normal 16 5 3" xfId="1479"/>
    <cellStyle name="Normal 16 5 3 2" xfId="2793"/>
    <cellStyle name="Normal 16 5 3 2 2" xfId="6014"/>
    <cellStyle name="Normal 16 5 3 2 2 2" xfId="22114"/>
    <cellStyle name="Normal 16 5 3 2 2 2 2" xfId="44701"/>
    <cellStyle name="Normal 16 5 3 2 2 3" xfId="12454"/>
    <cellStyle name="Normal 16 5 3 2 2 3 2" xfId="35041"/>
    <cellStyle name="Normal 16 5 3 2 2 4" xfId="28601"/>
    <cellStyle name="Normal 16 5 3 2 3" xfId="18894"/>
    <cellStyle name="Normal 16 5 3 2 3 2" xfId="41481"/>
    <cellStyle name="Normal 16 5 3 2 4" xfId="15674"/>
    <cellStyle name="Normal 16 5 3 2 4 2" xfId="38261"/>
    <cellStyle name="Normal 16 5 3 2 5" xfId="9234"/>
    <cellStyle name="Normal 16 5 3 2 5 2" xfId="31821"/>
    <cellStyle name="Normal 16 5 3 2 6" xfId="25381"/>
    <cellStyle name="Normal 16 5 3 3" xfId="4706"/>
    <cellStyle name="Normal 16 5 3 3 2" xfId="20806"/>
    <cellStyle name="Normal 16 5 3 3 2 2" xfId="43393"/>
    <cellStyle name="Normal 16 5 3 3 3" xfId="11146"/>
    <cellStyle name="Normal 16 5 3 3 3 2" xfId="33733"/>
    <cellStyle name="Normal 16 5 3 3 4" xfId="27293"/>
    <cellStyle name="Normal 16 5 3 4" xfId="17586"/>
    <cellStyle name="Normal 16 5 3 4 2" xfId="40173"/>
    <cellStyle name="Normal 16 5 3 5" xfId="14366"/>
    <cellStyle name="Normal 16 5 3 5 2" xfId="36953"/>
    <cellStyle name="Normal 16 5 3 6" xfId="7926"/>
    <cellStyle name="Normal 16 5 3 6 2" xfId="30513"/>
    <cellStyle name="Normal 16 5 3 7" xfId="24073"/>
    <cellStyle name="Normal 16 5 4" xfId="2099"/>
    <cellStyle name="Normal 16 5 4 2" xfId="5320"/>
    <cellStyle name="Normal 16 5 4 2 2" xfId="21420"/>
    <cellStyle name="Normal 16 5 4 2 2 2" xfId="44007"/>
    <cellStyle name="Normal 16 5 4 2 3" xfId="11760"/>
    <cellStyle name="Normal 16 5 4 2 3 2" xfId="34347"/>
    <cellStyle name="Normal 16 5 4 2 4" xfId="27907"/>
    <cellStyle name="Normal 16 5 4 3" xfId="18200"/>
    <cellStyle name="Normal 16 5 4 3 2" xfId="40787"/>
    <cellStyle name="Normal 16 5 4 4" xfId="14980"/>
    <cellStyle name="Normal 16 5 4 4 2" xfId="37567"/>
    <cellStyle name="Normal 16 5 4 5" xfId="8540"/>
    <cellStyle name="Normal 16 5 4 5 2" xfId="31127"/>
    <cellStyle name="Normal 16 5 4 6" xfId="24687"/>
    <cellStyle name="Normal 16 5 5" xfId="4012"/>
    <cellStyle name="Normal 16 5 5 2" xfId="20112"/>
    <cellStyle name="Normal 16 5 5 2 2" xfId="42699"/>
    <cellStyle name="Normal 16 5 5 3" xfId="10452"/>
    <cellStyle name="Normal 16 5 5 3 2" xfId="33039"/>
    <cellStyle name="Normal 16 5 5 4" xfId="26599"/>
    <cellStyle name="Normal 16 5 6" xfId="16892"/>
    <cellStyle name="Normal 16 5 6 2" xfId="39479"/>
    <cellStyle name="Normal 16 5 7" xfId="13672"/>
    <cellStyle name="Normal 16 5 7 2" xfId="36259"/>
    <cellStyle name="Normal 16 5 8" xfId="7232"/>
    <cellStyle name="Normal 16 5 8 2" xfId="29819"/>
    <cellStyle name="Normal 16 5 9" xfId="23379"/>
    <cellStyle name="Normal 16 6" xfId="910"/>
    <cellStyle name="Normal 16 6 2" xfId="2229"/>
    <cellStyle name="Normal 16 6 2 2" xfId="5450"/>
    <cellStyle name="Normal 16 6 2 2 2" xfId="21550"/>
    <cellStyle name="Normal 16 6 2 2 2 2" xfId="44137"/>
    <cellStyle name="Normal 16 6 2 2 3" xfId="11890"/>
    <cellStyle name="Normal 16 6 2 2 3 2" xfId="34477"/>
    <cellStyle name="Normal 16 6 2 2 4" xfId="28037"/>
    <cellStyle name="Normal 16 6 2 3" xfId="18330"/>
    <cellStyle name="Normal 16 6 2 3 2" xfId="40917"/>
    <cellStyle name="Normal 16 6 2 4" xfId="15110"/>
    <cellStyle name="Normal 16 6 2 4 2" xfId="37697"/>
    <cellStyle name="Normal 16 6 2 5" xfId="8670"/>
    <cellStyle name="Normal 16 6 2 5 2" xfId="31257"/>
    <cellStyle name="Normal 16 6 2 6" xfId="24817"/>
    <cellStyle name="Normal 16 6 3" xfId="4142"/>
    <cellStyle name="Normal 16 6 3 2" xfId="20242"/>
    <cellStyle name="Normal 16 6 3 2 2" xfId="42829"/>
    <cellStyle name="Normal 16 6 3 3" xfId="10582"/>
    <cellStyle name="Normal 16 6 3 3 2" xfId="33169"/>
    <cellStyle name="Normal 16 6 3 4" xfId="26729"/>
    <cellStyle name="Normal 16 6 4" xfId="17022"/>
    <cellStyle name="Normal 16 6 4 2" xfId="39609"/>
    <cellStyle name="Normal 16 6 5" xfId="13802"/>
    <cellStyle name="Normal 16 6 5 2" xfId="36389"/>
    <cellStyle name="Normal 16 6 6" xfId="7362"/>
    <cellStyle name="Normal 16 6 6 2" xfId="29949"/>
    <cellStyle name="Normal 16 6 7" xfId="23509"/>
    <cellStyle name="Normal 16 7" xfId="1262"/>
    <cellStyle name="Normal 16 7 2" xfId="2576"/>
    <cellStyle name="Normal 16 7 2 2" xfId="5797"/>
    <cellStyle name="Normal 16 7 2 2 2" xfId="21897"/>
    <cellStyle name="Normal 16 7 2 2 2 2" xfId="44484"/>
    <cellStyle name="Normal 16 7 2 2 3" xfId="12237"/>
    <cellStyle name="Normal 16 7 2 2 3 2" xfId="34824"/>
    <cellStyle name="Normal 16 7 2 2 4" xfId="28384"/>
    <cellStyle name="Normal 16 7 2 3" xfId="18677"/>
    <cellStyle name="Normal 16 7 2 3 2" xfId="41264"/>
    <cellStyle name="Normal 16 7 2 4" xfId="15457"/>
    <cellStyle name="Normal 16 7 2 4 2" xfId="38044"/>
    <cellStyle name="Normal 16 7 2 5" xfId="9017"/>
    <cellStyle name="Normal 16 7 2 5 2" xfId="31604"/>
    <cellStyle name="Normal 16 7 2 6" xfId="25164"/>
    <cellStyle name="Normal 16 7 3" xfId="4489"/>
    <cellStyle name="Normal 16 7 3 2" xfId="20589"/>
    <cellStyle name="Normal 16 7 3 2 2" xfId="43176"/>
    <cellStyle name="Normal 16 7 3 3" xfId="10929"/>
    <cellStyle name="Normal 16 7 3 3 2" xfId="33516"/>
    <cellStyle name="Normal 16 7 3 4" xfId="27076"/>
    <cellStyle name="Normal 16 7 4" xfId="17369"/>
    <cellStyle name="Normal 16 7 4 2" xfId="39956"/>
    <cellStyle name="Normal 16 7 5" xfId="14149"/>
    <cellStyle name="Normal 16 7 5 2" xfId="36736"/>
    <cellStyle name="Normal 16 7 6" xfId="7709"/>
    <cellStyle name="Normal 16 7 6 2" xfId="30296"/>
    <cellStyle name="Normal 16 7 7" xfId="23856"/>
    <cellStyle name="Normal 16 8" xfId="1616"/>
    <cellStyle name="Normal 16 8 2" xfId="4842"/>
    <cellStyle name="Normal 16 8 2 2" xfId="20942"/>
    <cellStyle name="Normal 16 8 2 2 2" xfId="43529"/>
    <cellStyle name="Normal 16 8 2 3" xfId="11282"/>
    <cellStyle name="Normal 16 8 2 3 2" xfId="33869"/>
    <cellStyle name="Normal 16 8 2 4" xfId="27429"/>
    <cellStyle name="Normal 16 8 3" xfId="17722"/>
    <cellStyle name="Normal 16 8 3 2" xfId="40309"/>
    <cellStyle name="Normal 16 8 4" xfId="14502"/>
    <cellStyle name="Normal 16 8 4 2" xfId="37089"/>
    <cellStyle name="Normal 16 8 5" xfId="8062"/>
    <cellStyle name="Normal 16 8 5 2" xfId="30649"/>
    <cellStyle name="Normal 16 8 6" xfId="24209"/>
    <cellStyle name="Normal 16 9" xfId="1881"/>
    <cellStyle name="Normal 16 9 2" xfId="5103"/>
    <cellStyle name="Normal 16 9 2 2" xfId="21203"/>
    <cellStyle name="Normal 16 9 2 2 2" xfId="43790"/>
    <cellStyle name="Normal 16 9 2 3" xfId="11543"/>
    <cellStyle name="Normal 16 9 2 3 2" xfId="34130"/>
    <cellStyle name="Normal 16 9 2 4" xfId="27690"/>
    <cellStyle name="Normal 16 9 3" xfId="17983"/>
    <cellStyle name="Normal 16 9 3 2" xfId="40570"/>
    <cellStyle name="Normal 16 9 4" xfId="14763"/>
    <cellStyle name="Normal 16 9 4 2" xfId="37350"/>
    <cellStyle name="Normal 16 9 5" xfId="8323"/>
    <cellStyle name="Normal 16 9 5 2" xfId="30910"/>
    <cellStyle name="Normal 16 9 6" xfId="24470"/>
    <cellStyle name="Normal 17" xfId="218"/>
    <cellStyle name="Normal 17 10" xfId="16386"/>
    <cellStyle name="Normal 17 10 2" xfId="38973"/>
    <cellStyle name="Normal 17 11" xfId="13166"/>
    <cellStyle name="Normal 17 11 2" xfId="35753"/>
    <cellStyle name="Normal 17 12" xfId="6726"/>
    <cellStyle name="Normal 17 12 2" xfId="29313"/>
    <cellStyle name="Normal 17 13" xfId="22873"/>
    <cellStyle name="Normal 17 2" xfId="316"/>
    <cellStyle name="Normal 17 2 2" xfId="3023"/>
    <cellStyle name="Normal 17 2 2 2" xfId="6243"/>
    <cellStyle name="Normal 17 2 2 2 2" xfId="22343"/>
    <cellStyle name="Normal 17 2 2 2 2 2" xfId="44930"/>
    <cellStyle name="Normal 17 2 2 2 3" xfId="12683"/>
    <cellStyle name="Normal 17 2 2 2 3 2" xfId="35270"/>
    <cellStyle name="Normal 17 2 2 2 4" xfId="28830"/>
    <cellStyle name="Normal 17 2 2 3" xfId="19123"/>
    <cellStyle name="Normal 17 2 2 3 2" xfId="41710"/>
    <cellStyle name="Normal 17 2 2 4" xfId="15903"/>
    <cellStyle name="Normal 17 2 2 4 2" xfId="38490"/>
    <cellStyle name="Normal 17 2 2 5" xfId="9463"/>
    <cellStyle name="Normal 17 2 2 5 2" xfId="32050"/>
    <cellStyle name="Normal 17 2 2 6" xfId="25610"/>
    <cellStyle name="Normal 17 2 3" xfId="3313"/>
    <cellStyle name="Normal 17 2 3 2" xfId="6533"/>
    <cellStyle name="Normal 17 2 3 2 2" xfId="22633"/>
    <cellStyle name="Normal 17 2 3 2 2 2" xfId="45220"/>
    <cellStyle name="Normal 17 2 3 2 3" xfId="12973"/>
    <cellStyle name="Normal 17 2 3 2 3 2" xfId="35560"/>
    <cellStyle name="Normal 17 2 3 2 4" xfId="29120"/>
    <cellStyle name="Normal 17 2 3 3" xfId="19413"/>
    <cellStyle name="Normal 17 2 3 3 2" xfId="42000"/>
    <cellStyle name="Normal 17 2 3 4" xfId="16193"/>
    <cellStyle name="Normal 17 2 3 4 2" xfId="38780"/>
    <cellStyle name="Normal 17 2 3 5" xfId="9753"/>
    <cellStyle name="Normal 17 2 3 5 2" xfId="32340"/>
    <cellStyle name="Normal 17 2 3 6" xfId="25900"/>
    <cellStyle name="Normal 17 2 4" xfId="565"/>
    <cellStyle name="Normal 17 2 5" xfId="3603"/>
    <cellStyle name="Normal 17 2 5 2" xfId="19703"/>
    <cellStyle name="Normal 17 2 5 2 2" xfId="42290"/>
    <cellStyle name="Normal 17 2 5 3" xfId="10043"/>
    <cellStyle name="Normal 17 2 5 3 2" xfId="32630"/>
    <cellStyle name="Normal 17 2 5 4" xfId="26190"/>
    <cellStyle name="Normal 17 2 6" xfId="16483"/>
    <cellStyle name="Normal 17 2 6 2" xfId="39070"/>
    <cellStyle name="Normal 17 2 7" xfId="13263"/>
    <cellStyle name="Normal 17 2 7 2" xfId="35850"/>
    <cellStyle name="Normal 17 2 8" xfId="6823"/>
    <cellStyle name="Normal 17 2 8 2" xfId="29410"/>
    <cellStyle name="Normal 17 2 9" xfId="22970"/>
    <cellStyle name="Normal 17 3" xfId="412"/>
    <cellStyle name="Normal 17 3 10" xfId="23066"/>
    <cellStyle name="Normal 17 3 2" xfId="2269"/>
    <cellStyle name="Normal 17 3 2 2" xfId="5490"/>
    <cellStyle name="Normal 17 3 2 2 2" xfId="21590"/>
    <cellStyle name="Normal 17 3 2 2 2 2" xfId="44177"/>
    <cellStyle name="Normal 17 3 2 2 3" xfId="11930"/>
    <cellStyle name="Normal 17 3 2 2 3 2" xfId="34517"/>
    <cellStyle name="Normal 17 3 2 2 4" xfId="28077"/>
    <cellStyle name="Normal 17 3 2 3" xfId="18370"/>
    <cellStyle name="Normal 17 3 2 3 2" xfId="40957"/>
    <cellStyle name="Normal 17 3 2 4" xfId="15150"/>
    <cellStyle name="Normal 17 3 2 4 2" xfId="37737"/>
    <cellStyle name="Normal 17 3 2 5" xfId="8710"/>
    <cellStyle name="Normal 17 3 2 5 2" xfId="31297"/>
    <cellStyle name="Normal 17 3 2 6" xfId="24857"/>
    <cellStyle name="Normal 17 3 3" xfId="3119"/>
    <cellStyle name="Normal 17 3 3 2" xfId="6339"/>
    <cellStyle name="Normal 17 3 3 2 2" xfId="22439"/>
    <cellStyle name="Normal 17 3 3 2 2 2" xfId="45026"/>
    <cellStyle name="Normal 17 3 3 2 3" xfId="12779"/>
    <cellStyle name="Normal 17 3 3 2 3 2" xfId="35366"/>
    <cellStyle name="Normal 17 3 3 2 4" xfId="28926"/>
    <cellStyle name="Normal 17 3 3 3" xfId="19219"/>
    <cellStyle name="Normal 17 3 3 3 2" xfId="41806"/>
    <cellStyle name="Normal 17 3 3 4" xfId="15999"/>
    <cellStyle name="Normal 17 3 3 4 2" xfId="38586"/>
    <cellStyle name="Normal 17 3 3 5" xfId="9559"/>
    <cellStyle name="Normal 17 3 3 5 2" xfId="32146"/>
    <cellStyle name="Normal 17 3 3 6" xfId="25706"/>
    <cellStyle name="Normal 17 3 4" xfId="3409"/>
    <cellStyle name="Normal 17 3 4 2" xfId="6629"/>
    <cellStyle name="Normal 17 3 4 2 2" xfId="22729"/>
    <cellStyle name="Normal 17 3 4 2 2 2" xfId="45316"/>
    <cellStyle name="Normal 17 3 4 2 3" xfId="13069"/>
    <cellStyle name="Normal 17 3 4 2 3 2" xfId="35656"/>
    <cellStyle name="Normal 17 3 4 2 4" xfId="29216"/>
    <cellStyle name="Normal 17 3 4 3" xfId="19509"/>
    <cellStyle name="Normal 17 3 4 3 2" xfId="42096"/>
    <cellStyle name="Normal 17 3 4 4" xfId="16289"/>
    <cellStyle name="Normal 17 3 4 4 2" xfId="38876"/>
    <cellStyle name="Normal 17 3 4 5" xfId="9849"/>
    <cellStyle name="Normal 17 3 4 5 2" xfId="32436"/>
    <cellStyle name="Normal 17 3 4 6" xfId="25996"/>
    <cellStyle name="Normal 17 3 5" xfId="950"/>
    <cellStyle name="Normal 17 3 5 2" xfId="4182"/>
    <cellStyle name="Normal 17 3 5 2 2" xfId="20282"/>
    <cellStyle name="Normal 17 3 5 2 2 2" xfId="42869"/>
    <cellStyle name="Normal 17 3 5 2 3" xfId="10622"/>
    <cellStyle name="Normal 17 3 5 2 3 2" xfId="33209"/>
    <cellStyle name="Normal 17 3 5 2 4" xfId="26769"/>
    <cellStyle name="Normal 17 3 5 3" xfId="17062"/>
    <cellStyle name="Normal 17 3 5 3 2" xfId="39649"/>
    <cellStyle name="Normal 17 3 5 4" xfId="13842"/>
    <cellStyle name="Normal 17 3 5 4 2" xfId="36429"/>
    <cellStyle name="Normal 17 3 5 5" xfId="7402"/>
    <cellStyle name="Normal 17 3 5 5 2" xfId="29989"/>
    <cellStyle name="Normal 17 3 5 6" xfId="23549"/>
    <cellStyle name="Normal 17 3 6" xfId="3699"/>
    <cellStyle name="Normal 17 3 6 2" xfId="19799"/>
    <cellStyle name="Normal 17 3 6 2 2" xfId="42386"/>
    <cellStyle name="Normal 17 3 6 3" xfId="10139"/>
    <cellStyle name="Normal 17 3 6 3 2" xfId="32726"/>
    <cellStyle name="Normal 17 3 6 4" xfId="26286"/>
    <cellStyle name="Normal 17 3 7" xfId="16579"/>
    <cellStyle name="Normal 17 3 7 2" xfId="39166"/>
    <cellStyle name="Normal 17 3 8" xfId="13359"/>
    <cellStyle name="Normal 17 3 8 2" xfId="35946"/>
    <cellStyle name="Normal 17 3 9" xfId="6919"/>
    <cellStyle name="Normal 17 3 9 2" xfId="29506"/>
    <cellStyle name="Normal 17 4" xfId="1302"/>
    <cellStyle name="Normal 17 4 2" xfId="2616"/>
    <cellStyle name="Normal 17 4 2 2" xfId="5837"/>
    <cellStyle name="Normal 17 4 2 2 2" xfId="21937"/>
    <cellStyle name="Normal 17 4 2 2 2 2" xfId="44524"/>
    <cellStyle name="Normal 17 4 2 2 3" xfId="12277"/>
    <cellStyle name="Normal 17 4 2 2 3 2" xfId="34864"/>
    <cellStyle name="Normal 17 4 2 2 4" xfId="28424"/>
    <cellStyle name="Normal 17 4 2 3" xfId="18717"/>
    <cellStyle name="Normal 17 4 2 3 2" xfId="41304"/>
    <cellStyle name="Normal 17 4 2 4" xfId="15497"/>
    <cellStyle name="Normal 17 4 2 4 2" xfId="38084"/>
    <cellStyle name="Normal 17 4 2 5" xfId="9057"/>
    <cellStyle name="Normal 17 4 2 5 2" xfId="31644"/>
    <cellStyle name="Normal 17 4 2 6" xfId="25204"/>
    <cellStyle name="Normal 17 4 3" xfId="4529"/>
    <cellStyle name="Normal 17 4 3 2" xfId="20629"/>
    <cellStyle name="Normal 17 4 3 2 2" xfId="43216"/>
    <cellStyle name="Normal 17 4 3 3" xfId="10969"/>
    <cellStyle name="Normal 17 4 3 3 2" xfId="33556"/>
    <cellStyle name="Normal 17 4 3 4" xfId="27116"/>
    <cellStyle name="Normal 17 4 4" xfId="17409"/>
    <cellStyle name="Normal 17 4 4 2" xfId="39996"/>
    <cellStyle name="Normal 17 4 5" xfId="14189"/>
    <cellStyle name="Normal 17 4 5 2" xfId="36776"/>
    <cellStyle name="Normal 17 4 6" xfId="7749"/>
    <cellStyle name="Normal 17 4 6 2" xfId="30336"/>
    <cellStyle name="Normal 17 4 7" xfId="23896"/>
    <cellStyle name="Normal 17 5" xfId="1921"/>
    <cellStyle name="Normal 17 5 2" xfId="5143"/>
    <cellStyle name="Normal 17 5 2 2" xfId="21243"/>
    <cellStyle name="Normal 17 5 2 2 2" xfId="43830"/>
    <cellStyle name="Normal 17 5 2 3" xfId="11583"/>
    <cellStyle name="Normal 17 5 2 3 2" xfId="34170"/>
    <cellStyle name="Normal 17 5 2 4" xfId="27730"/>
    <cellStyle name="Normal 17 5 3" xfId="18023"/>
    <cellStyle name="Normal 17 5 3 2" xfId="40610"/>
    <cellStyle name="Normal 17 5 4" xfId="14803"/>
    <cellStyle name="Normal 17 5 4 2" xfId="37390"/>
    <cellStyle name="Normal 17 5 5" xfId="8363"/>
    <cellStyle name="Normal 17 5 5 2" xfId="30950"/>
    <cellStyle name="Normal 17 5 6" xfId="24510"/>
    <cellStyle name="Normal 17 6" xfId="2925"/>
    <cellStyle name="Normal 17 6 2" xfId="6146"/>
    <cellStyle name="Normal 17 6 2 2" xfId="22246"/>
    <cellStyle name="Normal 17 6 2 2 2" xfId="44833"/>
    <cellStyle name="Normal 17 6 2 3" xfId="12586"/>
    <cellStyle name="Normal 17 6 2 3 2" xfId="35173"/>
    <cellStyle name="Normal 17 6 2 4" xfId="28733"/>
    <cellStyle name="Normal 17 6 3" xfId="19026"/>
    <cellStyle name="Normal 17 6 3 2" xfId="41613"/>
    <cellStyle name="Normal 17 6 4" xfId="15806"/>
    <cellStyle name="Normal 17 6 4 2" xfId="38393"/>
    <cellStyle name="Normal 17 6 5" xfId="9366"/>
    <cellStyle name="Normal 17 6 5 2" xfId="31953"/>
    <cellStyle name="Normal 17 6 6" xfId="25513"/>
    <cellStyle name="Normal 17 7" xfId="3216"/>
    <cellStyle name="Normal 17 7 2" xfId="6436"/>
    <cellStyle name="Normal 17 7 2 2" xfId="22536"/>
    <cellStyle name="Normal 17 7 2 2 2" xfId="45123"/>
    <cellStyle name="Normal 17 7 2 3" xfId="12876"/>
    <cellStyle name="Normal 17 7 2 3 2" xfId="35463"/>
    <cellStyle name="Normal 17 7 2 4" xfId="29023"/>
    <cellStyle name="Normal 17 7 3" xfId="19316"/>
    <cellStyle name="Normal 17 7 3 2" xfId="41903"/>
    <cellStyle name="Normal 17 7 4" xfId="16096"/>
    <cellStyle name="Normal 17 7 4 2" xfId="38683"/>
    <cellStyle name="Normal 17 7 5" xfId="9656"/>
    <cellStyle name="Normal 17 7 5 2" xfId="32243"/>
    <cellStyle name="Normal 17 7 6" xfId="25803"/>
    <cellStyle name="Normal 17 8" xfId="548"/>
    <cellStyle name="Normal 17 8 2" xfId="3835"/>
    <cellStyle name="Normal 17 8 2 2" xfId="19935"/>
    <cellStyle name="Normal 17 8 2 2 2" xfId="42522"/>
    <cellStyle name="Normal 17 8 2 3" xfId="10275"/>
    <cellStyle name="Normal 17 8 2 3 2" xfId="32862"/>
    <cellStyle name="Normal 17 8 2 4" xfId="26422"/>
    <cellStyle name="Normal 17 8 3" xfId="16715"/>
    <cellStyle name="Normal 17 8 3 2" xfId="39302"/>
    <cellStyle name="Normal 17 8 4" xfId="13495"/>
    <cellStyle name="Normal 17 8 4 2" xfId="36082"/>
    <cellStyle name="Normal 17 8 5" xfId="7055"/>
    <cellStyle name="Normal 17 8 5 2" xfId="29642"/>
    <cellStyle name="Normal 17 8 6" xfId="23202"/>
    <cellStyle name="Normal 17 9" xfId="3506"/>
    <cellStyle name="Normal 17 9 2" xfId="19606"/>
    <cellStyle name="Normal 17 9 2 2" xfId="42193"/>
    <cellStyle name="Normal 17 9 3" xfId="9946"/>
    <cellStyle name="Normal 17 9 3 2" xfId="32533"/>
    <cellStyle name="Normal 17 9 4" xfId="26093"/>
    <cellStyle name="Normal 18" xfId="435"/>
    <cellStyle name="Normal 18 10" xfId="13382"/>
    <cellStyle name="Normal 18 10 2" xfId="35969"/>
    <cellStyle name="Normal 18 11" xfId="6942"/>
    <cellStyle name="Normal 18 11 2" xfId="29529"/>
    <cellStyle name="Normal 18 12" xfId="23089"/>
    <cellStyle name="Normal 18 2" xfId="1071"/>
    <cellStyle name="Normal 18 2 2" xfId="2385"/>
    <cellStyle name="Normal 18 2 2 2" xfId="5606"/>
    <cellStyle name="Normal 18 2 2 2 2" xfId="21706"/>
    <cellStyle name="Normal 18 2 2 2 2 2" xfId="44293"/>
    <cellStyle name="Normal 18 2 2 2 3" xfId="12046"/>
    <cellStyle name="Normal 18 2 2 2 3 2" xfId="34633"/>
    <cellStyle name="Normal 18 2 2 2 4" xfId="28193"/>
    <cellStyle name="Normal 18 2 2 3" xfId="18486"/>
    <cellStyle name="Normal 18 2 2 3 2" xfId="41073"/>
    <cellStyle name="Normal 18 2 2 4" xfId="15266"/>
    <cellStyle name="Normal 18 2 2 4 2" xfId="37853"/>
    <cellStyle name="Normal 18 2 2 5" xfId="8826"/>
    <cellStyle name="Normal 18 2 2 5 2" xfId="31413"/>
    <cellStyle name="Normal 18 2 2 6" xfId="24973"/>
    <cellStyle name="Normal 18 2 3" xfId="4298"/>
    <cellStyle name="Normal 18 2 3 2" xfId="20398"/>
    <cellStyle name="Normal 18 2 3 2 2" xfId="42985"/>
    <cellStyle name="Normal 18 2 3 3" xfId="10738"/>
    <cellStyle name="Normal 18 2 3 3 2" xfId="33325"/>
    <cellStyle name="Normal 18 2 3 4" xfId="26885"/>
    <cellStyle name="Normal 18 2 4" xfId="17178"/>
    <cellStyle name="Normal 18 2 4 2" xfId="39765"/>
    <cellStyle name="Normal 18 2 5" xfId="13958"/>
    <cellStyle name="Normal 18 2 5 2" xfId="36545"/>
    <cellStyle name="Normal 18 2 6" xfId="7518"/>
    <cellStyle name="Normal 18 2 6 2" xfId="30105"/>
    <cellStyle name="Normal 18 2 7" xfId="23665"/>
    <cellStyle name="Normal 18 3" xfId="1418"/>
    <cellStyle name="Normal 18 3 2" xfId="2732"/>
    <cellStyle name="Normal 18 3 2 2" xfId="5953"/>
    <cellStyle name="Normal 18 3 2 2 2" xfId="22053"/>
    <cellStyle name="Normal 18 3 2 2 2 2" xfId="44640"/>
    <cellStyle name="Normal 18 3 2 2 3" xfId="12393"/>
    <cellStyle name="Normal 18 3 2 2 3 2" xfId="34980"/>
    <cellStyle name="Normal 18 3 2 2 4" xfId="28540"/>
    <cellStyle name="Normal 18 3 2 3" xfId="18833"/>
    <cellStyle name="Normal 18 3 2 3 2" xfId="41420"/>
    <cellStyle name="Normal 18 3 2 4" xfId="15613"/>
    <cellStyle name="Normal 18 3 2 4 2" xfId="38200"/>
    <cellStyle name="Normal 18 3 2 5" xfId="9173"/>
    <cellStyle name="Normal 18 3 2 5 2" xfId="31760"/>
    <cellStyle name="Normal 18 3 2 6" xfId="25320"/>
    <cellStyle name="Normal 18 3 3" xfId="4645"/>
    <cellStyle name="Normal 18 3 3 2" xfId="20745"/>
    <cellStyle name="Normal 18 3 3 2 2" xfId="43332"/>
    <cellStyle name="Normal 18 3 3 3" xfId="11085"/>
    <cellStyle name="Normal 18 3 3 3 2" xfId="33672"/>
    <cellStyle name="Normal 18 3 3 4" xfId="27232"/>
    <cellStyle name="Normal 18 3 4" xfId="17525"/>
    <cellStyle name="Normal 18 3 4 2" xfId="40112"/>
    <cellStyle name="Normal 18 3 5" xfId="14305"/>
    <cellStyle name="Normal 18 3 5 2" xfId="36892"/>
    <cellStyle name="Normal 18 3 6" xfId="7865"/>
    <cellStyle name="Normal 18 3 6 2" xfId="30452"/>
    <cellStyle name="Normal 18 3 7" xfId="24012"/>
    <cellStyle name="Normal 18 4" xfId="2037"/>
    <cellStyle name="Normal 18 4 2" xfId="5259"/>
    <cellStyle name="Normal 18 4 2 2" xfId="21359"/>
    <cellStyle name="Normal 18 4 2 2 2" xfId="43946"/>
    <cellStyle name="Normal 18 4 2 3" xfId="11699"/>
    <cellStyle name="Normal 18 4 2 3 2" xfId="34286"/>
    <cellStyle name="Normal 18 4 2 4" xfId="27846"/>
    <cellStyle name="Normal 18 4 3" xfId="18139"/>
    <cellStyle name="Normal 18 4 3 2" xfId="40726"/>
    <cellStyle name="Normal 18 4 4" xfId="14919"/>
    <cellStyle name="Normal 18 4 4 2" xfId="37506"/>
    <cellStyle name="Normal 18 4 5" xfId="8479"/>
    <cellStyle name="Normal 18 4 5 2" xfId="31066"/>
    <cellStyle name="Normal 18 4 6" xfId="24626"/>
    <cellStyle name="Normal 18 5" xfId="3142"/>
    <cellStyle name="Normal 18 5 2" xfId="6362"/>
    <cellStyle name="Normal 18 5 2 2" xfId="22462"/>
    <cellStyle name="Normal 18 5 2 2 2" xfId="45049"/>
    <cellStyle name="Normal 18 5 2 3" xfId="12802"/>
    <cellStyle name="Normal 18 5 2 3 2" xfId="35389"/>
    <cellStyle name="Normal 18 5 2 4" xfId="28949"/>
    <cellStyle name="Normal 18 5 3" xfId="19242"/>
    <cellStyle name="Normal 18 5 3 2" xfId="41829"/>
    <cellStyle name="Normal 18 5 4" xfId="16022"/>
    <cellStyle name="Normal 18 5 4 2" xfId="38609"/>
    <cellStyle name="Normal 18 5 5" xfId="9582"/>
    <cellStyle name="Normal 18 5 5 2" xfId="32169"/>
    <cellStyle name="Normal 18 5 6" xfId="25729"/>
    <cellStyle name="Normal 18 6" xfId="3432"/>
    <cellStyle name="Normal 18 6 2" xfId="6652"/>
    <cellStyle name="Normal 18 6 2 2" xfId="22752"/>
    <cellStyle name="Normal 18 6 2 2 2" xfId="45339"/>
    <cellStyle name="Normal 18 6 2 3" xfId="13092"/>
    <cellStyle name="Normal 18 6 2 3 2" xfId="35679"/>
    <cellStyle name="Normal 18 6 2 4" xfId="29239"/>
    <cellStyle name="Normal 18 6 3" xfId="19532"/>
    <cellStyle name="Normal 18 6 3 2" xfId="42119"/>
    <cellStyle name="Normal 18 6 4" xfId="16312"/>
    <cellStyle name="Normal 18 6 4 2" xfId="38899"/>
    <cellStyle name="Normal 18 6 5" xfId="9872"/>
    <cellStyle name="Normal 18 6 5 2" xfId="32459"/>
    <cellStyle name="Normal 18 6 6" xfId="26019"/>
    <cellStyle name="Normal 18 7" xfId="708"/>
    <cellStyle name="Normal 18 7 2" xfId="3951"/>
    <cellStyle name="Normal 18 7 2 2" xfId="20051"/>
    <cellStyle name="Normal 18 7 2 2 2" xfId="42638"/>
    <cellStyle name="Normal 18 7 2 3" xfId="10391"/>
    <cellStyle name="Normal 18 7 2 3 2" xfId="32978"/>
    <cellStyle name="Normal 18 7 2 4" xfId="26538"/>
    <cellStyle name="Normal 18 7 3" xfId="16831"/>
    <cellStyle name="Normal 18 7 3 2" xfId="39418"/>
    <cellStyle name="Normal 18 7 4" xfId="13611"/>
    <cellStyle name="Normal 18 7 4 2" xfId="36198"/>
    <cellStyle name="Normal 18 7 5" xfId="7171"/>
    <cellStyle name="Normal 18 7 5 2" xfId="29758"/>
    <cellStyle name="Normal 18 7 6" xfId="23318"/>
    <cellStyle name="Normal 18 8" xfId="3722"/>
    <cellStyle name="Normal 18 8 2" xfId="19822"/>
    <cellStyle name="Normal 18 8 2 2" xfId="42409"/>
    <cellStyle name="Normal 18 8 3" xfId="10162"/>
    <cellStyle name="Normal 18 8 3 2" xfId="32749"/>
    <cellStyle name="Normal 18 8 4" xfId="26309"/>
    <cellStyle name="Normal 18 9" xfId="16602"/>
    <cellStyle name="Normal 18 9 2" xfId="39189"/>
    <cellStyle name="Normal 19" xfId="2851"/>
    <cellStyle name="Normal 19 2" xfId="6072"/>
    <cellStyle name="Normal 19 2 2" xfId="22172"/>
    <cellStyle name="Normal 19 2 2 2" xfId="44759"/>
    <cellStyle name="Normal 19 2 3" xfId="12512"/>
    <cellStyle name="Normal 19 2 3 2" xfId="35099"/>
    <cellStyle name="Normal 19 2 4" xfId="28659"/>
    <cellStyle name="Normal 19 3" xfId="18952"/>
    <cellStyle name="Normal 19 3 2" xfId="41539"/>
    <cellStyle name="Normal 19 4" xfId="15732"/>
    <cellStyle name="Normal 19 4 2" xfId="38319"/>
    <cellStyle name="Normal 19 5" xfId="9292"/>
    <cellStyle name="Normal 19 5 2" xfId="31879"/>
    <cellStyle name="Normal 19 6" xfId="25439"/>
    <cellStyle name="Normal 2" xfId="86"/>
    <cellStyle name="Normal 2 2" xfId="92"/>
    <cellStyle name="Normal 2 2 2" xfId="198"/>
    <cellStyle name="Normal 2 2 2 2" xfId="270"/>
    <cellStyle name="Normal 2 2 2 2 2" xfId="2977"/>
    <cellStyle name="Normal 2 2 2 2 2 2" xfId="6197"/>
    <cellStyle name="Normal 2 2 2 2 2 2 2" xfId="22297"/>
    <cellStyle name="Normal 2 2 2 2 2 2 2 2" xfId="44884"/>
    <cellStyle name="Normal 2 2 2 2 2 2 3" xfId="12637"/>
    <cellStyle name="Normal 2 2 2 2 2 2 3 2" xfId="35224"/>
    <cellStyle name="Normal 2 2 2 2 2 2 4" xfId="28784"/>
    <cellStyle name="Normal 2 2 2 2 2 3" xfId="19077"/>
    <cellStyle name="Normal 2 2 2 2 2 3 2" xfId="41664"/>
    <cellStyle name="Normal 2 2 2 2 2 4" xfId="15857"/>
    <cellStyle name="Normal 2 2 2 2 2 4 2" xfId="38444"/>
    <cellStyle name="Normal 2 2 2 2 2 5" xfId="9417"/>
    <cellStyle name="Normal 2 2 2 2 2 5 2" xfId="32004"/>
    <cellStyle name="Normal 2 2 2 2 2 6" xfId="25564"/>
    <cellStyle name="Normal 2 2 2 2 3" xfId="3267"/>
    <cellStyle name="Normal 2 2 2 2 3 2" xfId="6487"/>
    <cellStyle name="Normal 2 2 2 2 3 2 2" xfId="22587"/>
    <cellStyle name="Normal 2 2 2 2 3 2 2 2" xfId="45174"/>
    <cellStyle name="Normal 2 2 2 2 3 2 3" xfId="12927"/>
    <cellStyle name="Normal 2 2 2 2 3 2 3 2" xfId="35514"/>
    <cellStyle name="Normal 2 2 2 2 3 2 4" xfId="29074"/>
    <cellStyle name="Normal 2 2 2 2 3 3" xfId="19367"/>
    <cellStyle name="Normal 2 2 2 2 3 3 2" xfId="41954"/>
    <cellStyle name="Normal 2 2 2 2 3 4" xfId="16147"/>
    <cellStyle name="Normal 2 2 2 2 3 4 2" xfId="38734"/>
    <cellStyle name="Normal 2 2 2 2 3 5" xfId="9707"/>
    <cellStyle name="Normal 2 2 2 2 3 5 2" xfId="32294"/>
    <cellStyle name="Normal 2 2 2 2 3 6" xfId="25854"/>
    <cellStyle name="Normal 2 2 2 2 4" xfId="1538"/>
    <cellStyle name="Normal 2 2 2 2 4 2" xfId="4765"/>
    <cellStyle name="Normal 2 2 2 2 4 2 2" xfId="20865"/>
    <cellStyle name="Normal 2 2 2 2 4 2 2 2" xfId="43452"/>
    <cellStyle name="Normal 2 2 2 2 4 2 3" xfId="11205"/>
    <cellStyle name="Normal 2 2 2 2 4 2 3 2" xfId="33792"/>
    <cellStyle name="Normal 2 2 2 2 4 2 4" xfId="27352"/>
    <cellStyle name="Normal 2 2 2 2 4 3" xfId="17645"/>
    <cellStyle name="Normal 2 2 2 2 4 3 2" xfId="40232"/>
    <cellStyle name="Normal 2 2 2 2 4 4" xfId="14425"/>
    <cellStyle name="Normal 2 2 2 2 4 4 2" xfId="37012"/>
    <cellStyle name="Normal 2 2 2 2 4 5" xfId="7985"/>
    <cellStyle name="Normal 2 2 2 2 4 5 2" xfId="30572"/>
    <cellStyle name="Normal 2 2 2 2 4 6" xfId="24132"/>
    <cellStyle name="Normal 2 2 2 2 5" xfId="3557"/>
    <cellStyle name="Normal 2 2 2 2 5 2" xfId="19657"/>
    <cellStyle name="Normal 2 2 2 2 5 2 2" xfId="42244"/>
    <cellStyle name="Normal 2 2 2 2 5 3" xfId="9997"/>
    <cellStyle name="Normal 2 2 2 2 5 3 2" xfId="32584"/>
    <cellStyle name="Normal 2 2 2 2 5 4" xfId="26144"/>
    <cellStyle name="Normal 2 2 2 2 6" xfId="16437"/>
    <cellStyle name="Normal 2 2 2 2 6 2" xfId="39024"/>
    <cellStyle name="Normal 2 2 2 2 7" xfId="13217"/>
    <cellStyle name="Normal 2 2 2 2 7 2" xfId="35804"/>
    <cellStyle name="Normal 2 2 2 2 8" xfId="6777"/>
    <cellStyle name="Normal 2 2 2 2 8 2" xfId="29364"/>
    <cellStyle name="Normal 2 2 2 2 9" xfId="22924"/>
    <cellStyle name="Normal 2 2 2 3" xfId="1617"/>
    <cellStyle name="Normal 2 2 3" xfId="150"/>
    <cellStyle name="Normal 2 2 3 10" xfId="2904"/>
    <cellStyle name="Normal 2 2 3 10 2" xfId="6125"/>
    <cellStyle name="Normal 2 2 3 10 2 2" xfId="22225"/>
    <cellStyle name="Normal 2 2 3 10 2 2 2" xfId="44812"/>
    <cellStyle name="Normal 2 2 3 10 2 3" xfId="12565"/>
    <cellStyle name="Normal 2 2 3 10 2 3 2" xfId="35152"/>
    <cellStyle name="Normal 2 2 3 10 2 4" xfId="28712"/>
    <cellStyle name="Normal 2 2 3 10 3" xfId="19005"/>
    <cellStyle name="Normal 2 2 3 10 3 2" xfId="41592"/>
    <cellStyle name="Normal 2 2 3 10 4" xfId="15785"/>
    <cellStyle name="Normal 2 2 3 10 4 2" xfId="38372"/>
    <cellStyle name="Normal 2 2 3 10 5" xfId="9345"/>
    <cellStyle name="Normal 2 2 3 10 5 2" xfId="31932"/>
    <cellStyle name="Normal 2 2 3 10 6" xfId="25492"/>
    <cellStyle name="Normal 2 2 3 11" xfId="3195"/>
    <cellStyle name="Normal 2 2 3 11 2" xfId="6415"/>
    <cellStyle name="Normal 2 2 3 11 2 2" xfId="22515"/>
    <cellStyle name="Normal 2 2 3 11 2 2 2" xfId="45102"/>
    <cellStyle name="Normal 2 2 3 11 2 3" xfId="12855"/>
    <cellStyle name="Normal 2 2 3 11 2 3 2" xfId="35442"/>
    <cellStyle name="Normal 2 2 3 11 2 4" xfId="29002"/>
    <cellStyle name="Normal 2 2 3 11 3" xfId="19295"/>
    <cellStyle name="Normal 2 2 3 11 3 2" xfId="41882"/>
    <cellStyle name="Normal 2 2 3 11 4" xfId="16075"/>
    <cellStyle name="Normal 2 2 3 11 4 2" xfId="38662"/>
    <cellStyle name="Normal 2 2 3 11 5" xfId="9635"/>
    <cellStyle name="Normal 2 2 3 11 5 2" xfId="32222"/>
    <cellStyle name="Normal 2 2 3 11 6" xfId="25782"/>
    <cellStyle name="Normal 2 2 3 12" xfId="488"/>
    <cellStyle name="Normal 2 2 3 12 2" xfId="3775"/>
    <cellStyle name="Normal 2 2 3 12 2 2" xfId="19875"/>
    <cellStyle name="Normal 2 2 3 12 2 2 2" xfId="42462"/>
    <cellStyle name="Normal 2 2 3 12 2 3" xfId="10215"/>
    <cellStyle name="Normal 2 2 3 12 2 3 2" xfId="32802"/>
    <cellStyle name="Normal 2 2 3 12 2 4" xfId="26362"/>
    <cellStyle name="Normal 2 2 3 12 3" xfId="16655"/>
    <cellStyle name="Normal 2 2 3 12 3 2" xfId="39242"/>
    <cellStyle name="Normal 2 2 3 12 4" xfId="13435"/>
    <cellStyle name="Normal 2 2 3 12 4 2" xfId="36022"/>
    <cellStyle name="Normal 2 2 3 12 5" xfId="6995"/>
    <cellStyle name="Normal 2 2 3 12 5 2" xfId="29582"/>
    <cellStyle name="Normal 2 2 3 12 6" xfId="23142"/>
    <cellStyle name="Normal 2 2 3 13" xfId="3485"/>
    <cellStyle name="Normal 2 2 3 13 2" xfId="19585"/>
    <cellStyle name="Normal 2 2 3 13 2 2" xfId="42172"/>
    <cellStyle name="Normal 2 2 3 13 3" xfId="9925"/>
    <cellStyle name="Normal 2 2 3 13 3 2" xfId="32512"/>
    <cellStyle name="Normal 2 2 3 13 4" xfId="26072"/>
    <cellStyle name="Normal 2 2 3 14" xfId="16365"/>
    <cellStyle name="Normal 2 2 3 14 2" xfId="38952"/>
    <cellStyle name="Normal 2 2 3 15" xfId="13145"/>
    <cellStyle name="Normal 2 2 3 15 2" xfId="35732"/>
    <cellStyle name="Normal 2 2 3 16" xfId="6705"/>
    <cellStyle name="Normal 2 2 3 16 2" xfId="29292"/>
    <cellStyle name="Normal 2 2 3 17" xfId="22852"/>
    <cellStyle name="Normal 2 2 3 2" xfId="295"/>
    <cellStyle name="Normal 2 2 3 2 10" xfId="3582"/>
    <cellStyle name="Normal 2 2 3 2 10 2" xfId="19682"/>
    <cellStyle name="Normal 2 2 3 2 10 2 2" xfId="42269"/>
    <cellStyle name="Normal 2 2 3 2 10 3" xfId="10022"/>
    <cellStyle name="Normal 2 2 3 2 10 3 2" xfId="32609"/>
    <cellStyle name="Normal 2 2 3 2 10 4" xfId="26169"/>
    <cellStyle name="Normal 2 2 3 2 11" xfId="16462"/>
    <cellStyle name="Normal 2 2 3 2 11 2" xfId="39049"/>
    <cellStyle name="Normal 2 2 3 2 12" xfId="13242"/>
    <cellStyle name="Normal 2 2 3 2 12 2" xfId="35829"/>
    <cellStyle name="Normal 2 2 3 2 13" xfId="6802"/>
    <cellStyle name="Normal 2 2 3 2 13 2" xfId="29389"/>
    <cellStyle name="Normal 2 2 3 2 14" xfId="22949"/>
    <cellStyle name="Normal 2 2 3 2 2" xfId="687"/>
    <cellStyle name="Normal 2 2 3 2 2 10" xfId="23298"/>
    <cellStyle name="Normal 2 2 3 2 2 2" xfId="1051"/>
    <cellStyle name="Normal 2 2 3 2 2 2 2" xfId="2365"/>
    <cellStyle name="Normal 2 2 3 2 2 2 2 2" xfId="5586"/>
    <cellStyle name="Normal 2 2 3 2 2 2 2 2 2" xfId="21686"/>
    <cellStyle name="Normal 2 2 3 2 2 2 2 2 2 2" xfId="44273"/>
    <cellStyle name="Normal 2 2 3 2 2 2 2 2 3" xfId="12026"/>
    <cellStyle name="Normal 2 2 3 2 2 2 2 2 3 2" xfId="34613"/>
    <cellStyle name="Normal 2 2 3 2 2 2 2 2 4" xfId="28173"/>
    <cellStyle name="Normal 2 2 3 2 2 2 2 3" xfId="18466"/>
    <cellStyle name="Normal 2 2 3 2 2 2 2 3 2" xfId="41053"/>
    <cellStyle name="Normal 2 2 3 2 2 2 2 4" xfId="15246"/>
    <cellStyle name="Normal 2 2 3 2 2 2 2 4 2" xfId="37833"/>
    <cellStyle name="Normal 2 2 3 2 2 2 2 5" xfId="8806"/>
    <cellStyle name="Normal 2 2 3 2 2 2 2 5 2" xfId="31393"/>
    <cellStyle name="Normal 2 2 3 2 2 2 2 6" xfId="24953"/>
    <cellStyle name="Normal 2 2 3 2 2 2 3" xfId="4278"/>
    <cellStyle name="Normal 2 2 3 2 2 2 3 2" xfId="20378"/>
    <cellStyle name="Normal 2 2 3 2 2 2 3 2 2" xfId="42965"/>
    <cellStyle name="Normal 2 2 3 2 2 2 3 3" xfId="10718"/>
    <cellStyle name="Normal 2 2 3 2 2 2 3 3 2" xfId="33305"/>
    <cellStyle name="Normal 2 2 3 2 2 2 3 4" xfId="26865"/>
    <cellStyle name="Normal 2 2 3 2 2 2 4" xfId="17158"/>
    <cellStyle name="Normal 2 2 3 2 2 2 4 2" xfId="39745"/>
    <cellStyle name="Normal 2 2 3 2 2 2 5" xfId="13938"/>
    <cellStyle name="Normal 2 2 3 2 2 2 5 2" xfId="36525"/>
    <cellStyle name="Normal 2 2 3 2 2 2 6" xfId="7498"/>
    <cellStyle name="Normal 2 2 3 2 2 2 6 2" xfId="30085"/>
    <cellStyle name="Normal 2 2 3 2 2 2 7" xfId="23645"/>
    <cellStyle name="Normal 2 2 3 2 2 3" xfId="1398"/>
    <cellStyle name="Normal 2 2 3 2 2 3 2" xfId="2712"/>
    <cellStyle name="Normal 2 2 3 2 2 3 2 2" xfId="5933"/>
    <cellStyle name="Normal 2 2 3 2 2 3 2 2 2" xfId="22033"/>
    <cellStyle name="Normal 2 2 3 2 2 3 2 2 2 2" xfId="44620"/>
    <cellStyle name="Normal 2 2 3 2 2 3 2 2 3" xfId="12373"/>
    <cellStyle name="Normal 2 2 3 2 2 3 2 2 3 2" xfId="34960"/>
    <cellStyle name="Normal 2 2 3 2 2 3 2 2 4" xfId="28520"/>
    <cellStyle name="Normal 2 2 3 2 2 3 2 3" xfId="18813"/>
    <cellStyle name="Normal 2 2 3 2 2 3 2 3 2" xfId="41400"/>
    <cellStyle name="Normal 2 2 3 2 2 3 2 4" xfId="15593"/>
    <cellStyle name="Normal 2 2 3 2 2 3 2 4 2" xfId="38180"/>
    <cellStyle name="Normal 2 2 3 2 2 3 2 5" xfId="9153"/>
    <cellStyle name="Normal 2 2 3 2 2 3 2 5 2" xfId="31740"/>
    <cellStyle name="Normal 2 2 3 2 2 3 2 6" xfId="25300"/>
    <cellStyle name="Normal 2 2 3 2 2 3 3" xfId="4625"/>
    <cellStyle name="Normal 2 2 3 2 2 3 3 2" xfId="20725"/>
    <cellStyle name="Normal 2 2 3 2 2 3 3 2 2" xfId="43312"/>
    <cellStyle name="Normal 2 2 3 2 2 3 3 3" xfId="11065"/>
    <cellStyle name="Normal 2 2 3 2 2 3 3 3 2" xfId="33652"/>
    <cellStyle name="Normal 2 2 3 2 2 3 3 4" xfId="27212"/>
    <cellStyle name="Normal 2 2 3 2 2 3 4" xfId="17505"/>
    <cellStyle name="Normal 2 2 3 2 2 3 4 2" xfId="40092"/>
    <cellStyle name="Normal 2 2 3 2 2 3 5" xfId="14285"/>
    <cellStyle name="Normal 2 2 3 2 2 3 5 2" xfId="36872"/>
    <cellStyle name="Normal 2 2 3 2 2 3 6" xfId="7845"/>
    <cellStyle name="Normal 2 2 3 2 2 3 6 2" xfId="30432"/>
    <cellStyle name="Normal 2 2 3 2 2 3 7" xfId="23992"/>
    <cellStyle name="Normal 2 2 3 2 2 4" xfId="1618"/>
    <cellStyle name="Normal 2 2 3 2 2 4 2" xfId="4843"/>
    <cellStyle name="Normal 2 2 3 2 2 4 2 2" xfId="20943"/>
    <cellStyle name="Normal 2 2 3 2 2 4 2 2 2" xfId="43530"/>
    <cellStyle name="Normal 2 2 3 2 2 4 2 3" xfId="11283"/>
    <cellStyle name="Normal 2 2 3 2 2 4 2 3 2" xfId="33870"/>
    <cellStyle name="Normal 2 2 3 2 2 4 2 4" xfId="27430"/>
    <cellStyle name="Normal 2 2 3 2 2 4 3" xfId="17723"/>
    <cellStyle name="Normal 2 2 3 2 2 4 3 2" xfId="40310"/>
    <cellStyle name="Normal 2 2 3 2 2 4 4" xfId="14503"/>
    <cellStyle name="Normal 2 2 3 2 2 4 4 2" xfId="37090"/>
    <cellStyle name="Normal 2 2 3 2 2 4 5" xfId="8063"/>
    <cellStyle name="Normal 2 2 3 2 2 4 5 2" xfId="30650"/>
    <cellStyle name="Normal 2 2 3 2 2 4 6" xfId="24210"/>
    <cellStyle name="Normal 2 2 3 2 2 5" xfId="2017"/>
    <cellStyle name="Normal 2 2 3 2 2 5 2" xfId="5239"/>
    <cellStyle name="Normal 2 2 3 2 2 5 2 2" xfId="21339"/>
    <cellStyle name="Normal 2 2 3 2 2 5 2 2 2" xfId="43926"/>
    <cellStyle name="Normal 2 2 3 2 2 5 2 3" xfId="11679"/>
    <cellStyle name="Normal 2 2 3 2 2 5 2 3 2" xfId="34266"/>
    <cellStyle name="Normal 2 2 3 2 2 5 2 4" xfId="27826"/>
    <cellStyle name="Normal 2 2 3 2 2 5 3" xfId="18119"/>
    <cellStyle name="Normal 2 2 3 2 2 5 3 2" xfId="40706"/>
    <cellStyle name="Normal 2 2 3 2 2 5 4" xfId="14899"/>
    <cellStyle name="Normal 2 2 3 2 2 5 4 2" xfId="37486"/>
    <cellStyle name="Normal 2 2 3 2 2 5 5" xfId="8459"/>
    <cellStyle name="Normal 2 2 3 2 2 5 5 2" xfId="31046"/>
    <cellStyle name="Normal 2 2 3 2 2 5 6" xfId="24606"/>
    <cellStyle name="Normal 2 2 3 2 2 6" xfId="3931"/>
    <cellStyle name="Normal 2 2 3 2 2 6 2" xfId="20031"/>
    <cellStyle name="Normal 2 2 3 2 2 6 2 2" xfId="42618"/>
    <cellStyle name="Normal 2 2 3 2 2 6 3" xfId="10371"/>
    <cellStyle name="Normal 2 2 3 2 2 6 3 2" xfId="32958"/>
    <cellStyle name="Normal 2 2 3 2 2 6 4" xfId="26518"/>
    <cellStyle name="Normal 2 2 3 2 2 7" xfId="16811"/>
    <cellStyle name="Normal 2 2 3 2 2 7 2" xfId="39398"/>
    <cellStyle name="Normal 2 2 3 2 2 8" xfId="13591"/>
    <cellStyle name="Normal 2 2 3 2 2 8 2" xfId="36178"/>
    <cellStyle name="Normal 2 2 3 2 2 9" xfId="7151"/>
    <cellStyle name="Normal 2 2 3 2 2 9 2" xfId="29738"/>
    <cellStyle name="Normal 2 2 3 2 3" xfId="930"/>
    <cellStyle name="Normal 2 2 3 2 3 2" xfId="2249"/>
    <cellStyle name="Normal 2 2 3 2 3 2 2" xfId="5470"/>
    <cellStyle name="Normal 2 2 3 2 3 2 2 2" xfId="21570"/>
    <cellStyle name="Normal 2 2 3 2 3 2 2 2 2" xfId="44157"/>
    <cellStyle name="Normal 2 2 3 2 3 2 2 3" xfId="11910"/>
    <cellStyle name="Normal 2 2 3 2 3 2 2 3 2" xfId="34497"/>
    <cellStyle name="Normal 2 2 3 2 3 2 2 4" xfId="28057"/>
    <cellStyle name="Normal 2 2 3 2 3 2 3" xfId="18350"/>
    <cellStyle name="Normal 2 2 3 2 3 2 3 2" xfId="40937"/>
    <cellStyle name="Normal 2 2 3 2 3 2 4" xfId="15130"/>
    <cellStyle name="Normal 2 2 3 2 3 2 4 2" xfId="37717"/>
    <cellStyle name="Normal 2 2 3 2 3 2 5" xfId="8690"/>
    <cellStyle name="Normal 2 2 3 2 3 2 5 2" xfId="31277"/>
    <cellStyle name="Normal 2 2 3 2 3 2 6" xfId="24837"/>
    <cellStyle name="Normal 2 2 3 2 3 3" xfId="4162"/>
    <cellStyle name="Normal 2 2 3 2 3 3 2" xfId="20262"/>
    <cellStyle name="Normal 2 2 3 2 3 3 2 2" xfId="42849"/>
    <cellStyle name="Normal 2 2 3 2 3 3 3" xfId="10602"/>
    <cellStyle name="Normal 2 2 3 2 3 3 3 2" xfId="33189"/>
    <cellStyle name="Normal 2 2 3 2 3 3 4" xfId="26749"/>
    <cellStyle name="Normal 2 2 3 2 3 4" xfId="17042"/>
    <cellStyle name="Normal 2 2 3 2 3 4 2" xfId="39629"/>
    <cellStyle name="Normal 2 2 3 2 3 5" xfId="13822"/>
    <cellStyle name="Normal 2 2 3 2 3 5 2" xfId="36409"/>
    <cellStyle name="Normal 2 2 3 2 3 6" xfId="7382"/>
    <cellStyle name="Normal 2 2 3 2 3 6 2" xfId="29969"/>
    <cellStyle name="Normal 2 2 3 2 3 7" xfId="23529"/>
    <cellStyle name="Normal 2 2 3 2 4" xfId="1282"/>
    <cellStyle name="Normal 2 2 3 2 4 2" xfId="2596"/>
    <cellStyle name="Normal 2 2 3 2 4 2 2" xfId="5817"/>
    <cellStyle name="Normal 2 2 3 2 4 2 2 2" xfId="21917"/>
    <cellStyle name="Normal 2 2 3 2 4 2 2 2 2" xfId="44504"/>
    <cellStyle name="Normal 2 2 3 2 4 2 2 3" xfId="12257"/>
    <cellStyle name="Normal 2 2 3 2 4 2 2 3 2" xfId="34844"/>
    <cellStyle name="Normal 2 2 3 2 4 2 2 4" xfId="28404"/>
    <cellStyle name="Normal 2 2 3 2 4 2 3" xfId="18697"/>
    <cellStyle name="Normal 2 2 3 2 4 2 3 2" xfId="41284"/>
    <cellStyle name="Normal 2 2 3 2 4 2 4" xfId="15477"/>
    <cellStyle name="Normal 2 2 3 2 4 2 4 2" xfId="38064"/>
    <cellStyle name="Normal 2 2 3 2 4 2 5" xfId="9037"/>
    <cellStyle name="Normal 2 2 3 2 4 2 5 2" xfId="31624"/>
    <cellStyle name="Normal 2 2 3 2 4 2 6" xfId="25184"/>
    <cellStyle name="Normal 2 2 3 2 4 3" xfId="4509"/>
    <cellStyle name="Normal 2 2 3 2 4 3 2" xfId="20609"/>
    <cellStyle name="Normal 2 2 3 2 4 3 2 2" xfId="43196"/>
    <cellStyle name="Normal 2 2 3 2 4 3 3" xfId="10949"/>
    <cellStyle name="Normal 2 2 3 2 4 3 3 2" xfId="33536"/>
    <cellStyle name="Normal 2 2 3 2 4 3 4" xfId="27096"/>
    <cellStyle name="Normal 2 2 3 2 4 4" xfId="17389"/>
    <cellStyle name="Normal 2 2 3 2 4 4 2" xfId="39976"/>
    <cellStyle name="Normal 2 2 3 2 4 5" xfId="14169"/>
    <cellStyle name="Normal 2 2 3 2 4 5 2" xfId="36756"/>
    <cellStyle name="Normal 2 2 3 2 4 6" xfId="7729"/>
    <cellStyle name="Normal 2 2 3 2 4 6 2" xfId="30316"/>
    <cellStyle name="Normal 2 2 3 2 4 7" xfId="23876"/>
    <cellStyle name="Normal 2 2 3 2 5" xfId="1619"/>
    <cellStyle name="Normal 2 2 3 2 5 2" xfId="4844"/>
    <cellStyle name="Normal 2 2 3 2 5 2 2" xfId="20944"/>
    <cellStyle name="Normal 2 2 3 2 5 2 2 2" xfId="43531"/>
    <cellStyle name="Normal 2 2 3 2 5 2 3" xfId="11284"/>
    <cellStyle name="Normal 2 2 3 2 5 2 3 2" xfId="33871"/>
    <cellStyle name="Normal 2 2 3 2 5 2 4" xfId="27431"/>
    <cellStyle name="Normal 2 2 3 2 5 3" xfId="17724"/>
    <cellStyle name="Normal 2 2 3 2 5 3 2" xfId="40311"/>
    <cellStyle name="Normal 2 2 3 2 5 4" xfId="14504"/>
    <cellStyle name="Normal 2 2 3 2 5 4 2" xfId="37091"/>
    <cellStyle name="Normal 2 2 3 2 5 5" xfId="8064"/>
    <cellStyle name="Normal 2 2 3 2 5 5 2" xfId="30651"/>
    <cellStyle name="Normal 2 2 3 2 5 6" xfId="24211"/>
    <cellStyle name="Normal 2 2 3 2 6" xfId="1901"/>
    <cellStyle name="Normal 2 2 3 2 6 2" xfId="5123"/>
    <cellStyle name="Normal 2 2 3 2 6 2 2" xfId="21223"/>
    <cellStyle name="Normal 2 2 3 2 6 2 2 2" xfId="43810"/>
    <cellStyle name="Normal 2 2 3 2 6 2 3" xfId="11563"/>
    <cellStyle name="Normal 2 2 3 2 6 2 3 2" xfId="34150"/>
    <cellStyle name="Normal 2 2 3 2 6 2 4" xfId="27710"/>
    <cellStyle name="Normal 2 2 3 2 6 3" xfId="18003"/>
    <cellStyle name="Normal 2 2 3 2 6 3 2" xfId="40590"/>
    <cellStyle name="Normal 2 2 3 2 6 4" xfId="14783"/>
    <cellStyle name="Normal 2 2 3 2 6 4 2" xfId="37370"/>
    <cellStyle name="Normal 2 2 3 2 6 5" xfId="8343"/>
    <cellStyle name="Normal 2 2 3 2 6 5 2" xfId="30930"/>
    <cellStyle name="Normal 2 2 3 2 6 6" xfId="24490"/>
    <cellStyle name="Normal 2 2 3 2 7" xfId="3002"/>
    <cellStyle name="Normal 2 2 3 2 7 2" xfId="6222"/>
    <cellStyle name="Normal 2 2 3 2 7 2 2" xfId="22322"/>
    <cellStyle name="Normal 2 2 3 2 7 2 2 2" xfId="44909"/>
    <cellStyle name="Normal 2 2 3 2 7 2 3" xfId="12662"/>
    <cellStyle name="Normal 2 2 3 2 7 2 3 2" xfId="35249"/>
    <cellStyle name="Normal 2 2 3 2 7 2 4" xfId="28809"/>
    <cellStyle name="Normal 2 2 3 2 7 3" xfId="19102"/>
    <cellStyle name="Normal 2 2 3 2 7 3 2" xfId="41689"/>
    <cellStyle name="Normal 2 2 3 2 7 4" xfId="15882"/>
    <cellStyle name="Normal 2 2 3 2 7 4 2" xfId="38469"/>
    <cellStyle name="Normal 2 2 3 2 7 5" xfId="9442"/>
    <cellStyle name="Normal 2 2 3 2 7 5 2" xfId="32029"/>
    <cellStyle name="Normal 2 2 3 2 7 6" xfId="25589"/>
    <cellStyle name="Normal 2 2 3 2 8" xfId="3292"/>
    <cellStyle name="Normal 2 2 3 2 8 2" xfId="6512"/>
    <cellStyle name="Normal 2 2 3 2 8 2 2" xfId="22612"/>
    <cellStyle name="Normal 2 2 3 2 8 2 2 2" xfId="45199"/>
    <cellStyle name="Normal 2 2 3 2 8 2 3" xfId="12952"/>
    <cellStyle name="Normal 2 2 3 2 8 2 3 2" xfId="35539"/>
    <cellStyle name="Normal 2 2 3 2 8 2 4" xfId="29099"/>
    <cellStyle name="Normal 2 2 3 2 8 3" xfId="19392"/>
    <cellStyle name="Normal 2 2 3 2 8 3 2" xfId="41979"/>
    <cellStyle name="Normal 2 2 3 2 8 4" xfId="16172"/>
    <cellStyle name="Normal 2 2 3 2 8 4 2" xfId="38759"/>
    <cellStyle name="Normal 2 2 3 2 8 5" xfId="9732"/>
    <cellStyle name="Normal 2 2 3 2 8 5 2" xfId="32319"/>
    <cellStyle name="Normal 2 2 3 2 8 6" xfId="25879"/>
    <cellStyle name="Normal 2 2 3 2 9" xfId="528"/>
    <cellStyle name="Normal 2 2 3 2 9 2" xfId="3815"/>
    <cellStyle name="Normal 2 2 3 2 9 2 2" xfId="19915"/>
    <cellStyle name="Normal 2 2 3 2 9 2 2 2" xfId="42502"/>
    <cellStyle name="Normal 2 2 3 2 9 2 3" xfId="10255"/>
    <cellStyle name="Normal 2 2 3 2 9 2 3 2" xfId="32842"/>
    <cellStyle name="Normal 2 2 3 2 9 2 4" xfId="26402"/>
    <cellStyle name="Normal 2 2 3 2 9 3" xfId="16695"/>
    <cellStyle name="Normal 2 2 3 2 9 3 2" xfId="39282"/>
    <cellStyle name="Normal 2 2 3 2 9 4" xfId="13475"/>
    <cellStyle name="Normal 2 2 3 2 9 4 2" xfId="36062"/>
    <cellStyle name="Normal 2 2 3 2 9 5" xfId="7035"/>
    <cellStyle name="Normal 2 2 3 2 9 5 2" xfId="29622"/>
    <cellStyle name="Normal 2 2 3 2 9 6" xfId="23182"/>
    <cellStyle name="Normal 2 2 3 3" xfId="391"/>
    <cellStyle name="Normal 2 2 3 3 10" xfId="16558"/>
    <cellStyle name="Normal 2 2 3 3 10 2" xfId="39145"/>
    <cellStyle name="Normal 2 2 3 3 11" xfId="13338"/>
    <cellStyle name="Normal 2 2 3 3 11 2" xfId="35925"/>
    <cellStyle name="Normal 2 2 3 3 12" xfId="6898"/>
    <cellStyle name="Normal 2 2 3 3 12 2" xfId="29485"/>
    <cellStyle name="Normal 2 2 3 3 13" xfId="23045"/>
    <cellStyle name="Normal 2 2 3 3 2" xfId="1014"/>
    <cellStyle name="Normal 2 2 3 3 2 2" xfId="2328"/>
    <cellStyle name="Normal 2 2 3 3 2 2 2" xfId="5549"/>
    <cellStyle name="Normal 2 2 3 3 2 2 2 2" xfId="21649"/>
    <cellStyle name="Normal 2 2 3 3 2 2 2 2 2" xfId="44236"/>
    <cellStyle name="Normal 2 2 3 3 2 2 2 3" xfId="11989"/>
    <cellStyle name="Normal 2 2 3 3 2 2 2 3 2" xfId="34576"/>
    <cellStyle name="Normal 2 2 3 3 2 2 2 4" xfId="28136"/>
    <cellStyle name="Normal 2 2 3 3 2 2 3" xfId="18429"/>
    <cellStyle name="Normal 2 2 3 3 2 2 3 2" xfId="41016"/>
    <cellStyle name="Normal 2 2 3 3 2 2 4" xfId="15209"/>
    <cellStyle name="Normal 2 2 3 3 2 2 4 2" xfId="37796"/>
    <cellStyle name="Normal 2 2 3 3 2 2 5" xfId="8769"/>
    <cellStyle name="Normal 2 2 3 3 2 2 5 2" xfId="31356"/>
    <cellStyle name="Normal 2 2 3 3 2 2 6" xfId="24916"/>
    <cellStyle name="Normal 2 2 3 3 2 3" xfId="4241"/>
    <cellStyle name="Normal 2 2 3 3 2 3 2" xfId="20341"/>
    <cellStyle name="Normal 2 2 3 3 2 3 2 2" xfId="42928"/>
    <cellStyle name="Normal 2 2 3 3 2 3 3" xfId="10681"/>
    <cellStyle name="Normal 2 2 3 3 2 3 3 2" xfId="33268"/>
    <cellStyle name="Normal 2 2 3 3 2 3 4" xfId="26828"/>
    <cellStyle name="Normal 2 2 3 3 2 4" xfId="17121"/>
    <cellStyle name="Normal 2 2 3 3 2 4 2" xfId="39708"/>
    <cellStyle name="Normal 2 2 3 3 2 5" xfId="13901"/>
    <cellStyle name="Normal 2 2 3 3 2 5 2" xfId="36488"/>
    <cellStyle name="Normal 2 2 3 3 2 6" xfId="7461"/>
    <cellStyle name="Normal 2 2 3 3 2 6 2" xfId="30048"/>
    <cellStyle name="Normal 2 2 3 3 2 7" xfId="23608"/>
    <cellStyle name="Normal 2 2 3 3 3" xfId="1361"/>
    <cellStyle name="Normal 2 2 3 3 3 2" xfId="2675"/>
    <cellStyle name="Normal 2 2 3 3 3 2 2" xfId="5896"/>
    <cellStyle name="Normal 2 2 3 3 3 2 2 2" xfId="21996"/>
    <cellStyle name="Normal 2 2 3 3 3 2 2 2 2" xfId="44583"/>
    <cellStyle name="Normal 2 2 3 3 3 2 2 3" xfId="12336"/>
    <cellStyle name="Normal 2 2 3 3 3 2 2 3 2" xfId="34923"/>
    <cellStyle name="Normal 2 2 3 3 3 2 2 4" xfId="28483"/>
    <cellStyle name="Normal 2 2 3 3 3 2 3" xfId="18776"/>
    <cellStyle name="Normal 2 2 3 3 3 2 3 2" xfId="41363"/>
    <cellStyle name="Normal 2 2 3 3 3 2 4" xfId="15556"/>
    <cellStyle name="Normal 2 2 3 3 3 2 4 2" xfId="38143"/>
    <cellStyle name="Normal 2 2 3 3 3 2 5" xfId="9116"/>
    <cellStyle name="Normal 2 2 3 3 3 2 5 2" xfId="31703"/>
    <cellStyle name="Normal 2 2 3 3 3 2 6" xfId="25263"/>
    <cellStyle name="Normal 2 2 3 3 3 3" xfId="4588"/>
    <cellStyle name="Normal 2 2 3 3 3 3 2" xfId="20688"/>
    <cellStyle name="Normal 2 2 3 3 3 3 2 2" xfId="43275"/>
    <cellStyle name="Normal 2 2 3 3 3 3 3" xfId="11028"/>
    <cellStyle name="Normal 2 2 3 3 3 3 3 2" xfId="33615"/>
    <cellStyle name="Normal 2 2 3 3 3 3 4" xfId="27175"/>
    <cellStyle name="Normal 2 2 3 3 3 4" xfId="17468"/>
    <cellStyle name="Normal 2 2 3 3 3 4 2" xfId="40055"/>
    <cellStyle name="Normal 2 2 3 3 3 5" xfId="14248"/>
    <cellStyle name="Normal 2 2 3 3 3 5 2" xfId="36835"/>
    <cellStyle name="Normal 2 2 3 3 3 6" xfId="7808"/>
    <cellStyle name="Normal 2 2 3 3 3 6 2" xfId="30395"/>
    <cellStyle name="Normal 2 2 3 3 3 7" xfId="23955"/>
    <cellStyle name="Normal 2 2 3 3 4" xfId="1620"/>
    <cellStyle name="Normal 2 2 3 3 4 2" xfId="4845"/>
    <cellStyle name="Normal 2 2 3 3 4 2 2" xfId="20945"/>
    <cellStyle name="Normal 2 2 3 3 4 2 2 2" xfId="43532"/>
    <cellStyle name="Normal 2 2 3 3 4 2 3" xfId="11285"/>
    <cellStyle name="Normal 2 2 3 3 4 2 3 2" xfId="33872"/>
    <cellStyle name="Normal 2 2 3 3 4 2 4" xfId="27432"/>
    <cellStyle name="Normal 2 2 3 3 4 3" xfId="17725"/>
    <cellStyle name="Normal 2 2 3 3 4 3 2" xfId="40312"/>
    <cellStyle name="Normal 2 2 3 3 4 4" xfId="14505"/>
    <cellStyle name="Normal 2 2 3 3 4 4 2" xfId="37092"/>
    <cellStyle name="Normal 2 2 3 3 4 5" xfId="8065"/>
    <cellStyle name="Normal 2 2 3 3 4 5 2" xfId="30652"/>
    <cellStyle name="Normal 2 2 3 3 4 6" xfId="24212"/>
    <cellStyle name="Normal 2 2 3 3 5" xfId="1980"/>
    <cellStyle name="Normal 2 2 3 3 5 2" xfId="5202"/>
    <cellStyle name="Normal 2 2 3 3 5 2 2" xfId="21302"/>
    <cellStyle name="Normal 2 2 3 3 5 2 2 2" xfId="43889"/>
    <cellStyle name="Normal 2 2 3 3 5 2 3" xfId="11642"/>
    <cellStyle name="Normal 2 2 3 3 5 2 3 2" xfId="34229"/>
    <cellStyle name="Normal 2 2 3 3 5 2 4" xfId="27789"/>
    <cellStyle name="Normal 2 2 3 3 5 3" xfId="18082"/>
    <cellStyle name="Normal 2 2 3 3 5 3 2" xfId="40669"/>
    <cellStyle name="Normal 2 2 3 3 5 4" xfId="14862"/>
    <cellStyle name="Normal 2 2 3 3 5 4 2" xfId="37449"/>
    <cellStyle name="Normal 2 2 3 3 5 5" xfId="8422"/>
    <cellStyle name="Normal 2 2 3 3 5 5 2" xfId="31009"/>
    <cellStyle name="Normal 2 2 3 3 5 6" xfId="24569"/>
    <cellStyle name="Normal 2 2 3 3 6" xfId="3098"/>
    <cellStyle name="Normal 2 2 3 3 6 2" xfId="6318"/>
    <cellStyle name="Normal 2 2 3 3 6 2 2" xfId="22418"/>
    <cellStyle name="Normal 2 2 3 3 6 2 2 2" xfId="45005"/>
    <cellStyle name="Normal 2 2 3 3 6 2 3" xfId="12758"/>
    <cellStyle name="Normal 2 2 3 3 6 2 3 2" xfId="35345"/>
    <cellStyle name="Normal 2 2 3 3 6 2 4" xfId="28905"/>
    <cellStyle name="Normal 2 2 3 3 6 3" xfId="19198"/>
    <cellStyle name="Normal 2 2 3 3 6 3 2" xfId="41785"/>
    <cellStyle name="Normal 2 2 3 3 6 4" xfId="15978"/>
    <cellStyle name="Normal 2 2 3 3 6 4 2" xfId="38565"/>
    <cellStyle name="Normal 2 2 3 3 6 5" xfId="9538"/>
    <cellStyle name="Normal 2 2 3 3 6 5 2" xfId="32125"/>
    <cellStyle name="Normal 2 2 3 3 6 6" xfId="25685"/>
    <cellStyle name="Normal 2 2 3 3 7" xfId="3388"/>
    <cellStyle name="Normal 2 2 3 3 7 2" xfId="6608"/>
    <cellStyle name="Normal 2 2 3 3 7 2 2" xfId="22708"/>
    <cellStyle name="Normal 2 2 3 3 7 2 2 2" xfId="45295"/>
    <cellStyle name="Normal 2 2 3 3 7 2 3" xfId="13048"/>
    <cellStyle name="Normal 2 2 3 3 7 2 3 2" xfId="35635"/>
    <cellStyle name="Normal 2 2 3 3 7 2 4" xfId="29195"/>
    <cellStyle name="Normal 2 2 3 3 7 3" xfId="19488"/>
    <cellStyle name="Normal 2 2 3 3 7 3 2" xfId="42075"/>
    <cellStyle name="Normal 2 2 3 3 7 4" xfId="16268"/>
    <cellStyle name="Normal 2 2 3 3 7 4 2" xfId="38855"/>
    <cellStyle name="Normal 2 2 3 3 7 5" xfId="9828"/>
    <cellStyle name="Normal 2 2 3 3 7 5 2" xfId="32415"/>
    <cellStyle name="Normal 2 2 3 3 7 6" xfId="25975"/>
    <cellStyle name="Normal 2 2 3 3 8" xfId="650"/>
    <cellStyle name="Normal 2 2 3 3 8 2" xfId="3894"/>
    <cellStyle name="Normal 2 2 3 3 8 2 2" xfId="19994"/>
    <cellStyle name="Normal 2 2 3 3 8 2 2 2" xfId="42581"/>
    <cellStyle name="Normal 2 2 3 3 8 2 3" xfId="10334"/>
    <cellStyle name="Normal 2 2 3 3 8 2 3 2" xfId="32921"/>
    <cellStyle name="Normal 2 2 3 3 8 2 4" xfId="26481"/>
    <cellStyle name="Normal 2 2 3 3 8 3" xfId="16774"/>
    <cellStyle name="Normal 2 2 3 3 8 3 2" xfId="39361"/>
    <cellStyle name="Normal 2 2 3 3 8 4" xfId="13554"/>
    <cellStyle name="Normal 2 2 3 3 8 4 2" xfId="36141"/>
    <cellStyle name="Normal 2 2 3 3 8 5" xfId="7114"/>
    <cellStyle name="Normal 2 2 3 3 8 5 2" xfId="29701"/>
    <cellStyle name="Normal 2 2 3 3 8 6" xfId="23261"/>
    <cellStyle name="Normal 2 2 3 3 9" xfId="3678"/>
    <cellStyle name="Normal 2 2 3 3 9 2" xfId="19778"/>
    <cellStyle name="Normal 2 2 3 3 9 2 2" xfId="42365"/>
    <cellStyle name="Normal 2 2 3 3 9 3" xfId="10118"/>
    <cellStyle name="Normal 2 2 3 3 9 3 2" xfId="32705"/>
    <cellStyle name="Normal 2 2 3 3 9 4" xfId="26265"/>
    <cellStyle name="Normal 2 2 3 4" xfId="714"/>
    <cellStyle name="Normal 2 2 3 4 2" xfId="1076"/>
    <cellStyle name="Normal 2 2 3 4 2 2" xfId="2390"/>
    <cellStyle name="Normal 2 2 3 4 2 2 2" xfId="5611"/>
    <cellStyle name="Normal 2 2 3 4 2 2 2 2" xfId="21711"/>
    <cellStyle name="Normal 2 2 3 4 2 2 2 2 2" xfId="44298"/>
    <cellStyle name="Normal 2 2 3 4 2 2 2 3" xfId="12051"/>
    <cellStyle name="Normal 2 2 3 4 2 2 2 3 2" xfId="34638"/>
    <cellStyle name="Normal 2 2 3 4 2 2 2 4" xfId="28198"/>
    <cellStyle name="Normal 2 2 3 4 2 2 3" xfId="18491"/>
    <cellStyle name="Normal 2 2 3 4 2 2 3 2" xfId="41078"/>
    <cellStyle name="Normal 2 2 3 4 2 2 4" xfId="15271"/>
    <cellStyle name="Normal 2 2 3 4 2 2 4 2" xfId="37858"/>
    <cellStyle name="Normal 2 2 3 4 2 2 5" xfId="8831"/>
    <cellStyle name="Normal 2 2 3 4 2 2 5 2" xfId="31418"/>
    <cellStyle name="Normal 2 2 3 4 2 2 6" xfId="24978"/>
    <cellStyle name="Normal 2 2 3 4 2 3" xfId="4303"/>
    <cellStyle name="Normal 2 2 3 4 2 3 2" xfId="20403"/>
    <cellStyle name="Normal 2 2 3 4 2 3 2 2" xfId="42990"/>
    <cellStyle name="Normal 2 2 3 4 2 3 3" xfId="10743"/>
    <cellStyle name="Normal 2 2 3 4 2 3 3 2" xfId="33330"/>
    <cellStyle name="Normal 2 2 3 4 2 3 4" xfId="26890"/>
    <cellStyle name="Normal 2 2 3 4 2 4" xfId="17183"/>
    <cellStyle name="Normal 2 2 3 4 2 4 2" xfId="39770"/>
    <cellStyle name="Normal 2 2 3 4 2 5" xfId="13963"/>
    <cellStyle name="Normal 2 2 3 4 2 5 2" xfId="36550"/>
    <cellStyle name="Normal 2 2 3 4 2 6" xfId="7523"/>
    <cellStyle name="Normal 2 2 3 4 2 6 2" xfId="30110"/>
    <cellStyle name="Normal 2 2 3 4 2 7" xfId="23670"/>
    <cellStyle name="Normal 2 2 3 4 3" xfId="1423"/>
    <cellStyle name="Normal 2 2 3 4 3 2" xfId="2737"/>
    <cellStyle name="Normal 2 2 3 4 3 2 2" xfId="5958"/>
    <cellStyle name="Normal 2 2 3 4 3 2 2 2" xfId="22058"/>
    <cellStyle name="Normal 2 2 3 4 3 2 2 2 2" xfId="44645"/>
    <cellStyle name="Normal 2 2 3 4 3 2 2 3" xfId="12398"/>
    <cellStyle name="Normal 2 2 3 4 3 2 2 3 2" xfId="34985"/>
    <cellStyle name="Normal 2 2 3 4 3 2 2 4" xfId="28545"/>
    <cellStyle name="Normal 2 2 3 4 3 2 3" xfId="18838"/>
    <cellStyle name="Normal 2 2 3 4 3 2 3 2" xfId="41425"/>
    <cellStyle name="Normal 2 2 3 4 3 2 4" xfId="15618"/>
    <cellStyle name="Normal 2 2 3 4 3 2 4 2" xfId="38205"/>
    <cellStyle name="Normal 2 2 3 4 3 2 5" xfId="9178"/>
    <cellStyle name="Normal 2 2 3 4 3 2 5 2" xfId="31765"/>
    <cellStyle name="Normal 2 2 3 4 3 2 6" xfId="25325"/>
    <cellStyle name="Normal 2 2 3 4 3 3" xfId="4650"/>
    <cellStyle name="Normal 2 2 3 4 3 3 2" xfId="20750"/>
    <cellStyle name="Normal 2 2 3 4 3 3 2 2" xfId="43337"/>
    <cellStyle name="Normal 2 2 3 4 3 3 3" xfId="11090"/>
    <cellStyle name="Normal 2 2 3 4 3 3 3 2" xfId="33677"/>
    <cellStyle name="Normal 2 2 3 4 3 3 4" xfId="27237"/>
    <cellStyle name="Normal 2 2 3 4 3 4" xfId="17530"/>
    <cellStyle name="Normal 2 2 3 4 3 4 2" xfId="40117"/>
    <cellStyle name="Normal 2 2 3 4 3 5" xfId="14310"/>
    <cellStyle name="Normal 2 2 3 4 3 5 2" xfId="36897"/>
    <cellStyle name="Normal 2 2 3 4 3 6" xfId="7870"/>
    <cellStyle name="Normal 2 2 3 4 3 6 2" xfId="30457"/>
    <cellStyle name="Normal 2 2 3 4 3 7" xfId="24017"/>
    <cellStyle name="Normal 2 2 3 4 4" xfId="2043"/>
    <cellStyle name="Normal 2 2 3 4 4 2" xfId="5264"/>
    <cellStyle name="Normal 2 2 3 4 4 2 2" xfId="21364"/>
    <cellStyle name="Normal 2 2 3 4 4 2 2 2" xfId="43951"/>
    <cellStyle name="Normal 2 2 3 4 4 2 3" xfId="11704"/>
    <cellStyle name="Normal 2 2 3 4 4 2 3 2" xfId="34291"/>
    <cellStyle name="Normal 2 2 3 4 4 2 4" xfId="27851"/>
    <cellStyle name="Normal 2 2 3 4 4 3" xfId="18144"/>
    <cellStyle name="Normal 2 2 3 4 4 3 2" xfId="40731"/>
    <cellStyle name="Normal 2 2 3 4 4 4" xfId="14924"/>
    <cellStyle name="Normal 2 2 3 4 4 4 2" xfId="37511"/>
    <cellStyle name="Normal 2 2 3 4 4 5" xfId="8484"/>
    <cellStyle name="Normal 2 2 3 4 4 5 2" xfId="31071"/>
    <cellStyle name="Normal 2 2 3 4 4 6" xfId="24631"/>
    <cellStyle name="Normal 2 2 3 4 5" xfId="3956"/>
    <cellStyle name="Normal 2 2 3 4 5 2" xfId="20056"/>
    <cellStyle name="Normal 2 2 3 4 5 2 2" xfId="42643"/>
    <cellStyle name="Normal 2 2 3 4 5 3" xfId="10396"/>
    <cellStyle name="Normal 2 2 3 4 5 3 2" xfId="32983"/>
    <cellStyle name="Normal 2 2 3 4 5 4" xfId="26543"/>
    <cellStyle name="Normal 2 2 3 4 6" xfId="16836"/>
    <cellStyle name="Normal 2 2 3 4 6 2" xfId="39423"/>
    <cellStyle name="Normal 2 2 3 4 7" xfId="13616"/>
    <cellStyle name="Normal 2 2 3 4 7 2" xfId="36203"/>
    <cellStyle name="Normal 2 2 3 4 8" xfId="7176"/>
    <cellStyle name="Normal 2 2 3 4 8 2" xfId="29763"/>
    <cellStyle name="Normal 2 2 3 4 9" xfId="23323"/>
    <cellStyle name="Normal 2 2 3 5" xfId="783"/>
    <cellStyle name="Normal 2 2 3 5 2" xfId="1135"/>
    <cellStyle name="Normal 2 2 3 5 2 2" xfId="2449"/>
    <cellStyle name="Normal 2 2 3 5 2 2 2" xfId="5670"/>
    <cellStyle name="Normal 2 2 3 5 2 2 2 2" xfId="21770"/>
    <cellStyle name="Normal 2 2 3 5 2 2 2 2 2" xfId="44357"/>
    <cellStyle name="Normal 2 2 3 5 2 2 2 3" xfId="12110"/>
    <cellStyle name="Normal 2 2 3 5 2 2 2 3 2" xfId="34697"/>
    <cellStyle name="Normal 2 2 3 5 2 2 2 4" xfId="28257"/>
    <cellStyle name="Normal 2 2 3 5 2 2 3" xfId="18550"/>
    <cellStyle name="Normal 2 2 3 5 2 2 3 2" xfId="41137"/>
    <cellStyle name="Normal 2 2 3 5 2 2 4" xfId="15330"/>
    <cellStyle name="Normal 2 2 3 5 2 2 4 2" xfId="37917"/>
    <cellStyle name="Normal 2 2 3 5 2 2 5" xfId="8890"/>
    <cellStyle name="Normal 2 2 3 5 2 2 5 2" xfId="31477"/>
    <cellStyle name="Normal 2 2 3 5 2 2 6" xfId="25037"/>
    <cellStyle name="Normal 2 2 3 5 2 3" xfId="4362"/>
    <cellStyle name="Normal 2 2 3 5 2 3 2" xfId="20462"/>
    <cellStyle name="Normal 2 2 3 5 2 3 2 2" xfId="43049"/>
    <cellStyle name="Normal 2 2 3 5 2 3 3" xfId="10802"/>
    <cellStyle name="Normal 2 2 3 5 2 3 3 2" xfId="33389"/>
    <cellStyle name="Normal 2 2 3 5 2 3 4" xfId="26949"/>
    <cellStyle name="Normal 2 2 3 5 2 4" xfId="17242"/>
    <cellStyle name="Normal 2 2 3 5 2 4 2" xfId="39829"/>
    <cellStyle name="Normal 2 2 3 5 2 5" xfId="14022"/>
    <cellStyle name="Normal 2 2 3 5 2 5 2" xfId="36609"/>
    <cellStyle name="Normal 2 2 3 5 2 6" xfId="7582"/>
    <cellStyle name="Normal 2 2 3 5 2 6 2" xfId="30169"/>
    <cellStyle name="Normal 2 2 3 5 2 7" xfId="23729"/>
    <cellStyle name="Normal 2 2 3 5 3" xfId="1482"/>
    <cellStyle name="Normal 2 2 3 5 3 2" xfId="2796"/>
    <cellStyle name="Normal 2 2 3 5 3 2 2" xfId="6017"/>
    <cellStyle name="Normal 2 2 3 5 3 2 2 2" xfId="22117"/>
    <cellStyle name="Normal 2 2 3 5 3 2 2 2 2" xfId="44704"/>
    <cellStyle name="Normal 2 2 3 5 3 2 2 3" xfId="12457"/>
    <cellStyle name="Normal 2 2 3 5 3 2 2 3 2" xfId="35044"/>
    <cellStyle name="Normal 2 2 3 5 3 2 2 4" xfId="28604"/>
    <cellStyle name="Normal 2 2 3 5 3 2 3" xfId="18897"/>
    <cellStyle name="Normal 2 2 3 5 3 2 3 2" xfId="41484"/>
    <cellStyle name="Normal 2 2 3 5 3 2 4" xfId="15677"/>
    <cellStyle name="Normal 2 2 3 5 3 2 4 2" xfId="38264"/>
    <cellStyle name="Normal 2 2 3 5 3 2 5" xfId="9237"/>
    <cellStyle name="Normal 2 2 3 5 3 2 5 2" xfId="31824"/>
    <cellStyle name="Normal 2 2 3 5 3 2 6" xfId="25384"/>
    <cellStyle name="Normal 2 2 3 5 3 3" xfId="4709"/>
    <cellStyle name="Normal 2 2 3 5 3 3 2" xfId="20809"/>
    <cellStyle name="Normal 2 2 3 5 3 3 2 2" xfId="43396"/>
    <cellStyle name="Normal 2 2 3 5 3 3 3" xfId="11149"/>
    <cellStyle name="Normal 2 2 3 5 3 3 3 2" xfId="33736"/>
    <cellStyle name="Normal 2 2 3 5 3 3 4" xfId="27296"/>
    <cellStyle name="Normal 2 2 3 5 3 4" xfId="17589"/>
    <cellStyle name="Normal 2 2 3 5 3 4 2" xfId="40176"/>
    <cellStyle name="Normal 2 2 3 5 3 5" xfId="14369"/>
    <cellStyle name="Normal 2 2 3 5 3 5 2" xfId="36956"/>
    <cellStyle name="Normal 2 2 3 5 3 6" xfId="7929"/>
    <cellStyle name="Normal 2 2 3 5 3 6 2" xfId="30516"/>
    <cellStyle name="Normal 2 2 3 5 3 7" xfId="24076"/>
    <cellStyle name="Normal 2 2 3 5 4" xfId="2102"/>
    <cellStyle name="Normal 2 2 3 5 4 2" xfId="5323"/>
    <cellStyle name="Normal 2 2 3 5 4 2 2" xfId="21423"/>
    <cellStyle name="Normal 2 2 3 5 4 2 2 2" xfId="44010"/>
    <cellStyle name="Normal 2 2 3 5 4 2 3" xfId="11763"/>
    <cellStyle name="Normal 2 2 3 5 4 2 3 2" xfId="34350"/>
    <cellStyle name="Normal 2 2 3 5 4 2 4" xfId="27910"/>
    <cellStyle name="Normal 2 2 3 5 4 3" xfId="18203"/>
    <cellStyle name="Normal 2 2 3 5 4 3 2" xfId="40790"/>
    <cellStyle name="Normal 2 2 3 5 4 4" xfId="14983"/>
    <cellStyle name="Normal 2 2 3 5 4 4 2" xfId="37570"/>
    <cellStyle name="Normal 2 2 3 5 4 5" xfId="8543"/>
    <cellStyle name="Normal 2 2 3 5 4 5 2" xfId="31130"/>
    <cellStyle name="Normal 2 2 3 5 4 6" xfId="24690"/>
    <cellStyle name="Normal 2 2 3 5 5" xfId="4015"/>
    <cellStyle name="Normal 2 2 3 5 5 2" xfId="20115"/>
    <cellStyle name="Normal 2 2 3 5 5 2 2" xfId="42702"/>
    <cellStyle name="Normal 2 2 3 5 5 3" xfId="10455"/>
    <cellStyle name="Normal 2 2 3 5 5 3 2" xfId="33042"/>
    <cellStyle name="Normal 2 2 3 5 5 4" xfId="26602"/>
    <cellStyle name="Normal 2 2 3 5 6" xfId="16895"/>
    <cellStyle name="Normal 2 2 3 5 6 2" xfId="39482"/>
    <cellStyle name="Normal 2 2 3 5 7" xfId="13675"/>
    <cellStyle name="Normal 2 2 3 5 7 2" xfId="36262"/>
    <cellStyle name="Normal 2 2 3 5 8" xfId="7235"/>
    <cellStyle name="Normal 2 2 3 5 8 2" xfId="29822"/>
    <cellStyle name="Normal 2 2 3 5 9" xfId="23382"/>
    <cellStyle name="Normal 2 2 3 6" xfId="890"/>
    <cellStyle name="Normal 2 2 3 6 2" xfId="2209"/>
    <cellStyle name="Normal 2 2 3 6 2 2" xfId="5430"/>
    <cellStyle name="Normal 2 2 3 6 2 2 2" xfId="21530"/>
    <cellStyle name="Normal 2 2 3 6 2 2 2 2" xfId="44117"/>
    <cellStyle name="Normal 2 2 3 6 2 2 3" xfId="11870"/>
    <cellStyle name="Normal 2 2 3 6 2 2 3 2" xfId="34457"/>
    <cellStyle name="Normal 2 2 3 6 2 2 4" xfId="28017"/>
    <cellStyle name="Normal 2 2 3 6 2 3" xfId="18310"/>
    <cellStyle name="Normal 2 2 3 6 2 3 2" xfId="40897"/>
    <cellStyle name="Normal 2 2 3 6 2 4" xfId="15090"/>
    <cellStyle name="Normal 2 2 3 6 2 4 2" xfId="37677"/>
    <cellStyle name="Normal 2 2 3 6 2 5" xfId="8650"/>
    <cellStyle name="Normal 2 2 3 6 2 5 2" xfId="31237"/>
    <cellStyle name="Normal 2 2 3 6 2 6" xfId="24797"/>
    <cellStyle name="Normal 2 2 3 6 3" xfId="4122"/>
    <cellStyle name="Normal 2 2 3 6 3 2" xfId="20222"/>
    <cellStyle name="Normal 2 2 3 6 3 2 2" xfId="42809"/>
    <cellStyle name="Normal 2 2 3 6 3 3" xfId="10562"/>
    <cellStyle name="Normal 2 2 3 6 3 3 2" xfId="33149"/>
    <cellStyle name="Normal 2 2 3 6 3 4" xfId="26709"/>
    <cellStyle name="Normal 2 2 3 6 4" xfId="17002"/>
    <cellStyle name="Normal 2 2 3 6 4 2" xfId="39589"/>
    <cellStyle name="Normal 2 2 3 6 5" xfId="13782"/>
    <cellStyle name="Normal 2 2 3 6 5 2" xfId="36369"/>
    <cellStyle name="Normal 2 2 3 6 6" xfId="7342"/>
    <cellStyle name="Normal 2 2 3 6 6 2" xfId="29929"/>
    <cellStyle name="Normal 2 2 3 6 7" xfId="23489"/>
    <cellStyle name="Normal 2 2 3 7" xfId="1242"/>
    <cellStyle name="Normal 2 2 3 7 2" xfId="2556"/>
    <cellStyle name="Normal 2 2 3 7 2 2" xfId="5777"/>
    <cellStyle name="Normal 2 2 3 7 2 2 2" xfId="21877"/>
    <cellStyle name="Normal 2 2 3 7 2 2 2 2" xfId="44464"/>
    <cellStyle name="Normal 2 2 3 7 2 2 3" xfId="12217"/>
    <cellStyle name="Normal 2 2 3 7 2 2 3 2" xfId="34804"/>
    <cellStyle name="Normal 2 2 3 7 2 2 4" xfId="28364"/>
    <cellStyle name="Normal 2 2 3 7 2 3" xfId="18657"/>
    <cellStyle name="Normal 2 2 3 7 2 3 2" xfId="41244"/>
    <cellStyle name="Normal 2 2 3 7 2 4" xfId="15437"/>
    <cellStyle name="Normal 2 2 3 7 2 4 2" xfId="38024"/>
    <cellStyle name="Normal 2 2 3 7 2 5" xfId="8997"/>
    <cellStyle name="Normal 2 2 3 7 2 5 2" xfId="31584"/>
    <cellStyle name="Normal 2 2 3 7 2 6" xfId="25144"/>
    <cellStyle name="Normal 2 2 3 7 3" xfId="4469"/>
    <cellStyle name="Normal 2 2 3 7 3 2" xfId="20569"/>
    <cellStyle name="Normal 2 2 3 7 3 2 2" xfId="43156"/>
    <cellStyle name="Normal 2 2 3 7 3 3" xfId="10909"/>
    <cellStyle name="Normal 2 2 3 7 3 3 2" xfId="33496"/>
    <cellStyle name="Normal 2 2 3 7 3 4" xfId="27056"/>
    <cellStyle name="Normal 2 2 3 7 4" xfId="17349"/>
    <cellStyle name="Normal 2 2 3 7 4 2" xfId="39936"/>
    <cellStyle name="Normal 2 2 3 7 5" xfId="14129"/>
    <cellStyle name="Normal 2 2 3 7 5 2" xfId="36716"/>
    <cellStyle name="Normal 2 2 3 7 6" xfId="7689"/>
    <cellStyle name="Normal 2 2 3 7 6 2" xfId="30276"/>
    <cellStyle name="Normal 2 2 3 7 7" xfId="23836"/>
    <cellStyle name="Normal 2 2 3 8" xfId="1621"/>
    <cellStyle name="Normal 2 2 3 8 2" xfId="4846"/>
    <cellStyle name="Normal 2 2 3 8 2 2" xfId="20946"/>
    <cellStyle name="Normal 2 2 3 8 2 2 2" xfId="43533"/>
    <cellStyle name="Normal 2 2 3 8 2 3" xfId="11286"/>
    <cellStyle name="Normal 2 2 3 8 2 3 2" xfId="33873"/>
    <cellStyle name="Normal 2 2 3 8 2 4" xfId="27433"/>
    <cellStyle name="Normal 2 2 3 8 3" xfId="17726"/>
    <cellStyle name="Normal 2 2 3 8 3 2" xfId="40313"/>
    <cellStyle name="Normal 2 2 3 8 4" xfId="14506"/>
    <cellStyle name="Normal 2 2 3 8 4 2" xfId="37093"/>
    <cellStyle name="Normal 2 2 3 8 5" xfId="8066"/>
    <cellStyle name="Normal 2 2 3 8 5 2" xfId="30653"/>
    <cellStyle name="Normal 2 2 3 8 6" xfId="24213"/>
    <cellStyle name="Normal 2 2 3 9" xfId="1861"/>
    <cellStyle name="Normal 2 2 3 9 2" xfId="5083"/>
    <cellStyle name="Normal 2 2 3 9 2 2" xfId="21183"/>
    <cellStyle name="Normal 2 2 3 9 2 2 2" xfId="43770"/>
    <cellStyle name="Normal 2 2 3 9 2 3" xfId="11523"/>
    <cellStyle name="Normal 2 2 3 9 2 3 2" xfId="34110"/>
    <cellStyle name="Normal 2 2 3 9 2 4" xfId="27670"/>
    <cellStyle name="Normal 2 2 3 9 3" xfId="17963"/>
    <cellStyle name="Normal 2 2 3 9 3 2" xfId="40550"/>
    <cellStyle name="Normal 2 2 3 9 4" xfId="14743"/>
    <cellStyle name="Normal 2 2 3 9 4 2" xfId="37330"/>
    <cellStyle name="Normal 2 2 3 9 5" xfId="8303"/>
    <cellStyle name="Normal 2 2 3 9 5 2" xfId="30890"/>
    <cellStyle name="Normal 2 2 3 9 6" xfId="24450"/>
    <cellStyle name="Normal 2 2 4" xfId="221"/>
    <cellStyle name="Normal 2 2 4 10" xfId="3509"/>
    <cellStyle name="Normal 2 2 4 10 2" xfId="19609"/>
    <cellStyle name="Normal 2 2 4 10 2 2" xfId="42196"/>
    <cellStyle name="Normal 2 2 4 10 3" xfId="9949"/>
    <cellStyle name="Normal 2 2 4 10 3 2" xfId="32536"/>
    <cellStyle name="Normal 2 2 4 10 4" xfId="26096"/>
    <cellStyle name="Normal 2 2 4 11" xfId="16389"/>
    <cellStyle name="Normal 2 2 4 11 2" xfId="38976"/>
    <cellStyle name="Normal 2 2 4 12" xfId="13169"/>
    <cellStyle name="Normal 2 2 4 12 2" xfId="35756"/>
    <cellStyle name="Normal 2 2 4 13" xfId="6729"/>
    <cellStyle name="Normal 2 2 4 13 2" xfId="29316"/>
    <cellStyle name="Normal 2 2 4 14" xfId="22876"/>
    <cellStyle name="Normal 2 2 4 2" xfId="319"/>
    <cellStyle name="Normal 2 2 4 2 10" xfId="13266"/>
    <cellStyle name="Normal 2 2 4 2 10 2" xfId="35853"/>
    <cellStyle name="Normal 2 2 4 2 11" xfId="6826"/>
    <cellStyle name="Normal 2 2 4 2 11 2" xfId="29413"/>
    <cellStyle name="Normal 2 2 4 2 12" xfId="22973"/>
    <cellStyle name="Normal 2 2 4 2 2" xfId="1115"/>
    <cellStyle name="Normal 2 2 4 2 2 2" xfId="2429"/>
    <cellStyle name="Normal 2 2 4 2 2 2 2" xfId="5650"/>
    <cellStyle name="Normal 2 2 4 2 2 2 2 2" xfId="21750"/>
    <cellStyle name="Normal 2 2 4 2 2 2 2 2 2" xfId="44337"/>
    <cellStyle name="Normal 2 2 4 2 2 2 2 3" xfId="12090"/>
    <cellStyle name="Normal 2 2 4 2 2 2 2 3 2" xfId="34677"/>
    <cellStyle name="Normal 2 2 4 2 2 2 2 4" xfId="28237"/>
    <cellStyle name="Normal 2 2 4 2 2 2 3" xfId="18530"/>
    <cellStyle name="Normal 2 2 4 2 2 2 3 2" xfId="41117"/>
    <cellStyle name="Normal 2 2 4 2 2 2 4" xfId="15310"/>
    <cellStyle name="Normal 2 2 4 2 2 2 4 2" xfId="37897"/>
    <cellStyle name="Normal 2 2 4 2 2 2 5" xfId="8870"/>
    <cellStyle name="Normal 2 2 4 2 2 2 5 2" xfId="31457"/>
    <cellStyle name="Normal 2 2 4 2 2 2 6" xfId="25017"/>
    <cellStyle name="Normal 2 2 4 2 2 3" xfId="4342"/>
    <cellStyle name="Normal 2 2 4 2 2 3 2" xfId="20442"/>
    <cellStyle name="Normal 2 2 4 2 2 3 2 2" xfId="43029"/>
    <cellStyle name="Normal 2 2 4 2 2 3 3" xfId="10782"/>
    <cellStyle name="Normal 2 2 4 2 2 3 3 2" xfId="33369"/>
    <cellStyle name="Normal 2 2 4 2 2 3 4" xfId="26929"/>
    <cellStyle name="Normal 2 2 4 2 2 4" xfId="17222"/>
    <cellStyle name="Normal 2 2 4 2 2 4 2" xfId="39809"/>
    <cellStyle name="Normal 2 2 4 2 2 5" xfId="14002"/>
    <cellStyle name="Normal 2 2 4 2 2 5 2" xfId="36589"/>
    <cellStyle name="Normal 2 2 4 2 2 6" xfId="7562"/>
    <cellStyle name="Normal 2 2 4 2 2 6 2" xfId="30149"/>
    <cellStyle name="Normal 2 2 4 2 2 7" xfId="23709"/>
    <cellStyle name="Normal 2 2 4 2 3" xfId="1462"/>
    <cellStyle name="Normal 2 2 4 2 3 2" xfId="2776"/>
    <cellStyle name="Normal 2 2 4 2 3 2 2" xfId="5997"/>
    <cellStyle name="Normal 2 2 4 2 3 2 2 2" xfId="22097"/>
    <cellStyle name="Normal 2 2 4 2 3 2 2 2 2" xfId="44684"/>
    <cellStyle name="Normal 2 2 4 2 3 2 2 3" xfId="12437"/>
    <cellStyle name="Normal 2 2 4 2 3 2 2 3 2" xfId="35024"/>
    <cellStyle name="Normal 2 2 4 2 3 2 2 4" xfId="28584"/>
    <cellStyle name="Normal 2 2 4 2 3 2 3" xfId="18877"/>
    <cellStyle name="Normal 2 2 4 2 3 2 3 2" xfId="41464"/>
    <cellStyle name="Normal 2 2 4 2 3 2 4" xfId="15657"/>
    <cellStyle name="Normal 2 2 4 2 3 2 4 2" xfId="38244"/>
    <cellStyle name="Normal 2 2 4 2 3 2 5" xfId="9217"/>
    <cellStyle name="Normal 2 2 4 2 3 2 5 2" xfId="31804"/>
    <cellStyle name="Normal 2 2 4 2 3 2 6" xfId="25364"/>
    <cellStyle name="Normal 2 2 4 2 3 3" xfId="4689"/>
    <cellStyle name="Normal 2 2 4 2 3 3 2" xfId="20789"/>
    <cellStyle name="Normal 2 2 4 2 3 3 2 2" xfId="43376"/>
    <cellStyle name="Normal 2 2 4 2 3 3 3" xfId="11129"/>
    <cellStyle name="Normal 2 2 4 2 3 3 3 2" xfId="33716"/>
    <cellStyle name="Normal 2 2 4 2 3 3 4" xfId="27276"/>
    <cellStyle name="Normal 2 2 4 2 3 4" xfId="17569"/>
    <cellStyle name="Normal 2 2 4 2 3 4 2" xfId="40156"/>
    <cellStyle name="Normal 2 2 4 2 3 5" xfId="14349"/>
    <cellStyle name="Normal 2 2 4 2 3 5 2" xfId="36936"/>
    <cellStyle name="Normal 2 2 4 2 3 6" xfId="7909"/>
    <cellStyle name="Normal 2 2 4 2 3 6 2" xfId="30496"/>
    <cellStyle name="Normal 2 2 4 2 3 7" xfId="24056"/>
    <cellStyle name="Normal 2 2 4 2 4" xfId="2082"/>
    <cellStyle name="Normal 2 2 4 2 4 2" xfId="5303"/>
    <cellStyle name="Normal 2 2 4 2 4 2 2" xfId="21403"/>
    <cellStyle name="Normal 2 2 4 2 4 2 2 2" xfId="43990"/>
    <cellStyle name="Normal 2 2 4 2 4 2 3" xfId="11743"/>
    <cellStyle name="Normal 2 2 4 2 4 2 3 2" xfId="34330"/>
    <cellStyle name="Normal 2 2 4 2 4 2 4" xfId="27890"/>
    <cellStyle name="Normal 2 2 4 2 4 3" xfId="18183"/>
    <cellStyle name="Normal 2 2 4 2 4 3 2" xfId="40770"/>
    <cellStyle name="Normal 2 2 4 2 4 4" xfId="14963"/>
    <cellStyle name="Normal 2 2 4 2 4 4 2" xfId="37550"/>
    <cellStyle name="Normal 2 2 4 2 4 5" xfId="8523"/>
    <cellStyle name="Normal 2 2 4 2 4 5 2" xfId="31110"/>
    <cellStyle name="Normal 2 2 4 2 4 6" xfId="24670"/>
    <cellStyle name="Normal 2 2 4 2 5" xfId="3026"/>
    <cellStyle name="Normal 2 2 4 2 5 2" xfId="6246"/>
    <cellStyle name="Normal 2 2 4 2 5 2 2" xfId="22346"/>
    <cellStyle name="Normal 2 2 4 2 5 2 2 2" xfId="44933"/>
    <cellStyle name="Normal 2 2 4 2 5 2 3" xfId="12686"/>
    <cellStyle name="Normal 2 2 4 2 5 2 3 2" xfId="35273"/>
    <cellStyle name="Normal 2 2 4 2 5 2 4" xfId="28833"/>
    <cellStyle name="Normal 2 2 4 2 5 3" xfId="19126"/>
    <cellStyle name="Normal 2 2 4 2 5 3 2" xfId="41713"/>
    <cellStyle name="Normal 2 2 4 2 5 4" xfId="15906"/>
    <cellStyle name="Normal 2 2 4 2 5 4 2" xfId="38493"/>
    <cellStyle name="Normal 2 2 4 2 5 5" xfId="9466"/>
    <cellStyle name="Normal 2 2 4 2 5 5 2" xfId="32053"/>
    <cellStyle name="Normal 2 2 4 2 5 6" xfId="25613"/>
    <cellStyle name="Normal 2 2 4 2 6" xfId="3316"/>
    <cellStyle name="Normal 2 2 4 2 6 2" xfId="6536"/>
    <cellStyle name="Normal 2 2 4 2 6 2 2" xfId="22636"/>
    <cellStyle name="Normal 2 2 4 2 6 2 2 2" xfId="45223"/>
    <cellStyle name="Normal 2 2 4 2 6 2 3" xfId="12976"/>
    <cellStyle name="Normal 2 2 4 2 6 2 3 2" xfId="35563"/>
    <cellStyle name="Normal 2 2 4 2 6 2 4" xfId="29123"/>
    <cellStyle name="Normal 2 2 4 2 6 3" xfId="19416"/>
    <cellStyle name="Normal 2 2 4 2 6 3 2" xfId="42003"/>
    <cellStyle name="Normal 2 2 4 2 6 4" xfId="16196"/>
    <cellStyle name="Normal 2 2 4 2 6 4 2" xfId="38783"/>
    <cellStyle name="Normal 2 2 4 2 6 5" xfId="9756"/>
    <cellStyle name="Normal 2 2 4 2 6 5 2" xfId="32343"/>
    <cellStyle name="Normal 2 2 4 2 6 6" xfId="25903"/>
    <cellStyle name="Normal 2 2 4 2 7" xfId="763"/>
    <cellStyle name="Normal 2 2 4 2 7 2" xfId="3995"/>
    <cellStyle name="Normal 2 2 4 2 7 2 2" xfId="20095"/>
    <cellStyle name="Normal 2 2 4 2 7 2 2 2" xfId="42682"/>
    <cellStyle name="Normal 2 2 4 2 7 2 3" xfId="10435"/>
    <cellStyle name="Normal 2 2 4 2 7 2 3 2" xfId="33022"/>
    <cellStyle name="Normal 2 2 4 2 7 2 4" xfId="26582"/>
    <cellStyle name="Normal 2 2 4 2 7 3" xfId="16875"/>
    <cellStyle name="Normal 2 2 4 2 7 3 2" xfId="39462"/>
    <cellStyle name="Normal 2 2 4 2 7 4" xfId="13655"/>
    <cellStyle name="Normal 2 2 4 2 7 4 2" xfId="36242"/>
    <cellStyle name="Normal 2 2 4 2 7 5" xfId="7215"/>
    <cellStyle name="Normal 2 2 4 2 7 5 2" xfId="29802"/>
    <cellStyle name="Normal 2 2 4 2 7 6" xfId="23362"/>
    <cellStyle name="Normal 2 2 4 2 8" xfId="3606"/>
    <cellStyle name="Normal 2 2 4 2 8 2" xfId="19706"/>
    <cellStyle name="Normal 2 2 4 2 8 2 2" xfId="42293"/>
    <cellStyle name="Normal 2 2 4 2 8 3" xfId="10046"/>
    <cellStyle name="Normal 2 2 4 2 8 3 2" xfId="32633"/>
    <cellStyle name="Normal 2 2 4 2 8 4" xfId="26193"/>
    <cellStyle name="Normal 2 2 4 2 9" xfId="16486"/>
    <cellStyle name="Normal 2 2 4 2 9 2" xfId="39073"/>
    <cellStyle name="Normal 2 2 4 3" xfId="415"/>
    <cellStyle name="Normal 2 2 4 3 10" xfId="23069"/>
    <cellStyle name="Normal 2 2 4 3 2" xfId="2272"/>
    <cellStyle name="Normal 2 2 4 3 2 2" xfId="5493"/>
    <cellStyle name="Normal 2 2 4 3 2 2 2" xfId="21593"/>
    <cellStyle name="Normal 2 2 4 3 2 2 2 2" xfId="44180"/>
    <cellStyle name="Normal 2 2 4 3 2 2 3" xfId="11933"/>
    <cellStyle name="Normal 2 2 4 3 2 2 3 2" xfId="34520"/>
    <cellStyle name="Normal 2 2 4 3 2 2 4" xfId="28080"/>
    <cellStyle name="Normal 2 2 4 3 2 3" xfId="18373"/>
    <cellStyle name="Normal 2 2 4 3 2 3 2" xfId="40960"/>
    <cellStyle name="Normal 2 2 4 3 2 4" xfId="15153"/>
    <cellStyle name="Normal 2 2 4 3 2 4 2" xfId="37740"/>
    <cellStyle name="Normal 2 2 4 3 2 5" xfId="8713"/>
    <cellStyle name="Normal 2 2 4 3 2 5 2" xfId="31300"/>
    <cellStyle name="Normal 2 2 4 3 2 6" xfId="24860"/>
    <cellStyle name="Normal 2 2 4 3 3" xfId="3122"/>
    <cellStyle name="Normal 2 2 4 3 3 2" xfId="6342"/>
    <cellStyle name="Normal 2 2 4 3 3 2 2" xfId="22442"/>
    <cellStyle name="Normal 2 2 4 3 3 2 2 2" xfId="45029"/>
    <cellStyle name="Normal 2 2 4 3 3 2 3" xfId="12782"/>
    <cellStyle name="Normal 2 2 4 3 3 2 3 2" xfId="35369"/>
    <cellStyle name="Normal 2 2 4 3 3 2 4" xfId="28929"/>
    <cellStyle name="Normal 2 2 4 3 3 3" xfId="19222"/>
    <cellStyle name="Normal 2 2 4 3 3 3 2" xfId="41809"/>
    <cellStyle name="Normal 2 2 4 3 3 4" xfId="16002"/>
    <cellStyle name="Normal 2 2 4 3 3 4 2" xfId="38589"/>
    <cellStyle name="Normal 2 2 4 3 3 5" xfId="9562"/>
    <cellStyle name="Normal 2 2 4 3 3 5 2" xfId="32149"/>
    <cellStyle name="Normal 2 2 4 3 3 6" xfId="25709"/>
    <cellStyle name="Normal 2 2 4 3 4" xfId="3412"/>
    <cellStyle name="Normal 2 2 4 3 4 2" xfId="6632"/>
    <cellStyle name="Normal 2 2 4 3 4 2 2" xfId="22732"/>
    <cellStyle name="Normal 2 2 4 3 4 2 2 2" xfId="45319"/>
    <cellStyle name="Normal 2 2 4 3 4 2 3" xfId="13072"/>
    <cellStyle name="Normal 2 2 4 3 4 2 3 2" xfId="35659"/>
    <cellStyle name="Normal 2 2 4 3 4 2 4" xfId="29219"/>
    <cellStyle name="Normal 2 2 4 3 4 3" xfId="19512"/>
    <cellStyle name="Normal 2 2 4 3 4 3 2" xfId="42099"/>
    <cellStyle name="Normal 2 2 4 3 4 4" xfId="16292"/>
    <cellStyle name="Normal 2 2 4 3 4 4 2" xfId="38879"/>
    <cellStyle name="Normal 2 2 4 3 4 5" xfId="9852"/>
    <cellStyle name="Normal 2 2 4 3 4 5 2" xfId="32439"/>
    <cellStyle name="Normal 2 2 4 3 4 6" xfId="25999"/>
    <cellStyle name="Normal 2 2 4 3 5" xfId="953"/>
    <cellStyle name="Normal 2 2 4 3 5 2" xfId="4185"/>
    <cellStyle name="Normal 2 2 4 3 5 2 2" xfId="20285"/>
    <cellStyle name="Normal 2 2 4 3 5 2 2 2" xfId="42872"/>
    <cellStyle name="Normal 2 2 4 3 5 2 3" xfId="10625"/>
    <cellStyle name="Normal 2 2 4 3 5 2 3 2" xfId="33212"/>
    <cellStyle name="Normal 2 2 4 3 5 2 4" xfId="26772"/>
    <cellStyle name="Normal 2 2 4 3 5 3" xfId="17065"/>
    <cellStyle name="Normal 2 2 4 3 5 3 2" xfId="39652"/>
    <cellStyle name="Normal 2 2 4 3 5 4" xfId="13845"/>
    <cellStyle name="Normal 2 2 4 3 5 4 2" xfId="36432"/>
    <cellStyle name="Normal 2 2 4 3 5 5" xfId="7405"/>
    <cellStyle name="Normal 2 2 4 3 5 5 2" xfId="29992"/>
    <cellStyle name="Normal 2 2 4 3 5 6" xfId="23552"/>
    <cellStyle name="Normal 2 2 4 3 6" xfId="3702"/>
    <cellStyle name="Normal 2 2 4 3 6 2" xfId="19802"/>
    <cellStyle name="Normal 2 2 4 3 6 2 2" xfId="42389"/>
    <cellStyle name="Normal 2 2 4 3 6 3" xfId="10142"/>
    <cellStyle name="Normal 2 2 4 3 6 3 2" xfId="32729"/>
    <cellStyle name="Normal 2 2 4 3 6 4" xfId="26289"/>
    <cellStyle name="Normal 2 2 4 3 7" xfId="16582"/>
    <cellStyle name="Normal 2 2 4 3 7 2" xfId="39169"/>
    <cellStyle name="Normal 2 2 4 3 8" xfId="13362"/>
    <cellStyle name="Normal 2 2 4 3 8 2" xfId="35949"/>
    <cellStyle name="Normal 2 2 4 3 9" xfId="6922"/>
    <cellStyle name="Normal 2 2 4 3 9 2" xfId="29509"/>
    <cellStyle name="Normal 2 2 4 4" xfId="1305"/>
    <cellStyle name="Normal 2 2 4 4 2" xfId="2619"/>
    <cellStyle name="Normal 2 2 4 4 2 2" xfId="5840"/>
    <cellStyle name="Normal 2 2 4 4 2 2 2" xfId="21940"/>
    <cellStyle name="Normal 2 2 4 4 2 2 2 2" xfId="44527"/>
    <cellStyle name="Normal 2 2 4 4 2 2 3" xfId="12280"/>
    <cellStyle name="Normal 2 2 4 4 2 2 3 2" xfId="34867"/>
    <cellStyle name="Normal 2 2 4 4 2 2 4" xfId="28427"/>
    <cellStyle name="Normal 2 2 4 4 2 3" xfId="18720"/>
    <cellStyle name="Normal 2 2 4 4 2 3 2" xfId="41307"/>
    <cellStyle name="Normal 2 2 4 4 2 4" xfId="15500"/>
    <cellStyle name="Normal 2 2 4 4 2 4 2" xfId="38087"/>
    <cellStyle name="Normal 2 2 4 4 2 5" xfId="9060"/>
    <cellStyle name="Normal 2 2 4 4 2 5 2" xfId="31647"/>
    <cellStyle name="Normal 2 2 4 4 2 6" xfId="25207"/>
    <cellStyle name="Normal 2 2 4 4 3" xfId="4532"/>
    <cellStyle name="Normal 2 2 4 4 3 2" xfId="20632"/>
    <cellStyle name="Normal 2 2 4 4 3 2 2" xfId="43219"/>
    <cellStyle name="Normal 2 2 4 4 3 3" xfId="10972"/>
    <cellStyle name="Normal 2 2 4 4 3 3 2" xfId="33559"/>
    <cellStyle name="Normal 2 2 4 4 3 4" xfId="27119"/>
    <cellStyle name="Normal 2 2 4 4 4" xfId="17412"/>
    <cellStyle name="Normal 2 2 4 4 4 2" xfId="39999"/>
    <cellStyle name="Normal 2 2 4 4 5" xfId="14192"/>
    <cellStyle name="Normal 2 2 4 4 5 2" xfId="36779"/>
    <cellStyle name="Normal 2 2 4 4 6" xfId="7752"/>
    <cellStyle name="Normal 2 2 4 4 6 2" xfId="30339"/>
    <cellStyle name="Normal 2 2 4 4 7" xfId="23899"/>
    <cellStyle name="Normal 2 2 4 5" xfId="1539"/>
    <cellStyle name="Normal 2 2 4 6" xfId="1924"/>
    <cellStyle name="Normal 2 2 4 6 2" xfId="5146"/>
    <cellStyle name="Normal 2 2 4 6 2 2" xfId="21246"/>
    <cellStyle name="Normal 2 2 4 6 2 2 2" xfId="43833"/>
    <cellStyle name="Normal 2 2 4 6 2 3" xfId="11586"/>
    <cellStyle name="Normal 2 2 4 6 2 3 2" xfId="34173"/>
    <cellStyle name="Normal 2 2 4 6 2 4" xfId="27733"/>
    <cellStyle name="Normal 2 2 4 6 3" xfId="18026"/>
    <cellStyle name="Normal 2 2 4 6 3 2" xfId="40613"/>
    <cellStyle name="Normal 2 2 4 6 4" xfId="14806"/>
    <cellStyle name="Normal 2 2 4 6 4 2" xfId="37393"/>
    <cellStyle name="Normal 2 2 4 6 5" xfId="8366"/>
    <cellStyle name="Normal 2 2 4 6 5 2" xfId="30953"/>
    <cellStyle name="Normal 2 2 4 6 6" xfId="24513"/>
    <cellStyle name="Normal 2 2 4 7" xfId="2928"/>
    <cellStyle name="Normal 2 2 4 7 2" xfId="6149"/>
    <cellStyle name="Normal 2 2 4 7 2 2" xfId="22249"/>
    <cellStyle name="Normal 2 2 4 7 2 2 2" xfId="44836"/>
    <cellStyle name="Normal 2 2 4 7 2 3" xfId="12589"/>
    <cellStyle name="Normal 2 2 4 7 2 3 2" xfId="35176"/>
    <cellStyle name="Normal 2 2 4 7 2 4" xfId="28736"/>
    <cellStyle name="Normal 2 2 4 7 3" xfId="19029"/>
    <cellStyle name="Normal 2 2 4 7 3 2" xfId="41616"/>
    <cellStyle name="Normal 2 2 4 7 4" xfId="15809"/>
    <cellStyle name="Normal 2 2 4 7 4 2" xfId="38396"/>
    <cellStyle name="Normal 2 2 4 7 5" xfId="9369"/>
    <cellStyle name="Normal 2 2 4 7 5 2" xfId="31956"/>
    <cellStyle name="Normal 2 2 4 7 6" xfId="25516"/>
    <cellStyle name="Normal 2 2 4 8" xfId="3219"/>
    <cellStyle name="Normal 2 2 4 8 2" xfId="6439"/>
    <cellStyle name="Normal 2 2 4 8 2 2" xfId="22539"/>
    <cellStyle name="Normal 2 2 4 8 2 2 2" xfId="45126"/>
    <cellStyle name="Normal 2 2 4 8 2 3" xfId="12879"/>
    <cellStyle name="Normal 2 2 4 8 2 3 2" xfId="35466"/>
    <cellStyle name="Normal 2 2 4 8 2 4" xfId="29026"/>
    <cellStyle name="Normal 2 2 4 8 3" xfId="19319"/>
    <cellStyle name="Normal 2 2 4 8 3 2" xfId="41906"/>
    <cellStyle name="Normal 2 2 4 8 4" xfId="16099"/>
    <cellStyle name="Normal 2 2 4 8 4 2" xfId="38686"/>
    <cellStyle name="Normal 2 2 4 8 5" xfId="9659"/>
    <cellStyle name="Normal 2 2 4 8 5 2" xfId="32246"/>
    <cellStyle name="Normal 2 2 4 8 6" xfId="25806"/>
    <cellStyle name="Normal 2 2 4 9" xfId="551"/>
    <cellStyle name="Normal 2 2 4 9 2" xfId="3838"/>
    <cellStyle name="Normal 2 2 4 9 2 2" xfId="19938"/>
    <cellStyle name="Normal 2 2 4 9 2 2 2" xfId="42525"/>
    <cellStyle name="Normal 2 2 4 9 2 3" xfId="10278"/>
    <cellStyle name="Normal 2 2 4 9 2 3 2" xfId="32865"/>
    <cellStyle name="Normal 2 2 4 9 2 4" xfId="26425"/>
    <cellStyle name="Normal 2 2 4 9 3" xfId="16718"/>
    <cellStyle name="Normal 2 2 4 9 3 2" xfId="39305"/>
    <cellStyle name="Normal 2 2 4 9 4" xfId="13498"/>
    <cellStyle name="Normal 2 2 4 9 4 2" xfId="36085"/>
    <cellStyle name="Normal 2 2 4 9 5" xfId="7058"/>
    <cellStyle name="Normal 2 2 4 9 5 2" xfId="29645"/>
    <cellStyle name="Normal 2 2 4 9 6" xfId="23205"/>
    <cellStyle name="Normal 2 2 5" xfId="743"/>
    <cellStyle name="Normal 2 2 5 10" xfId="23342"/>
    <cellStyle name="Normal 2 2 5 2" xfId="1095"/>
    <cellStyle name="Normal 2 2 5 2 2" xfId="2409"/>
    <cellStyle name="Normal 2 2 5 2 2 2" xfId="5630"/>
    <cellStyle name="Normal 2 2 5 2 2 2 2" xfId="21730"/>
    <cellStyle name="Normal 2 2 5 2 2 2 2 2" xfId="44317"/>
    <cellStyle name="Normal 2 2 5 2 2 2 3" xfId="12070"/>
    <cellStyle name="Normal 2 2 5 2 2 2 3 2" xfId="34657"/>
    <cellStyle name="Normal 2 2 5 2 2 2 4" xfId="28217"/>
    <cellStyle name="Normal 2 2 5 2 2 3" xfId="18510"/>
    <cellStyle name="Normal 2 2 5 2 2 3 2" xfId="41097"/>
    <cellStyle name="Normal 2 2 5 2 2 4" xfId="15290"/>
    <cellStyle name="Normal 2 2 5 2 2 4 2" xfId="37877"/>
    <cellStyle name="Normal 2 2 5 2 2 5" xfId="8850"/>
    <cellStyle name="Normal 2 2 5 2 2 5 2" xfId="31437"/>
    <cellStyle name="Normal 2 2 5 2 2 6" xfId="24997"/>
    <cellStyle name="Normal 2 2 5 2 3" xfId="4322"/>
    <cellStyle name="Normal 2 2 5 2 3 2" xfId="20422"/>
    <cellStyle name="Normal 2 2 5 2 3 2 2" xfId="43009"/>
    <cellStyle name="Normal 2 2 5 2 3 3" xfId="10762"/>
    <cellStyle name="Normal 2 2 5 2 3 3 2" xfId="33349"/>
    <cellStyle name="Normal 2 2 5 2 3 4" xfId="26909"/>
    <cellStyle name="Normal 2 2 5 2 4" xfId="17202"/>
    <cellStyle name="Normal 2 2 5 2 4 2" xfId="39789"/>
    <cellStyle name="Normal 2 2 5 2 5" xfId="13982"/>
    <cellStyle name="Normal 2 2 5 2 5 2" xfId="36569"/>
    <cellStyle name="Normal 2 2 5 2 6" xfId="7542"/>
    <cellStyle name="Normal 2 2 5 2 6 2" xfId="30129"/>
    <cellStyle name="Normal 2 2 5 2 7" xfId="23689"/>
    <cellStyle name="Normal 2 2 5 3" xfId="1442"/>
    <cellStyle name="Normal 2 2 5 3 2" xfId="2756"/>
    <cellStyle name="Normal 2 2 5 3 2 2" xfId="5977"/>
    <cellStyle name="Normal 2 2 5 3 2 2 2" xfId="22077"/>
    <cellStyle name="Normal 2 2 5 3 2 2 2 2" xfId="44664"/>
    <cellStyle name="Normal 2 2 5 3 2 2 3" xfId="12417"/>
    <cellStyle name="Normal 2 2 5 3 2 2 3 2" xfId="35004"/>
    <cellStyle name="Normal 2 2 5 3 2 2 4" xfId="28564"/>
    <cellStyle name="Normal 2 2 5 3 2 3" xfId="18857"/>
    <cellStyle name="Normal 2 2 5 3 2 3 2" xfId="41444"/>
    <cellStyle name="Normal 2 2 5 3 2 4" xfId="15637"/>
    <cellStyle name="Normal 2 2 5 3 2 4 2" xfId="38224"/>
    <cellStyle name="Normal 2 2 5 3 2 5" xfId="9197"/>
    <cellStyle name="Normal 2 2 5 3 2 5 2" xfId="31784"/>
    <cellStyle name="Normal 2 2 5 3 2 6" xfId="25344"/>
    <cellStyle name="Normal 2 2 5 3 3" xfId="4669"/>
    <cellStyle name="Normal 2 2 5 3 3 2" xfId="20769"/>
    <cellStyle name="Normal 2 2 5 3 3 2 2" xfId="43356"/>
    <cellStyle name="Normal 2 2 5 3 3 3" xfId="11109"/>
    <cellStyle name="Normal 2 2 5 3 3 3 2" xfId="33696"/>
    <cellStyle name="Normal 2 2 5 3 3 4" xfId="27256"/>
    <cellStyle name="Normal 2 2 5 3 4" xfId="17549"/>
    <cellStyle name="Normal 2 2 5 3 4 2" xfId="40136"/>
    <cellStyle name="Normal 2 2 5 3 5" xfId="14329"/>
    <cellStyle name="Normal 2 2 5 3 5 2" xfId="36916"/>
    <cellStyle name="Normal 2 2 5 3 6" xfId="7889"/>
    <cellStyle name="Normal 2 2 5 3 6 2" xfId="30476"/>
    <cellStyle name="Normal 2 2 5 3 7" xfId="24036"/>
    <cellStyle name="Normal 2 2 5 4" xfId="1622"/>
    <cellStyle name="Normal 2 2 5 4 2" xfId="4847"/>
    <cellStyle name="Normal 2 2 5 4 2 2" xfId="20947"/>
    <cellStyle name="Normal 2 2 5 4 2 2 2" xfId="43534"/>
    <cellStyle name="Normal 2 2 5 4 2 3" xfId="11287"/>
    <cellStyle name="Normal 2 2 5 4 2 3 2" xfId="33874"/>
    <cellStyle name="Normal 2 2 5 4 2 4" xfId="27434"/>
    <cellStyle name="Normal 2 2 5 4 3" xfId="17727"/>
    <cellStyle name="Normal 2 2 5 4 3 2" xfId="40314"/>
    <cellStyle name="Normal 2 2 5 4 4" xfId="14507"/>
    <cellStyle name="Normal 2 2 5 4 4 2" xfId="37094"/>
    <cellStyle name="Normal 2 2 5 4 5" xfId="8067"/>
    <cellStyle name="Normal 2 2 5 4 5 2" xfId="30654"/>
    <cellStyle name="Normal 2 2 5 4 6" xfId="24214"/>
    <cellStyle name="Normal 2 2 5 5" xfId="2062"/>
    <cellStyle name="Normal 2 2 5 5 2" xfId="5283"/>
    <cellStyle name="Normal 2 2 5 5 2 2" xfId="21383"/>
    <cellStyle name="Normal 2 2 5 5 2 2 2" xfId="43970"/>
    <cellStyle name="Normal 2 2 5 5 2 3" xfId="11723"/>
    <cellStyle name="Normal 2 2 5 5 2 3 2" xfId="34310"/>
    <cellStyle name="Normal 2 2 5 5 2 4" xfId="27870"/>
    <cellStyle name="Normal 2 2 5 5 3" xfId="18163"/>
    <cellStyle name="Normal 2 2 5 5 3 2" xfId="40750"/>
    <cellStyle name="Normal 2 2 5 5 4" xfId="14943"/>
    <cellStyle name="Normal 2 2 5 5 4 2" xfId="37530"/>
    <cellStyle name="Normal 2 2 5 5 5" xfId="8503"/>
    <cellStyle name="Normal 2 2 5 5 5 2" xfId="31090"/>
    <cellStyle name="Normal 2 2 5 5 6" xfId="24650"/>
    <cellStyle name="Normal 2 2 5 6" xfId="3975"/>
    <cellStyle name="Normal 2 2 5 6 2" xfId="20075"/>
    <cellStyle name="Normal 2 2 5 6 2 2" xfId="42662"/>
    <cellStyle name="Normal 2 2 5 6 3" xfId="10415"/>
    <cellStyle name="Normal 2 2 5 6 3 2" xfId="33002"/>
    <cellStyle name="Normal 2 2 5 6 4" xfId="26562"/>
    <cellStyle name="Normal 2 2 5 7" xfId="16855"/>
    <cellStyle name="Normal 2 2 5 7 2" xfId="39442"/>
    <cellStyle name="Normal 2 2 5 8" xfId="13635"/>
    <cellStyle name="Normal 2 2 5 8 2" xfId="36222"/>
    <cellStyle name="Normal 2 2 5 9" xfId="7195"/>
    <cellStyle name="Normal 2 2 5 9 2" xfId="29782"/>
    <cellStyle name="Normal 2 3" xfId="91"/>
    <cellStyle name="Normal 2 3 2" xfId="1623"/>
    <cellStyle name="Normal 2 3 3" xfId="1624"/>
    <cellStyle name="Normal 2 3 3 2" xfId="4848"/>
    <cellStyle name="Normal 2 3 3 2 2" xfId="20948"/>
    <cellStyle name="Normal 2 3 3 2 2 2" xfId="43535"/>
    <cellStyle name="Normal 2 3 3 2 3" xfId="11288"/>
    <cellStyle name="Normal 2 3 3 2 3 2" xfId="33875"/>
    <cellStyle name="Normal 2 3 3 2 4" xfId="27435"/>
    <cellStyle name="Normal 2 3 3 3" xfId="17728"/>
    <cellStyle name="Normal 2 3 3 3 2" xfId="40315"/>
    <cellStyle name="Normal 2 3 3 4" xfId="14508"/>
    <cellStyle name="Normal 2 3 3 4 2" xfId="37095"/>
    <cellStyle name="Normal 2 3 3 5" xfId="8068"/>
    <cellStyle name="Normal 2 3 3 5 2" xfId="30655"/>
    <cellStyle name="Normal 2 3 3 6" xfId="24215"/>
    <cellStyle name="Normal 2 4" xfId="109"/>
    <cellStyle name="Normal 2 4 2" xfId="1625"/>
    <cellStyle name="Normal 2 4 2 2" xfId="4849"/>
    <cellStyle name="Normal 2 4 2 2 2" xfId="20949"/>
    <cellStyle name="Normal 2 4 2 2 2 2" xfId="43536"/>
    <cellStyle name="Normal 2 4 2 2 3" xfId="11289"/>
    <cellStyle name="Normal 2 4 2 2 3 2" xfId="33876"/>
    <cellStyle name="Normal 2 4 2 2 4" xfId="27436"/>
    <cellStyle name="Normal 2 4 2 3" xfId="17729"/>
    <cellStyle name="Normal 2 4 2 3 2" xfId="40316"/>
    <cellStyle name="Normal 2 4 2 4" xfId="14509"/>
    <cellStyle name="Normal 2 4 2 4 2" xfId="37096"/>
    <cellStyle name="Normal 2 4 2 5" xfId="8069"/>
    <cellStyle name="Normal 2 4 2 5 2" xfId="30656"/>
    <cellStyle name="Normal 2 4 2 6" xfId="24216"/>
    <cellStyle name="Normal 2 4 3" xfId="1626"/>
    <cellStyle name="Normal 2 5" xfId="194"/>
    <cellStyle name="Normal 2 6" xfId="1627"/>
    <cellStyle name="Normal 2 6 2" xfId="4850"/>
    <cellStyle name="Normal 2 6 2 2" xfId="20950"/>
    <cellStyle name="Normal 2 6 2 2 2" xfId="43537"/>
    <cellStyle name="Normal 2 6 2 3" xfId="11290"/>
    <cellStyle name="Normal 2 6 2 3 2" xfId="33877"/>
    <cellStyle name="Normal 2 6 2 4" xfId="27437"/>
    <cellStyle name="Normal 2 6 3" xfId="17730"/>
    <cellStyle name="Normal 2 6 3 2" xfId="40317"/>
    <cellStyle name="Normal 2 6 4" xfId="14510"/>
    <cellStyle name="Normal 2 6 4 2" xfId="37097"/>
    <cellStyle name="Normal 2 6 5" xfId="8070"/>
    <cellStyle name="Normal 2 6 5 2" xfId="30657"/>
    <cellStyle name="Normal 2 6 6" xfId="24217"/>
    <cellStyle name="Normal 20" xfId="22753"/>
    <cellStyle name="Normal 20 2" xfId="45340"/>
    <cellStyle name="Normal 21" xfId="22757"/>
    <cellStyle name="Normal 22" xfId="22755"/>
    <cellStyle name="Normal 3" xfId="87"/>
    <cellStyle name="Normal 3 2" xfId="93"/>
    <cellStyle name="Normal 3 2 10" xfId="1192"/>
    <cellStyle name="Normal 3 2 10 2" xfId="2506"/>
    <cellStyle name="Normal 3 2 10 2 2" xfId="5727"/>
    <cellStyle name="Normal 3 2 10 2 2 2" xfId="21827"/>
    <cellStyle name="Normal 3 2 10 2 2 2 2" xfId="44414"/>
    <cellStyle name="Normal 3 2 10 2 2 3" xfId="12167"/>
    <cellStyle name="Normal 3 2 10 2 2 3 2" xfId="34754"/>
    <cellStyle name="Normal 3 2 10 2 2 4" xfId="28314"/>
    <cellStyle name="Normal 3 2 10 2 3" xfId="18607"/>
    <cellStyle name="Normal 3 2 10 2 3 2" xfId="41194"/>
    <cellStyle name="Normal 3 2 10 2 4" xfId="15387"/>
    <cellStyle name="Normal 3 2 10 2 4 2" xfId="37974"/>
    <cellStyle name="Normal 3 2 10 2 5" xfId="8947"/>
    <cellStyle name="Normal 3 2 10 2 5 2" xfId="31534"/>
    <cellStyle name="Normal 3 2 10 2 6" xfId="25094"/>
    <cellStyle name="Normal 3 2 10 3" xfId="4419"/>
    <cellStyle name="Normal 3 2 10 3 2" xfId="20519"/>
    <cellStyle name="Normal 3 2 10 3 2 2" xfId="43106"/>
    <cellStyle name="Normal 3 2 10 3 3" xfId="10859"/>
    <cellStyle name="Normal 3 2 10 3 3 2" xfId="33446"/>
    <cellStyle name="Normal 3 2 10 3 4" xfId="27006"/>
    <cellStyle name="Normal 3 2 10 4" xfId="17299"/>
    <cellStyle name="Normal 3 2 10 4 2" xfId="39886"/>
    <cellStyle name="Normal 3 2 10 5" xfId="14079"/>
    <cellStyle name="Normal 3 2 10 5 2" xfId="36666"/>
    <cellStyle name="Normal 3 2 10 6" xfId="7639"/>
    <cellStyle name="Normal 3 2 10 6 2" xfId="30226"/>
    <cellStyle name="Normal 3 2 10 7" xfId="23786"/>
    <cellStyle name="Normal 3 2 11" xfId="1628"/>
    <cellStyle name="Normal 3 2 11 2" xfId="4851"/>
    <cellStyle name="Normal 3 2 11 2 2" xfId="20951"/>
    <cellStyle name="Normal 3 2 11 2 2 2" xfId="43538"/>
    <cellStyle name="Normal 3 2 11 2 3" xfId="11291"/>
    <cellStyle name="Normal 3 2 11 2 3 2" xfId="33878"/>
    <cellStyle name="Normal 3 2 11 2 4" xfId="27438"/>
    <cellStyle name="Normal 3 2 11 3" xfId="17731"/>
    <cellStyle name="Normal 3 2 11 3 2" xfId="40318"/>
    <cellStyle name="Normal 3 2 11 4" xfId="14511"/>
    <cellStyle name="Normal 3 2 11 4 2" xfId="37098"/>
    <cellStyle name="Normal 3 2 11 5" xfId="8071"/>
    <cellStyle name="Normal 3 2 11 5 2" xfId="30658"/>
    <cellStyle name="Normal 3 2 11 6" xfId="24218"/>
    <cellStyle name="Normal 3 2 12" xfId="1811"/>
    <cellStyle name="Normal 3 2 12 2" xfId="5033"/>
    <cellStyle name="Normal 3 2 12 2 2" xfId="21133"/>
    <cellStyle name="Normal 3 2 12 2 2 2" xfId="43720"/>
    <cellStyle name="Normal 3 2 12 2 3" xfId="11473"/>
    <cellStyle name="Normal 3 2 12 2 3 2" xfId="34060"/>
    <cellStyle name="Normal 3 2 12 2 4" xfId="27620"/>
    <cellStyle name="Normal 3 2 12 3" xfId="17913"/>
    <cellStyle name="Normal 3 2 12 3 2" xfId="40500"/>
    <cellStyle name="Normal 3 2 12 4" xfId="14693"/>
    <cellStyle name="Normal 3 2 12 4 2" xfId="37280"/>
    <cellStyle name="Normal 3 2 12 5" xfId="8253"/>
    <cellStyle name="Normal 3 2 12 5 2" xfId="30840"/>
    <cellStyle name="Normal 3 2 12 6" xfId="24400"/>
    <cellStyle name="Normal 3 2 13" xfId="2854"/>
    <cellStyle name="Normal 3 2 13 2" xfId="6075"/>
    <cellStyle name="Normal 3 2 13 2 2" xfId="22175"/>
    <cellStyle name="Normal 3 2 13 2 2 2" xfId="44762"/>
    <cellStyle name="Normal 3 2 13 2 3" xfId="12515"/>
    <cellStyle name="Normal 3 2 13 2 3 2" xfId="35102"/>
    <cellStyle name="Normal 3 2 13 2 4" xfId="28662"/>
    <cellStyle name="Normal 3 2 13 3" xfId="18955"/>
    <cellStyle name="Normal 3 2 13 3 2" xfId="41542"/>
    <cellStyle name="Normal 3 2 13 4" xfId="15735"/>
    <cellStyle name="Normal 3 2 13 4 2" xfId="38322"/>
    <cellStyle name="Normal 3 2 13 5" xfId="9295"/>
    <cellStyle name="Normal 3 2 13 5 2" xfId="31882"/>
    <cellStyle name="Normal 3 2 13 6" xfId="25442"/>
    <cellStyle name="Normal 3 2 14" xfId="3145"/>
    <cellStyle name="Normal 3 2 14 2" xfId="6365"/>
    <cellStyle name="Normal 3 2 14 2 2" xfId="22465"/>
    <cellStyle name="Normal 3 2 14 2 2 2" xfId="45052"/>
    <cellStyle name="Normal 3 2 14 2 3" xfId="12805"/>
    <cellStyle name="Normal 3 2 14 2 3 2" xfId="35392"/>
    <cellStyle name="Normal 3 2 14 2 4" xfId="28952"/>
    <cellStyle name="Normal 3 2 14 3" xfId="19245"/>
    <cellStyle name="Normal 3 2 14 3 2" xfId="41832"/>
    <cellStyle name="Normal 3 2 14 4" xfId="16025"/>
    <cellStyle name="Normal 3 2 14 4 2" xfId="38612"/>
    <cellStyle name="Normal 3 2 14 5" xfId="9585"/>
    <cellStyle name="Normal 3 2 14 5 2" xfId="32172"/>
    <cellStyle name="Normal 3 2 14 6" xfId="25732"/>
    <cellStyle name="Normal 3 2 15" xfId="438"/>
    <cellStyle name="Normal 3 2 15 2" xfId="3725"/>
    <cellStyle name="Normal 3 2 15 2 2" xfId="19825"/>
    <cellStyle name="Normal 3 2 15 2 2 2" xfId="42412"/>
    <cellStyle name="Normal 3 2 15 2 3" xfId="10165"/>
    <cellStyle name="Normal 3 2 15 2 3 2" xfId="32752"/>
    <cellStyle name="Normal 3 2 15 2 4" xfId="26312"/>
    <cellStyle name="Normal 3 2 15 3" xfId="16605"/>
    <cellStyle name="Normal 3 2 15 3 2" xfId="39192"/>
    <cellStyle name="Normal 3 2 15 4" xfId="13385"/>
    <cellStyle name="Normal 3 2 15 4 2" xfId="35972"/>
    <cellStyle name="Normal 3 2 15 5" xfId="6945"/>
    <cellStyle name="Normal 3 2 15 5 2" xfId="29532"/>
    <cellStyle name="Normal 3 2 15 6" xfId="23092"/>
    <cellStyle name="Normal 3 2 16" xfId="3435"/>
    <cellStyle name="Normal 3 2 16 2" xfId="19535"/>
    <cellStyle name="Normal 3 2 16 2 2" xfId="42122"/>
    <cellStyle name="Normal 3 2 16 3" xfId="9875"/>
    <cellStyle name="Normal 3 2 16 3 2" xfId="32462"/>
    <cellStyle name="Normal 3 2 16 4" xfId="26022"/>
    <cellStyle name="Normal 3 2 17" xfId="16315"/>
    <cellStyle name="Normal 3 2 17 2" xfId="38902"/>
    <cellStyle name="Normal 3 2 18" xfId="13095"/>
    <cellStyle name="Normal 3 2 18 2" xfId="35682"/>
    <cellStyle name="Normal 3 2 19" xfId="6655"/>
    <cellStyle name="Normal 3 2 19 2" xfId="29242"/>
    <cellStyle name="Normal 3 2 2" xfId="100"/>
    <cellStyle name="Normal 3 2 2 10" xfId="1629"/>
    <cellStyle name="Normal 3 2 2 10 2" xfId="4852"/>
    <cellStyle name="Normal 3 2 2 10 2 2" xfId="20952"/>
    <cellStyle name="Normal 3 2 2 10 2 2 2" xfId="43539"/>
    <cellStyle name="Normal 3 2 2 10 2 3" xfId="11292"/>
    <cellStyle name="Normal 3 2 2 10 2 3 2" xfId="33879"/>
    <cellStyle name="Normal 3 2 2 10 2 4" xfId="27439"/>
    <cellStyle name="Normal 3 2 2 10 3" xfId="17732"/>
    <cellStyle name="Normal 3 2 2 10 3 2" xfId="40319"/>
    <cellStyle name="Normal 3 2 2 10 4" xfId="14512"/>
    <cellStyle name="Normal 3 2 2 10 4 2" xfId="37099"/>
    <cellStyle name="Normal 3 2 2 10 5" xfId="8072"/>
    <cellStyle name="Normal 3 2 2 10 5 2" xfId="30659"/>
    <cellStyle name="Normal 3 2 2 10 6" xfId="24219"/>
    <cellStyle name="Normal 3 2 2 11" xfId="1816"/>
    <cellStyle name="Normal 3 2 2 11 2" xfId="5038"/>
    <cellStyle name="Normal 3 2 2 11 2 2" xfId="21138"/>
    <cellStyle name="Normal 3 2 2 11 2 2 2" xfId="43725"/>
    <cellStyle name="Normal 3 2 2 11 2 3" xfId="11478"/>
    <cellStyle name="Normal 3 2 2 11 2 3 2" xfId="34065"/>
    <cellStyle name="Normal 3 2 2 11 2 4" xfId="27625"/>
    <cellStyle name="Normal 3 2 2 11 3" xfId="17918"/>
    <cellStyle name="Normal 3 2 2 11 3 2" xfId="40505"/>
    <cellStyle name="Normal 3 2 2 11 4" xfId="14698"/>
    <cellStyle name="Normal 3 2 2 11 4 2" xfId="37285"/>
    <cellStyle name="Normal 3 2 2 11 5" xfId="8258"/>
    <cellStyle name="Normal 3 2 2 11 5 2" xfId="30845"/>
    <cellStyle name="Normal 3 2 2 11 6" xfId="24405"/>
    <cellStyle name="Normal 3 2 2 12" xfId="2859"/>
    <cellStyle name="Normal 3 2 2 12 2" xfId="6080"/>
    <cellStyle name="Normal 3 2 2 12 2 2" xfId="22180"/>
    <cellStyle name="Normal 3 2 2 12 2 2 2" xfId="44767"/>
    <cellStyle name="Normal 3 2 2 12 2 3" xfId="12520"/>
    <cellStyle name="Normal 3 2 2 12 2 3 2" xfId="35107"/>
    <cellStyle name="Normal 3 2 2 12 2 4" xfId="28667"/>
    <cellStyle name="Normal 3 2 2 12 3" xfId="18960"/>
    <cellStyle name="Normal 3 2 2 12 3 2" xfId="41547"/>
    <cellStyle name="Normal 3 2 2 12 4" xfId="15740"/>
    <cellStyle name="Normal 3 2 2 12 4 2" xfId="38327"/>
    <cellStyle name="Normal 3 2 2 12 5" xfId="9300"/>
    <cellStyle name="Normal 3 2 2 12 5 2" xfId="31887"/>
    <cellStyle name="Normal 3 2 2 12 6" xfId="25447"/>
    <cellStyle name="Normal 3 2 2 13" xfId="3150"/>
    <cellStyle name="Normal 3 2 2 13 2" xfId="6370"/>
    <cellStyle name="Normal 3 2 2 13 2 2" xfId="22470"/>
    <cellStyle name="Normal 3 2 2 13 2 2 2" xfId="45057"/>
    <cellStyle name="Normal 3 2 2 13 2 3" xfId="12810"/>
    <cellStyle name="Normal 3 2 2 13 2 3 2" xfId="35397"/>
    <cellStyle name="Normal 3 2 2 13 2 4" xfId="28957"/>
    <cellStyle name="Normal 3 2 2 13 3" xfId="19250"/>
    <cellStyle name="Normal 3 2 2 13 3 2" xfId="41837"/>
    <cellStyle name="Normal 3 2 2 13 4" xfId="16030"/>
    <cellStyle name="Normal 3 2 2 13 4 2" xfId="38617"/>
    <cellStyle name="Normal 3 2 2 13 5" xfId="9590"/>
    <cellStyle name="Normal 3 2 2 13 5 2" xfId="32177"/>
    <cellStyle name="Normal 3 2 2 13 6" xfId="25737"/>
    <cellStyle name="Normal 3 2 2 14" xfId="443"/>
    <cellStyle name="Normal 3 2 2 14 2" xfId="3730"/>
    <cellStyle name="Normal 3 2 2 14 2 2" xfId="19830"/>
    <cellStyle name="Normal 3 2 2 14 2 2 2" xfId="42417"/>
    <cellStyle name="Normal 3 2 2 14 2 3" xfId="10170"/>
    <cellStyle name="Normal 3 2 2 14 2 3 2" xfId="32757"/>
    <cellStyle name="Normal 3 2 2 14 2 4" xfId="26317"/>
    <cellStyle name="Normal 3 2 2 14 3" xfId="16610"/>
    <cellStyle name="Normal 3 2 2 14 3 2" xfId="39197"/>
    <cellStyle name="Normal 3 2 2 14 4" xfId="13390"/>
    <cellStyle name="Normal 3 2 2 14 4 2" xfId="35977"/>
    <cellStyle name="Normal 3 2 2 14 5" xfId="6950"/>
    <cellStyle name="Normal 3 2 2 14 5 2" xfId="29537"/>
    <cellStyle name="Normal 3 2 2 14 6" xfId="23097"/>
    <cellStyle name="Normal 3 2 2 15" xfId="3440"/>
    <cellStyle name="Normal 3 2 2 15 2" xfId="19540"/>
    <cellStyle name="Normal 3 2 2 15 2 2" xfId="42127"/>
    <cellStyle name="Normal 3 2 2 15 3" xfId="9880"/>
    <cellStyle name="Normal 3 2 2 15 3 2" xfId="32467"/>
    <cellStyle name="Normal 3 2 2 15 4" xfId="26027"/>
    <cellStyle name="Normal 3 2 2 16" xfId="16320"/>
    <cellStyle name="Normal 3 2 2 16 2" xfId="38907"/>
    <cellStyle name="Normal 3 2 2 17" xfId="13100"/>
    <cellStyle name="Normal 3 2 2 17 2" xfId="35687"/>
    <cellStyle name="Normal 3 2 2 18" xfId="6660"/>
    <cellStyle name="Normal 3 2 2 18 2" xfId="29247"/>
    <cellStyle name="Normal 3 2 2 19" xfId="22807"/>
    <cellStyle name="Normal 3 2 2 2" xfId="119"/>
    <cellStyle name="Normal 3 2 2 2 10" xfId="2875"/>
    <cellStyle name="Normal 3 2 2 2 10 2" xfId="6096"/>
    <cellStyle name="Normal 3 2 2 2 10 2 2" xfId="22196"/>
    <cellStyle name="Normal 3 2 2 2 10 2 2 2" xfId="44783"/>
    <cellStyle name="Normal 3 2 2 2 10 2 3" xfId="12536"/>
    <cellStyle name="Normal 3 2 2 2 10 2 3 2" xfId="35123"/>
    <cellStyle name="Normal 3 2 2 2 10 2 4" xfId="28683"/>
    <cellStyle name="Normal 3 2 2 2 10 3" xfId="18976"/>
    <cellStyle name="Normal 3 2 2 2 10 3 2" xfId="41563"/>
    <cellStyle name="Normal 3 2 2 2 10 4" xfId="15756"/>
    <cellStyle name="Normal 3 2 2 2 10 4 2" xfId="38343"/>
    <cellStyle name="Normal 3 2 2 2 10 5" xfId="9316"/>
    <cellStyle name="Normal 3 2 2 2 10 5 2" xfId="31903"/>
    <cellStyle name="Normal 3 2 2 2 10 6" xfId="25463"/>
    <cellStyle name="Normal 3 2 2 2 11" xfId="3166"/>
    <cellStyle name="Normal 3 2 2 2 11 2" xfId="6386"/>
    <cellStyle name="Normal 3 2 2 2 11 2 2" xfId="22486"/>
    <cellStyle name="Normal 3 2 2 2 11 2 2 2" xfId="45073"/>
    <cellStyle name="Normal 3 2 2 2 11 2 3" xfId="12826"/>
    <cellStyle name="Normal 3 2 2 2 11 2 3 2" xfId="35413"/>
    <cellStyle name="Normal 3 2 2 2 11 2 4" xfId="28973"/>
    <cellStyle name="Normal 3 2 2 2 11 3" xfId="19266"/>
    <cellStyle name="Normal 3 2 2 2 11 3 2" xfId="41853"/>
    <cellStyle name="Normal 3 2 2 2 11 4" xfId="16046"/>
    <cellStyle name="Normal 3 2 2 2 11 4 2" xfId="38633"/>
    <cellStyle name="Normal 3 2 2 2 11 5" xfId="9606"/>
    <cellStyle name="Normal 3 2 2 2 11 5 2" xfId="32193"/>
    <cellStyle name="Normal 3 2 2 2 11 6" xfId="25753"/>
    <cellStyle name="Normal 3 2 2 2 12" xfId="459"/>
    <cellStyle name="Normal 3 2 2 2 12 2" xfId="3746"/>
    <cellStyle name="Normal 3 2 2 2 12 2 2" xfId="19846"/>
    <cellStyle name="Normal 3 2 2 2 12 2 2 2" xfId="42433"/>
    <cellStyle name="Normal 3 2 2 2 12 2 3" xfId="10186"/>
    <cellStyle name="Normal 3 2 2 2 12 2 3 2" xfId="32773"/>
    <cellStyle name="Normal 3 2 2 2 12 2 4" xfId="26333"/>
    <cellStyle name="Normal 3 2 2 2 12 3" xfId="16626"/>
    <cellStyle name="Normal 3 2 2 2 12 3 2" xfId="39213"/>
    <cellStyle name="Normal 3 2 2 2 12 4" xfId="13406"/>
    <cellStyle name="Normal 3 2 2 2 12 4 2" xfId="35993"/>
    <cellStyle name="Normal 3 2 2 2 12 5" xfId="6966"/>
    <cellStyle name="Normal 3 2 2 2 12 5 2" xfId="29553"/>
    <cellStyle name="Normal 3 2 2 2 12 6" xfId="23113"/>
    <cellStyle name="Normal 3 2 2 2 13" xfId="3456"/>
    <cellStyle name="Normal 3 2 2 2 13 2" xfId="19556"/>
    <cellStyle name="Normal 3 2 2 2 13 2 2" xfId="42143"/>
    <cellStyle name="Normal 3 2 2 2 13 3" xfId="9896"/>
    <cellStyle name="Normal 3 2 2 2 13 3 2" xfId="32483"/>
    <cellStyle name="Normal 3 2 2 2 13 4" xfId="26043"/>
    <cellStyle name="Normal 3 2 2 2 14" xfId="16336"/>
    <cellStyle name="Normal 3 2 2 2 14 2" xfId="38923"/>
    <cellStyle name="Normal 3 2 2 2 15" xfId="13116"/>
    <cellStyle name="Normal 3 2 2 2 15 2" xfId="35703"/>
    <cellStyle name="Normal 3 2 2 2 16" xfId="6676"/>
    <cellStyle name="Normal 3 2 2 2 16 2" xfId="29263"/>
    <cellStyle name="Normal 3 2 2 2 17" xfId="22823"/>
    <cellStyle name="Normal 3 2 2 2 2" xfId="204"/>
    <cellStyle name="Normal 3 2 2 2 2 10" xfId="496"/>
    <cellStyle name="Normal 3 2 2 2 2 10 2" xfId="3783"/>
    <cellStyle name="Normal 3 2 2 2 2 10 2 2" xfId="19883"/>
    <cellStyle name="Normal 3 2 2 2 2 10 2 2 2" xfId="42470"/>
    <cellStyle name="Normal 3 2 2 2 2 10 2 3" xfId="10223"/>
    <cellStyle name="Normal 3 2 2 2 2 10 2 3 2" xfId="32810"/>
    <cellStyle name="Normal 3 2 2 2 2 10 2 4" xfId="26370"/>
    <cellStyle name="Normal 3 2 2 2 2 10 3" xfId="16663"/>
    <cellStyle name="Normal 3 2 2 2 2 10 3 2" xfId="39250"/>
    <cellStyle name="Normal 3 2 2 2 2 10 4" xfId="13443"/>
    <cellStyle name="Normal 3 2 2 2 2 10 4 2" xfId="36030"/>
    <cellStyle name="Normal 3 2 2 2 2 10 5" xfId="7003"/>
    <cellStyle name="Normal 3 2 2 2 2 10 5 2" xfId="29590"/>
    <cellStyle name="Normal 3 2 2 2 2 10 6" xfId="23150"/>
    <cellStyle name="Normal 3 2 2 2 2 11" xfId="3493"/>
    <cellStyle name="Normal 3 2 2 2 2 11 2" xfId="19593"/>
    <cellStyle name="Normal 3 2 2 2 2 11 2 2" xfId="42180"/>
    <cellStyle name="Normal 3 2 2 2 2 11 3" xfId="9933"/>
    <cellStyle name="Normal 3 2 2 2 2 11 3 2" xfId="32520"/>
    <cellStyle name="Normal 3 2 2 2 2 11 4" xfId="26080"/>
    <cellStyle name="Normal 3 2 2 2 2 12" xfId="16373"/>
    <cellStyle name="Normal 3 2 2 2 2 12 2" xfId="38960"/>
    <cellStyle name="Normal 3 2 2 2 2 13" xfId="13153"/>
    <cellStyle name="Normal 3 2 2 2 2 13 2" xfId="35740"/>
    <cellStyle name="Normal 3 2 2 2 2 14" xfId="6713"/>
    <cellStyle name="Normal 3 2 2 2 2 14 2" xfId="29300"/>
    <cellStyle name="Normal 3 2 2 2 2 15" xfId="22860"/>
    <cellStyle name="Normal 3 2 2 2 2 2" xfId="303"/>
    <cellStyle name="Normal 3 2 2 2 2 2 10" xfId="16470"/>
    <cellStyle name="Normal 3 2 2 2 2 2 10 2" xfId="39057"/>
    <cellStyle name="Normal 3 2 2 2 2 2 11" xfId="13250"/>
    <cellStyle name="Normal 3 2 2 2 2 2 11 2" xfId="35837"/>
    <cellStyle name="Normal 3 2 2 2 2 2 12" xfId="6810"/>
    <cellStyle name="Normal 3 2 2 2 2 2 12 2" xfId="29397"/>
    <cellStyle name="Normal 3 2 2 2 2 2 13" xfId="22957"/>
    <cellStyle name="Normal 3 2 2 2 2 2 2" xfId="1022"/>
    <cellStyle name="Normal 3 2 2 2 2 2 2 2" xfId="2336"/>
    <cellStyle name="Normal 3 2 2 2 2 2 2 2 2" xfId="5557"/>
    <cellStyle name="Normal 3 2 2 2 2 2 2 2 2 2" xfId="21657"/>
    <cellStyle name="Normal 3 2 2 2 2 2 2 2 2 2 2" xfId="44244"/>
    <cellStyle name="Normal 3 2 2 2 2 2 2 2 2 3" xfId="11997"/>
    <cellStyle name="Normal 3 2 2 2 2 2 2 2 2 3 2" xfId="34584"/>
    <cellStyle name="Normal 3 2 2 2 2 2 2 2 2 4" xfId="28144"/>
    <cellStyle name="Normal 3 2 2 2 2 2 2 2 3" xfId="18437"/>
    <cellStyle name="Normal 3 2 2 2 2 2 2 2 3 2" xfId="41024"/>
    <cellStyle name="Normal 3 2 2 2 2 2 2 2 4" xfId="15217"/>
    <cellStyle name="Normal 3 2 2 2 2 2 2 2 4 2" xfId="37804"/>
    <cellStyle name="Normal 3 2 2 2 2 2 2 2 5" xfId="8777"/>
    <cellStyle name="Normal 3 2 2 2 2 2 2 2 5 2" xfId="31364"/>
    <cellStyle name="Normal 3 2 2 2 2 2 2 2 6" xfId="24924"/>
    <cellStyle name="Normal 3 2 2 2 2 2 2 3" xfId="4249"/>
    <cellStyle name="Normal 3 2 2 2 2 2 2 3 2" xfId="20349"/>
    <cellStyle name="Normal 3 2 2 2 2 2 2 3 2 2" xfId="42936"/>
    <cellStyle name="Normal 3 2 2 2 2 2 2 3 3" xfId="10689"/>
    <cellStyle name="Normal 3 2 2 2 2 2 2 3 3 2" xfId="33276"/>
    <cellStyle name="Normal 3 2 2 2 2 2 2 3 4" xfId="26836"/>
    <cellStyle name="Normal 3 2 2 2 2 2 2 4" xfId="17129"/>
    <cellStyle name="Normal 3 2 2 2 2 2 2 4 2" xfId="39716"/>
    <cellStyle name="Normal 3 2 2 2 2 2 2 5" xfId="13909"/>
    <cellStyle name="Normal 3 2 2 2 2 2 2 5 2" xfId="36496"/>
    <cellStyle name="Normal 3 2 2 2 2 2 2 6" xfId="7469"/>
    <cellStyle name="Normal 3 2 2 2 2 2 2 6 2" xfId="30056"/>
    <cellStyle name="Normal 3 2 2 2 2 2 2 7" xfId="23616"/>
    <cellStyle name="Normal 3 2 2 2 2 2 3" xfId="1369"/>
    <cellStyle name="Normal 3 2 2 2 2 2 3 2" xfId="2683"/>
    <cellStyle name="Normal 3 2 2 2 2 2 3 2 2" xfId="5904"/>
    <cellStyle name="Normal 3 2 2 2 2 2 3 2 2 2" xfId="22004"/>
    <cellStyle name="Normal 3 2 2 2 2 2 3 2 2 2 2" xfId="44591"/>
    <cellStyle name="Normal 3 2 2 2 2 2 3 2 2 3" xfId="12344"/>
    <cellStyle name="Normal 3 2 2 2 2 2 3 2 2 3 2" xfId="34931"/>
    <cellStyle name="Normal 3 2 2 2 2 2 3 2 2 4" xfId="28491"/>
    <cellStyle name="Normal 3 2 2 2 2 2 3 2 3" xfId="18784"/>
    <cellStyle name="Normal 3 2 2 2 2 2 3 2 3 2" xfId="41371"/>
    <cellStyle name="Normal 3 2 2 2 2 2 3 2 4" xfId="15564"/>
    <cellStyle name="Normal 3 2 2 2 2 2 3 2 4 2" xfId="38151"/>
    <cellStyle name="Normal 3 2 2 2 2 2 3 2 5" xfId="9124"/>
    <cellStyle name="Normal 3 2 2 2 2 2 3 2 5 2" xfId="31711"/>
    <cellStyle name="Normal 3 2 2 2 2 2 3 2 6" xfId="25271"/>
    <cellStyle name="Normal 3 2 2 2 2 2 3 3" xfId="4596"/>
    <cellStyle name="Normal 3 2 2 2 2 2 3 3 2" xfId="20696"/>
    <cellStyle name="Normal 3 2 2 2 2 2 3 3 2 2" xfId="43283"/>
    <cellStyle name="Normal 3 2 2 2 2 2 3 3 3" xfId="11036"/>
    <cellStyle name="Normal 3 2 2 2 2 2 3 3 3 2" xfId="33623"/>
    <cellStyle name="Normal 3 2 2 2 2 2 3 3 4" xfId="27183"/>
    <cellStyle name="Normal 3 2 2 2 2 2 3 4" xfId="17476"/>
    <cellStyle name="Normal 3 2 2 2 2 2 3 4 2" xfId="40063"/>
    <cellStyle name="Normal 3 2 2 2 2 2 3 5" xfId="14256"/>
    <cellStyle name="Normal 3 2 2 2 2 2 3 5 2" xfId="36843"/>
    <cellStyle name="Normal 3 2 2 2 2 2 3 6" xfId="7816"/>
    <cellStyle name="Normal 3 2 2 2 2 2 3 6 2" xfId="30403"/>
    <cellStyle name="Normal 3 2 2 2 2 2 3 7" xfId="23963"/>
    <cellStyle name="Normal 3 2 2 2 2 2 4" xfId="1630"/>
    <cellStyle name="Normal 3 2 2 2 2 2 4 2" xfId="4853"/>
    <cellStyle name="Normal 3 2 2 2 2 2 4 2 2" xfId="20953"/>
    <cellStyle name="Normal 3 2 2 2 2 2 4 2 2 2" xfId="43540"/>
    <cellStyle name="Normal 3 2 2 2 2 2 4 2 3" xfId="11293"/>
    <cellStyle name="Normal 3 2 2 2 2 2 4 2 3 2" xfId="33880"/>
    <cellStyle name="Normal 3 2 2 2 2 2 4 2 4" xfId="27440"/>
    <cellStyle name="Normal 3 2 2 2 2 2 4 3" xfId="17733"/>
    <cellStyle name="Normal 3 2 2 2 2 2 4 3 2" xfId="40320"/>
    <cellStyle name="Normal 3 2 2 2 2 2 4 4" xfId="14513"/>
    <cellStyle name="Normal 3 2 2 2 2 2 4 4 2" xfId="37100"/>
    <cellStyle name="Normal 3 2 2 2 2 2 4 5" xfId="8073"/>
    <cellStyle name="Normal 3 2 2 2 2 2 4 5 2" xfId="30660"/>
    <cellStyle name="Normal 3 2 2 2 2 2 4 6" xfId="24220"/>
    <cellStyle name="Normal 3 2 2 2 2 2 5" xfId="1988"/>
    <cellStyle name="Normal 3 2 2 2 2 2 5 2" xfId="5210"/>
    <cellStyle name="Normal 3 2 2 2 2 2 5 2 2" xfId="21310"/>
    <cellStyle name="Normal 3 2 2 2 2 2 5 2 2 2" xfId="43897"/>
    <cellStyle name="Normal 3 2 2 2 2 2 5 2 3" xfId="11650"/>
    <cellStyle name="Normal 3 2 2 2 2 2 5 2 3 2" xfId="34237"/>
    <cellStyle name="Normal 3 2 2 2 2 2 5 2 4" xfId="27797"/>
    <cellStyle name="Normal 3 2 2 2 2 2 5 3" xfId="18090"/>
    <cellStyle name="Normal 3 2 2 2 2 2 5 3 2" xfId="40677"/>
    <cellStyle name="Normal 3 2 2 2 2 2 5 4" xfId="14870"/>
    <cellStyle name="Normal 3 2 2 2 2 2 5 4 2" xfId="37457"/>
    <cellStyle name="Normal 3 2 2 2 2 2 5 5" xfId="8430"/>
    <cellStyle name="Normal 3 2 2 2 2 2 5 5 2" xfId="31017"/>
    <cellStyle name="Normal 3 2 2 2 2 2 5 6" xfId="24577"/>
    <cellStyle name="Normal 3 2 2 2 2 2 6" xfId="3010"/>
    <cellStyle name="Normal 3 2 2 2 2 2 6 2" xfId="6230"/>
    <cellStyle name="Normal 3 2 2 2 2 2 6 2 2" xfId="22330"/>
    <cellStyle name="Normal 3 2 2 2 2 2 6 2 2 2" xfId="44917"/>
    <cellStyle name="Normal 3 2 2 2 2 2 6 2 3" xfId="12670"/>
    <cellStyle name="Normal 3 2 2 2 2 2 6 2 3 2" xfId="35257"/>
    <cellStyle name="Normal 3 2 2 2 2 2 6 2 4" xfId="28817"/>
    <cellStyle name="Normal 3 2 2 2 2 2 6 3" xfId="19110"/>
    <cellStyle name="Normal 3 2 2 2 2 2 6 3 2" xfId="41697"/>
    <cellStyle name="Normal 3 2 2 2 2 2 6 4" xfId="15890"/>
    <cellStyle name="Normal 3 2 2 2 2 2 6 4 2" xfId="38477"/>
    <cellStyle name="Normal 3 2 2 2 2 2 6 5" xfId="9450"/>
    <cellStyle name="Normal 3 2 2 2 2 2 6 5 2" xfId="32037"/>
    <cellStyle name="Normal 3 2 2 2 2 2 6 6" xfId="25597"/>
    <cellStyle name="Normal 3 2 2 2 2 2 7" xfId="3300"/>
    <cellStyle name="Normal 3 2 2 2 2 2 7 2" xfId="6520"/>
    <cellStyle name="Normal 3 2 2 2 2 2 7 2 2" xfId="22620"/>
    <cellStyle name="Normal 3 2 2 2 2 2 7 2 2 2" xfId="45207"/>
    <cellStyle name="Normal 3 2 2 2 2 2 7 2 3" xfId="12960"/>
    <cellStyle name="Normal 3 2 2 2 2 2 7 2 3 2" xfId="35547"/>
    <cellStyle name="Normal 3 2 2 2 2 2 7 2 4" xfId="29107"/>
    <cellStyle name="Normal 3 2 2 2 2 2 7 3" xfId="19400"/>
    <cellStyle name="Normal 3 2 2 2 2 2 7 3 2" xfId="41987"/>
    <cellStyle name="Normal 3 2 2 2 2 2 7 4" xfId="16180"/>
    <cellStyle name="Normal 3 2 2 2 2 2 7 4 2" xfId="38767"/>
    <cellStyle name="Normal 3 2 2 2 2 2 7 5" xfId="9740"/>
    <cellStyle name="Normal 3 2 2 2 2 2 7 5 2" xfId="32327"/>
    <cellStyle name="Normal 3 2 2 2 2 2 7 6" xfId="25887"/>
    <cellStyle name="Normal 3 2 2 2 2 2 8" xfId="658"/>
    <cellStyle name="Normal 3 2 2 2 2 2 8 2" xfId="3902"/>
    <cellStyle name="Normal 3 2 2 2 2 2 8 2 2" xfId="20002"/>
    <cellStyle name="Normal 3 2 2 2 2 2 8 2 2 2" xfId="42589"/>
    <cellStyle name="Normal 3 2 2 2 2 2 8 2 3" xfId="10342"/>
    <cellStyle name="Normal 3 2 2 2 2 2 8 2 3 2" xfId="32929"/>
    <cellStyle name="Normal 3 2 2 2 2 2 8 2 4" xfId="26489"/>
    <cellStyle name="Normal 3 2 2 2 2 2 8 3" xfId="16782"/>
    <cellStyle name="Normal 3 2 2 2 2 2 8 3 2" xfId="39369"/>
    <cellStyle name="Normal 3 2 2 2 2 2 8 4" xfId="13562"/>
    <cellStyle name="Normal 3 2 2 2 2 2 8 4 2" xfId="36149"/>
    <cellStyle name="Normal 3 2 2 2 2 2 8 5" xfId="7122"/>
    <cellStyle name="Normal 3 2 2 2 2 2 8 5 2" xfId="29709"/>
    <cellStyle name="Normal 3 2 2 2 2 2 8 6" xfId="23269"/>
    <cellStyle name="Normal 3 2 2 2 2 2 9" xfId="3590"/>
    <cellStyle name="Normal 3 2 2 2 2 2 9 2" xfId="19690"/>
    <cellStyle name="Normal 3 2 2 2 2 2 9 2 2" xfId="42277"/>
    <cellStyle name="Normal 3 2 2 2 2 2 9 3" xfId="10030"/>
    <cellStyle name="Normal 3 2 2 2 2 2 9 3 2" xfId="32617"/>
    <cellStyle name="Normal 3 2 2 2 2 2 9 4" xfId="26177"/>
    <cellStyle name="Normal 3 2 2 2 2 3" xfId="399"/>
    <cellStyle name="Normal 3 2 2 2 2 3 10" xfId="16566"/>
    <cellStyle name="Normal 3 2 2 2 2 3 10 2" xfId="39153"/>
    <cellStyle name="Normal 3 2 2 2 2 3 11" xfId="13346"/>
    <cellStyle name="Normal 3 2 2 2 2 3 11 2" xfId="35933"/>
    <cellStyle name="Normal 3 2 2 2 2 3 12" xfId="6906"/>
    <cellStyle name="Normal 3 2 2 2 2 3 12 2" xfId="29493"/>
    <cellStyle name="Normal 3 2 2 2 2 3 13" xfId="23053"/>
    <cellStyle name="Normal 3 2 2 2 2 3 2" xfId="1181"/>
    <cellStyle name="Normal 3 2 2 2 2 3 2 2" xfId="2495"/>
    <cellStyle name="Normal 3 2 2 2 2 3 2 2 2" xfId="5716"/>
    <cellStyle name="Normal 3 2 2 2 2 3 2 2 2 2" xfId="21816"/>
    <cellStyle name="Normal 3 2 2 2 2 3 2 2 2 2 2" xfId="44403"/>
    <cellStyle name="Normal 3 2 2 2 2 3 2 2 2 3" xfId="12156"/>
    <cellStyle name="Normal 3 2 2 2 2 3 2 2 2 3 2" xfId="34743"/>
    <cellStyle name="Normal 3 2 2 2 2 3 2 2 2 4" xfId="28303"/>
    <cellStyle name="Normal 3 2 2 2 2 3 2 2 3" xfId="18596"/>
    <cellStyle name="Normal 3 2 2 2 2 3 2 2 3 2" xfId="41183"/>
    <cellStyle name="Normal 3 2 2 2 2 3 2 2 4" xfId="15376"/>
    <cellStyle name="Normal 3 2 2 2 2 3 2 2 4 2" xfId="37963"/>
    <cellStyle name="Normal 3 2 2 2 2 3 2 2 5" xfId="8936"/>
    <cellStyle name="Normal 3 2 2 2 2 3 2 2 5 2" xfId="31523"/>
    <cellStyle name="Normal 3 2 2 2 2 3 2 2 6" xfId="25083"/>
    <cellStyle name="Normal 3 2 2 2 2 3 2 3" xfId="4408"/>
    <cellStyle name="Normal 3 2 2 2 2 3 2 3 2" xfId="20508"/>
    <cellStyle name="Normal 3 2 2 2 2 3 2 3 2 2" xfId="43095"/>
    <cellStyle name="Normal 3 2 2 2 2 3 2 3 3" xfId="10848"/>
    <cellStyle name="Normal 3 2 2 2 2 3 2 3 3 2" xfId="33435"/>
    <cellStyle name="Normal 3 2 2 2 2 3 2 3 4" xfId="26995"/>
    <cellStyle name="Normal 3 2 2 2 2 3 2 4" xfId="17288"/>
    <cellStyle name="Normal 3 2 2 2 2 3 2 4 2" xfId="39875"/>
    <cellStyle name="Normal 3 2 2 2 2 3 2 5" xfId="14068"/>
    <cellStyle name="Normal 3 2 2 2 2 3 2 5 2" xfId="36655"/>
    <cellStyle name="Normal 3 2 2 2 2 3 2 6" xfId="7628"/>
    <cellStyle name="Normal 3 2 2 2 2 3 2 6 2" xfId="30215"/>
    <cellStyle name="Normal 3 2 2 2 2 3 2 7" xfId="23775"/>
    <cellStyle name="Normal 3 2 2 2 2 3 3" xfId="1528"/>
    <cellStyle name="Normal 3 2 2 2 2 3 3 2" xfId="2842"/>
    <cellStyle name="Normal 3 2 2 2 2 3 3 2 2" xfId="6063"/>
    <cellStyle name="Normal 3 2 2 2 2 3 3 2 2 2" xfId="22163"/>
    <cellStyle name="Normal 3 2 2 2 2 3 3 2 2 2 2" xfId="44750"/>
    <cellStyle name="Normal 3 2 2 2 2 3 3 2 2 3" xfId="12503"/>
    <cellStyle name="Normal 3 2 2 2 2 3 3 2 2 3 2" xfId="35090"/>
    <cellStyle name="Normal 3 2 2 2 2 3 3 2 2 4" xfId="28650"/>
    <cellStyle name="Normal 3 2 2 2 2 3 3 2 3" xfId="18943"/>
    <cellStyle name="Normal 3 2 2 2 2 3 3 2 3 2" xfId="41530"/>
    <cellStyle name="Normal 3 2 2 2 2 3 3 2 4" xfId="15723"/>
    <cellStyle name="Normal 3 2 2 2 2 3 3 2 4 2" xfId="38310"/>
    <cellStyle name="Normal 3 2 2 2 2 3 3 2 5" xfId="9283"/>
    <cellStyle name="Normal 3 2 2 2 2 3 3 2 5 2" xfId="31870"/>
    <cellStyle name="Normal 3 2 2 2 2 3 3 2 6" xfId="25430"/>
    <cellStyle name="Normal 3 2 2 2 2 3 3 3" xfId="4755"/>
    <cellStyle name="Normal 3 2 2 2 2 3 3 3 2" xfId="20855"/>
    <cellStyle name="Normal 3 2 2 2 2 3 3 3 2 2" xfId="43442"/>
    <cellStyle name="Normal 3 2 2 2 2 3 3 3 3" xfId="11195"/>
    <cellStyle name="Normal 3 2 2 2 2 3 3 3 3 2" xfId="33782"/>
    <cellStyle name="Normal 3 2 2 2 2 3 3 3 4" xfId="27342"/>
    <cellStyle name="Normal 3 2 2 2 2 3 3 4" xfId="17635"/>
    <cellStyle name="Normal 3 2 2 2 2 3 3 4 2" xfId="40222"/>
    <cellStyle name="Normal 3 2 2 2 2 3 3 5" xfId="14415"/>
    <cellStyle name="Normal 3 2 2 2 2 3 3 5 2" xfId="37002"/>
    <cellStyle name="Normal 3 2 2 2 2 3 3 6" xfId="7975"/>
    <cellStyle name="Normal 3 2 2 2 2 3 3 6 2" xfId="30562"/>
    <cellStyle name="Normal 3 2 2 2 2 3 3 7" xfId="24122"/>
    <cellStyle name="Normal 3 2 2 2 2 3 4" xfId="1631"/>
    <cellStyle name="Normal 3 2 2 2 2 3 4 2" xfId="4854"/>
    <cellStyle name="Normal 3 2 2 2 2 3 4 2 2" xfId="20954"/>
    <cellStyle name="Normal 3 2 2 2 2 3 4 2 2 2" xfId="43541"/>
    <cellStyle name="Normal 3 2 2 2 2 3 4 2 3" xfId="11294"/>
    <cellStyle name="Normal 3 2 2 2 2 3 4 2 3 2" xfId="33881"/>
    <cellStyle name="Normal 3 2 2 2 2 3 4 2 4" xfId="27441"/>
    <cellStyle name="Normal 3 2 2 2 2 3 4 3" xfId="17734"/>
    <cellStyle name="Normal 3 2 2 2 2 3 4 3 2" xfId="40321"/>
    <cellStyle name="Normal 3 2 2 2 2 3 4 4" xfId="14514"/>
    <cellStyle name="Normal 3 2 2 2 2 3 4 4 2" xfId="37101"/>
    <cellStyle name="Normal 3 2 2 2 2 3 4 5" xfId="8074"/>
    <cellStyle name="Normal 3 2 2 2 2 3 4 5 2" xfId="30661"/>
    <cellStyle name="Normal 3 2 2 2 2 3 4 6" xfId="24221"/>
    <cellStyle name="Normal 3 2 2 2 2 3 5" xfId="2148"/>
    <cellStyle name="Normal 3 2 2 2 2 3 5 2" xfId="5369"/>
    <cellStyle name="Normal 3 2 2 2 2 3 5 2 2" xfId="21469"/>
    <cellStyle name="Normal 3 2 2 2 2 3 5 2 2 2" xfId="44056"/>
    <cellStyle name="Normal 3 2 2 2 2 3 5 2 3" xfId="11809"/>
    <cellStyle name="Normal 3 2 2 2 2 3 5 2 3 2" xfId="34396"/>
    <cellStyle name="Normal 3 2 2 2 2 3 5 2 4" xfId="27956"/>
    <cellStyle name="Normal 3 2 2 2 2 3 5 3" xfId="18249"/>
    <cellStyle name="Normal 3 2 2 2 2 3 5 3 2" xfId="40836"/>
    <cellStyle name="Normal 3 2 2 2 2 3 5 4" xfId="15029"/>
    <cellStyle name="Normal 3 2 2 2 2 3 5 4 2" xfId="37616"/>
    <cellStyle name="Normal 3 2 2 2 2 3 5 5" xfId="8589"/>
    <cellStyle name="Normal 3 2 2 2 2 3 5 5 2" xfId="31176"/>
    <cellStyle name="Normal 3 2 2 2 2 3 5 6" xfId="24736"/>
    <cellStyle name="Normal 3 2 2 2 2 3 6" xfId="3106"/>
    <cellStyle name="Normal 3 2 2 2 2 3 6 2" xfId="6326"/>
    <cellStyle name="Normal 3 2 2 2 2 3 6 2 2" xfId="22426"/>
    <cellStyle name="Normal 3 2 2 2 2 3 6 2 2 2" xfId="45013"/>
    <cellStyle name="Normal 3 2 2 2 2 3 6 2 3" xfId="12766"/>
    <cellStyle name="Normal 3 2 2 2 2 3 6 2 3 2" xfId="35353"/>
    <cellStyle name="Normal 3 2 2 2 2 3 6 2 4" xfId="28913"/>
    <cellStyle name="Normal 3 2 2 2 2 3 6 3" xfId="19206"/>
    <cellStyle name="Normal 3 2 2 2 2 3 6 3 2" xfId="41793"/>
    <cellStyle name="Normal 3 2 2 2 2 3 6 4" xfId="15986"/>
    <cellStyle name="Normal 3 2 2 2 2 3 6 4 2" xfId="38573"/>
    <cellStyle name="Normal 3 2 2 2 2 3 6 5" xfId="9546"/>
    <cellStyle name="Normal 3 2 2 2 2 3 6 5 2" xfId="32133"/>
    <cellStyle name="Normal 3 2 2 2 2 3 6 6" xfId="25693"/>
    <cellStyle name="Normal 3 2 2 2 2 3 7" xfId="3396"/>
    <cellStyle name="Normal 3 2 2 2 2 3 7 2" xfId="6616"/>
    <cellStyle name="Normal 3 2 2 2 2 3 7 2 2" xfId="22716"/>
    <cellStyle name="Normal 3 2 2 2 2 3 7 2 2 2" xfId="45303"/>
    <cellStyle name="Normal 3 2 2 2 2 3 7 2 3" xfId="13056"/>
    <cellStyle name="Normal 3 2 2 2 2 3 7 2 3 2" xfId="35643"/>
    <cellStyle name="Normal 3 2 2 2 2 3 7 2 4" xfId="29203"/>
    <cellStyle name="Normal 3 2 2 2 2 3 7 3" xfId="19496"/>
    <cellStyle name="Normal 3 2 2 2 2 3 7 3 2" xfId="42083"/>
    <cellStyle name="Normal 3 2 2 2 2 3 7 4" xfId="16276"/>
    <cellStyle name="Normal 3 2 2 2 2 3 7 4 2" xfId="38863"/>
    <cellStyle name="Normal 3 2 2 2 2 3 7 5" xfId="9836"/>
    <cellStyle name="Normal 3 2 2 2 2 3 7 5 2" xfId="32423"/>
    <cellStyle name="Normal 3 2 2 2 2 3 7 6" xfId="25983"/>
    <cellStyle name="Normal 3 2 2 2 2 3 8" xfId="829"/>
    <cellStyle name="Normal 3 2 2 2 2 3 8 2" xfId="4061"/>
    <cellStyle name="Normal 3 2 2 2 2 3 8 2 2" xfId="20161"/>
    <cellStyle name="Normal 3 2 2 2 2 3 8 2 2 2" xfId="42748"/>
    <cellStyle name="Normal 3 2 2 2 2 3 8 2 3" xfId="10501"/>
    <cellStyle name="Normal 3 2 2 2 2 3 8 2 3 2" xfId="33088"/>
    <cellStyle name="Normal 3 2 2 2 2 3 8 2 4" xfId="26648"/>
    <cellStyle name="Normal 3 2 2 2 2 3 8 3" xfId="16941"/>
    <cellStyle name="Normal 3 2 2 2 2 3 8 3 2" xfId="39528"/>
    <cellStyle name="Normal 3 2 2 2 2 3 8 4" xfId="13721"/>
    <cellStyle name="Normal 3 2 2 2 2 3 8 4 2" xfId="36308"/>
    <cellStyle name="Normal 3 2 2 2 2 3 8 5" xfId="7281"/>
    <cellStyle name="Normal 3 2 2 2 2 3 8 5 2" xfId="29868"/>
    <cellStyle name="Normal 3 2 2 2 2 3 8 6" xfId="23428"/>
    <cellStyle name="Normal 3 2 2 2 2 3 9" xfId="3686"/>
    <cellStyle name="Normal 3 2 2 2 2 3 9 2" xfId="19786"/>
    <cellStyle name="Normal 3 2 2 2 2 3 9 2 2" xfId="42373"/>
    <cellStyle name="Normal 3 2 2 2 2 3 9 3" xfId="10126"/>
    <cellStyle name="Normal 3 2 2 2 2 3 9 3 2" xfId="32713"/>
    <cellStyle name="Normal 3 2 2 2 2 3 9 4" xfId="26273"/>
    <cellStyle name="Normal 3 2 2 2 2 4" xfId="898"/>
    <cellStyle name="Normal 3 2 2 2 2 4 2" xfId="2217"/>
    <cellStyle name="Normal 3 2 2 2 2 4 2 2" xfId="5438"/>
    <cellStyle name="Normal 3 2 2 2 2 4 2 2 2" xfId="21538"/>
    <cellStyle name="Normal 3 2 2 2 2 4 2 2 2 2" xfId="44125"/>
    <cellStyle name="Normal 3 2 2 2 2 4 2 2 3" xfId="11878"/>
    <cellStyle name="Normal 3 2 2 2 2 4 2 2 3 2" xfId="34465"/>
    <cellStyle name="Normal 3 2 2 2 2 4 2 2 4" xfId="28025"/>
    <cellStyle name="Normal 3 2 2 2 2 4 2 3" xfId="18318"/>
    <cellStyle name="Normal 3 2 2 2 2 4 2 3 2" xfId="40905"/>
    <cellStyle name="Normal 3 2 2 2 2 4 2 4" xfId="15098"/>
    <cellStyle name="Normal 3 2 2 2 2 4 2 4 2" xfId="37685"/>
    <cellStyle name="Normal 3 2 2 2 2 4 2 5" xfId="8658"/>
    <cellStyle name="Normal 3 2 2 2 2 4 2 5 2" xfId="31245"/>
    <cellStyle name="Normal 3 2 2 2 2 4 2 6" xfId="24805"/>
    <cellStyle name="Normal 3 2 2 2 2 4 3" xfId="4130"/>
    <cellStyle name="Normal 3 2 2 2 2 4 3 2" xfId="20230"/>
    <cellStyle name="Normal 3 2 2 2 2 4 3 2 2" xfId="42817"/>
    <cellStyle name="Normal 3 2 2 2 2 4 3 3" xfId="10570"/>
    <cellStyle name="Normal 3 2 2 2 2 4 3 3 2" xfId="33157"/>
    <cellStyle name="Normal 3 2 2 2 2 4 3 4" xfId="26717"/>
    <cellStyle name="Normal 3 2 2 2 2 4 4" xfId="17010"/>
    <cellStyle name="Normal 3 2 2 2 2 4 4 2" xfId="39597"/>
    <cellStyle name="Normal 3 2 2 2 2 4 5" xfId="13790"/>
    <cellStyle name="Normal 3 2 2 2 2 4 5 2" xfId="36377"/>
    <cellStyle name="Normal 3 2 2 2 2 4 6" xfId="7350"/>
    <cellStyle name="Normal 3 2 2 2 2 4 6 2" xfId="29937"/>
    <cellStyle name="Normal 3 2 2 2 2 4 7" xfId="23497"/>
    <cellStyle name="Normal 3 2 2 2 2 5" xfId="1250"/>
    <cellStyle name="Normal 3 2 2 2 2 5 2" xfId="2564"/>
    <cellStyle name="Normal 3 2 2 2 2 5 2 2" xfId="5785"/>
    <cellStyle name="Normal 3 2 2 2 2 5 2 2 2" xfId="21885"/>
    <cellStyle name="Normal 3 2 2 2 2 5 2 2 2 2" xfId="44472"/>
    <cellStyle name="Normal 3 2 2 2 2 5 2 2 3" xfId="12225"/>
    <cellStyle name="Normal 3 2 2 2 2 5 2 2 3 2" xfId="34812"/>
    <cellStyle name="Normal 3 2 2 2 2 5 2 2 4" xfId="28372"/>
    <cellStyle name="Normal 3 2 2 2 2 5 2 3" xfId="18665"/>
    <cellStyle name="Normal 3 2 2 2 2 5 2 3 2" xfId="41252"/>
    <cellStyle name="Normal 3 2 2 2 2 5 2 4" xfId="15445"/>
    <cellStyle name="Normal 3 2 2 2 2 5 2 4 2" xfId="38032"/>
    <cellStyle name="Normal 3 2 2 2 2 5 2 5" xfId="9005"/>
    <cellStyle name="Normal 3 2 2 2 2 5 2 5 2" xfId="31592"/>
    <cellStyle name="Normal 3 2 2 2 2 5 2 6" xfId="25152"/>
    <cellStyle name="Normal 3 2 2 2 2 5 3" xfId="4477"/>
    <cellStyle name="Normal 3 2 2 2 2 5 3 2" xfId="20577"/>
    <cellStyle name="Normal 3 2 2 2 2 5 3 2 2" xfId="43164"/>
    <cellStyle name="Normal 3 2 2 2 2 5 3 3" xfId="10917"/>
    <cellStyle name="Normal 3 2 2 2 2 5 3 3 2" xfId="33504"/>
    <cellStyle name="Normal 3 2 2 2 2 5 3 4" xfId="27064"/>
    <cellStyle name="Normal 3 2 2 2 2 5 4" xfId="17357"/>
    <cellStyle name="Normal 3 2 2 2 2 5 4 2" xfId="39944"/>
    <cellStyle name="Normal 3 2 2 2 2 5 5" xfId="14137"/>
    <cellStyle name="Normal 3 2 2 2 2 5 5 2" xfId="36724"/>
    <cellStyle name="Normal 3 2 2 2 2 5 6" xfId="7697"/>
    <cellStyle name="Normal 3 2 2 2 2 5 6 2" xfId="30284"/>
    <cellStyle name="Normal 3 2 2 2 2 5 7" xfId="23844"/>
    <cellStyle name="Normal 3 2 2 2 2 6" xfId="1632"/>
    <cellStyle name="Normal 3 2 2 2 2 6 2" xfId="4855"/>
    <cellStyle name="Normal 3 2 2 2 2 6 2 2" xfId="20955"/>
    <cellStyle name="Normal 3 2 2 2 2 6 2 2 2" xfId="43542"/>
    <cellStyle name="Normal 3 2 2 2 2 6 2 3" xfId="11295"/>
    <cellStyle name="Normal 3 2 2 2 2 6 2 3 2" xfId="33882"/>
    <cellStyle name="Normal 3 2 2 2 2 6 2 4" xfId="27442"/>
    <cellStyle name="Normal 3 2 2 2 2 6 3" xfId="17735"/>
    <cellStyle name="Normal 3 2 2 2 2 6 3 2" xfId="40322"/>
    <cellStyle name="Normal 3 2 2 2 2 6 4" xfId="14515"/>
    <cellStyle name="Normal 3 2 2 2 2 6 4 2" xfId="37102"/>
    <cellStyle name="Normal 3 2 2 2 2 6 5" xfId="8075"/>
    <cellStyle name="Normal 3 2 2 2 2 6 5 2" xfId="30662"/>
    <cellStyle name="Normal 3 2 2 2 2 6 6" xfId="24222"/>
    <cellStyle name="Normal 3 2 2 2 2 7" xfId="1869"/>
    <cellStyle name="Normal 3 2 2 2 2 7 2" xfId="5091"/>
    <cellStyle name="Normal 3 2 2 2 2 7 2 2" xfId="21191"/>
    <cellStyle name="Normal 3 2 2 2 2 7 2 2 2" xfId="43778"/>
    <cellStyle name="Normal 3 2 2 2 2 7 2 3" xfId="11531"/>
    <cellStyle name="Normal 3 2 2 2 2 7 2 3 2" xfId="34118"/>
    <cellStyle name="Normal 3 2 2 2 2 7 2 4" xfId="27678"/>
    <cellStyle name="Normal 3 2 2 2 2 7 3" xfId="17971"/>
    <cellStyle name="Normal 3 2 2 2 2 7 3 2" xfId="40558"/>
    <cellStyle name="Normal 3 2 2 2 2 7 4" xfId="14751"/>
    <cellStyle name="Normal 3 2 2 2 2 7 4 2" xfId="37338"/>
    <cellStyle name="Normal 3 2 2 2 2 7 5" xfId="8311"/>
    <cellStyle name="Normal 3 2 2 2 2 7 5 2" xfId="30898"/>
    <cellStyle name="Normal 3 2 2 2 2 7 6" xfId="24458"/>
    <cellStyle name="Normal 3 2 2 2 2 8" xfId="2912"/>
    <cellStyle name="Normal 3 2 2 2 2 8 2" xfId="6133"/>
    <cellStyle name="Normal 3 2 2 2 2 8 2 2" xfId="22233"/>
    <cellStyle name="Normal 3 2 2 2 2 8 2 2 2" xfId="44820"/>
    <cellStyle name="Normal 3 2 2 2 2 8 2 3" xfId="12573"/>
    <cellStyle name="Normal 3 2 2 2 2 8 2 3 2" xfId="35160"/>
    <cellStyle name="Normal 3 2 2 2 2 8 2 4" xfId="28720"/>
    <cellStyle name="Normal 3 2 2 2 2 8 3" xfId="19013"/>
    <cellStyle name="Normal 3 2 2 2 2 8 3 2" xfId="41600"/>
    <cellStyle name="Normal 3 2 2 2 2 8 4" xfId="15793"/>
    <cellStyle name="Normal 3 2 2 2 2 8 4 2" xfId="38380"/>
    <cellStyle name="Normal 3 2 2 2 2 8 5" xfId="9353"/>
    <cellStyle name="Normal 3 2 2 2 2 8 5 2" xfId="31940"/>
    <cellStyle name="Normal 3 2 2 2 2 8 6" xfId="25500"/>
    <cellStyle name="Normal 3 2 2 2 2 9" xfId="3203"/>
    <cellStyle name="Normal 3 2 2 2 2 9 2" xfId="6423"/>
    <cellStyle name="Normal 3 2 2 2 2 9 2 2" xfId="22523"/>
    <cellStyle name="Normal 3 2 2 2 2 9 2 2 2" xfId="45110"/>
    <cellStyle name="Normal 3 2 2 2 2 9 2 3" xfId="12863"/>
    <cellStyle name="Normal 3 2 2 2 2 9 2 3 2" xfId="35450"/>
    <cellStyle name="Normal 3 2 2 2 2 9 2 4" xfId="29010"/>
    <cellStyle name="Normal 3 2 2 2 2 9 3" xfId="19303"/>
    <cellStyle name="Normal 3 2 2 2 2 9 3 2" xfId="41890"/>
    <cellStyle name="Normal 3 2 2 2 2 9 4" xfId="16083"/>
    <cellStyle name="Normal 3 2 2 2 2 9 4 2" xfId="38670"/>
    <cellStyle name="Normal 3 2 2 2 2 9 5" xfId="9643"/>
    <cellStyle name="Normal 3 2 2 2 2 9 5 2" xfId="32230"/>
    <cellStyle name="Normal 3 2 2 2 2 9 6" xfId="25790"/>
    <cellStyle name="Normal 3 2 2 2 3" xfId="262"/>
    <cellStyle name="Normal 3 2 2 2 3 10" xfId="3549"/>
    <cellStyle name="Normal 3 2 2 2 3 10 2" xfId="19649"/>
    <cellStyle name="Normal 3 2 2 2 3 10 2 2" xfId="42236"/>
    <cellStyle name="Normal 3 2 2 2 3 10 3" xfId="9989"/>
    <cellStyle name="Normal 3 2 2 2 3 10 3 2" xfId="32576"/>
    <cellStyle name="Normal 3 2 2 2 3 10 4" xfId="26136"/>
    <cellStyle name="Normal 3 2 2 2 3 11" xfId="16429"/>
    <cellStyle name="Normal 3 2 2 2 3 11 2" xfId="39016"/>
    <cellStyle name="Normal 3 2 2 2 3 12" xfId="13209"/>
    <cellStyle name="Normal 3 2 2 2 3 12 2" xfId="35796"/>
    <cellStyle name="Normal 3 2 2 2 3 13" xfId="6769"/>
    <cellStyle name="Normal 3 2 2 2 3 13 2" xfId="29356"/>
    <cellStyle name="Normal 3 2 2 2 3 14" xfId="22916"/>
    <cellStyle name="Normal 3 2 2 2 3 2" xfId="695"/>
    <cellStyle name="Normal 3 2 2 2 3 2 10" xfId="23306"/>
    <cellStyle name="Normal 3 2 2 2 3 2 2" xfId="1059"/>
    <cellStyle name="Normal 3 2 2 2 3 2 2 2" xfId="2373"/>
    <cellStyle name="Normal 3 2 2 2 3 2 2 2 2" xfId="5594"/>
    <cellStyle name="Normal 3 2 2 2 3 2 2 2 2 2" xfId="21694"/>
    <cellStyle name="Normal 3 2 2 2 3 2 2 2 2 2 2" xfId="44281"/>
    <cellStyle name="Normal 3 2 2 2 3 2 2 2 2 3" xfId="12034"/>
    <cellStyle name="Normal 3 2 2 2 3 2 2 2 2 3 2" xfId="34621"/>
    <cellStyle name="Normal 3 2 2 2 3 2 2 2 2 4" xfId="28181"/>
    <cellStyle name="Normal 3 2 2 2 3 2 2 2 3" xfId="18474"/>
    <cellStyle name="Normal 3 2 2 2 3 2 2 2 3 2" xfId="41061"/>
    <cellStyle name="Normal 3 2 2 2 3 2 2 2 4" xfId="15254"/>
    <cellStyle name="Normal 3 2 2 2 3 2 2 2 4 2" xfId="37841"/>
    <cellStyle name="Normal 3 2 2 2 3 2 2 2 5" xfId="8814"/>
    <cellStyle name="Normal 3 2 2 2 3 2 2 2 5 2" xfId="31401"/>
    <cellStyle name="Normal 3 2 2 2 3 2 2 2 6" xfId="24961"/>
    <cellStyle name="Normal 3 2 2 2 3 2 2 3" xfId="4286"/>
    <cellStyle name="Normal 3 2 2 2 3 2 2 3 2" xfId="20386"/>
    <cellStyle name="Normal 3 2 2 2 3 2 2 3 2 2" xfId="42973"/>
    <cellStyle name="Normal 3 2 2 2 3 2 2 3 3" xfId="10726"/>
    <cellStyle name="Normal 3 2 2 2 3 2 2 3 3 2" xfId="33313"/>
    <cellStyle name="Normal 3 2 2 2 3 2 2 3 4" xfId="26873"/>
    <cellStyle name="Normal 3 2 2 2 3 2 2 4" xfId="17166"/>
    <cellStyle name="Normal 3 2 2 2 3 2 2 4 2" xfId="39753"/>
    <cellStyle name="Normal 3 2 2 2 3 2 2 5" xfId="13946"/>
    <cellStyle name="Normal 3 2 2 2 3 2 2 5 2" xfId="36533"/>
    <cellStyle name="Normal 3 2 2 2 3 2 2 6" xfId="7506"/>
    <cellStyle name="Normal 3 2 2 2 3 2 2 6 2" xfId="30093"/>
    <cellStyle name="Normal 3 2 2 2 3 2 2 7" xfId="23653"/>
    <cellStyle name="Normal 3 2 2 2 3 2 3" xfId="1406"/>
    <cellStyle name="Normal 3 2 2 2 3 2 3 2" xfId="2720"/>
    <cellStyle name="Normal 3 2 2 2 3 2 3 2 2" xfId="5941"/>
    <cellStyle name="Normal 3 2 2 2 3 2 3 2 2 2" xfId="22041"/>
    <cellStyle name="Normal 3 2 2 2 3 2 3 2 2 2 2" xfId="44628"/>
    <cellStyle name="Normal 3 2 2 2 3 2 3 2 2 3" xfId="12381"/>
    <cellStyle name="Normal 3 2 2 2 3 2 3 2 2 3 2" xfId="34968"/>
    <cellStyle name="Normal 3 2 2 2 3 2 3 2 2 4" xfId="28528"/>
    <cellStyle name="Normal 3 2 2 2 3 2 3 2 3" xfId="18821"/>
    <cellStyle name="Normal 3 2 2 2 3 2 3 2 3 2" xfId="41408"/>
    <cellStyle name="Normal 3 2 2 2 3 2 3 2 4" xfId="15601"/>
    <cellStyle name="Normal 3 2 2 2 3 2 3 2 4 2" xfId="38188"/>
    <cellStyle name="Normal 3 2 2 2 3 2 3 2 5" xfId="9161"/>
    <cellStyle name="Normal 3 2 2 2 3 2 3 2 5 2" xfId="31748"/>
    <cellStyle name="Normal 3 2 2 2 3 2 3 2 6" xfId="25308"/>
    <cellStyle name="Normal 3 2 2 2 3 2 3 3" xfId="4633"/>
    <cellStyle name="Normal 3 2 2 2 3 2 3 3 2" xfId="20733"/>
    <cellStyle name="Normal 3 2 2 2 3 2 3 3 2 2" xfId="43320"/>
    <cellStyle name="Normal 3 2 2 2 3 2 3 3 3" xfId="11073"/>
    <cellStyle name="Normal 3 2 2 2 3 2 3 3 3 2" xfId="33660"/>
    <cellStyle name="Normal 3 2 2 2 3 2 3 3 4" xfId="27220"/>
    <cellStyle name="Normal 3 2 2 2 3 2 3 4" xfId="17513"/>
    <cellStyle name="Normal 3 2 2 2 3 2 3 4 2" xfId="40100"/>
    <cellStyle name="Normal 3 2 2 2 3 2 3 5" xfId="14293"/>
    <cellStyle name="Normal 3 2 2 2 3 2 3 5 2" xfId="36880"/>
    <cellStyle name="Normal 3 2 2 2 3 2 3 6" xfId="7853"/>
    <cellStyle name="Normal 3 2 2 2 3 2 3 6 2" xfId="30440"/>
    <cellStyle name="Normal 3 2 2 2 3 2 3 7" xfId="24000"/>
    <cellStyle name="Normal 3 2 2 2 3 2 4" xfId="1633"/>
    <cellStyle name="Normal 3 2 2 2 3 2 4 2" xfId="4856"/>
    <cellStyle name="Normal 3 2 2 2 3 2 4 2 2" xfId="20956"/>
    <cellStyle name="Normal 3 2 2 2 3 2 4 2 2 2" xfId="43543"/>
    <cellStyle name="Normal 3 2 2 2 3 2 4 2 3" xfId="11296"/>
    <cellStyle name="Normal 3 2 2 2 3 2 4 2 3 2" xfId="33883"/>
    <cellStyle name="Normal 3 2 2 2 3 2 4 2 4" xfId="27443"/>
    <cellStyle name="Normal 3 2 2 2 3 2 4 3" xfId="17736"/>
    <cellStyle name="Normal 3 2 2 2 3 2 4 3 2" xfId="40323"/>
    <cellStyle name="Normal 3 2 2 2 3 2 4 4" xfId="14516"/>
    <cellStyle name="Normal 3 2 2 2 3 2 4 4 2" xfId="37103"/>
    <cellStyle name="Normal 3 2 2 2 3 2 4 5" xfId="8076"/>
    <cellStyle name="Normal 3 2 2 2 3 2 4 5 2" xfId="30663"/>
    <cellStyle name="Normal 3 2 2 2 3 2 4 6" xfId="24223"/>
    <cellStyle name="Normal 3 2 2 2 3 2 5" xfId="2025"/>
    <cellStyle name="Normal 3 2 2 2 3 2 5 2" xfId="5247"/>
    <cellStyle name="Normal 3 2 2 2 3 2 5 2 2" xfId="21347"/>
    <cellStyle name="Normal 3 2 2 2 3 2 5 2 2 2" xfId="43934"/>
    <cellStyle name="Normal 3 2 2 2 3 2 5 2 3" xfId="11687"/>
    <cellStyle name="Normal 3 2 2 2 3 2 5 2 3 2" xfId="34274"/>
    <cellStyle name="Normal 3 2 2 2 3 2 5 2 4" xfId="27834"/>
    <cellStyle name="Normal 3 2 2 2 3 2 5 3" xfId="18127"/>
    <cellStyle name="Normal 3 2 2 2 3 2 5 3 2" xfId="40714"/>
    <cellStyle name="Normal 3 2 2 2 3 2 5 4" xfId="14907"/>
    <cellStyle name="Normal 3 2 2 2 3 2 5 4 2" xfId="37494"/>
    <cellStyle name="Normal 3 2 2 2 3 2 5 5" xfId="8467"/>
    <cellStyle name="Normal 3 2 2 2 3 2 5 5 2" xfId="31054"/>
    <cellStyle name="Normal 3 2 2 2 3 2 5 6" xfId="24614"/>
    <cellStyle name="Normal 3 2 2 2 3 2 6" xfId="3939"/>
    <cellStyle name="Normal 3 2 2 2 3 2 6 2" xfId="20039"/>
    <cellStyle name="Normal 3 2 2 2 3 2 6 2 2" xfId="42626"/>
    <cellStyle name="Normal 3 2 2 2 3 2 6 3" xfId="10379"/>
    <cellStyle name="Normal 3 2 2 2 3 2 6 3 2" xfId="32966"/>
    <cellStyle name="Normal 3 2 2 2 3 2 6 4" xfId="26526"/>
    <cellStyle name="Normal 3 2 2 2 3 2 7" xfId="16819"/>
    <cellStyle name="Normal 3 2 2 2 3 2 7 2" xfId="39406"/>
    <cellStyle name="Normal 3 2 2 2 3 2 8" xfId="13599"/>
    <cellStyle name="Normal 3 2 2 2 3 2 8 2" xfId="36186"/>
    <cellStyle name="Normal 3 2 2 2 3 2 9" xfId="7159"/>
    <cellStyle name="Normal 3 2 2 2 3 2 9 2" xfId="29746"/>
    <cellStyle name="Normal 3 2 2 2 3 3" xfId="938"/>
    <cellStyle name="Normal 3 2 2 2 3 3 2" xfId="2257"/>
    <cellStyle name="Normal 3 2 2 2 3 3 2 2" xfId="5478"/>
    <cellStyle name="Normal 3 2 2 2 3 3 2 2 2" xfId="21578"/>
    <cellStyle name="Normal 3 2 2 2 3 3 2 2 2 2" xfId="44165"/>
    <cellStyle name="Normal 3 2 2 2 3 3 2 2 3" xfId="11918"/>
    <cellStyle name="Normal 3 2 2 2 3 3 2 2 3 2" xfId="34505"/>
    <cellStyle name="Normal 3 2 2 2 3 3 2 2 4" xfId="28065"/>
    <cellStyle name="Normal 3 2 2 2 3 3 2 3" xfId="18358"/>
    <cellStyle name="Normal 3 2 2 2 3 3 2 3 2" xfId="40945"/>
    <cellStyle name="Normal 3 2 2 2 3 3 2 4" xfId="15138"/>
    <cellStyle name="Normal 3 2 2 2 3 3 2 4 2" xfId="37725"/>
    <cellStyle name="Normal 3 2 2 2 3 3 2 5" xfId="8698"/>
    <cellStyle name="Normal 3 2 2 2 3 3 2 5 2" xfId="31285"/>
    <cellStyle name="Normal 3 2 2 2 3 3 2 6" xfId="24845"/>
    <cellStyle name="Normal 3 2 2 2 3 3 3" xfId="4170"/>
    <cellStyle name="Normal 3 2 2 2 3 3 3 2" xfId="20270"/>
    <cellStyle name="Normal 3 2 2 2 3 3 3 2 2" xfId="42857"/>
    <cellStyle name="Normal 3 2 2 2 3 3 3 3" xfId="10610"/>
    <cellStyle name="Normal 3 2 2 2 3 3 3 3 2" xfId="33197"/>
    <cellStyle name="Normal 3 2 2 2 3 3 3 4" xfId="26757"/>
    <cellStyle name="Normal 3 2 2 2 3 3 4" xfId="17050"/>
    <cellStyle name="Normal 3 2 2 2 3 3 4 2" xfId="39637"/>
    <cellStyle name="Normal 3 2 2 2 3 3 5" xfId="13830"/>
    <cellStyle name="Normal 3 2 2 2 3 3 5 2" xfId="36417"/>
    <cellStyle name="Normal 3 2 2 2 3 3 6" xfId="7390"/>
    <cellStyle name="Normal 3 2 2 2 3 3 6 2" xfId="29977"/>
    <cellStyle name="Normal 3 2 2 2 3 3 7" xfId="23537"/>
    <cellStyle name="Normal 3 2 2 2 3 4" xfId="1290"/>
    <cellStyle name="Normal 3 2 2 2 3 4 2" xfId="2604"/>
    <cellStyle name="Normal 3 2 2 2 3 4 2 2" xfId="5825"/>
    <cellStyle name="Normal 3 2 2 2 3 4 2 2 2" xfId="21925"/>
    <cellStyle name="Normal 3 2 2 2 3 4 2 2 2 2" xfId="44512"/>
    <cellStyle name="Normal 3 2 2 2 3 4 2 2 3" xfId="12265"/>
    <cellStyle name="Normal 3 2 2 2 3 4 2 2 3 2" xfId="34852"/>
    <cellStyle name="Normal 3 2 2 2 3 4 2 2 4" xfId="28412"/>
    <cellStyle name="Normal 3 2 2 2 3 4 2 3" xfId="18705"/>
    <cellStyle name="Normal 3 2 2 2 3 4 2 3 2" xfId="41292"/>
    <cellStyle name="Normal 3 2 2 2 3 4 2 4" xfId="15485"/>
    <cellStyle name="Normal 3 2 2 2 3 4 2 4 2" xfId="38072"/>
    <cellStyle name="Normal 3 2 2 2 3 4 2 5" xfId="9045"/>
    <cellStyle name="Normal 3 2 2 2 3 4 2 5 2" xfId="31632"/>
    <cellStyle name="Normal 3 2 2 2 3 4 2 6" xfId="25192"/>
    <cellStyle name="Normal 3 2 2 2 3 4 3" xfId="4517"/>
    <cellStyle name="Normal 3 2 2 2 3 4 3 2" xfId="20617"/>
    <cellStyle name="Normal 3 2 2 2 3 4 3 2 2" xfId="43204"/>
    <cellStyle name="Normal 3 2 2 2 3 4 3 3" xfId="10957"/>
    <cellStyle name="Normal 3 2 2 2 3 4 3 3 2" xfId="33544"/>
    <cellStyle name="Normal 3 2 2 2 3 4 3 4" xfId="27104"/>
    <cellStyle name="Normal 3 2 2 2 3 4 4" xfId="17397"/>
    <cellStyle name="Normal 3 2 2 2 3 4 4 2" xfId="39984"/>
    <cellStyle name="Normal 3 2 2 2 3 4 5" xfId="14177"/>
    <cellStyle name="Normal 3 2 2 2 3 4 5 2" xfId="36764"/>
    <cellStyle name="Normal 3 2 2 2 3 4 6" xfId="7737"/>
    <cellStyle name="Normal 3 2 2 2 3 4 6 2" xfId="30324"/>
    <cellStyle name="Normal 3 2 2 2 3 4 7" xfId="23884"/>
    <cellStyle name="Normal 3 2 2 2 3 5" xfId="1634"/>
    <cellStyle name="Normal 3 2 2 2 3 5 2" xfId="4857"/>
    <cellStyle name="Normal 3 2 2 2 3 5 2 2" xfId="20957"/>
    <cellStyle name="Normal 3 2 2 2 3 5 2 2 2" xfId="43544"/>
    <cellStyle name="Normal 3 2 2 2 3 5 2 3" xfId="11297"/>
    <cellStyle name="Normal 3 2 2 2 3 5 2 3 2" xfId="33884"/>
    <cellStyle name="Normal 3 2 2 2 3 5 2 4" xfId="27444"/>
    <cellStyle name="Normal 3 2 2 2 3 5 3" xfId="17737"/>
    <cellStyle name="Normal 3 2 2 2 3 5 3 2" xfId="40324"/>
    <cellStyle name="Normal 3 2 2 2 3 5 4" xfId="14517"/>
    <cellStyle name="Normal 3 2 2 2 3 5 4 2" xfId="37104"/>
    <cellStyle name="Normal 3 2 2 2 3 5 5" xfId="8077"/>
    <cellStyle name="Normal 3 2 2 2 3 5 5 2" xfId="30664"/>
    <cellStyle name="Normal 3 2 2 2 3 5 6" xfId="24224"/>
    <cellStyle name="Normal 3 2 2 2 3 6" xfId="1909"/>
    <cellStyle name="Normal 3 2 2 2 3 6 2" xfId="5131"/>
    <cellStyle name="Normal 3 2 2 2 3 6 2 2" xfId="21231"/>
    <cellStyle name="Normal 3 2 2 2 3 6 2 2 2" xfId="43818"/>
    <cellStyle name="Normal 3 2 2 2 3 6 2 3" xfId="11571"/>
    <cellStyle name="Normal 3 2 2 2 3 6 2 3 2" xfId="34158"/>
    <cellStyle name="Normal 3 2 2 2 3 6 2 4" xfId="27718"/>
    <cellStyle name="Normal 3 2 2 2 3 6 3" xfId="18011"/>
    <cellStyle name="Normal 3 2 2 2 3 6 3 2" xfId="40598"/>
    <cellStyle name="Normal 3 2 2 2 3 6 4" xfId="14791"/>
    <cellStyle name="Normal 3 2 2 2 3 6 4 2" xfId="37378"/>
    <cellStyle name="Normal 3 2 2 2 3 6 5" xfId="8351"/>
    <cellStyle name="Normal 3 2 2 2 3 6 5 2" xfId="30938"/>
    <cellStyle name="Normal 3 2 2 2 3 6 6" xfId="24498"/>
    <cellStyle name="Normal 3 2 2 2 3 7" xfId="2969"/>
    <cellStyle name="Normal 3 2 2 2 3 7 2" xfId="6189"/>
    <cellStyle name="Normal 3 2 2 2 3 7 2 2" xfId="22289"/>
    <cellStyle name="Normal 3 2 2 2 3 7 2 2 2" xfId="44876"/>
    <cellStyle name="Normal 3 2 2 2 3 7 2 3" xfId="12629"/>
    <cellStyle name="Normal 3 2 2 2 3 7 2 3 2" xfId="35216"/>
    <cellStyle name="Normal 3 2 2 2 3 7 2 4" xfId="28776"/>
    <cellStyle name="Normal 3 2 2 2 3 7 3" xfId="19069"/>
    <cellStyle name="Normal 3 2 2 2 3 7 3 2" xfId="41656"/>
    <cellStyle name="Normal 3 2 2 2 3 7 4" xfId="15849"/>
    <cellStyle name="Normal 3 2 2 2 3 7 4 2" xfId="38436"/>
    <cellStyle name="Normal 3 2 2 2 3 7 5" xfId="9409"/>
    <cellStyle name="Normal 3 2 2 2 3 7 5 2" xfId="31996"/>
    <cellStyle name="Normal 3 2 2 2 3 7 6" xfId="25556"/>
    <cellStyle name="Normal 3 2 2 2 3 8" xfId="3259"/>
    <cellStyle name="Normal 3 2 2 2 3 8 2" xfId="6479"/>
    <cellStyle name="Normal 3 2 2 2 3 8 2 2" xfId="22579"/>
    <cellStyle name="Normal 3 2 2 2 3 8 2 2 2" xfId="45166"/>
    <cellStyle name="Normal 3 2 2 2 3 8 2 3" xfId="12919"/>
    <cellStyle name="Normal 3 2 2 2 3 8 2 3 2" xfId="35506"/>
    <cellStyle name="Normal 3 2 2 2 3 8 2 4" xfId="29066"/>
    <cellStyle name="Normal 3 2 2 2 3 8 3" xfId="19359"/>
    <cellStyle name="Normal 3 2 2 2 3 8 3 2" xfId="41946"/>
    <cellStyle name="Normal 3 2 2 2 3 8 4" xfId="16139"/>
    <cellStyle name="Normal 3 2 2 2 3 8 4 2" xfId="38726"/>
    <cellStyle name="Normal 3 2 2 2 3 8 5" xfId="9699"/>
    <cellStyle name="Normal 3 2 2 2 3 8 5 2" xfId="32286"/>
    <cellStyle name="Normal 3 2 2 2 3 8 6" xfId="25846"/>
    <cellStyle name="Normal 3 2 2 2 3 9" xfId="536"/>
    <cellStyle name="Normal 3 2 2 2 3 9 2" xfId="3823"/>
    <cellStyle name="Normal 3 2 2 2 3 9 2 2" xfId="19923"/>
    <cellStyle name="Normal 3 2 2 2 3 9 2 2 2" xfId="42510"/>
    <cellStyle name="Normal 3 2 2 2 3 9 2 3" xfId="10263"/>
    <cellStyle name="Normal 3 2 2 2 3 9 2 3 2" xfId="32850"/>
    <cellStyle name="Normal 3 2 2 2 3 9 2 4" xfId="26410"/>
    <cellStyle name="Normal 3 2 2 2 3 9 3" xfId="16703"/>
    <cellStyle name="Normal 3 2 2 2 3 9 3 2" xfId="39290"/>
    <cellStyle name="Normal 3 2 2 2 3 9 4" xfId="13483"/>
    <cellStyle name="Normal 3 2 2 2 3 9 4 2" xfId="36070"/>
    <cellStyle name="Normal 3 2 2 2 3 9 5" xfId="7043"/>
    <cellStyle name="Normal 3 2 2 2 3 9 5 2" xfId="29630"/>
    <cellStyle name="Normal 3 2 2 2 3 9 6" xfId="23190"/>
    <cellStyle name="Normal 3 2 2 2 4" xfId="362"/>
    <cellStyle name="Normal 3 2 2 2 4 10" xfId="16529"/>
    <cellStyle name="Normal 3 2 2 2 4 10 2" xfId="39116"/>
    <cellStyle name="Normal 3 2 2 2 4 11" xfId="13309"/>
    <cellStyle name="Normal 3 2 2 2 4 11 2" xfId="35896"/>
    <cellStyle name="Normal 3 2 2 2 4 12" xfId="6869"/>
    <cellStyle name="Normal 3 2 2 2 4 12 2" xfId="29456"/>
    <cellStyle name="Normal 3 2 2 2 4 13" xfId="23016"/>
    <cellStyle name="Normal 3 2 2 2 4 2" xfId="985"/>
    <cellStyle name="Normal 3 2 2 2 4 2 2" xfId="2299"/>
    <cellStyle name="Normal 3 2 2 2 4 2 2 2" xfId="5520"/>
    <cellStyle name="Normal 3 2 2 2 4 2 2 2 2" xfId="21620"/>
    <cellStyle name="Normal 3 2 2 2 4 2 2 2 2 2" xfId="44207"/>
    <cellStyle name="Normal 3 2 2 2 4 2 2 2 3" xfId="11960"/>
    <cellStyle name="Normal 3 2 2 2 4 2 2 2 3 2" xfId="34547"/>
    <cellStyle name="Normal 3 2 2 2 4 2 2 2 4" xfId="28107"/>
    <cellStyle name="Normal 3 2 2 2 4 2 2 3" xfId="18400"/>
    <cellStyle name="Normal 3 2 2 2 4 2 2 3 2" xfId="40987"/>
    <cellStyle name="Normal 3 2 2 2 4 2 2 4" xfId="15180"/>
    <cellStyle name="Normal 3 2 2 2 4 2 2 4 2" xfId="37767"/>
    <cellStyle name="Normal 3 2 2 2 4 2 2 5" xfId="8740"/>
    <cellStyle name="Normal 3 2 2 2 4 2 2 5 2" xfId="31327"/>
    <cellStyle name="Normal 3 2 2 2 4 2 2 6" xfId="24887"/>
    <cellStyle name="Normal 3 2 2 2 4 2 3" xfId="4212"/>
    <cellStyle name="Normal 3 2 2 2 4 2 3 2" xfId="20312"/>
    <cellStyle name="Normal 3 2 2 2 4 2 3 2 2" xfId="42899"/>
    <cellStyle name="Normal 3 2 2 2 4 2 3 3" xfId="10652"/>
    <cellStyle name="Normal 3 2 2 2 4 2 3 3 2" xfId="33239"/>
    <cellStyle name="Normal 3 2 2 2 4 2 3 4" xfId="26799"/>
    <cellStyle name="Normal 3 2 2 2 4 2 4" xfId="17092"/>
    <cellStyle name="Normal 3 2 2 2 4 2 4 2" xfId="39679"/>
    <cellStyle name="Normal 3 2 2 2 4 2 5" xfId="13872"/>
    <cellStyle name="Normal 3 2 2 2 4 2 5 2" xfId="36459"/>
    <cellStyle name="Normal 3 2 2 2 4 2 6" xfId="7432"/>
    <cellStyle name="Normal 3 2 2 2 4 2 6 2" xfId="30019"/>
    <cellStyle name="Normal 3 2 2 2 4 2 7" xfId="23579"/>
    <cellStyle name="Normal 3 2 2 2 4 3" xfId="1332"/>
    <cellStyle name="Normal 3 2 2 2 4 3 2" xfId="2646"/>
    <cellStyle name="Normal 3 2 2 2 4 3 2 2" xfId="5867"/>
    <cellStyle name="Normal 3 2 2 2 4 3 2 2 2" xfId="21967"/>
    <cellStyle name="Normal 3 2 2 2 4 3 2 2 2 2" xfId="44554"/>
    <cellStyle name="Normal 3 2 2 2 4 3 2 2 3" xfId="12307"/>
    <cellStyle name="Normal 3 2 2 2 4 3 2 2 3 2" xfId="34894"/>
    <cellStyle name="Normal 3 2 2 2 4 3 2 2 4" xfId="28454"/>
    <cellStyle name="Normal 3 2 2 2 4 3 2 3" xfId="18747"/>
    <cellStyle name="Normal 3 2 2 2 4 3 2 3 2" xfId="41334"/>
    <cellStyle name="Normal 3 2 2 2 4 3 2 4" xfId="15527"/>
    <cellStyle name="Normal 3 2 2 2 4 3 2 4 2" xfId="38114"/>
    <cellStyle name="Normal 3 2 2 2 4 3 2 5" xfId="9087"/>
    <cellStyle name="Normal 3 2 2 2 4 3 2 5 2" xfId="31674"/>
    <cellStyle name="Normal 3 2 2 2 4 3 2 6" xfId="25234"/>
    <cellStyle name="Normal 3 2 2 2 4 3 3" xfId="4559"/>
    <cellStyle name="Normal 3 2 2 2 4 3 3 2" xfId="20659"/>
    <cellStyle name="Normal 3 2 2 2 4 3 3 2 2" xfId="43246"/>
    <cellStyle name="Normal 3 2 2 2 4 3 3 3" xfId="10999"/>
    <cellStyle name="Normal 3 2 2 2 4 3 3 3 2" xfId="33586"/>
    <cellStyle name="Normal 3 2 2 2 4 3 3 4" xfId="27146"/>
    <cellStyle name="Normal 3 2 2 2 4 3 4" xfId="17439"/>
    <cellStyle name="Normal 3 2 2 2 4 3 4 2" xfId="40026"/>
    <cellStyle name="Normal 3 2 2 2 4 3 5" xfId="14219"/>
    <cellStyle name="Normal 3 2 2 2 4 3 5 2" xfId="36806"/>
    <cellStyle name="Normal 3 2 2 2 4 3 6" xfId="7779"/>
    <cellStyle name="Normal 3 2 2 2 4 3 6 2" xfId="30366"/>
    <cellStyle name="Normal 3 2 2 2 4 3 7" xfId="23926"/>
    <cellStyle name="Normal 3 2 2 2 4 4" xfId="1635"/>
    <cellStyle name="Normal 3 2 2 2 4 4 2" xfId="4858"/>
    <cellStyle name="Normal 3 2 2 2 4 4 2 2" xfId="20958"/>
    <cellStyle name="Normal 3 2 2 2 4 4 2 2 2" xfId="43545"/>
    <cellStyle name="Normal 3 2 2 2 4 4 2 3" xfId="11298"/>
    <cellStyle name="Normal 3 2 2 2 4 4 2 3 2" xfId="33885"/>
    <cellStyle name="Normal 3 2 2 2 4 4 2 4" xfId="27445"/>
    <cellStyle name="Normal 3 2 2 2 4 4 3" xfId="17738"/>
    <cellStyle name="Normal 3 2 2 2 4 4 3 2" xfId="40325"/>
    <cellStyle name="Normal 3 2 2 2 4 4 4" xfId="14518"/>
    <cellStyle name="Normal 3 2 2 2 4 4 4 2" xfId="37105"/>
    <cellStyle name="Normal 3 2 2 2 4 4 5" xfId="8078"/>
    <cellStyle name="Normal 3 2 2 2 4 4 5 2" xfId="30665"/>
    <cellStyle name="Normal 3 2 2 2 4 4 6" xfId="24225"/>
    <cellStyle name="Normal 3 2 2 2 4 5" xfId="1951"/>
    <cellStyle name="Normal 3 2 2 2 4 5 2" xfId="5173"/>
    <cellStyle name="Normal 3 2 2 2 4 5 2 2" xfId="21273"/>
    <cellStyle name="Normal 3 2 2 2 4 5 2 2 2" xfId="43860"/>
    <cellStyle name="Normal 3 2 2 2 4 5 2 3" xfId="11613"/>
    <cellStyle name="Normal 3 2 2 2 4 5 2 3 2" xfId="34200"/>
    <cellStyle name="Normal 3 2 2 2 4 5 2 4" xfId="27760"/>
    <cellStyle name="Normal 3 2 2 2 4 5 3" xfId="18053"/>
    <cellStyle name="Normal 3 2 2 2 4 5 3 2" xfId="40640"/>
    <cellStyle name="Normal 3 2 2 2 4 5 4" xfId="14833"/>
    <cellStyle name="Normal 3 2 2 2 4 5 4 2" xfId="37420"/>
    <cellStyle name="Normal 3 2 2 2 4 5 5" xfId="8393"/>
    <cellStyle name="Normal 3 2 2 2 4 5 5 2" xfId="30980"/>
    <cellStyle name="Normal 3 2 2 2 4 5 6" xfId="24540"/>
    <cellStyle name="Normal 3 2 2 2 4 6" xfId="3069"/>
    <cellStyle name="Normal 3 2 2 2 4 6 2" xfId="6289"/>
    <cellStyle name="Normal 3 2 2 2 4 6 2 2" xfId="22389"/>
    <cellStyle name="Normal 3 2 2 2 4 6 2 2 2" xfId="44976"/>
    <cellStyle name="Normal 3 2 2 2 4 6 2 3" xfId="12729"/>
    <cellStyle name="Normal 3 2 2 2 4 6 2 3 2" xfId="35316"/>
    <cellStyle name="Normal 3 2 2 2 4 6 2 4" xfId="28876"/>
    <cellStyle name="Normal 3 2 2 2 4 6 3" xfId="19169"/>
    <cellStyle name="Normal 3 2 2 2 4 6 3 2" xfId="41756"/>
    <cellStyle name="Normal 3 2 2 2 4 6 4" xfId="15949"/>
    <cellStyle name="Normal 3 2 2 2 4 6 4 2" xfId="38536"/>
    <cellStyle name="Normal 3 2 2 2 4 6 5" xfId="9509"/>
    <cellStyle name="Normal 3 2 2 2 4 6 5 2" xfId="32096"/>
    <cellStyle name="Normal 3 2 2 2 4 6 6" xfId="25656"/>
    <cellStyle name="Normal 3 2 2 2 4 7" xfId="3359"/>
    <cellStyle name="Normal 3 2 2 2 4 7 2" xfId="6579"/>
    <cellStyle name="Normal 3 2 2 2 4 7 2 2" xfId="22679"/>
    <cellStyle name="Normal 3 2 2 2 4 7 2 2 2" xfId="45266"/>
    <cellStyle name="Normal 3 2 2 2 4 7 2 3" xfId="13019"/>
    <cellStyle name="Normal 3 2 2 2 4 7 2 3 2" xfId="35606"/>
    <cellStyle name="Normal 3 2 2 2 4 7 2 4" xfId="29166"/>
    <cellStyle name="Normal 3 2 2 2 4 7 3" xfId="19459"/>
    <cellStyle name="Normal 3 2 2 2 4 7 3 2" xfId="42046"/>
    <cellStyle name="Normal 3 2 2 2 4 7 4" xfId="16239"/>
    <cellStyle name="Normal 3 2 2 2 4 7 4 2" xfId="38826"/>
    <cellStyle name="Normal 3 2 2 2 4 7 5" xfId="9799"/>
    <cellStyle name="Normal 3 2 2 2 4 7 5 2" xfId="32386"/>
    <cellStyle name="Normal 3 2 2 2 4 7 6" xfId="25946"/>
    <cellStyle name="Normal 3 2 2 2 4 8" xfId="621"/>
    <cellStyle name="Normal 3 2 2 2 4 8 2" xfId="3865"/>
    <cellStyle name="Normal 3 2 2 2 4 8 2 2" xfId="19965"/>
    <cellStyle name="Normal 3 2 2 2 4 8 2 2 2" xfId="42552"/>
    <cellStyle name="Normal 3 2 2 2 4 8 2 3" xfId="10305"/>
    <cellStyle name="Normal 3 2 2 2 4 8 2 3 2" xfId="32892"/>
    <cellStyle name="Normal 3 2 2 2 4 8 2 4" xfId="26452"/>
    <cellStyle name="Normal 3 2 2 2 4 8 3" xfId="16745"/>
    <cellStyle name="Normal 3 2 2 2 4 8 3 2" xfId="39332"/>
    <cellStyle name="Normal 3 2 2 2 4 8 4" xfId="13525"/>
    <cellStyle name="Normal 3 2 2 2 4 8 4 2" xfId="36112"/>
    <cellStyle name="Normal 3 2 2 2 4 8 5" xfId="7085"/>
    <cellStyle name="Normal 3 2 2 2 4 8 5 2" xfId="29672"/>
    <cellStyle name="Normal 3 2 2 2 4 8 6" xfId="23232"/>
    <cellStyle name="Normal 3 2 2 2 4 9" xfId="3649"/>
    <cellStyle name="Normal 3 2 2 2 4 9 2" xfId="19749"/>
    <cellStyle name="Normal 3 2 2 2 4 9 2 2" xfId="42336"/>
    <cellStyle name="Normal 3 2 2 2 4 9 3" xfId="10089"/>
    <cellStyle name="Normal 3 2 2 2 4 9 3 2" xfId="32676"/>
    <cellStyle name="Normal 3 2 2 2 4 9 4" xfId="26236"/>
    <cellStyle name="Normal 3 2 2 2 5" xfId="791"/>
    <cellStyle name="Normal 3 2 2 2 5 2" xfId="1143"/>
    <cellStyle name="Normal 3 2 2 2 5 2 2" xfId="2457"/>
    <cellStyle name="Normal 3 2 2 2 5 2 2 2" xfId="5678"/>
    <cellStyle name="Normal 3 2 2 2 5 2 2 2 2" xfId="21778"/>
    <cellStyle name="Normal 3 2 2 2 5 2 2 2 2 2" xfId="44365"/>
    <cellStyle name="Normal 3 2 2 2 5 2 2 2 3" xfId="12118"/>
    <cellStyle name="Normal 3 2 2 2 5 2 2 2 3 2" xfId="34705"/>
    <cellStyle name="Normal 3 2 2 2 5 2 2 2 4" xfId="28265"/>
    <cellStyle name="Normal 3 2 2 2 5 2 2 3" xfId="18558"/>
    <cellStyle name="Normal 3 2 2 2 5 2 2 3 2" xfId="41145"/>
    <cellStyle name="Normal 3 2 2 2 5 2 2 4" xfId="15338"/>
    <cellStyle name="Normal 3 2 2 2 5 2 2 4 2" xfId="37925"/>
    <cellStyle name="Normal 3 2 2 2 5 2 2 5" xfId="8898"/>
    <cellStyle name="Normal 3 2 2 2 5 2 2 5 2" xfId="31485"/>
    <cellStyle name="Normal 3 2 2 2 5 2 2 6" xfId="25045"/>
    <cellStyle name="Normal 3 2 2 2 5 2 3" xfId="4370"/>
    <cellStyle name="Normal 3 2 2 2 5 2 3 2" xfId="20470"/>
    <cellStyle name="Normal 3 2 2 2 5 2 3 2 2" xfId="43057"/>
    <cellStyle name="Normal 3 2 2 2 5 2 3 3" xfId="10810"/>
    <cellStyle name="Normal 3 2 2 2 5 2 3 3 2" xfId="33397"/>
    <cellStyle name="Normal 3 2 2 2 5 2 3 4" xfId="26957"/>
    <cellStyle name="Normal 3 2 2 2 5 2 4" xfId="17250"/>
    <cellStyle name="Normal 3 2 2 2 5 2 4 2" xfId="39837"/>
    <cellStyle name="Normal 3 2 2 2 5 2 5" xfId="14030"/>
    <cellStyle name="Normal 3 2 2 2 5 2 5 2" xfId="36617"/>
    <cellStyle name="Normal 3 2 2 2 5 2 6" xfId="7590"/>
    <cellStyle name="Normal 3 2 2 2 5 2 6 2" xfId="30177"/>
    <cellStyle name="Normal 3 2 2 2 5 2 7" xfId="23737"/>
    <cellStyle name="Normal 3 2 2 2 5 3" xfId="1490"/>
    <cellStyle name="Normal 3 2 2 2 5 3 2" xfId="2804"/>
    <cellStyle name="Normal 3 2 2 2 5 3 2 2" xfId="6025"/>
    <cellStyle name="Normal 3 2 2 2 5 3 2 2 2" xfId="22125"/>
    <cellStyle name="Normal 3 2 2 2 5 3 2 2 2 2" xfId="44712"/>
    <cellStyle name="Normal 3 2 2 2 5 3 2 2 3" xfId="12465"/>
    <cellStyle name="Normal 3 2 2 2 5 3 2 2 3 2" xfId="35052"/>
    <cellStyle name="Normal 3 2 2 2 5 3 2 2 4" xfId="28612"/>
    <cellStyle name="Normal 3 2 2 2 5 3 2 3" xfId="18905"/>
    <cellStyle name="Normal 3 2 2 2 5 3 2 3 2" xfId="41492"/>
    <cellStyle name="Normal 3 2 2 2 5 3 2 4" xfId="15685"/>
    <cellStyle name="Normal 3 2 2 2 5 3 2 4 2" xfId="38272"/>
    <cellStyle name="Normal 3 2 2 2 5 3 2 5" xfId="9245"/>
    <cellStyle name="Normal 3 2 2 2 5 3 2 5 2" xfId="31832"/>
    <cellStyle name="Normal 3 2 2 2 5 3 2 6" xfId="25392"/>
    <cellStyle name="Normal 3 2 2 2 5 3 3" xfId="4717"/>
    <cellStyle name="Normal 3 2 2 2 5 3 3 2" xfId="20817"/>
    <cellStyle name="Normal 3 2 2 2 5 3 3 2 2" xfId="43404"/>
    <cellStyle name="Normal 3 2 2 2 5 3 3 3" xfId="11157"/>
    <cellStyle name="Normal 3 2 2 2 5 3 3 3 2" xfId="33744"/>
    <cellStyle name="Normal 3 2 2 2 5 3 3 4" xfId="27304"/>
    <cellStyle name="Normal 3 2 2 2 5 3 4" xfId="17597"/>
    <cellStyle name="Normal 3 2 2 2 5 3 4 2" xfId="40184"/>
    <cellStyle name="Normal 3 2 2 2 5 3 5" xfId="14377"/>
    <cellStyle name="Normal 3 2 2 2 5 3 5 2" xfId="36964"/>
    <cellStyle name="Normal 3 2 2 2 5 3 6" xfId="7937"/>
    <cellStyle name="Normal 3 2 2 2 5 3 6 2" xfId="30524"/>
    <cellStyle name="Normal 3 2 2 2 5 3 7" xfId="24084"/>
    <cellStyle name="Normal 3 2 2 2 5 4" xfId="2110"/>
    <cellStyle name="Normal 3 2 2 2 5 4 2" xfId="5331"/>
    <cellStyle name="Normal 3 2 2 2 5 4 2 2" xfId="21431"/>
    <cellStyle name="Normal 3 2 2 2 5 4 2 2 2" xfId="44018"/>
    <cellStyle name="Normal 3 2 2 2 5 4 2 3" xfId="11771"/>
    <cellStyle name="Normal 3 2 2 2 5 4 2 3 2" xfId="34358"/>
    <cellStyle name="Normal 3 2 2 2 5 4 2 4" xfId="27918"/>
    <cellStyle name="Normal 3 2 2 2 5 4 3" xfId="18211"/>
    <cellStyle name="Normal 3 2 2 2 5 4 3 2" xfId="40798"/>
    <cellStyle name="Normal 3 2 2 2 5 4 4" xfId="14991"/>
    <cellStyle name="Normal 3 2 2 2 5 4 4 2" xfId="37578"/>
    <cellStyle name="Normal 3 2 2 2 5 4 5" xfId="8551"/>
    <cellStyle name="Normal 3 2 2 2 5 4 5 2" xfId="31138"/>
    <cellStyle name="Normal 3 2 2 2 5 4 6" xfId="24698"/>
    <cellStyle name="Normal 3 2 2 2 5 5" xfId="4023"/>
    <cellStyle name="Normal 3 2 2 2 5 5 2" xfId="20123"/>
    <cellStyle name="Normal 3 2 2 2 5 5 2 2" xfId="42710"/>
    <cellStyle name="Normal 3 2 2 2 5 5 3" xfId="10463"/>
    <cellStyle name="Normal 3 2 2 2 5 5 3 2" xfId="33050"/>
    <cellStyle name="Normal 3 2 2 2 5 5 4" xfId="26610"/>
    <cellStyle name="Normal 3 2 2 2 5 6" xfId="16903"/>
    <cellStyle name="Normal 3 2 2 2 5 6 2" xfId="39490"/>
    <cellStyle name="Normal 3 2 2 2 5 7" xfId="13683"/>
    <cellStyle name="Normal 3 2 2 2 5 7 2" xfId="36270"/>
    <cellStyle name="Normal 3 2 2 2 5 8" xfId="7243"/>
    <cellStyle name="Normal 3 2 2 2 5 8 2" xfId="29830"/>
    <cellStyle name="Normal 3 2 2 2 5 9" xfId="23390"/>
    <cellStyle name="Normal 3 2 2 2 6" xfId="861"/>
    <cellStyle name="Normal 3 2 2 2 6 2" xfId="2180"/>
    <cellStyle name="Normal 3 2 2 2 6 2 2" xfId="5401"/>
    <cellStyle name="Normal 3 2 2 2 6 2 2 2" xfId="21501"/>
    <cellStyle name="Normal 3 2 2 2 6 2 2 2 2" xfId="44088"/>
    <cellStyle name="Normal 3 2 2 2 6 2 2 3" xfId="11841"/>
    <cellStyle name="Normal 3 2 2 2 6 2 2 3 2" xfId="34428"/>
    <cellStyle name="Normal 3 2 2 2 6 2 2 4" xfId="27988"/>
    <cellStyle name="Normal 3 2 2 2 6 2 3" xfId="18281"/>
    <cellStyle name="Normal 3 2 2 2 6 2 3 2" xfId="40868"/>
    <cellStyle name="Normal 3 2 2 2 6 2 4" xfId="15061"/>
    <cellStyle name="Normal 3 2 2 2 6 2 4 2" xfId="37648"/>
    <cellStyle name="Normal 3 2 2 2 6 2 5" xfId="8621"/>
    <cellStyle name="Normal 3 2 2 2 6 2 5 2" xfId="31208"/>
    <cellStyle name="Normal 3 2 2 2 6 2 6" xfId="24768"/>
    <cellStyle name="Normal 3 2 2 2 6 3" xfId="4093"/>
    <cellStyle name="Normal 3 2 2 2 6 3 2" xfId="20193"/>
    <cellStyle name="Normal 3 2 2 2 6 3 2 2" xfId="42780"/>
    <cellStyle name="Normal 3 2 2 2 6 3 3" xfId="10533"/>
    <cellStyle name="Normal 3 2 2 2 6 3 3 2" xfId="33120"/>
    <cellStyle name="Normal 3 2 2 2 6 3 4" xfId="26680"/>
    <cellStyle name="Normal 3 2 2 2 6 4" xfId="16973"/>
    <cellStyle name="Normal 3 2 2 2 6 4 2" xfId="39560"/>
    <cellStyle name="Normal 3 2 2 2 6 5" xfId="13753"/>
    <cellStyle name="Normal 3 2 2 2 6 5 2" xfId="36340"/>
    <cellStyle name="Normal 3 2 2 2 6 6" xfId="7313"/>
    <cellStyle name="Normal 3 2 2 2 6 6 2" xfId="29900"/>
    <cellStyle name="Normal 3 2 2 2 6 7" xfId="23460"/>
    <cellStyle name="Normal 3 2 2 2 7" xfId="1213"/>
    <cellStyle name="Normal 3 2 2 2 7 2" xfId="2527"/>
    <cellStyle name="Normal 3 2 2 2 7 2 2" xfId="5748"/>
    <cellStyle name="Normal 3 2 2 2 7 2 2 2" xfId="21848"/>
    <cellStyle name="Normal 3 2 2 2 7 2 2 2 2" xfId="44435"/>
    <cellStyle name="Normal 3 2 2 2 7 2 2 3" xfId="12188"/>
    <cellStyle name="Normal 3 2 2 2 7 2 2 3 2" xfId="34775"/>
    <cellStyle name="Normal 3 2 2 2 7 2 2 4" xfId="28335"/>
    <cellStyle name="Normal 3 2 2 2 7 2 3" xfId="18628"/>
    <cellStyle name="Normal 3 2 2 2 7 2 3 2" xfId="41215"/>
    <cellStyle name="Normal 3 2 2 2 7 2 4" xfId="15408"/>
    <cellStyle name="Normal 3 2 2 2 7 2 4 2" xfId="37995"/>
    <cellStyle name="Normal 3 2 2 2 7 2 5" xfId="8968"/>
    <cellStyle name="Normal 3 2 2 2 7 2 5 2" xfId="31555"/>
    <cellStyle name="Normal 3 2 2 2 7 2 6" xfId="25115"/>
    <cellStyle name="Normal 3 2 2 2 7 3" xfId="4440"/>
    <cellStyle name="Normal 3 2 2 2 7 3 2" xfId="20540"/>
    <cellStyle name="Normal 3 2 2 2 7 3 2 2" xfId="43127"/>
    <cellStyle name="Normal 3 2 2 2 7 3 3" xfId="10880"/>
    <cellStyle name="Normal 3 2 2 2 7 3 3 2" xfId="33467"/>
    <cellStyle name="Normal 3 2 2 2 7 3 4" xfId="27027"/>
    <cellStyle name="Normal 3 2 2 2 7 4" xfId="17320"/>
    <cellStyle name="Normal 3 2 2 2 7 4 2" xfId="39907"/>
    <cellStyle name="Normal 3 2 2 2 7 5" xfId="14100"/>
    <cellStyle name="Normal 3 2 2 2 7 5 2" xfId="36687"/>
    <cellStyle name="Normal 3 2 2 2 7 6" xfId="7660"/>
    <cellStyle name="Normal 3 2 2 2 7 6 2" xfId="30247"/>
    <cellStyle name="Normal 3 2 2 2 7 7" xfId="23807"/>
    <cellStyle name="Normal 3 2 2 2 8" xfId="1636"/>
    <cellStyle name="Normal 3 2 2 2 8 2" xfId="4859"/>
    <cellStyle name="Normal 3 2 2 2 8 2 2" xfId="20959"/>
    <cellStyle name="Normal 3 2 2 2 8 2 2 2" xfId="43546"/>
    <cellStyle name="Normal 3 2 2 2 8 2 3" xfId="11299"/>
    <cellStyle name="Normal 3 2 2 2 8 2 3 2" xfId="33886"/>
    <cellStyle name="Normal 3 2 2 2 8 2 4" xfId="27446"/>
    <cellStyle name="Normal 3 2 2 2 8 3" xfId="17739"/>
    <cellStyle name="Normal 3 2 2 2 8 3 2" xfId="40326"/>
    <cellStyle name="Normal 3 2 2 2 8 4" xfId="14519"/>
    <cellStyle name="Normal 3 2 2 2 8 4 2" xfId="37106"/>
    <cellStyle name="Normal 3 2 2 2 8 5" xfId="8079"/>
    <cellStyle name="Normal 3 2 2 2 8 5 2" xfId="30666"/>
    <cellStyle name="Normal 3 2 2 2 8 6" xfId="24226"/>
    <cellStyle name="Normal 3 2 2 2 9" xfId="1832"/>
    <cellStyle name="Normal 3 2 2 2 9 2" xfId="5054"/>
    <cellStyle name="Normal 3 2 2 2 9 2 2" xfId="21154"/>
    <cellStyle name="Normal 3 2 2 2 9 2 2 2" xfId="43741"/>
    <cellStyle name="Normal 3 2 2 2 9 2 3" xfId="11494"/>
    <cellStyle name="Normal 3 2 2 2 9 2 3 2" xfId="34081"/>
    <cellStyle name="Normal 3 2 2 2 9 2 4" xfId="27641"/>
    <cellStyle name="Normal 3 2 2 2 9 3" xfId="17934"/>
    <cellStyle name="Normal 3 2 2 2 9 3 2" xfId="40521"/>
    <cellStyle name="Normal 3 2 2 2 9 4" xfId="14714"/>
    <cellStyle name="Normal 3 2 2 2 9 4 2" xfId="37301"/>
    <cellStyle name="Normal 3 2 2 2 9 5" xfId="8274"/>
    <cellStyle name="Normal 3 2 2 2 9 5 2" xfId="30861"/>
    <cellStyle name="Normal 3 2 2 2 9 6" xfId="24421"/>
    <cellStyle name="Normal 3 2 2 3" xfId="138"/>
    <cellStyle name="Normal 3 2 2 3 10" xfId="476"/>
    <cellStyle name="Normal 3 2 2 3 10 2" xfId="3763"/>
    <cellStyle name="Normal 3 2 2 3 10 2 2" xfId="19863"/>
    <cellStyle name="Normal 3 2 2 3 10 2 2 2" xfId="42450"/>
    <cellStyle name="Normal 3 2 2 3 10 2 3" xfId="10203"/>
    <cellStyle name="Normal 3 2 2 3 10 2 3 2" xfId="32790"/>
    <cellStyle name="Normal 3 2 2 3 10 2 4" xfId="26350"/>
    <cellStyle name="Normal 3 2 2 3 10 3" xfId="16643"/>
    <cellStyle name="Normal 3 2 2 3 10 3 2" xfId="39230"/>
    <cellStyle name="Normal 3 2 2 3 10 4" xfId="13423"/>
    <cellStyle name="Normal 3 2 2 3 10 4 2" xfId="36010"/>
    <cellStyle name="Normal 3 2 2 3 10 5" xfId="6983"/>
    <cellStyle name="Normal 3 2 2 3 10 5 2" xfId="29570"/>
    <cellStyle name="Normal 3 2 2 3 10 6" xfId="23130"/>
    <cellStyle name="Normal 3 2 2 3 11" xfId="3473"/>
    <cellStyle name="Normal 3 2 2 3 11 2" xfId="19573"/>
    <cellStyle name="Normal 3 2 2 3 11 2 2" xfId="42160"/>
    <cellStyle name="Normal 3 2 2 3 11 3" xfId="9913"/>
    <cellStyle name="Normal 3 2 2 3 11 3 2" xfId="32500"/>
    <cellStyle name="Normal 3 2 2 3 11 4" xfId="26060"/>
    <cellStyle name="Normal 3 2 2 3 12" xfId="16353"/>
    <cellStyle name="Normal 3 2 2 3 12 2" xfId="38940"/>
    <cellStyle name="Normal 3 2 2 3 13" xfId="13133"/>
    <cellStyle name="Normal 3 2 2 3 13 2" xfId="35720"/>
    <cellStyle name="Normal 3 2 2 3 14" xfId="6693"/>
    <cellStyle name="Normal 3 2 2 3 14 2" xfId="29280"/>
    <cellStyle name="Normal 3 2 2 3 15" xfId="22840"/>
    <cellStyle name="Normal 3 2 2 3 2" xfId="284"/>
    <cellStyle name="Normal 3 2 2 3 2 10" xfId="16451"/>
    <cellStyle name="Normal 3 2 2 3 2 10 2" xfId="39038"/>
    <cellStyle name="Normal 3 2 2 3 2 11" xfId="13231"/>
    <cellStyle name="Normal 3 2 2 3 2 11 2" xfId="35818"/>
    <cellStyle name="Normal 3 2 2 3 2 12" xfId="6791"/>
    <cellStyle name="Normal 3 2 2 3 2 12 2" xfId="29378"/>
    <cellStyle name="Normal 3 2 2 3 2 13" xfId="22938"/>
    <cellStyle name="Normal 3 2 2 3 2 2" xfId="1002"/>
    <cellStyle name="Normal 3 2 2 3 2 2 2" xfId="2316"/>
    <cellStyle name="Normal 3 2 2 3 2 2 2 2" xfId="5537"/>
    <cellStyle name="Normal 3 2 2 3 2 2 2 2 2" xfId="21637"/>
    <cellStyle name="Normal 3 2 2 3 2 2 2 2 2 2" xfId="44224"/>
    <cellStyle name="Normal 3 2 2 3 2 2 2 2 3" xfId="11977"/>
    <cellStyle name="Normal 3 2 2 3 2 2 2 2 3 2" xfId="34564"/>
    <cellStyle name="Normal 3 2 2 3 2 2 2 2 4" xfId="28124"/>
    <cellStyle name="Normal 3 2 2 3 2 2 2 3" xfId="18417"/>
    <cellStyle name="Normal 3 2 2 3 2 2 2 3 2" xfId="41004"/>
    <cellStyle name="Normal 3 2 2 3 2 2 2 4" xfId="15197"/>
    <cellStyle name="Normal 3 2 2 3 2 2 2 4 2" xfId="37784"/>
    <cellStyle name="Normal 3 2 2 3 2 2 2 5" xfId="8757"/>
    <cellStyle name="Normal 3 2 2 3 2 2 2 5 2" xfId="31344"/>
    <cellStyle name="Normal 3 2 2 3 2 2 2 6" xfId="24904"/>
    <cellStyle name="Normal 3 2 2 3 2 2 3" xfId="4229"/>
    <cellStyle name="Normal 3 2 2 3 2 2 3 2" xfId="20329"/>
    <cellStyle name="Normal 3 2 2 3 2 2 3 2 2" xfId="42916"/>
    <cellStyle name="Normal 3 2 2 3 2 2 3 3" xfId="10669"/>
    <cellStyle name="Normal 3 2 2 3 2 2 3 3 2" xfId="33256"/>
    <cellStyle name="Normal 3 2 2 3 2 2 3 4" xfId="26816"/>
    <cellStyle name="Normal 3 2 2 3 2 2 4" xfId="17109"/>
    <cellStyle name="Normal 3 2 2 3 2 2 4 2" xfId="39696"/>
    <cellStyle name="Normal 3 2 2 3 2 2 5" xfId="13889"/>
    <cellStyle name="Normal 3 2 2 3 2 2 5 2" xfId="36476"/>
    <cellStyle name="Normal 3 2 2 3 2 2 6" xfId="7449"/>
    <cellStyle name="Normal 3 2 2 3 2 2 6 2" xfId="30036"/>
    <cellStyle name="Normal 3 2 2 3 2 2 7" xfId="23596"/>
    <cellStyle name="Normal 3 2 2 3 2 3" xfId="1349"/>
    <cellStyle name="Normal 3 2 2 3 2 3 2" xfId="2663"/>
    <cellStyle name="Normal 3 2 2 3 2 3 2 2" xfId="5884"/>
    <cellStyle name="Normal 3 2 2 3 2 3 2 2 2" xfId="21984"/>
    <cellStyle name="Normal 3 2 2 3 2 3 2 2 2 2" xfId="44571"/>
    <cellStyle name="Normal 3 2 2 3 2 3 2 2 3" xfId="12324"/>
    <cellStyle name="Normal 3 2 2 3 2 3 2 2 3 2" xfId="34911"/>
    <cellStyle name="Normal 3 2 2 3 2 3 2 2 4" xfId="28471"/>
    <cellStyle name="Normal 3 2 2 3 2 3 2 3" xfId="18764"/>
    <cellStyle name="Normal 3 2 2 3 2 3 2 3 2" xfId="41351"/>
    <cellStyle name="Normal 3 2 2 3 2 3 2 4" xfId="15544"/>
    <cellStyle name="Normal 3 2 2 3 2 3 2 4 2" xfId="38131"/>
    <cellStyle name="Normal 3 2 2 3 2 3 2 5" xfId="9104"/>
    <cellStyle name="Normal 3 2 2 3 2 3 2 5 2" xfId="31691"/>
    <cellStyle name="Normal 3 2 2 3 2 3 2 6" xfId="25251"/>
    <cellStyle name="Normal 3 2 2 3 2 3 3" xfId="4576"/>
    <cellStyle name="Normal 3 2 2 3 2 3 3 2" xfId="20676"/>
    <cellStyle name="Normal 3 2 2 3 2 3 3 2 2" xfId="43263"/>
    <cellStyle name="Normal 3 2 2 3 2 3 3 3" xfId="11016"/>
    <cellStyle name="Normal 3 2 2 3 2 3 3 3 2" xfId="33603"/>
    <cellStyle name="Normal 3 2 2 3 2 3 3 4" xfId="27163"/>
    <cellStyle name="Normal 3 2 2 3 2 3 4" xfId="17456"/>
    <cellStyle name="Normal 3 2 2 3 2 3 4 2" xfId="40043"/>
    <cellStyle name="Normal 3 2 2 3 2 3 5" xfId="14236"/>
    <cellStyle name="Normal 3 2 2 3 2 3 5 2" xfId="36823"/>
    <cellStyle name="Normal 3 2 2 3 2 3 6" xfId="7796"/>
    <cellStyle name="Normal 3 2 2 3 2 3 6 2" xfId="30383"/>
    <cellStyle name="Normal 3 2 2 3 2 3 7" xfId="23943"/>
    <cellStyle name="Normal 3 2 2 3 2 4" xfId="1637"/>
    <cellStyle name="Normal 3 2 2 3 2 4 2" xfId="4860"/>
    <cellStyle name="Normal 3 2 2 3 2 4 2 2" xfId="20960"/>
    <cellStyle name="Normal 3 2 2 3 2 4 2 2 2" xfId="43547"/>
    <cellStyle name="Normal 3 2 2 3 2 4 2 3" xfId="11300"/>
    <cellStyle name="Normal 3 2 2 3 2 4 2 3 2" xfId="33887"/>
    <cellStyle name="Normal 3 2 2 3 2 4 2 4" xfId="27447"/>
    <cellStyle name="Normal 3 2 2 3 2 4 3" xfId="17740"/>
    <cellStyle name="Normal 3 2 2 3 2 4 3 2" xfId="40327"/>
    <cellStyle name="Normal 3 2 2 3 2 4 4" xfId="14520"/>
    <cellStyle name="Normal 3 2 2 3 2 4 4 2" xfId="37107"/>
    <cellStyle name="Normal 3 2 2 3 2 4 5" xfId="8080"/>
    <cellStyle name="Normal 3 2 2 3 2 4 5 2" xfId="30667"/>
    <cellStyle name="Normal 3 2 2 3 2 4 6" xfId="24227"/>
    <cellStyle name="Normal 3 2 2 3 2 5" xfId="1968"/>
    <cellStyle name="Normal 3 2 2 3 2 5 2" xfId="5190"/>
    <cellStyle name="Normal 3 2 2 3 2 5 2 2" xfId="21290"/>
    <cellStyle name="Normal 3 2 2 3 2 5 2 2 2" xfId="43877"/>
    <cellStyle name="Normal 3 2 2 3 2 5 2 3" xfId="11630"/>
    <cellStyle name="Normal 3 2 2 3 2 5 2 3 2" xfId="34217"/>
    <cellStyle name="Normal 3 2 2 3 2 5 2 4" xfId="27777"/>
    <cellStyle name="Normal 3 2 2 3 2 5 3" xfId="18070"/>
    <cellStyle name="Normal 3 2 2 3 2 5 3 2" xfId="40657"/>
    <cellStyle name="Normal 3 2 2 3 2 5 4" xfId="14850"/>
    <cellStyle name="Normal 3 2 2 3 2 5 4 2" xfId="37437"/>
    <cellStyle name="Normal 3 2 2 3 2 5 5" xfId="8410"/>
    <cellStyle name="Normal 3 2 2 3 2 5 5 2" xfId="30997"/>
    <cellStyle name="Normal 3 2 2 3 2 5 6" xfId="24557"/>
    <cellStyle name="Normal 3 2 2 3 2 6" xfId="2991"/>
    <cellStyle name="Normal 3 2 2 3 2 6 2" xfId="6211"/>
    <cellStyle name="Normal 3 2 2 3 2 6 2 2" xfId="22311"/>
    <cellStyle name="Normal 3 2 2 3 2 6 2 2 2" xfId="44898"/>
    <cellStyle name="Normal 3 2 2 3 2 6 2 3" xfId="12651"/>
    <cellStyle name="Normal 3 2 2 3 2 6 2 3 2" xfId="35238"/>
    <cellStyle name="Normal 3 2 2 3 2 6 2 4" xfId="28798"/>
    <cellStyle name="Normal 3 2 2 3 2 6 3" xfId="19091"/>
    <cellStyle name="Normal 3 2 2 3 2 6 3 2" xfId="41678"/>
    <cellStyle name="Normal 3 2 2 3 2 6 4" xfId="15871"/>
    <cellStyle name="Normal 3 2 2 3 2 6 4 2" xfId="38458"/>
    <cellStyle name="Normal 3 2 2 3 2 6 5" xfId="9431"/>
    <cellStyle name="Normal 3 2 2 3 2 6 5 2" xfId="32018"/>
    <cellStyle name="Normal 3 2 2 3 2 6 6" xfId="25578"/>
    <cellStyle name="Normal 3 2 2 3 2 7" xfId="3281"/>
    <cellStyle name="Normal 3 2 2 3 2 7 2" xfId="6501"/>
    <cellStyle name="Normal 3 2 2 3 2 7 2 2" xfId="22601"/>
    <cellStyle name="Normal 3 2 2 3 2 7 2 2 2" xfId="45188"/>
    <cellStyle name="Normal 3 2 2 3 2 7 2 3" xfId="12941"/>
    <cellStyle name="Normal 3 2 2 3 2 7 2 3 2" xfId="35528"/>
    <cellStyle name="Normal 3 2 2 3 2 7 2 4" xfId="29088"/>
    <cellStyle name="Normal 3 2 2 3 2 7 3" xfId="19381"/>
    <cellStyle name="Normal 3 2 2 3 2 7 3 2" xfId="41968"/>
    <cellStyle name="Normal 3 2 2 3 2 7 4" xfId="16161"/>
    <cellStyle name="Normal 3 2 2 3 2 7 4 2" xfId="38748"/>
    <cellStyle name="Normal 3 2 2 3 2 7 5" xfId="9721"/>
    <cellStyle name="Normal 3 2 2 3 2 7 5 2" xfId="32308"/>
    <cellStyle name="Normal 3 2 2 3 2 7 6" xfId="25868"/>
    <cellStyle name="Normal 3 2 2 3 2 8" xfId="638"/>
    <cellStyle name="Normal 3 2 2 3 2 8 2" xfId="3882"/>
    <cellStyle name="Normal 3 2 2 3 2 8 2 2" xfId="19982"/>
    <cellStyle name="Normal 3 2 2 3 2 8 2 2 2" xfId="42569"/>
    <cellStyle name="Normal 3 2 2 3 2 8 2 3" xfId="10322"/>
    <cellStyle name="Normal 3 2 2 3 2 8 2 3 2" xfId="32909"/>
    <cellStyle name="Normal 3 2 2 3 2 8 2 4" xfId="26469"/>
    <cellStyle name="Normal 3 2 2 3 2 8 3" xfId="16762"/>
    <cellStyle name="Normal 3 2 2 3 2 8 3 2" xfId="39349"/>
    <cellStyle name="Normal 3 2 2 3 2 8 4" xfId="13542"/>
    <cellStyle name="Normal 3 2 2 3 2 8 4 2" xfId="36129"/>
    <cellStyle name="Normal 3 2 2 3 2 8 5" xfId="7102"/>
    <cellStyle name="Normal 3 2 2 3 2 8 5 2" xfId="29689"/>
    <cellStyle name="Normal 3 2 2 3 2 8 6" xfId="23249"/>
    <cellStyle name="Normal 3 2 2 3 2 9" xfId="3571"/>
    <cellStyle name="Normal 3 2 2 3 2 9 2" xfId="19671"/>
    <cellStyle name="Normal 3 2 2 3 2 9 2 2" xfId="42258"/>
    <cellStyle name="Normal 3 2 2 3 2 9 3" xfId="10011"/>
    <cellStyle name="Normal 3 2 2 3 2 9 3 2" xfId="32598"/>
    <cellStyle name="Normal 3 2 2 3 2 9 4" xfId="26158"/>
    <cellStyle name="Normal 3 2 2 3 3" xfId="379"/>
    <cellStyle name="Normal 3 2 2 3 3 10" xfId="16546"/>
    <cellStyle name="Normal 3 2 2 3 3 10 2" xfId="39133"/>
    <cellStyle name="Normal 3 2 2 3 3 11" xfId="13326"/>
    <cellStyle name="Normal 3 2 2 3 3 11 2" xfId="35913"/>
    <cellStyle name="Normal 3 2 2 3 3 12" xfId="6886"/>
    <cellStyle name="Normal 3 2 2 3 3 12 2" xfId="29473"/>
    <cellStyle name="Normal 3 2 2 3 3 13" xfId="23033"/>
    <cellStyle name="Normal 3 2 2 3 3 2" xfId="1163"/>
    <cellStyle name="Normal 3 2 2 3 3 2 2" xfId="2477"/>
    <cellStyle name="Normal 3 2 2 3 3 2 2 2" xfId="5698"/>
    <cellStyle name="Normal 3 2 2 3 3 2 2 2 2" xfId="21798"/>
    <cellStyle name="Normal 3 2 2 3 3 2 2 2 2 2" xfId="44385"/>
    <cellStyle name="Normal 3 2 2 3 3 2 2 2 3" xfId="12138"/>
    <cellStyle name="Normal 3 2 2 3 3 2 2 2 3 2" xfId="34725"/>
    <cellStyle name="Normal 3 2 2 3 3 2 2 2 4" xfId="28285"/>
    <cellStyle name="Normal 3 2 2 3 3 2 2 3" xfId="18578"/>
    <cellStyle name="Normal 3 2 2 3 3 2 2 3 2" xfId="41165"/>
    <cellStyle name="Normal 3 2 2 3 3 2 2 4" xfId="15358"/>
    <cellStyle name="Normal 3 2 2 3 3 2 2 4 2" xfId="37945"/>
    <cellStyle name="Normal 3 2 2 3 3 2 2 5" xfId="8918"/>
    <cellStyle name="Normal 3 2 2 3 3 2 2 5 2" xfId="31505"/>
    <cellStyle name="Normal 3 2 2 3 3 2 2 6" xfId="25065"/>
    <cellStyle name="Normal 3 2 2 3 3 2 3" xfId="4390"/>
    <cellStyle name="Normal 3 2 2 3 3 2 3 2" xfId="20490"/>
    <cellStyle name="Normal 3 2 2 3 3 2 3 2 2" xfId="43077"/>
    <cellStyle name="Normal 3 2 2 3 3 2 3 3" xfId="10830"/>
    <cellStyle name="Normal 3 2 2 3 3 2 3 3 2" xfId="33417"/>
    <cellStyle name="Normal 3 2 2 3 3 2 3 4" xfId="26977"/>
    <cellStyle name="Normal 3 2 2 3 3 2 4" xfId="17270"/>
    <cellStyle name="Normal 3 2 2 3 3 2 4 2" xfId="39857"/>
    <cellStyle name="Normal 3 2 2 3 3 2 5" xfId="14050"/>
    <cellStyle name="Normal 3 2 2 3 3 2 5 2" xfId="36637"/>
    <cellStyle name="Normal 3 2 2 3 3 2 6" xfId="7610"/>
    <cellStyle name="Normal 3 2 2 3 3 2 6 2" xfId="30197"/>
    <cellStyle name="Normal 3 2 2 3 3 2 7" xfId="23757"/>
    <cellStyle name="Normal 3 2 2 3 3 3" xfId="1510"/>
    <cellStyle name="Normal 3 2 2 3 3 3 2" xfId="2824"/>
    <cellStyle name="Normal 3 2 2 3 3 3 2 2" xfId="6045"/>
    <cellStyle name="Normal 3 2 2 3 3 3 2 2 2" xfId="22145"/>
    <cellStyle name="Normal 3 2 2 3 3 3 2 2 2 2" xfId="44732"/>
    <cellStyle name="Normal 3 2 2 3 3 3 2 2 3" xfId="12485"/>
    <cellStyle name="Normal 3 2 2 3 3 3 2 2 3 2" xfId="35072"/>
    <cellStyle name="Normal 3 2 2 3 3 3 2 2 4" xfId="28632"/>
    <cellStyle name="Normal 3 2 2 3 3 3 2 3" xfId="18925"/>
    <cellStyle name="Normal 3 2 2 3 3 3 2 3 2" xfId="41512"/>
    <cellStyle name="Normal 3 2 2 3 3 3 2 4" xfId="15705"/>
    <cellStyle name="Normal 3 2 2 3 3 3 2 4 2" xfId="38292"/>
    <cellStyle name="Normal 3 2 2 3 3 3 2 5" xfId="9265"/>
    <cellStyle name="Normal 3 2 2 3 3 3 2 5 2" xfId="31852"/>
    <cellStyle name="Normal 3 2 2 3 3 3 2 6" xfId="25412"/>
    <cellStyle name="Normal 3 2 2 3 3 3 3" xfId="4737"/>
    <cellStyle name="Normal 3 2 2 3 3 3 3 2" xfId="20837"/>
    <cellStyle name="Normal 3 2 2 3 3 3 3 2 2" xfId="43424"/>
    <cellStyle name="Normal 3 2 2 3 3 3 3 3" xfId="11177"/>
    <cellStyle name="Normal 3 2 2 3 3 3 3 3 2" xfId="33764"/>
    <cellStyle name="Normal 3 2 2 3 3 3 3 4" xfId="27324"/>
    <cellStyle name="Normal 3 2 2 3 3 3 4" xfId="17617"/>
    <cellStyle name="Normal 3 2 2 3 3 3 4 2" xfId="40204"/>
    <cellStyle name="Normal 3 2 2 3 3 3 5" xfId="14397"/>
    <cellStyle name="Normal 3 2 2 3 3 3 5 2" xfId="36984"/>
    <cellStyle name="Normal 3 2 2 3 3 3 6" xfId="7957"/>
    <cellStyle name="Normal 3 2 2 3 3 3 6 2" xfId="30544"/>
    <cellStyle name="Normal 3 2 2 3 3 3 7" xfId="24104"/>
    <cellStyle name="Normal 3 2 2 3 3 4" xfId="1638"/>
    <cellStyle name="Normal 3 2 2 3 3 4 2" xfId="4861"/>
    <cellStyle name="Normal 3 2 2 3 3 4 2 2" xfId="20961"/>
    <cellStyle name="Normal 3 2 2 3 3 4 2 2 2" xfId="43548"/>
    <cellStyle name="Normal 3 2 2 3 3 4 2 3" xfId="11301"/>
    <cellStyle name="Normal 3 2 2 3 3 4 2 3 2" xfId="33888"/>
    <cellStyle name="Normal 3 2 2 3 3 4 2 4" xfId="27448"/>
    <cellStyle name="Normal 3 2 2 3 3 4 3" xfId="17741"/>
    <cellStyle name="Normal 3 2 2 3 3 4 3 2" xfId="40328"/>
    <cellStyle name="Normal 3 2 2 3 3 4 4" xfId="14521"/>
    <cellStyle name="Normal 3 2 2 3 3 4 4 2" xfId="37108"/>
    <cellStyle name="Normal 3 2 2 3 3 4 5" xfId="8081"/>
    <cellStyle name="Normal 3 2 2 3 3 4 5 2" xfId="30668"/>
    <cellStyle name="Normal 3 2 2 3 3 4 6" xfId="24228"/>
    <cellStyle name="Normal 3 2 2 3 3 5" xfId="2130"/>
    <cellStyle name="Normal 3 2 2 3 3 5 2" xfId="5351"/>
    <cellStyle name="Normal 3 2 2 3 3 5 2 2" xfId="21451"/>
    <cellStyle name="Normal 3 2 2 3 3 5 2 2 2" xfId="44038"/>
    <cellStyle name="Normal 3 2 2 3 3 5 2 3" xfId="11791"/>
    <cellStyle name="Normal 3 2 2 3 3 5 2 3 2" xfId="34378"/>
    <cellStyle name="Normal 3 2 2 3 3 5 2 4" xfId="27938"/>
    <cellStyle name="Normal 3 2 2 3 3 5 3" xfId="18231"/>
    <cellStyle name="Normal 3 2 2 3 3 5 3 2" xfId="40818"/>
    <cellStyle name="Normal 3 2 2 3 3 5 4" xfId="15011"/>
    <cellStyle name="Normal 3 2 2 3 3 5 4 2" xfId="37598"/>
    <cellStyle name="Normal 3 2 2 3 3 5 5" xfId="8571"/>
    <cellStyle name="Normal 3 2 2 3 3 5 5 2" xfId="31158"/>
    <cellStyle name="Normal 3 2 2 3 3 5 6" xfId="24718"/>
    <cellStyle name="Normal 3 2 2 3 3 6" xfId="3086"/>
    <cellStyle name="Normal 3 2 2 3 3 6 2" xfId="6306"/>
    <cellStyle name="Normal 3 2 2 3 3 6 2 2" xfId="22406"/>
    <cellStyle name="Normal 3 2 2 3 3 6 2 2 2" xfId="44993"/>
    <cellStyle name="Normal 3 2 2 3 3 6 2 3" xfId="12746"/>
    <cellStyle name="Normal 3 2 2 3 3 6 2 3 2" xfId="35333"/>
    <cellStyle name="Normal 3 2 2 3 3 6 2 4" xfId="28893"/>
    <cellStyle name="Normal 3 2 2 3 3 6 3" xfId="19186"/>
    <cellStyle name="Normal 3 2 2 3 3 6 3 2" xfId="41773"/>
    <cellStyle name="Normal 3 2 2 3 3 6 4" xfId="15966"/>
    <cellStyle name="Normal 3 2 2 3 3 6 4 2" xfId="38553"/>
    <cellStyle name="Normal 3 2 2 3 3 6 5" xfId="9526"/>
    <cellStyle name="Normal 3 2 2 3 3 6 5 2" xfId="32113"/>
    <cellStyle name="Normal 3 2 2 3 3 6 6" xfId="25673"/>
    <cellStyle name="Normal 3 2 2 3 3 7" xfId="3376"/>
    <cellStyle name="Normal 3 2 2 3 3 7 2" xfId="6596"/>
    <cellStyle name="Normal 3 2 2 3 3 7 2 2" xfId="22696"/>
    <cellStyle name="Normal 3 2 2 3 3 7 2 2 2" xfId="45283"/>
    <cellStyle name="Normal 3 2 2 3 3 7 2 3" xfId="13036"/>
    <cellStyle name="Normal 3 2 2 3 3 7 2 3 2" xfId="35623"/>
    <cellStyle name="Normal 3 2 2 3 3 7 2 4" xfId="29183"/>
    <cellStyle name="Normal 3 2 2 3 3 7 3" xfId="19476"/>
    <cellStyle name="Normal 3 2 2 3 3 7 3 2" xfId="42063"/>
    <cellStyle name="Normal 3 2 2 3 3 7 4" xfId="16256"/>
    <cellStyle name="Normal 3 2 2 3 3 7 4 2" xfId="38843"/>
    <cellStyle name="Normal 3 2 2 3 3 7 5" xfId="9816"/>
    <cellStyle name="Normal 3 2 2 3 3 7 5 2" xfId="32403"/>
    <cellStyle name="Normal 3 2 2 3 3 7 6" xfId="25963"/>
    <cellStyle name="Normal 3 2 2 3 3 8" xfId="811"/>
    <cellStyle name="Normal 3 2 2 3 3 8 2" xfId="4043"/>
    <cellStyle name="Normal 3 2 2 3 3 8 2 2" xfId="20143"/>
    <cellStyle name="Normal 3 2 2 3 3 8 2 2 2" xfId="42730"/>
    <cellStyle name="Normal 3 2 2 3 3 8 2 3" xfId="10483"/>
    <cellStyle name="Normal 3 2 2 3 3 8 2 3 2" xfId="33070"/>
    <cellStyle name="Normal 3 2 2 3 3 8 2 4" xfId="26630"/>
    <cellStyle name="Normal 3 2 2 3 3 8 3" xfId="16923"/>
    <cellStyle name="Normal 3 2 2 3 3 8 3 2" xfId="39510"/>
    <cellStyle name="Normal 3 2 2 3 3 8 4" xfId="13703"/>
    <cellStyle name="Normal 3 2 2 3 3 8 4 2" xfId="36290"/>
    <cellStyle name="Normal 3 2 2 3 3 8 5" xfId="7263"/>
    <cellStyle name="Normal 3 2 2 3 3 8 5 2" xfId="29850"/>
    <cellStyle name="Normal 3 2 2 3 3 8 6" xfId="23410"/>
    <cellStyle name="Normal 3 2 2 3 3 9" xfId="3666"/>
    <cellStyle name="Normal 3 2 2 3 3 9 2" xfId="19766"/>
    <cellStyle name="Normal 3 2 2 3 3 9 2 2" xfId="42353"/>
    <cellStyle name="Normal 3 2 2 3 3 9 3" xfId="10106"/>
    <cellStyle name="Normal 3 2 2 3 3 9 3 2" xfId="32693"/>
    <cellStyle name="Normal 3 2 2 3 3 9 4" xfId="26253"/>
    <cellStyle name="Normal 3 2 2 3 4" xfId="878"/>
    <cellStyle name="Normal 3 2 2 3 4 2" xfId="2197"/>
    <cellStyle name="Normal 3 2 2 3 4 2 2" xfId="5418"/>
    <cellStyle name="Normal 3 2 2 3 4 2 2 2" xfId="21518"/>
    <cellStyle name="Normal 3 2 2 3 4 2 2 2 2" xfId="44105"/>
    <cellStyle name="Normal 3 2 2 3 4 2 2 3" xfId="11858"/>
    <cellStyle name="Normal 3 2 2 3 4 2 2 3 2" xfId="34445"/>
    <cellStyle name="Normal 3 2 2 3 4 2 2 4" xfId="28005"/>
    <cellStyle name="Normal 3 2 2 3 4 2 3" xfId="18298"/>
    <cellStyle name="Normal 3 2 2 3 4 2 3 2" xfId="40885"/>
    <cellStyle name="Normal 3 2 2 3 4 2 4" xfId="15078"/>
    <cellStyle name="Normal 3 2 2 3 4 2 4 2" xfId="37665"/>
    <cellStyle name="Normal 3 2 2 3 4 2 5" xfId="8638"/>
    <cellStyle name="Normal 3 2 2 3 4 2 5 2" xfId="31225"/>
    <cellStyle name="Normal 3 2 2 3 4 2 6" xfId="24785"/>
    <cellStyle name="Normal 3 2 2 3 4 3" xfId="4110"/>
    <cellStyle name="Normal 3 2 2 3 4 3 2" xfId="20210"/>
    <cellStyle name="Normal 3 2 2 3 4 3 2 2" xfId="42797"/>
    <cellStyle name="Normal 3 2 2 3 4 3 3" xfId="10550"/>
    <cellStyle name="Normal 3 2 2 3 4 3 3 2" xfId="33137"/>
    <cellStyle name="Normal 3 2 2 3 4 3 4" xfId="26697"/>
    <cellStyle name="Normal 3 2 2 3 4 4" xfId="16990"/>
    <cellStyle name="Normal 3 2 2 3 4 4 2" xfId="39577"/>
    <cellStyle name="Normal 3 2 2 3 4 5" xfId="13770"/>
    <cellStyle name="Normal 3 2 2 3 4 5 2" xfId="36357"/>
    <cellStyle name="Normal 3 2 2 3 4 6" xfId="7330"/>
    <cellStyle name="Normal 3 2 2 3 4 6 2" xfId="29917"/>
    <cellStyle name="Normal 3 2 2 3 4 7" xfId="23477"/>
    <cellStyle name="Normal 3 2 2 3 5" xfId="1230"/>
    <cellStyle name="Normal 3 2 2 3 5 2" xfId="2544"/>
    <cellStyle name="Normal 3 2 2 3 5 2 2" xfId="5765"/>
    <cellStyle name="Normal 3 2 2 3 5 2 2 2" xfId="21865"/>
    <cellStyle name="Normal 3 2 2 3 5 2 2 2 2" xfId="44452"/>
    <cellStyle name="Normal 3 2 2 3 5 2 2 3" xfId="12205"/>
    <cellStyle name="Normal 3 2 2 3 5 2 2 3 2" xfId="34792"/>
    <cellStyle name="Normal 3 2 2 3 5 2 2 4" xfId="28352"/>
    <cellStyle name="Normal 3 2 2 3 5 2 3" xfId="18645"/>
    <cellStyle name="Normal 3 2 2 3 5 2 3 2" xfId="41232"/>
    <cellStyle name="Normal 3 2 2 3 5 2 4" xfId="15425"/>
    <cellStyle name="Normal 3 2 2 3 5 2 4 2" xfId="38012"/>
    <cellStyle name="Normal 3 2 2 3 5 2 5" xfId="8985"/>
    <cellStyle name="Normal 3 2 2 3 5 2 5 2" xfId="31572"/>
    <cellStyle name="Normal 3 2 2 3 5 2 6" xfId="25132"/>
    <cellStyle name="Normal 3 2 2 3 5 3" xfId="4457"/>
    <cellStyle name="Normal 3 2 2 3 5 3 2" xfId="20557"/>
    <cellStyle name="Normal 3 2 2 3 5 3 2 2" xfId="43144"/>
    <cellStyle name="Normal 3 2 2 3 5 3 3" xfId="10897"/>
    <cellStyle name="Normal 3 2 2 3 5 3 3 2" xfId="33484"/>
    <cellStyle name="Normal 3 2 2 3 5 3 4" xfId="27044"/>
    <cellStyle name="Normal 3 2 2 3 5 4" xfId="17337"/>
    <cellStyle name="Normal 3 2 2 3 5 4 2" xfId="39924"/>
    <cellStyle name="Normal 3 2 2 3 5 5" xfId="14117"/>
    <cellStyle name="Normal 3 2 2 3 5 5 2" xfId="36704"/>
    <cellStyle name="Normal 3 2 2 3 5 6" xfId="7677"/>
    <cellStyle name="Normal 3 2 2 3 5 6 2" xfId="30264"/>
    <cellStyle name="Normal 3 2 2 3 5 7" xfId="23824"/>
    <cellStyle name="Normal 3 2 2 3 6" xfId="1639"/>
    <cellStyle name="Normal 3 2 2 3 6 2" xfId="4862"/>
    <cellStyle name="Normal 3 2 2 3 6 2 2" xfId="20962"/>
    <cellStyle name="Normal 3 2 2 3 6 2 2 2" xfId="43549"/>
    <cellStyle name="Normal 3 2 2 3 6 2 3" xfId="11302"/>
    <cellStyle name="Normal 3 2 2 3 6 2 3 2" xfId="33889"/>
    <cellStyle name="Normal 3 2 2 3 6 2 4" xfId="27449"/>
    <cellStyle name="Normal 3 2 2 3 6 3" xfId="17742"/>
    <cellStyle name="Normal 3 2 2 3 6 3 2" xfId="40329"/>
    <cellStyle name="Normal 3 2 2 3 6 4" xfId="14522"/>
    <cellStyle name="Normal 3 2 2 3 6 4 2" xfId="37109"/>
    <cellStyle name="Normal 3 2 2 3 6 5" xfId="8082"/>
    <cellStyle name="Normal 3 2 2 3 6 5 2" xfId="30669"/>
    <cellStyle name="Normal 3 2 2 3 6 6" xfId="24229"/>
    <cellStyle name="Normal 3 2 2 3 7" xfId="1849"/>
    <cellStyle name="Normal 3 2 2 3 7 2" xfId="5071"/>
    <cellStyle name="Normal 3 2 2 3 7 2 2" xfId="21171"/>
    <cellStyle name="Normal 3 2 2 3 7 2 2 2" xfId="43758"/>
    <cellStyle name="Normal 3 2 2 3 7 2 3" xfId="11511"/>
    <cellStyle name="Normal 3 2 2 3 7 2 3 2" xfId="34098"/>
    <cellStyle name="Normal 3 2 2 3 7 2 4" xfId="27658"/>
    <cellStyle name="Normal 3 2 2 3 7 3" xfId="17951"/>
    <cellStyle name="Normal 3 2 2 3 7 3 2" xfId="40538"/>
    <cellStyle name="Normal 3 2 2 3 7 4" xfId="14731"/>
    <cellStyle name="Normal 3 2 2 3 7 4 2" xfId="37318"/>
    <cellStyle name="Normal 3 2 2 3 7 5" xfId="8291"/>
    <cellStyle name="Normal 3 2 2 3 7 5 2" xfId="30878"/>
    <cellStyle name="Normal 3 2 2 3 7 6" xfId="24438"/>
    <cellStyle name="Normal 3 2 2 3 8" xfId="2892"/>
    <cellStyle name="Normal 3 2 2 3 8 2" xfId="6113"/>
    <cellStyle name="Normal 3 2 2 3 8 2 2" xfId="22213"/>
    <cellStyle name="Normal 3 2 2 3 8 2 2 2" xfId="44800"/>
    <cellStyle name="Normal 3 2 2 3 8 2 3" xfId="12553"/>
    <cellStyle name="Normal 3 2 2 3 8 2 3 2" xfId="35140"/>
    <cellStyle name="Normal 3 2 2 3 8 2 4" xfId="28700"/>
    <cellStyle name="Normal 3 2 2 3 8 3" xfId="18993"/>
    <cellStyle name="Normal 3 2 2 3 8 3 2" xfId="41580"/>
    <cellStyle name="Normal 3 2 2 3 8 4" xfId="15773"/>
    <cellStyle name="Normal 3 2 2 3 8 4 2" xfId="38360"/>
    <cellStyle name="Normal 3 2 2 3 8 5" xfId="9333"/>
    <cellStyle name="Normal 3 2 2 3 8 5 2" xfId="31920"/>
    <cellStyle name="Normal 3 2 2 3 8 6" xfId="25480"/>
    <cellStyle name="Normal 3 2 2 3 9" xfId="3183"/>
    <cellStyle name="Normal 3 2 2 3 9 2" xfId="6403"/>
    <cellStyle name="Normal 3 2 2 3 9 2 2" xfId="22503"/>
    <cellStyle name="Normal 3 2 2 3 9 2 2 2" xfId="45090"/>
    <cellStyle name="Normal 3 2 2 3 9 2 3" xfId="12843"/>
    <cellStyle name="Normal 3 2 2 3 9 2 3 2" xfId="35430"/>
    <cellStyle name="Normal 3 2 2 3 9 2 4" xfId="28990"/>
    <cellStyle name="Normal 3 2 2 3 9 3" xfId="19283"/>
    <cellStyle name="Normal 3 2 2 3 9 3 2" xfId="41870"/>
    <cellStyle name="Normal 3 2 2 3 9 4" xfId="16063"/>
    <cellStyle name="Normal 3 2 2 3 9 4 2" xfId="38650"/>
    <cellStyle name="Normal 3 2 2 3 9 5" xfId="9623"/>
    <cellStyle name="Normal 3 2 2 3 9 5 2" xfId="32210"/>
    <cellStyle name="Normal 3 2 2 3 9 6" xfId="25770"/>
    <cellStyle name="Normal 3 2 2 4" xfId="229"/>
    <cellStyle name="Normal 3 2 2 4 10" xfId="516"/>
    <cellStyle name="Normal 3 2 2 4 10 2" xfId="3803"/>
    <cellStyle name="Normal 3 2 2 4 10 2 2" xfId="19903"/>
    <cellStyle name="Normal 3 2 2 4 10 2 2 2" xfId="42490"/>
    <cellStyle name="Normal 3 2 2 4 10 2 3" xfId="10243"/>
    <cellStyle name="Normal 3 2 2 4 10 2 3 2" xfId="32830"/>
    <cellStyle name="Normal 3 2 2 4 10 2 4" xfId="26390"/>
    <cellStyle name="Normal 3 2 2 4 10 3" xfId="16683"/>
    <cellStyle name="Normal 3 2 2 4 10 3 2" xfId="39270"/>
    <cellStyle name="Normal 3 2 2 4 10 4" xfId="13463"/>
    <cellStyle name="Normal 3 2 2 4 10 4 2" xfId="36050"/>
    <cellStyle name="Normal 3 2 2 4 10 5" xfId="7023"/>
    <cellStyle name="Normal 3 2 2 4 10 5 2" xfId="29610"/>
    <cellStyle name="Normal 3 2 2 4 10 6" xfId="23170"/>
    <cellStyle name="Normal 3 2 2 4 11" xfId="3517"/>
    <cellStyle name="Normal 3 2 2 4 11 2" xfId="19617"/>
    <cellStyle name="Normal 3 2 2 4 11 2 2" xfId="42204"/>
    <cellStyle name="Normal 3 2 2 4 11 3" xfId="9957"/>
    <cellStyle name="Normal 3 2 2 4 11 3 2" xfId="32544"/>
    <cellStyle name="Normal 3 2 2 4 11 4" xfId="26104"/>
    <cellStyle name="Normal 3 2 2 4 12" xfId="16397"/>
    <cellStyle name="Normal 3 2 2 4 12 2" xfId="38984"/>
    <cellStyle name="Normal 3 2 2 4 13" xfId="13177"/>
    <cellStyle name="Normal 3 2 2 4 13 2" xfId="35764"/>
    <cellStyle name="Normal 3 2 2 4 14" xfId="6737"/>
    <cellStyle name="Normal 3 2 2 4 14 2" xfId="29324"/>
    <cellStyle name="Normal 3 2 2 4 15" xfId="22884"/>
    <cellStyle name="Normal 3 2 2 4 2" xfId="327"/>
    <cellStyle name="Normal 3 2 2 4 2 10" xfId="16494"/>
    <cellStyle name="Normal 3 2 2 4 2 10 2" xfId="39081"/>
    <cellStyle name="Normal 3 2 2 4 2 11" xfId="13274"/>
    <cellStyle name="Normal 3 2 2 4 2 11 2" xfId="35861"/>
    <cellStyle name="Normal 3 2 2 4 2 12" xfId="6834"/>
    <cellStyle name="Normal 3 2 2 4 2 12 2" xfId="29421"/>
    <cellStyle name="Normal 3 2 2 4 2 13" xfId="22981"/>
    <cellStyle name="Normal 3 2 2 4 2 2" xfId="1039"/>
    <cellStyle name="Normal 3 2 2 4 2 2 2" xfId="2353"/>
    <cellStyle name="Normal 3 2 2 4 2 2 2 2" xfId="5574"/>
    <cellStyle name="Normal 3 2 2 4 2 2 2 2 2" xfId="21674"/>
    <cellStyle name="Normal 3 2 2 4 2 2 2 2 2 2" xfId="44261"/>
    <cellStyle name="Normal 3 2 2 4 2 2 2 2 3" xfId="12014"/>
    <cellStyle name="Normal 3 2 2 4 2 2 2 2 3 2" xfId="34601"/>
    <cellStyle name="Normal 3 2 2 4 2 2 2 2 4" xfId="28161"/>
    <cellStyle name="Normal 3 2 2 4 2 2 2 3" xfId="18454"/>
    <cellStyle name="Normal 3 2 2 4 2 2 2 3 2" xfId="41041"/>
    <cellStyle name="Normal 3 2 2 4 2 2 2 4" xfId="15234"/>
    <cellStyle name="Normal 3 2 2 4 2 2 2 4 2" xfId="37821"/>
    <cellStyle name="Normal 3 2 2 4 2 2 2 5" xfId="8794"/>
    <cellStyle name="Normal 3 2 2 4 2 2 2 5 2" xfId="31381"/>
    <cellStyle name="Normal 3 2 2 4 2 2 2 6" xfId="24941"/>
    <cellStyle name="Normal 3 2 2 4 2 2 3" xfId="4266"/>
    <cellStyle name="Normal 3 2 2 4 2 2 3 2" xfId="20366"/>
    <cellStyle name="Normal 3 2 2 4 2 2 3 2 2" xfId="42953"/>
    <cellStyle name="Normal 3 2 2 4 2 2 3 3" xfId="10706"/>
    <cellStyle name="Normal 3 2 2 4 2 2 3 3 2" xfId="33293"/>
    <cellStyle name="Normal 3 2 2 4 2 2 3 4" xfId="26853"/>
    <cellStyle name="Normal 3 2 2 4 2 2 4" xfId="17146"/>
    <cellStyle name="Normal 3 2 2 4 2 2 4 2" xfId="39733"/>
    <cellStyle name="Normal 3 2 2 4 2 2 5" xfId="13926"/>
    <cellStyle name="Normal 3 2 2 4 2 2 5 2" xfId="36513"/>
    <cellStyle name="Normal 3 2 2 4 2 2 6" xfId="7486"/>
    <cellStyle name="Normal 3 2 2 4 2 2 6 2" xfId="30073"/>
    <cellStyle name="Normal 3 2 2 4 2 2 7" xfId="23633"/>
    <cellStyle name="Normal 3 2 2 4 2 3" xfId="1386"/>
    <cellStyle name="Normal 3 2 2 4 2 3 2" xfId="2700"/>
    <cellStyle name="Normal 3 2 2 4 2 3 2 2" xfId="5921"/>
    <cellStyle name="Normal 3 2 2 4 2 3 2 2 2" xfId="22021"/>
    <cellStyle name="Normal 3 2 2 4 2 3 2 2 2 2" xfId="44608"/>
    <cellStyle name="Normal 3 2 2 4 2 3 2 2 3" xfId="12361"/>
    <cellStyle name="Normal 3 2 2 4 2 3 2 2 3 2" xfId="34948"/>
    <cellStyle name="Normal 3 2 2 4 2 3 2 2 4" xfId="28508"/>
    <cellStyle name="Normal 3 2 2 4 2 3 2 3" xfId="18801"/>
    <cellStyle name="Normal 3 2 2 4 2 3 2 3 2" xfId="41388"/>
    <cellStyle name="Normal 3 2 2 4 2 3 2 4" xfId="15581"/>
    <cellStyle name="Normal 3 2 2 4 2 3 2 4 2" xfId="38168"/>
    <cellStyle name="Normal 3 2 2 4 2 3 2 5" xfId="9141"/>
    <cellStyle name="Normal 3 2 2 4 2 3 2 5 2" xfId="31728"/>
    <cellStyle name="Normal 3 2 2 4 2 3 2 6" xfId="25288"/>
    <cellStyle name="Normal 3 2 2 4 2 3 3" xfId="4613"/>
    <cellStyle name="Normal 3 2 2 4 2 3 3 2" xfId="20713"/>
    <cellStyle name="Normal 3 2 2 4 2 3 3 2 2" xfId="43300"/>
    <cellStyle name="Normal 3 2 2 4 2 3 3 3" xfId="11053"/>
    <cellStyle name="Normal 3 2 2 4 2 3 3 3 2" xfId="33640"/>
    <cellStyle name="Normal 3 2 2 4 2 3 3 4" xfId="27200"/>
    <cellStyle name="Normal 3 2 2 4 2 3 4" xfId="17493"/>
    <cellStyle name="Normal 3 2 2 4 2 3 4 2" xfId="40080"/>
    <cellStyle name="Normal 3 2 2 4 2 3 5" xfId="14273"/>
    <cellStyle name="Normal 3 2 2 4 2 3 5 2" xfId="36860"/>
    <cellStyle name="Normal 3 2 2 4 2 3 6" xfId="7833"/>
    <cellStyle name="Normal 3 2 2 4 2 3 6 2" xfId="30420"/>
    <cellStyle name="Normal 3 2 2 4 2 3 7" xfId="23980"/>
    <cellStyle name="Normal 3 2 2 4 2 4" xfId="1640"/>
    <cellStyle name="Normal 3 2 2 4 2 4 2" xfId="4863"/>
    <cellStyle name="Normal 3 2 2 4 2 4 2 2" xfId="20963"/>
    <cellStyle name="Normal 3 2 2 4 2 4 2 2 2" xfId="43550"/>
    <cellStyle name="Normal 3 2 2 4 2 4 2 3" xfId="11303"/>
    <cellStyle name="Normal 3 2 2 4 2 4 2 3 2" xfId="33890"/>
    <cellStyle name="Normal 3 2 2 4 2 4 2 4" xfId="27450"/>
    <cellStyle name="Normal 3 2 2 4 2 4 3" xfId="17743"/>
    <cellStyle name="Normal 3 2 2 4 2 4 3 2" xfId="40330"/>
    <cellStyle name="Normal 3 2 2 4 2 4 4" xfId="14523"/>
    <cellStyle name="Normal 3 2 2 4 2 4 4 2" xfId="37110"/>
    <cellStyle name="Normal 3 2 2 4 2 4 5" xfId="8083"/>
    <cellStyle name="Normal 3 2 2 4 2 4 5 2" xfId="30670"/>
    <cellStyle name="Normal 3 2 2 4 2 4 6" xfId="24230"/>
    <cellStyle name="Normal 3 2 2 4 2 5" xfId="2005"/>
    <cellStyle name="Normal 3 2 2 4 2 5 2" xfId="5227"/>
    <cellStyle name="Normal 3 2 2 4 2 5 2 2" xfId="21327"/>
    <cellStyle name="Normal 3 2 2 4 2 5 2 2 2" xfId="43914"/>
    <cellStyle name="Normal 3 2 2 4 2 5 2 3" xfId="11667"/>
    <cellStyle name="Normal 3 2 2 4 2 5 2 3 2" xfId="34254"/>
    <cellStyle name="Normal 3 2 2 4 2 5 2 4" xfId="27814"/>
    <cellStyle name="Normal 3 2 2 4 2 5 3" xfId="18107"/>
    <cellStyle name="Normal 3 2 2 4 2 5 3 2" xfId="40694"/>
    <cellStyle name="Normal 3 2 2 4 2 5 4" xfId="14887"/>
    <cellStyle name="Normal 3 2 2 4 2 5 4 2" xfId="37474"/>
    <cellStyle name="Normal 3 2 2 4 2 5 5" xfId="8447"/>
    <cellStyle name="Normal 3 2 2 4 2 5 5 2" xfId="31034"/>
    <cellStyle name="Normal 3 2 2 4 2 5 6" xfId="24594"/>
    <cellStyle name="Normal 3 2 2 4 2 6" xfId="3034"/>
    <cellStyle name="Normal 3 2 2 4 2 6 2" xfId="6254"/>
    <cellStyle name="Normal 3 2 2 4 2 6 2 2" xfId="22354"/>
    <cellStyle name="Normal 3 2 2 4 2 6 2 2 2" xfId="44941"/>
    <cellStyle name="Normal 3 2 2 4 2 6 2 3" xfId="12694"/>
    <cellStyle name="Normal 3 2 2 4 2 6 2 3 2" xfId="35281"/>
    <cellStyle name="Normal 3 2 2 4 2 6 2 4" xfId="28841"/>
    <cellStyle name="Normal 3 2 2 4 2 6 3" xfId="19134"/>
    <cellStyle name="Normal 3 2 2 4 2 6 3 2" xfId="41721"/>
    <cellStyle name="Normal 3 2 2 4 2 6 4" xfId="15914"/>
    <cellStyle name="Normal 3 2 2 4 2 6 4 2" xfId="38501"/>
    <cellStyle name="Normal 3 2 2 4 2 6 5" xfId="9474"/>
    <cellStyle name="Normal 3 2 2 4 2 6 5 2" xfId="32061"/>
    <cellStyle name="Normal 3 2 2 4 2 6 6" xfId="25621"/>
    <cellStyle name="Normal 3 2 2 4 2 7" xfId="3324"/>
    <cellStyle name="Normal 3 2 2 4 2 7 2" xfId="6544"/>
    <cellStyle name="Normal 3 2 2 4 2 7 2 2" xfId="22644"/>
    <cellStyle name="Normal 3 2 2 4 2 7 2 2 2" xfId="45231"/>
    <cellStyle name="Normal 3 2 2 4 2 7 2 3" xfId="12984"/>
    <cellStyle name="Normal 3 2 2 4 2 7 2 3 2" xfId="35571"/>
    <cellStyle name="Normal 3 2 2 4 2 7 2 4" xfId="29131"/>
    <cellStyle name="Normal 3 2 2 4 2 7 3" xfId="19424"/>
    <cellStyle name="Normal 3 2 2 4 2 7 3 2" xfId="42011"/>
    <cellStyle name="Normal 3 2 2 4 2 7 4" xfId="16204"/>
    <cellStyle name="Normal 3 2 2 4 2 7 4 2" xfId="38791"/>
    <cellStyle name="Normal 3 2 2 4 2 7 5" xfId="9764"/>
    <cellStyle name="Normal 3 2 2 4 2 7 5 2" xfId="32351"/>
    <cellStyle name="Normal 3 2 2 4 2 7 6" xfId="25911"/>
    <cellStyle name="Normal 3 2 2 4 2 8" xfId="675"/>
    <cellStyle name="Normal 3 2 2 4 2 8 2" xfId="3919"/>
    <cellStyle name="Normal 3 2 2 4 2 8 2 2" xfId="20019"/>
    <cellStyle name="Normal 3 2 2 4 2 8 2 2 2" xfId="42606"/>
    <cellStyle name="Normal 3 2 2 4 2 8 2 3" xfId="10359"/>
    <cellStyle name="Normal 3 2 2 4 2 8 2 3 2" xfId="32946"/>
    <cellStyle name="Normal 3 2 2 4 2 8 2 4" xfId="26506"/>
    <cellStyle name="Normal 3 2 2 4 2 8 3" xfId="16799"/>
    <cellStyle name="Normal 3 2 2 4 2 8 3 2" xfId="39386"/>
    <cellStyle name="Normal 3 2 2 4 2 8 4" xfId="13579"/>
    <cellStyle name="Normal 3 2 2 4 2 8 4 2" xfId="36166"/>
    <cellStyle name="Normal 3 2 2 4 2 8 5" xfId="7139"/>
    <cellStyle name="Normal 3 2 2 4 2 8 5 2" xfId="29726"/>
    <cellStyle name="Normal 3 2 2 4 2 8 6" xfId="23286"/>
    <cellStyle name="Normal 3 2 2 4 2 9" xfId="3614"/>
    <cellStyle name="Normal 3 2 2 4 2 9 2" xfId="19714"/>
    <cellStyle name="Normal 3 2 2 4 2 9 2 2" xfId="42301"/>
    <cellStyle name="Normal 3 2 2 4 2 9 3" xfId="10054"/>
    <cellStyle name="Normal 3 2 2 4 2 9 3 2" xfId="32641"/>
    <cellStyle name="Normal 3 2 2 4 2 9 4" xfId="26201"/>
    <cellStyle name="Normal 3 2 2 4 3" xfId="423"/>
    <cellStyle name="Normal 3 2 2 4 3 10" xfId="16590"/>
    <cellStyle name="Normal 3 2 2 4 3 10 2" xfId="39177"/>
    <cellStyle name="Normal 3 2 2 4 3 11" xfId="13370"/>
    <cellStyle name="Normal 3 2 2 4 3 11 2" xfId="35957"/>
    <cellStyle name="Normal 3 2 2 4 3 12" xfId="6930"/>
    <cellStyle name="Normal 3 2 2 4 3 12 2" xfId="29517"/>
    <cellStyle name="Normal 3 2 2 4 3 13" xfId="23077"/>
    <cellStyle name="Normal 3 2 2 4 3 2" xfId="1123"/>
    <cellStyle name="Normal 3 2 2 4 3 2 2" xfId="2437"/>
    <cellStyle name="Normal 3 2 2 4 3 2 2 2" xfId="5658"/>
    <cellStyle name="Normal 3 2 2 4 3 2 2 2 2" xfId="21758"/>
    <cellStyle name="Normal 3 2 2 4 3 2 2 2 2 2" xfId="44345"/>
    <cellStyle name="Normal 3 2 2 4 3 2 2 2 3" xfId="12098"/>
    <cellStyle name="Normal 3 2 2 4 3 2 2 2 3 2" xfId="34685"/>
    <cellStyle name="Normal 3 2 2 4 3 2 2 2 4" xfId="28245"/>
    <cellStyle name="Normal 3 2 2 4 3 2 2 3" xfId="18538"/>
    <cellStyle name="Normal 3 2 2 4 3 2 2 3 2" xfId="41125"/>
    <cellStyle name="Normal 3 2 2 4 3 2 2 4" xfId="15318"/>
    <cellStyle name="Normal 3 2 2 4 3 2 2 4 2" xfId="37905"/>
    <cellStyle name="Normal 3 2 2 4 3 2 2 5" xfId="8878"/>
    <cellStyle name="Normal 3 2 2 4 3 2 2 5 2" xfId="31465"/>
    <cellStyle name="Normal 3 2 2 4 3 2 2 6" xfId="25025"/>
    <cellStyle name="Normal 3 2 2 4 3 2 3" xfId="4350"/>
    <cellStyle name="Normal 3 2 2 4 3 2 3 2" xfId="20450"/>
    <cellStyle name="Normal 3 2 2 4 3 2 3 2 2" xfId="43037"/>
    <cellStyle name="Normal 3 2 2 4 3 2 3 3" xfId="10790"/>
    <cellStyle name="Normal 3 2 2 4 3 2 3 3 2" xfId="33377"/>
    <cellStyle name="Normal 3 2 2 4 3 2 3 4" xfId="26937"/>
    <cellStyle name="Normal 3 2 2 4 3 2 4" xfId="17230"/>
    <cellStyle name="Normal 3 2 2 4 3 2 4 2" xfId="39817"/>
    <cellStyle name="Normal 3 2 2 4 3 2 5" xfId="14010"/>
    <cellStyle name="Normal 3 2 2 4 3 2 5 2" xfId="36597"/>
    <cellStyle name="Normal 3 2 2 4 3 2 6" xfId="7570"/>
    <cellStyle name="Normal 3 2 2 4 3 2 6 2" xfId="30157"/>
    <cellStyle name="Normal 3 2 2 4 3 2 7" xfId="23717"/>
    <cellStyle name="Normal 3 2 2 4 3 3" xfId="1470"/>
    <cellStyle name="Normal 3 2 2 4 3 3 2" xfId="2784"/>
    <cellStyle name="Normal 3 2 2 4 3 3 2 2" xfId="6005"/>
    <cellStyle name="Normal 3 2 2 4 3 3 2 2 2" xfId="22105"/>
    <cellStyle name="Normal 3 2 2 4 3 3 2 2 2 2" xfId="44692"/>
    <cellStyle name="Normal 3 2 2 4 3 3 2 2 3" xfId="12445"/>
    <cellStyle name="Normal 3 2 2 4 3 3 2 2 3 2" xfId="35032"/>
    <cellStyle name="Normal 3 2 2 4 3 3 2 2 4" xfId="28592"/>
    <cellStyle name="Normal 3 2 2 4 3 3 2 3" xfId="18885"/>
    <cellStyle name="Normal 3 2 2 4 3 3 2 3 2" xfId="41472"/>
    <cellStyle name="Normal 3 2 2 4 3 3 2 4" xfId="15665"/>
    <cellStyle name="Normal 3 2 2 4 3 3 2 4 2" xfId="38252"/>
    <cellStyle name="Normal 3 2 2 4 3 3 2 5" xfId="9225"/>
    <cellStyle name="Normal 3 2 2 4 3 3 2 5 2" xfId="31812"/>
    <cellStyle name="Normal 3 2 2 4 3 3 2 6" xfId="25372"/>
    <cellStyle name="Normal 3 2 2 4 3 3 3" xfId="4697"/>
    <cellStyle name="Normal 3 2 2 4 3 3 3 2" xfId="20797"/>
    <cellStyle name="Normal 3 2 2 4 3 3 3 2 2" xfId="43384"/>
    <cellStyle name="Normal 3 2 2 4 3 3 3 3" xfId="11137"/>
    <cellStyle name="Normal 3 2 2 4 3 3 3 3 2" xfId="33724"/>
    <cellStyle name="Normal 3 2 2 4 3 3 3 4" xfId="27284"/>
    <cellStyle name="Normal 3 2 2 4 3 3 4" xfId="17577"/>
    <cellStyle name="Normal 3 2 2 4 3 3 4 2" xfId="40164"/>
    <cellStyle name="Normal 3 2 2 4 3 3 5" xfId="14357"/>
    <cellStyle name="Normal 3 2 2 4 3 3 5 2" xfId="36944"/>
    <cellStyle name="Normal 3 2 2 4 3 3 6" xfId="7917"/>
    <cellStyle name="Normal 3 2 2 4 3 3 6 2" xfId="30504"/>
    <cellStyle name="Normal 3 2 2 4 3 3 7" xfId="24064"/>
    <cellStyle name="Normal 3 2 2 4 3 4" xfId="1641"/>
    <cellStyle name="Normal 3 2 2 4 3 4 2" xfId="4864"/>
    <cellStyle name="Normal 3 2 2 4 3 4 2 2" xfId="20964"/>
    <cellStyle name="Normal 3 2 2 4 3 4 2 2 2" xfId="43551"/>
    <cellStyle name="Normal 3 2 2 4 3 4 2 3" xfId="11304"/>
    <cellStyle name="Normal 3 2 2 4 3 4 2 3 2" xfId="33891"/>
    <cellStyle name="Normal 3 2 2 4 3 4 2 4" xfId="27451"/>
    <cellStyle name="Normal 3 2 2 4 3 4 3" xfId="17744"/>
    <cellStyle name="Normal 3 2 2 4 3 4 3 2" xfId="40331"/>
    <cellStyle name="Normal 3 2 2 4 3 4 4" xfId="14524"/>
    <cellStyle name="Normal 3 2 2 4 3 4 4 2" xfId="37111"/>
    <cellStyle name="Normal 3 2 2 4 3 4 5" xfId="8084"/>
    <cellStyle name="Normal 3 2 2 4 3 4 5 2" xfId="30671"/>
    <cellStyle name="Normal 3 2 2 4 3 4 6" xfId="24231"/>
    <cellStyle name="Normal 3 2 2 4 3 5" xfId="2090"/>
    <cellStyle name="Normal 3 2 2 4 3 5 2" xfId="5311"/>
    <cellStyle name="Normal 3 2 2 4 3 5 2 2" xfId="21411"/>
    <cellStyle name="Normal 3 2 2 4 3 5 2 2 2" xfId="43998"/>
    <cellStyle name="Normal 3 2 2 4 3 5 2 3" xfId="11751"/>
    <cellStyle name="Normal 3 2 2 4 3 5 2 3 2" xfId="34338"/>
    <cellStyle name="Normal 3 2 2 4 3 5 2 4" xfId="27898"/>
    <cellStyle name="Normal 3 2 2 4 3 5 3" xfId="18191"/>
    <cellStyle name="Normal 3 2 2 4 3 5 3 2" xfId="40778"/>
    <cellStyle name="Normal 3 2 2 4 3 5 4" xfId="14971"/>
    <cellStyle name="Normal 3 2 2 4 3 5 4 2" xfId="37558"/>
    <cellStyle name="Normal 3 2 2 4 3 5 5" xfId="8531"/>
    <cellStyle name="Normal 3 2 2 4 3 5 5 2" xfId="31118"/>
    <cellStyle name="Normal 3 2 2 4 3 5 6" xfId="24678"/>
    <cellStyle name="Normal 3 2 2 4 3 6" xfId="3130"/>
    <cellStyle name="Normal 3 2 2 4 3 6 2" xfId="6350"/>
    <cellStyle name="Normal 3 2 2 4 3 6 2 2" xfId="22450"/>
    <cellStyle name="Normal 3 2 2 4 3 6 2 2 2" xfId="45037"/>
    <cellStyle name="Normal 3 2 2 4 3 6 2 3" xfId="12790"/>
    <cellStyle name="Normal 3 2 2 4 3 6 2 3 2" xfId="35377"/>
    <cellStyle name="Normal 3 2 2 4 3 6 2 4" xfId="28937"/>
    <cellStyle name="Normal 3 2 2 4 3 6 3" xfId="19230"/>
    <cellStyle name="Normal 3 2 2 4 3 6 3 2" xfId="41817"/>
    <cellStyle name="Normal 3 2 2 4 3 6 4" xfId="16010"/>
    <cellStyle name="Normal 3 2 2 4 3 6 4 2" xfId="38597"/>
    <cellStyle name="Normal 3 2 2 4 3 6 5" xfId="9570"/>
    <cellStyle name="Normal 3 2 2 4 3 6 5 2" xfId="32157"/>
    <cellStyle name="Normal 3 2 2 4 3 6 6" xfId="25717"/>
    <cellStyle name="Normal 3 2 2 4 3 7" xfId="3420"/>
    <cellStyle name="Normal 3 2 2 4 3 7 2" xfId="6640"/>
    <cellStyle name="Normal 3 2 2 4 3 7 2 2" xfId="22740"/>
    <cellStyle name="Normal 3 2 2 4 3 7 2 2 2" xfId="45327"/>
    <cellStyle name="Normal 3 2 2 4 3 7 2 3" xfId="13080"/>
    <cellStyle name="Normal 3 2 2 4 3 7 2 3 2" xfId="35667"/>
    <cellStyle name="Normal 3 2 2 4 3 7 2 4" xfId="29227"/>
    <cellStyle name="Normal 3 2 2 4 3 7 3" xfId="19520"/>
    <cellStyle name="Normal 3 2 2 4 3 7 3 2" xfId="42107"/>
    <cellStyle name="Normal 3 2 2 4 3 7 4" xfId="16300"/>
    <cellStyle name="Normal 3 2 2 4 3 7 4 2" xfId="38887"/>
    <cellStyle name="Normal 3 2 2 4 3 7 5" xfId="9860"/>
    <cellStyle name="Normal 3 2 2 4 3 7 5 2" xfId="32447"/>
    <cellStyle name="Normal 3 2 2 4 3 7 6" xfId="26007"/>
    <cellStyle name="Normal 3 2 2 4 3 8" xfId="771"/>
    <cellStyle name="Normal 3 2 2 4 3 8 2" xfId="4003"/>
    <cellStyle name="Normal 3 2 2 4 3 8 2 2" xfId="20103"/>
    <cellStyle name="Normal 3 2 2 4 3 8 2 2 2" xfId="42690"/>
    <cellStyle name="Normal 3 2 2 4 3 8 2 3" xfId="10443"/>
    <cellStyle name="Normal 3 2 2 4 3 8 2 3 2" xfId="33030"/>
    <cellStyle name="Normal 3 2 2 4 3 8 2 4" xfId="26590"/>
    <cellStyle name="Normal 3 2 2 4 3 8 3" xfId="16883"/>
    <cellStyle name="Normal 3 2 2 4 3 8 3 2" xfId="39470"/>
    <cellStyle name="Normal 3 2 2 4 3 8 4" xfId="13663"/>
    <cellStyle name="Normal 3 2 2 4 3 8 4 2" xfId="36250"/>
    <cellStyle name="Normal 3 2 2 4 3 8 5" xfId="7223"/>
    <cellStyle name="Normal 3 2 2 4 3 8 5 2" xfId="29810"/>
    <cellStyle name="Normal 3 2 2 4 3 8 6" xfId="23370"/>
    <cellStyle name="Normal 3 2 2 4 3 9" xfId="3710"/>
    <cellStyle name="Normal 3 2 2 4 3 9 2" xfId="19810"/>
    <cellStyle name="Normal 3 2 2 4 3 9 2 2" xfId="42397"/>
    <cellStyle name="Normal 3 2 2 4 3 9 3" xfId="10150"/>
    <cellStyle name="Normal 3 2 2 4 3 9 3 2" xfId="32737"/>
    <cellStyle name="Normal 3 2 2 4 3 9 4" xfId="26297"/>
    <cellStyle name="Normal 3 2 2 4 4" xfId="918"/>
    <cellStyle name="Normal 3 2 2 4 4 2" xfId="2237"/>
    <cellStyle name="Normal 3 2 2 4 4 2 2" xfId="5458"/>
    <cellStyle name="Normal 3 2 2 4 4 2 2 2" xfId="21558"/>
    <cellStyle name="Normal 3 2 2 4 4 2 2 2 2" xfId="44145"/>
    <cellStyle name="Normal 3 2 2 4 4 2 2 3" xfId="11898"/>
    <cellStyle name="Normal 3 2 2 4 4 2 2 3 2" xfId="34485"/>
    <cellStyle name="Normal 3 2 2 4 4 2 2 4" xfId="28045"/>
    <cellStyle name="Normal 3 2 2 4 4 2 3" xfId="18338"/>
    <cellStyle name="Normal 3 2 2 4 4 2 3 2" xfId="40925"/>
    <cellStyle name="Normal 3 2 2 4 4 2 4" xfId="15118"/>
    <cellStyle name="Normal 3 2 2 4 4 2 4 2" xfId="37705"/>
    <cellStyle name="Normal 3 2 2 4 4 2 5" xfId="8678"/>
    <cellStyle name="Normal 3 2 2 4 4 2 5 2" xfId="31265"/>
    <cellStyle name="Normal 3 2 2 4 4 2 6" xfId="24825"/>
    <cellStyle name="Normal 3 2 2 4 4 3" xfId="4150"/>
    <cellStyle name="Normal 3 2 2 4 4 3 2" xfId="20250"/>
    <cellStyle name="Normal 3 2 2 4 4 3 2 2" xfId="42837"/>
    <cellStyle name="Normal 3 2 2 4 4 3 3" xfId="10590"/>
    <cellStyle name="Normal 3 2 2 4 4 3 3 2" xfId="33177"/>
    <cellStyle name="Normal 3 2 2 4 4 3 4" xfId="26737"/>
    <cellStyle name="Normal 3 2 2 4 4 4" xfId="17030"/>
    <cellStyle name="Normal 3 2 2 4 4 4 2" xfId="39617"/>
    <cellStyle name="Normal 3 2 2 4 4 5" xfId="13810"/>
    <cellStyle name="Normal 3 2 2 4 4 5 2" xfId="36397"/>
    <cellStyle name="Normal 3 2 2 4 4 6" xfId="7370"/>
    <cellStyle name="Normal 3 2 2 4 4 6 2" xfId="29957"/>
    <cellStyle name="Normal 3 2 2 4 4 7" xfId="23517"/>
    <cellStyle name="Normal 3 2 2 4 5" xfId="1270"/>
    <cellStyle name="Normal 3 2 2 4 5 2" xfId="2584"/>
    <cellStyle name="Normal 3 2 2 4 5 2 2" xfId="5805"/>
    <cellStyle name="Normal 3 2 2 4 5 2 2 2" xfId="21905"/>
    <cellStyle name="Normal 3 2 2 4 5 2 2 2 2" xfId="44492"/>
    <cellStyle name="Normal 3 2 2 4 5 2 2 3" xfId="12245"/>
    <cellStyle name="Normal 3 2 2 4 5 2 2 3 2" xfId="34832"/>
    <cellStyle name="Normal 3 2 2 4 5 2 2 4" xfId="28392"/>
    <cellStyle name="Normal 3 2 2 4 5 2 3" xfId="18685"/>
    <cellStyle name="Normal 3 2 2 4 5 2 3 2" xfId="41272"/>
    <cellStyle name="Normal 3 2 2 4 5 2 4" xfId="15465"/>
    <cellStyle name="Normal 3 2 2 4 5 2 4 2" xfId="38052"/>
    <cellStyle name="Normal 3 2 2 4 5 2 5" xfId="9025"/>
    <cellStyle name="Normal 3 2 2 4 5 2 5 2" xfId="31612"/>
    <cellStyle name="Normal 3 2 2 4 5 2 6" xfId="25172"/>
    <cellStyle name="Normal 3 2 2 4 5 3" xfId="4497"/>
    <cellStyle name="Normal 3 2 2 4 5 3 2" xfId="20597"/>
    <cellStyle name="Normal 3 2 2 4 5 3 2 2" xfId="43184"/>
    <cellStyle name="Normal 3 2 2 4 5 3 3" xfId="10937"/>
    <cellStyle name="Normal 3 2 2 4 5 3 3 2" xfId="33524"/>
    <cellStyle name="Normal 3 2 2 4 5 3 4" xfId="27084"/>
    <cellStyle name="Normal 3 2 2 4 5 4" xfId="17377"/>
    <cellStyle name="Normal 3 2 2 4 5 4 2" xfId="39964"/>
    <cellStyle name="Normal 3 2 2 4 5 5" xfId="14157"/>
    <cellStyle name="Normal 3 2 2 4 5 5 2" xfId="36744"/>
    <cellStyle name="Normal 3 2 2 4 5 6" xfId="7717"/>
    <cellStyle name="Normal 3 2 2 4 5 6 2" xfId="30304"/>
    <cellStyle name="Normal 3 2 2 4 5 7" xfId="23864"/>
    <cellStyle name="Normal 3 2 2 4 6" xfId="1642"/>
    <cellStyle name="Normal 3 2 2 4 6 2" xfId="4865"/>
    <cellStyle name="Normal 3 2 2 4 6 2 2" xfId="20965"/>
    <cellStyle name="Normal 3 2 2 4 6 2 2 2" xfId="43552"/>
    <cellStyle name="Normal 3 2 2 4 6 2 3" xfId="11305"/>
    <cellStyle name="Normal 3 2 2 4 6 2 3 2" xfId="33892"/>
    <cellStyle name="Normal 3 2 2 4 6 2 4" xfId="27452"/>
    <cellStyle name="Normal 3 2 2 4 6 3" xfId="17745"/>
    <cellStyle name="Normal 3 2 2 4 6 3 2" xfId="40332"/>
    <cellStyle name="Normal 3 2 2 4 6 4" xfId="14525"/>
    <cellStyle name="Normal 3 2 2 4 6 4 2" xfId="37112"/>
    <cellStyle name="Normal 3 2 2 4 6 5" xfId="8085"/>
    <cellStyle name="Normal 3 2 2 4 6 5 2" xfId="30672"/>
    <cellStyle name="Normal 3 2 2 4 6 6" xfId="24232"/>
    <cellStyle name="Normal 3 2 2 4 7" xfId="1889"/>
    <cellStyle name="Normal 3 2 2 4 7 2" xfId="5111"/>
    <cellStyle name="Normal 3 2 2 4 7 2 2" xfId="21211"/>
    <cellStyle name="Normal 3 2 2 4 7 2 2 2" xfId="43798"/>
    <cellStyle name="Normal 3 2 2 4 7 2 3" xfId="11551"/>
    <cellStyle name="Normal 3 2 2 4 7 2 3 2" xfId="34138"/>
    <cellStyle name="Normal 3 2 2 4 7 2 4" xfId="27698"/>
    <cellStyle name="Normal 3 2 2 4 7 3" xfId="17991"/>
    <cellStyle name="Normal 3 2 2 4 7 3 2" xfId="40578"/>
    <cellStyle name="Normal 3 2 2 4 7 4" xfId="14771"/>
    <cellStyle name="Normal 3 2 2 4 7 4 2" xfId="37358"/>
    <cellStyle name="Normal 3 2 2 4 7 5" xfId="8331"/>
    <cellStyle name="Normal 3 2 2 4 7 5 2" xfId="30918"/>
    <cellStyle name="Normal 3 2 2 4 7 6" xfId="24478"/>
    <cellStyle name="Normal 3 2 2 4 8" xfId="2936"/>
    <cellStyle name="Normal 3 2 2 4 8 2" xfId="6157"/>
    <cellStyle name="Normal 3 2 2 4 8 2 2" xfId="22257"/>
    <cellStyle name="Normal 3 2 2 4 8 2 2 2" xfId="44844"/>
    <cellStyle name="Normal 3 2 2 4 8 2 3" xfId="12597"/>
    <cellStyle name="Normal 3 2 2 4 8 2 3 2" xfId="35184"/>
    <cellStyle name="Normal 3 2 2 4 8 2 4" xfId="28744"/>
    <cellStyle name="Normal 3 2 2 4 8 3" xfId="19037"/>
    <cellStyle name="Normal 3 2 2 4 8 3 2" xfId="41624"/>
    <cellStyle name="Normal 3 2 2 4 8 4" xfId="15817"/>
    <cellStyle name="Normal 3 2 2 4 8 4 2" xfId="38404"/>
    <cellStyle name="Normal 3 2 2 4 8 5" xfId="9377"/>
    <cellStyle name="Normal 3 2 2 4 8 5 2" xfId="31964"/>
    <cellStyle name="Normal 3 2 2 4 8 6" xfId="25524"/>
    <cellStyle name="Normal 3 2 2 4 9" xfId="3227"/>
    <cellStyle name="Normal 3 2 2 4 9 2" xfId="6447"/>
    <cellStyle name="Normal 3 2 2 4 9 2 2" xfId="22547"/>
    <cellStyle name="Normal 3 2 2 4 9 2 2 2" xfId="45134"/>
    <cellStyle name="Normal 3 2 2 4 9 2 3" xfId="12887"/>
    <cellStyle name="Normal 3 2 2 4 9 2 3 2" xfId="35474"/>
    <cellStyle name="Normal 3 2 2 4 9 2 4" xfId="29034"/>
    <cellStyle name="Normal 3 2 2 4 9 3" xfId="19327"/>
    <cellStyle name="Normal 3 2 2 4 9 3 2" xfId="41914"/>
    <cellStyle name="Normal 3 2 2 4 9 4" xfId="16107"/>
    <cellStyle name="Normal 3 2 2 4 9 4 2" xfId="38694"/>
    <cellStyle name="Normal 3 2 2 4 9 5" xfId="9667"/>
    <cellStyle name="Normal 3 2 2 4 9 5 2" xfId="32254"/>
    <cellStyle name="Normal 3 2 2 4 9 6" xfId="25814"/>
    <cellStyle name="Normal 3 2 2 5" xfId="252"/>
    <cellStyle name="Normal 3 2 2 5 10" xfId="16420"/>
    <cellStyle name="Normal 3 2 2 5 10 2" xfId="39007"/>
    <cellStyle name="Normal 3 2 2 5 11" xfId="13200"/>
    <cellStyle name="Normal 3 2 2 5 11 2" xfId="35787"/>
    <cellStyle name="Normal 3 2 2 5 12" xfId="6760"/>
    <cellStyle name="Normal 3 2 2 5 12 2" xfId="29347"/>
    <cellStyle name="Normal 3 2 2 5 13" xfId="22907"/>
    <cellStyle name="Normal 3 2 2 5 2" xfId="968"/>
    <cellStyle name="Normal 3 2 2 5 2 2" xfId="1643"/>
    <cellStyle name="Normal 3 2 2 5 2 2 2" xfId="4866"/>
    <cellStyle name="Normal 3 2 2 5 2 2 2 2" xfId="20966"/>
    <cellStyle name="Normal 3 2 2 5 2 2 2 2 2" xfId="43553"/>
    <cellStyle name="Normal 3 2 2 5 2 2 2 3" xfId="11306"/>
    <cellStyle name="Normal 3 2 2 5 2 2 2 3 2" xfId="33893"/>
    <cellStyle name="Normal 3 2 2 5 2 2 2 4" xfId="27453"/>
    <cellStyle name="Normal 3 2 2 5 2 2 3" xfId="17746"/>
    <cellStyle name="Normal 3 2 2 5 2 2 3 2" xfId="40333"/>
    <cellStyle name="Normal 3 2 2 5 2 2 4" xfId="14526"/>
    <cellStyle name="Normal 3 2 2 5 2 2 4 2" xfId="37113"/>
    <cellStyle name="Normal 3 2 2 5 2 2 5" xfId="8086"/>
    <cellStyle name="Normal 3 2 2 5 2 2 5 2" xfId="30673"/>
    <cellStyle name="Normal 3 2 2 5 2 2 6" xfId="24233"/>
    <cellStyle name="Normal 3 2 2 5 2 3" xfId="2286"/>
    <cellStyle name="Normal 3 2 2 5 2 3 2" xfId="5507"/>
    <cellStyle name="Normal 3 2 2 5 2 3 2 2" xfId="21607"/>
    <cellStyle name="Normal 3 2 2 5 2 3 2 2 2" xfId="44194"/>
    <cellStyle name="Normal 3 2 2 5 2 3 2 3" xfId="11947"/>
    <cellStyle name="Normal 3 2 2 5 2 3 2 3 2" xfId="34534"/>
    <cellStyle name="Normal 3 2 2 5 2 3 2 4" xfId="28094"/>
    <cellStyle name="Normal 3 2 2 5 2 3 3" xfId="18387"/>
    <cellStyle name="Normal 3 2 2 5 2 3 3 2" xfId="40974"/>
    <cellStyle name="Normal 3 2 2 5 2 3 4" xfId="15167"/>
    <cellStyle name="Normal 3 2 2 5 2 3 4 2" xfId="37754"/>
    <cellStyle name="Normal 3 2 2 5 2 3 5" xfId="8727"/>
    <cellStyle name="Normal 3 2 2 5 2 3 5 2" xfId="31314"/>
    <cellStyle name="Normal 3 2 2 5 2 3 6" xfId="24874"/>
    <cellStyle name="Normal 3 2 2 5 2 4" xfId="4199"/>
    <cellStyle name="Normal 3 2 2 5 2 4 2" xfId="20299"/>
    <cellStyle name="Normal 3 2 2 5 2 4 2 2" xfId="42886"/>
    <cellStyle name="Normal 3 2 2 5 2 4 3" xfId="10639"/>
    <cellStyle name="Normal 3 2 2 5 2 4 3 2" xfId="33226"/>
    <cellStyle name="Normal 3 2 2 5 2 4 4" xfId="26786"/>
    <cellStyle name="Normal 3 2 2 5 2 5" xfId="17079"/>
    <cellStyle name="Normal 3 2 2 5 2 5 2" xfId="39666"/>
    <cellStyle name="Normal 3 2 2 5 2 6" xfId="13859"/>
    <cellStyle name="Normal 3 2 2 5 2 6 2" xfId="36446"/>
    <cellStyle name="Normal 3 2 2 5 2 7" xfId="7419"/>
    <cellStyle name="Normal 3 2 2 5 2 7 2" xfId="30006"/>
    <cellStyle name="Normal 3 2 2 5 2 8" xfId="23566"/>
    <cellStyle name="Normal 3 2 2 5 3" xfId="1319"/>
    <cellStyle name="Normal 3 2 2 5 3 2" xfId="2633"/>
    <cellStyle name="Normal 3 2 2 5 3 2 2" xfId="5854"/>
    <cellStyle name="Normal 3 2 2 5 3 2 2 2" xfId="21954"/>
    <cellStyle name="Normal 3 2 2 5 3 2 2 2 2" xfId="44541"/>
    <cellStyle name="Normal 3 2 2 5 3 2 2 3" xfId="12294"/>
    <cellStyle name="Normal 3 2 2 5 3 2 2 3 2" xfId="34881"/>
    <cellStyle name="Normal 3 2 2 5 3 2 2 4" xfId="28441"/>
    <cellStyle name="Normal 3 2 2 5 3 2 3" xfId="18734"/>
    <cellStyle name="Normal 3 2 2 5 3 2 3 2" xfId="41321"/>
    <cellStyle name="Normal 3 2 2 5 3 2 4" xfId="15514"/>
    <cellStyle name="Normal 3 2 2 5 3 2 4 2" xfId="38101"/>
    <cellStyle name="Normal 3 2 2 5 3 2 5" xfId="9074"/>
    <cellStyle name="Normal 3 2 2 5 3 2 5 2" xfId="31661"/>
    <cellStyle name="Normal 3 2 2 5 3 2 6" xfId="25221"/>
    <cellStyle name="Normal 3 2 2 5 3 3" xfId="4546"/>
    <cellStyle name="Normal 3 2 2 5 3 3 2" xfId="20646"/>
    <cellStyle name="Normal 3 2 2 5 3 3 2 2" xfId="43233"/>
    <cellStyle name="Normal 3 2 2 5 3 3 3" xfId="10986"/>
    <cellStyle name="Normal 3 2 2 5 3 3 3 2" xfId="33573"/>
    <cellStyle name="Normal 3 2 2 5 3 3 4" xfId="27133"/>
    <cellStyle name="Normal 3 2 2 5 3 4" xfId="17426"/>
    <cellStyle name="Normal 3 2 2 5 3 4 2" xfId="40013"/>
    <cellStyle name="Normal 3 2 2 5 3 5" xfId="14206"/>
    <cellStyle name="Normal 3 2 2 5 3 5 2" xfId="36793"/>
    <cellStyle name="Normal 3 2 2 5 3 6" xfId="7766"/>
    <cellStyle name="Normal 3 2 2 5 3 6 2" xfId="30353"/>
    <cellStyle name="Normal 3 2 2 5 3 7" xfId="23913"/>
    <cellStyle name="Normal 3 2 2 5 4" xfId="1644"/>
    <cellStyle name="Normal 3 2 2 5 4 2" xfId="4867"/>
    <cellStyle name="Normal 3 2 2 5 4 2 2" xfId="20967"/>
    <cellStyle name="Normal 3 2 2 5 4 2 2 2" xfId="43554"/>
    <cellStyle name="Normal 3 2 2 5 4 2 3" xfId="11307"/>
    <cellStyle name="Normal 3 2 2 5 4 2 3 2" xfId="33894"/>
    <cellStyle name="Normal 3 2 2 5 4 2 4" xfId="27454"/>
    <cellStyle name="Normal 3 2 2 5 4 3" xfId="17747"/>
    <cellStyle name="Normal 3 2 2 5 4 3 2" xfId="40334"/>
    <cellStyle name="Normal 3 2 2 5 4 4" xfId="14527"/>
    <cellStyle name="Normal 3 2 2 5 4 4 2" xfId="37114"/>
    <cellStyle name="Normal 3 2 2 5 4 5" xfId="8087"/>
    <cellStyle name="Normal 3 2 2 5 4 5 2" xfId="30674"/>
    <cellStyle name="Normal 3 2 2 5 4 6" xfId="24234"/>
    <cellStyle name="Normal 3 2 2 5 5" xfId="1938"/>
    <cellStyle name="Normal 3 2 2 5 5 2" xfId="5160"/>
    <cellStyle name="Normal 3 2 2 5 5 2 2" xfId="21260"/>
    <cellStyle name="Normal 3 2 2 5 5 2 2 2" xfId="43847"/>
    <cellStyle name="Normal 3 2 2 5 5 2 3" xfId="11600"/>
    <cellStyle name="Normal 3 2 2 5 5 2 3 2" xfId="34187"/>
    <cellStyle name="Normal 3 2 2 5 5 2 4" xfId="27747"/>
    <cellStyle name="Normal 3 2 2 5 5 3" xfId="18040"/>
    <cellStyle name="Normal 3 2 2 5 5 3 2" xfId="40627"/>
    <cellStyle name="Normal 3 2 2 5 5 4" xfId="14820"/>
    <cellStyle name="Normal 3 2 2 5 5 4 2" xfId="37407"/>
    <cellStyle name="Normal 3 2 2 5 5 5" xfId="8380"/>
    <cellStyle name="Normal 3 2 2 5 5 5 2" xfId="30967"/>
    <cellStyle name="Normal 3 2 2 5 5 6" xfId="24527"/>
    <cellStyle name="Normal 3 2 2 5 6" xfId="2959"/>
    <cellStyle name="Normal 3 2 2 5 6 2" xfId="6180"/>
    <cellStyle name="Normal 3 2 2 5 6 2 2" xfId="22280"/>
    <cellStyle name="Normal 3 2 2 5 6 2 2 2" xfId="44867"/>
    <cellStyle name="Normal 3 2 2 5 6 2 3" xfId="12620"/>
    <cellStyle name="Normal 3 2 2 5 6 2 3 2" xfId="35207"/>
    <cellStyle name="Normal 3 2 2 5 6 2 4" xfId="28767"/>
    <cellStyle name="Normal 3 2 2 5 6 3" xfId="19060"/>
    <cellStyle name="Normal 3 2 2 5 6 3 2" xfId="41647"/>
    <cellStyle name="Normal 3 2 2 5 6 4" xfId="15840"/>
    <cellStyle name="Normal 3 2 2 5 6 4 2" xfId="38427"/>
    <cellStyle name="Normal 3 2 2 5 6 5" xfId="9400"/>
    <cellStyle name="Normal 3 2 2 5 6 5 2" xfId="31987"/>
    <cellStyle name="Normal 3 2 2 5 6 6" xfId="25547"/>
    <cellStyle name="Normal 3 2 2 5 7" xfId="3250"/>
    <cellStyle name="Normal 3 2 2 5 7 2" xfId="6470"/>
    <cellStyle name="Normal 3 2 2 5 7 2 2" xfId="22570"/>
    <cellStyle name="Normal 3 2 2 5 7 2 2 2" xfId="45157"/>
    <cellStyle name="Normal 3 2 2 5 7 2 3" xfId="12910"/>
    <cellStyle name="Normal 3 2 2 5 7 2 3 2" xfId="35497"/>
    <cellStyle name="Normal 3 2 2 5 7 2 4" xfId="29057"/>
    <cellStyle name="Normal 3 2 2 5 7 3" xfId="19350"/>
    <cellStyle name="Normal 3 2 2 5 7 3 2" xfId="41937"/>
    <cellStyle name="Normal 3 2 2 5 7 4" xfId="16130"/>
    <cellStyle name="Normal 3 2 2 5 7 4 2" xfId="38717"/>
    <cellStyle name="Normal 3 2 2 5 7 5" xfId="9690"/>
    <cellStyle name="Normal 3 2 2 5 7 5 2" xfId="32277"/>
    <cellStyle name="Normal 3 2 2 5 7 6" xfId="25837"/>
    <cellStyle name="Normal 3 2 2 5 8" xfId="582"/>
    <cellStyle name="Normal 3 2 2 5 8 2" xfId="3852"/>
    <cellStyle name="Normal 3 2 2 5 8 2 2" xfId="19952"/>
    <cellStyle name="Normal 3 2 2 5 8 2 2 2" xfId="42539"/>
    <cellStyle name="Normal 3 2 2 5 8 2 3" xfId="10292"/>
    <cellStyle name="Normal 3 2 2 5 8 2 3 2" xfId="32879"/>
    <cellStyle name="Normal 3 2 2 5 8 2 4" xfId="26439"/>
    <cellStyle name="Normal 3 2 2 5 8 3" xfId="16732"/>
    <cellStyle name="Normal 3 2 2 5 8 3 2" xfId="39319"/>
    <cellStyle name="Normal 3 2 2 5 8 4" xfId="13512"/>
    <cellStyle name="Normal 3 2 2 5 8 4 2" xfId="36099"/>
    <cellStyle name="Normal 3 2 2 5 8 5" xfId="7072"/>
    <cellStyle name="Normal 3 2 2 5 8 5 2" xfId="29659"/>
    <cellStyle name="Normal 3 2 2 5 8 6" xfId="23219"/>
    <cellStyle name="Normal 3 2 2 5 9" xfId="3540"/>
    <cellStyle name="Normal 3 2 2 5 9 2" xfId="19640"/>
    <cellStyle name="Normal 3 2 2 5 9 2 2" xfId="42227"/>
    <cellStyle name="Normal 3 2 2 5 9 3" xfId="9980"/>
    <cellStyle name="Normal 3 2 2 5 9 3 2" xfId="32567"/>
    <cellStyle name="Normal 3 2 2 5 9 4" xfId="26127"/>
    <cellStyle name="Normal 3 2 2 6" xfId="346"/>
    <cellStyle name="Normal 3 2 2 6 10" xfId="16513"/>
    <cellStyle name="Normal 3 2 2 6 10 2" xfId="39100"/>
    <cellStyle name="Normal 3 2 2 6 11" xfId="13293"/>
    <cellStyle name="Normal 3 2 2 6 11 2" xfId="35880"/>
    <cellStyle name="Normal 3 2 2 6 12" xfId="6853"/>
    <cellStyle name="Normal 3 2 2 6 12 2" xfId="29440"/>
    <cellStyle name="Normal 3 2 2 6 13" xfId="23000"/>
    <cellStyle name="Normal 3 2 2 6 2" xfId="1084"/>
    <cellStyle name="Normal 3 2 2 6 2 2" xfId="2398"/>
    <cellStyle name="Normal 3 2 2 6 2 2 2" xfId="5619"/>
    <cellStyle name="Normal 3 2 2 6 2 2 2 2" xfId="21719"/>
    <cellStyle name="Normal 3 2 2 6 2 2 2 2 2" xfId="44306"/>
    <cellStyle name="Normal 3 2 2 6 2 2 2 3" xfId="12059"/>
    <cellStyle name="Normal 3 2 2 6 2 2 2 3 2" xfId="34646"/>
    <cellStyle name="Normal 3 2 2 6 2 2 2 4" xfId="28206"/>
    <cellStyle name="Normal 3 2 2 6 2 2 3" xfId="18499"/>
    <cellStyle name="Normal 3 2 2 6 2 2 3 2" xfId="41086"/>
    <cellStyle name="Normal 3 2 2 6 2 2 4" xfId="15279"/>
    <cellStyle name="Normal 3 2 2 6 2 2 4 2" xfId="37866"/>
    <cellStyle name="Normal 3 2 2 6 2 2 5" xfId="8839"/>
    <cellStyle name="Normal 3 2 2 6 2 2 5 2" xfId="31426"/>
    <cellStyle name="Normal 3 2 2 6 2 2 6" xfId="24986"/>
    <cellStyle name="Normal 3 2 2 6 2 3" xfId="4311"/>
    <cellStyle name="Normal 3 2 2 6 2 3 2" xfId="20411"/>
    <cellStyle name="Normal 3 2 2 6 2 3 2 2" xfId="42998"/>
    <cellStyle name="Normal 3 2 2 6 2 3 3" xfId="10751"/>
    <cellStyle name="Normal 3 2 2 6 2 3 3 2" xfId="33338"/>
    <cellStyle name="Normal 3 2 2 6 2 3 4" xfId="26898"/>
    <cellStyle name="Normal 3 2 2 6 2 4" xfId="17191"/>
    <cellStyle name="Normal 3 2 2 6 2 4 2" xfId="39778"/>
    <cellStyle name="Normal 3 2 2 6 2 5" xfId="13971"/>
    <cellStyle name="Normal 3 2 2 6 2 5 2" xfId="36558"/>
    <cellStyle name="Normal 3 2 2 6 2 6" xfId="7531"/>
    <cellStyle name="Normal 3 2 2 6 2 6 2" xfId="30118"/>
    <cellStyle name="Normal 3 2 2 6 2 7" xfId="23678"/>
    <cellStyle name="Normal 3 2 2 6 3" xfId="1431"/>
    <cellStyle name="Normal 3 2 2 6 3 2" xfId="2745"/>
    <cellStyle name="Normal 3 2 2 6 3 2 2" xfId="5966"/>
    <cellStyle name="Normal 3 2 2 6 3 2 2 2" xfId="22066"/>
    <cellStyle name="Normal 3 2 2 6 3 2 2 2 2" xfId="44653"/>
    <cellStyle name="Normal 3 2 2 6 3 2 2 3" xfId="12406"/>
    <cellStyle name="Normal 3 2 2 6 3 2 2 3 2" xfId="34993"/>
    <cellStyle name="Normal 3 2 2 6 3 2 2 4" xfId="28553"/>
    <cellStyle name="Normal 3 2 2 6 3 2 3" xfId="18846"/>
    <cellStyle name="Normal 3 2 2 6 3 2 3 2" xfId="41433"/>
    <cellStyle name="Normal 3 2 2 6 3 2 4" xfId="15626"/>
    <cellStyle name="Normal 3 2 2 6 3 2 4 2" xfId="38213"/>
    <cellStyle name="Normal 3 2 2 6 3 2 5" xfId="9186"/>
    <cellStyle name="Normal 3 2 2 6 3 2 5 2" xfId="31773"/>
    <cellStyle name="Normal 3 2 2 6 3 2 6" xfId="25333"/>
    <cellStyle name="Normal 3 2 2 6 3 3" xfId="4658"/>
    <cellStyle name="Normal 3 2 2 6 3 3 2" xfId="20758"/>
    <cellStyle name="Normal 3 2 2 6 3 3 2 2" xfId="43345"/>
    <cellStyle name="Normal 3 2 2 6 3 3 3" xfId="11098"/>
    <cellStyle name="Normal 3 2 2 6 3 3 3 2" xfId="33685"/>
    <cellStyle name="Normal 3 2 2 6 3 3 4" xfId="27245"/>
    <cellStyle name="Normal 3 2 2 6 3 4" xfId="17538"/>
    <cellStyle name="Normal 3 2 2 6 3 4 2" xfId="40125"/>
    <cellStyle name="Normal 3 2 2 6 3 5" xfId="14318"/>
    <cellStyle name="Normal 3 2 2 6 3 5 2" xfId="36905"/>
    <cellStyle name="Normal 3 2 2 6 3 6" xfId="7878"/>
    <cellStyle name="Normal 3 2 2 6 3 6 2" xfId="30465"/>
    <cellStyle name="Normal 3 2 2 6 3 7" xfId="24025"/>
    <cellStyle name="Normal 3 2 2 6 4" xfId="1645"/>
    <cellStyle name="Normal 3 2 2 6 4 2" xfId="4868"/>
    <cellStyle name="Normal 3 2 2 6 4 2 2" xfId="20968"/>
    <cellStyle name="Normal 3 2 2 6 4 2 2 2" xfId="43555"/>
    <cellStyle name="Normal 3 2 2 6 4 2 3" xfId="11308"/>
    <cellStyle name="Normal 3 2 2 6 4 2 3 2" xfId="33895"/>
    <cellStyle name="Normal 3 2 2 6 4 2 4" xfId="27455"/>
    <cellStyle name="Normal 3 2 2 6 4 3" xfId="17748"/>
    <cellStyle name="Normal 3 2 2 6 4 3 2" xfId="40335"/>
    <cellStyle name="Normal 3 2 2 6 4 4" xfId="14528"/>
    <cellStyle name="Normal 3 2 2 6 4 4 2" xfId="37115"/>
    <cellStyle name="Normal 3 2 2 6 4 5" xfId="8088"/>
    <cellStyle name="Normal 3 2 2 6 4 5 2" xfId="30675"/>
    <cellStyle name="Normal 3 2 2 6 4 6" xfId="24235"/>
    <cellStyle name="Normal 3 2 2 6 5" xfId="2051"/>
    <cellStyle name="Normal 3 2 2 6 5 2" xfId="5272"/>
    <cellStyle name="Normal 3 2 2 6 5 2 2" xfId="21372"/>
    <cellStyle name="Normal 3 2 2 6 5 2 2 2" xfId="43959"/>
    <cellStyle name="Normal 3 2 2 6 5 2 3" xfId="11712"/>
    <cellStyle name="Normal 3 2 2 6 5 2 3 2" xfId="34299"/>
    <cellStyle name="Normal 3 2 2 6 5 2 4" xfId="27859"/>
    <cellStyle name="Normal 3 2 2 6 5 3" xfId="18152"/>
    <cellStyle name="Normal 3 2 2 6 5 3 2" xfId="40739"/>
    <cellStyle name="Normal 3 2 2 6 5 4" xfId="14932"/>
    <cellStyle name="Normal 3 2 2 6 5 4 2" xfId="37519"/>
    <cellStyle name="Normal 3 2 2 6 5 5" xfId="8492"/>
    <cellStyle name="Normal 3 2 2 6 5 5 2" xfId="31079"/>
    <cellStyle name="Normal 3 2 2 6 5 6" xfId="24639"/>
    <cellStyle name="Normal 3 2 2 6 6" xfId="3053"/>
    <cellStyle name="Normal 3 2 2 6 6 2" xfId="6273"/>
    <cellStyle name="Normal 3 2 2 6 6 2 2" xfId="22373"/>
    <cellStyle name="Normal 3 2 2 6 6 2 2 2" xfId="44960"/>
    <cellStyle name="Normal 3 2 2 6 6 2 3" xfId="12713"/>
    <cellStyle name="Normal 3 2 2 6 6 2 3 2" xfId="35300"/>
    <cellStyle name="Normal 3 2 2 6 6 2 4" xfId="28860"/>
    <cellStyle name="Normal 3 2 2 6 6 3" xfId="19153"/>
    <cellStyle name="Normal 3 2 2 6 6 3 2" xfId="41740"/>
    <cellStyle name="Normal 3 2 2 6 6 4" xfId="15933"/>
    <cellStyle name="Normal 3 2 2 6 6 4 2" xfId="38520"/>
    <cellStyle name="Normal 3 2 2 6 6 5" xfId="9493"/>
    <cellStyle name="Normal 3 2 2 6 6 5 2" xfId="32080"/>
    <cellStyle name="Normal 3 2 2 6 6 6" xfId="25640"/>
    <cellStyle name="Normal 3 2 2 6 7" xfId="3343"/>
    <cellStyle name="Normal 3 2 2 6 7 2" xfId="6563"/>
    <cellStyle name="Normal 3 2 2 6 7 2 2" xfId="22663"/>
    <cellStyle name="Normal 3 2 2 6 7 2 2 2" xfId="45250"/>
    <cellStyle name="Normal 3 2 2 6 7 2 3" xfId="13003"/>
    <cellStyle name="Normal 3 2 2 6 7 2 3 2" xfId="35590"/>
    <cellStyle name="Normal 3 2 2 6 7 2 4" xfId="29150"/>
    <cellStyle name="Normal 3 2 2 6 7 3" xfId="19443"/>
    <cellStyle name="Normal 3 2 2 6 7 3 2" xfId="42030"/>
    <cellStyle name="Normal 3 2 2 6 7 4" xfId="16223"/>
    <cellStyle name="Normal 3 2 2 6 7 4 2" xfId="38810"/>
    <cellStyle name="Normal 3 2 2 6 7 5" xfId="9783"/>
    <cellStyle name="Normal 3 2 2 6 7 5 2" xfId="32370"/>
    <cellStyle name="Normal 3 2 2 6 7 6" xfId="25930"/>
    <cellStyle name="Normal 3 2 2 6 8" xfId="732"/>
    <cellStyle name="Normal 3 2 2 6 8 2" xfId="3964"/>
    <cellStyle name="Normal 3 2 2 6 8 2 2" xfId="20064"/>
    <cellStyle name="Normal 3 2 2 6 8 2 2 2" xfId="42651"/>
    <cellStyle name="Normal 3 2 2 6 8 2 3" xfId="10404"/>
    <cellStyle name="Normal 3 2 2 6 8 2 3 2" xfId="32991"/>
    <cellStyle name="Normal 3 2 2 6 8 2 4" xfId="26551"/>
    <cellStyle name="Normal 3 2 2 6 8 3" xfId="16844"/>
    <cellStyle name="Normal 3 2 2 6 8 3 2" xfId="39431"/>
    <cellStyle name="Normal 3 2 2 6 8 4" xfId="13624"/>
    <cellStyle name="Normal 3 2 2 6 8 4 2" xfId="36211"/>
    <cellStyle name="Normal 3 2 2 6 8 5" xfId="7184"/>
    <cellStyle name="Normal 3 2 2 6 8 5 2" xfId="29771"/>
    <cellStyle name="Normal 3 2 2 6 8 6" xfId="23331"/>
    <cellStyle name="Normal 3 2 2 6 9" xfId="3633"/>
    <cellStyle name="Normal 3 2 2 6 9 2" xfId="19733"/>
    <cellStyle name="Normal 3 2 2 6 9 2 2" xfId="42320"/>
    <cellStyle name="Normal 3 2 2 6 9 3" xfId="10073"/>
    <cellStyle name="Normal 3 2 2 6 9 3 2" xfId="32660"/>
    <cellStyle name="Normal 3 2 2 6 9 4" xfId="26220"/>
    <cellStyle name="Normal 3 2 2 7" xfId="751"/>
    <cellStyle name="Normal 3 2 2 7 10" xfId="23350"/>
    <cellStyle name="Normal 3 2 2 7 2" xfId="1103"/>
    <cellStyle name="Normal 3 2 2 7 2 2" xfId="2417"/>
    <cellStyle name="Normal 3 2 2 7 2 2 2" xfId="5638"/>
    <cellStyle name="Normal 3 2 2 7 2 2 2 2" xfId="21738"/>
    <cellStyle name="Normal 3 2 2 7 2 2 2 2 2" xfId="44325"/>
    <cellStyle name="Normal 3 2 2 7 2 2 2 3" xfId="12078"/>
    <cellStyle name="Normal 3 2 2 7 2 2 2 3 2" xfId="34665"/>
    <cellStyle name="Normal 3 2 2 7 2 2 2 4" xfId="28225"/>
    <cellStyle name="Normal 3 2 2 7 2 2 3" xfId="18518"/>
    <cellStyle name="Normal 3 2 2 7 2 2 3 2" xfId="41105"/>
    <cellStyle name="Normal 3 2 2 7 2 2 4" xfId="15298"/>
    <cellStyle name="Normal 3 2 2 7 2 2 4 2" xfId="37885"/>
    <cellStyle name="Normal 3 2 2 7 2 2 5" xfId="8858"/>
    <cellStyle name="Normal 3 2 2 7 2 2 5 2" xfId="31445"/>
    <cellStyle name="Normal 3 2 2 7 2 2 6" xfId="25005"/>
    <cellStyle name="Normal 3 2 2 7 2 3" xfId="4330"/>
    <cellStyle name="Normal 3 2 2 7 2 3 2" xfId="20430"/>
    <cellStyle name="Normal 3 2 2 7 2 3 2 2" xfId="43017"/>
    <cellStyle name="Normal 3 2 2 7 2 3 3" xfId="10770"/>
    <cellStyle name="Normal 3 2 2 7 2 3 3 2" xfId="33357"/>
    <cellStyle name="Normal 3 2 2 7 2 3 4" xfId="26917"/>
    <cellStyle name="Normal 3 2 2 7 2 4" xfId="17210"/>
    <cellStyle name="Normal 3 2 2 7 2 4 2" xfId="39797"/>
    <cellStyle name="Normal 3 2 2 7 2 5" xfId="13990"/>
    <cellStyle name="Normal 3 2 2 7 2 5 2" xfId="36577"/>
    <cellStyle name="Normal 3 2 2 7 2 6" xfId="7550"/>
    <cellStyle name="Normal 3 2 2 7 2 6 2" xfId="30137"/>
    <cellStyle name="Normal 3 2 2 7 2 7" xfId="23697"/>
    <cellStyle name="Normal 3 2 2 7 3" xfId="1450"/>
    <cellStyle name="Normal 3 2 2 7 3 2" xfId="2764"/>
    <cellStyle name="Normal 3 2 2 7 3 2 2" xfId="5985"/>
    <cellStyle name="Normal 3 2 2 7 3 2 2 2" xfId="22085"/>
    <cellStyle name="Normal 3 2 2 7 3 2 2 2 2" xfId="44672"/>
    <cellStyle name="Normal 3 2 2 7 3 2 2 3" xfId="12425"/>
    <cellStyle name="Normal 3 2 2 7 3 2 2 3 2" xfId="35012"/>
    <cellStyle name="Normal 3 2 2 7 3 2 2 4" xfId="28572"/>
    <cellStyle name="Normal 3 2 2 7 3 2 3" xfId="18865"/>
    <cellStyle name="Normal 3 2 2 7 3 2 3 2" xfId="41452"/>
    <cellStyle name="Normal 3 2 2 7 3 2 4" xfId="15645"/>
    <cellStyle name="Normal 3 2 2 7 3 2 4 2" xfId="38232"/>
    <cellStyle name="Normal 3 2 2 7 3 2 5" xfId="9205"/>
    <cellStyle name="Normal 3 2 2 7 3 2 5 2" xfId="31792"/>
    <cellStyle name="Normal 3 2 2 7 3 2 6" xfId="25352"/>
    <cellStyle name="Normal 3 2 2 7 3 3" xfId="4677"/>
    <cellStyle name="Normal 3 2 2 7 3 3 2" xfId="20777"/>
    <cellStyle name="Normal 3 2 2 7 3 3 2 2" xfId="43364"/>
    <cellStyle name="Normal 3 2 2 7 3 3 3" xfId="11117"/>
    <cellStyle name="Normal 3 2 2 7 3 3 3 2" xfId="33704"/>
    <cellStyle name="Normal 3 2 2 7 3 3 4" xfId="27264"/>
    <cellStyle name="Normal 3 2 2 7 3 4" xfId="17557"/>
    <cellStyle name="Normal 3 2 2 7 3 4 2" xfId="40144"/>
    <cellStyle name="Normal 3 2 2 7 3 5" xfId="14337"/>
    <cellStyle name="Normal 3 2 2 7 3 5 2" xfId="36924"/>
    <cellStyle name="Normal 3 2 2 7 3 6" xfId="7897"/>
    <cellStyle name="Normal 3 2 2 7 3 6 2" xfId="30484"/>
    <cellStyle name="Normal 3 2 2 7 3 7" xfId="24044"/>
    <cellStyle name="Normal 3 2 2 7 4" xfId="1646"/>
    <cellStyle name="Normal 3 2 2 7 4 2" xfId="4869"/>
    <cellStyle name="Normal 3 2 2 7 4 2 2" xfId="20969"/>
    <cellStyle name="Normal 3 2 2 7 4 2 2 2" xfId="43556"/>
    <cellStyle name="Normal 3 2 2 7 4 2 3" xfId="11309"/>
    <cellStyle name="Normal 3 2 2 7 4 2 3 2" xfId="33896"/>
    <cellStyle name="Normal 3 2 2 7 4 2 4" xfId="27456"/>
    <cellStyle name="Normal 3 2 2 7 4 3" xfId="17749"/>
    <cellStyle name="Normal 3 2 2 7 4 3 2" xfId="40336"/>
    <cellStyle name="Normal 3 2 2 7 4 4" xfId="14529"/>
    <cellStyle name="Normal 3 2 2 7 4 4 2" xfId="37116"/>
    <cellStyle name="Normal 3 2 2 7 4 5" xfId="8089"/>
    <cellStyle name="Normal 3 2 2 7 4 5 2" xfId="30676"/>
    <cellStyle name="Normal 3 2 2 7 4 6" xfId="24236"/>
    <cellStyle name="Normal 3 2 2 7 5" xfId="2070"/>
    <cellStyle name="Normal 3 2 2 7 5 2" xfId="5291"/>
    <cellStyle name="Normal 3 2 2 7 5 2 2" xfId="21391"/>
    <cellStyle name="Normal 3 2 2 7 5 2 2 2" xfId="43978"/>
    <cellStyle name="Normal 3 2 2 7 5 2 3" xfId="11731"/>
    <cellStyle name="Normal 3 2 2 7 5 2 3 2" xfId="34318"/>
    <cellStyle name="Normal 3 2 2 7 5 2 4" xfId="27878"/>
    <cellStyle name="Normal 3 2 2 7 5 3" xfId="18171"/>
    <cellStyle name="Normal 3 2 2 7 5 3 2" xfId="40758"/>
    <cellStyle name="Normal 3 2 2 7 5 4" xfId="14951"/>
    <cellStyle name="Normal 3 2 2 7 5 4 2" xfId="37538"/>
    <cellStyle name="Normal 3 2 2 7 5 5" xfId="8511"/>
    <cellStyle name="Normal 3 2 2 7 5 5 2" xfId="31098"/>
    <cellStyle name="Normal 3 2 2 7 5 6" xfId="24658"/>
    <cellStyle name="Normal 3 2 2 7 6" xfId="3983"/>
    <cellStyle name="Normal 3 2 2 7 6 2" xfId="20083"/>
    <cellStyle name="Normal 3 2 2 7 6 2 2" xfId="42670"/>
    <cellStyle name="Normal 3 2 2 7 6 3" xfId="10423"/>
    <cellStyle name="Normal 3 2 2 7 6 3 2" xfId="33010"/>
    <cellStyle name="Normal 3 2 2 7 6 4" xfId="26570"/>
    <cellStyle name="Normal 3 2 2 7 7" xfId="16863"/>
    <cellStyle name="Normal 3 2 2 7 7 2" xfId="39450"/>
    <cellStyle name="Normal 3 2 2 7 8" xfId="13643"/>
    <cellStyle name="Normal 3 2 2 7 8 2" xfId="36230"/>
    <cellStyle name="Normal 3 2 2 7 9" xfId="7203"/>
    <cellStyle name="Normal 3 2 2 7 9 2" xfId="29790"/>
    <cellStyle name="Normal 3 2 2 8" xfId="845"/>
    <cellStyle name="Normal 3 2 2 8 2" xfId="2164"/>
    <cellStyle name="Normal 3 2 2 8 2 2" xfId="5385"/>
    <cellStyle name="Normal 3 2 2 8 2 2 2" xfId="21485"/>
    <cellStyle name="Normal 3 2 2 8 2 2 2 2" xfId="44072"/>
    <cellStyle name="Normal 3 2 2 8 2 2 3" xfId="11825"/>
    <cellStyle name="Normal 3 2 2 8 2 2 3 2" xfId="34412"/>
    <cellStyle name="Normal 3 2 2 8 2 2 4" xfId="27972"/>
    <cellStyle name="Normal 3 2 2 8 2 3" xfId="18265"/>
    <cellStyle name="Normal 3 2 2 8 2 3 2" xfId="40852"/>
    <cellStyle name="Normal 3 2 2 8 2 4" xfId="15045"/>
    <cellStyle name="Normal 3 2 2 8 2 4 2" xfId="37632"/>
    <cellStyle name="Normal 3 2 2 8 2 5" xfId="8605"/>
    <cellStyle name="Normal 3 2 2 8 2 5 2" xfId="31192"/>
    <cellStyle name="Normal 3 2 2 8 2 6" xfId="24752"/>
    <cellStyle name="Normal 3 2 2 8 3" xfId="4077"/>
    <cellStyle name="Normal 3 2 2 8 3 2" xfId="20177"/>
    <cellStyle name="Normal 3 2 2 8 3 2 2" xfId="42764"/>
    <cellStyle name="Normal 3 2 2 8 3 3" xfId="10517"/>
    <cellStyle name="Normal 3 2 2 8 3 3 2" xfId="33104"/>
    <cellStyle name="Normal 3 2 2 8 3 4" xfId="26664"/>
    <cellStyle name="Normal 3 2 2 8 4" xfId="16957"/>
    <cellStyle name="Normal 3 2 2 8 4 2" xfId="39544"/>
    <cellStyle name="Normal 3 2 2 8 5" xfId="13737"/>
    <cellStyle name="Normal 3 2 2 8 5 2" xfId="36324"/>
    <cellStyle name="Normal 3 2 2 8 6" xfId="7297"/>
    <cellStyle name="Normal 3 2 2 8 6 2" xfId="29884"/>
    <cellStyle name="Normal 3 2 2 8 7" xfId="23444"/>
    <cellStyle name="Normal 3 2 2 9" xfId="1197"/>
    <cellStyle name="Normal 3 2 2 9 2" xfId="2511"/>
    <cellStyle name="Normal 3 2 2 9 2 2" xfId="5732"/>
    <cellStyle name="Normal 3 2 2 9 2 2 2" xfId="21832"/>
    <cellStyle name="Normal 3 2 2 9 2 2 2 2" xfId="44419"/>
    <cellStyle name="Normal 3 2 2 9 2 2 3" xfId="12172"/>
    <cellStyle name="Normal 3 2 2 9 2 2 3 2" xfId="34759"/>
    <cellStyle name="Normal 3 2 2 9 2 2 4" xfId="28319"/>
    <cellStyle name="Normal 3 2 2 9 2 3" xfId="18612"/>
    <cellStyle name="Normal 3 2 2 9 2 3 2" xfId="41199"/>
    <cellStyle name="Normal 3 2 2 9 2 4" xfId="15392"/>
    <cellStyle name="Normal 3 2 2 9 2 4 2" xfId="37979"/>
    <cellStyle name="Normal 3 2 2 9 2 5" xfId="8952"/>
    <cellStyle name="Normal 3 2 2 9 2 5 2" xfId="31539"/>
    <cellStyle name="Normal 3 2 2 9 2 6" xfId="25099"/>
    <cellStyle name="Normal 3 2 2 9 3" xfId="4424"/>
    <cellStyle name="Normal 3 2 2 9 3 2" xfId="20524"/>
    <cellStyle name="Normal 3 2 2 9 3 2 2" xfId="43111"/>
    <cellStyle name="Normal 3 2 2 9 3 3" xfId="10864"/>
    <cellStyle name="Normal 3 2 2 9 3 3 2" xfId="33451"/>
    <cellStyle name="Normal 3 2 2 9 3 4" xfId="27011"/>
    <cellStyle name="Normal 3 2 2 9 4" xfId="17304"/>
    <cellStyle name="Normal 3 2 2 9 4 2" xfId="39891"/>
    <cellStyle name="Normal 3 2 2 9 5" xfId="14084"/>
    <cellStyle name="Normal 3 2 2 9 5 2" xfId="36671"/>
    <cellStyle name="Normal 3 2 2 9 6" xfId="7644"/>
    <cellStyle name="Normal 3 2 2 9 6 2" xfId="30231"/>
    <cellStyle name="Normal 3 2 2 9 7" xfId="23791"/>
    <cellStyle name="Normal 3 2 20" xfId="22802"/>
    <cellStyle name="Normal 3 2 3" xfId="114"/>
    <cellStyle name="Normal 3 2 3 10" xfId="2870"/>
    <cellStyle name="Normal 3 2 3 10 2" xfId="6091"/>
    <cellStyle name="Normal 3 2 3 10 2 2" xfId="22191"/>
    <cellStyle name="Normal 3 2 3 10 2 2 2" xfId="44778"/>
    <cellStyle name="Normal 3 2 3 10 2 3" xfId="12531"/>
    <cellStyle name="Normal 3 2 3 10 2 3 2" xfId="35118"/>
    <cellStyle name="Normal 3 2 3 10 2 4" xfId="28678"/>
    <cellStyle name="Normal 3 2 3 10 3" xfId="18971"/>
    <cellStyle name="Normal 3 2 3 10 3 2" xfId="41558"/>
    <cellStyle name="Normal 3 2 3 10 4" xfId="15751"/>
    <cellStyle name="Normal 3 2 3 10 4 2" xfId="38338"/>
    <cellStyle name="Normal 3 2 3 10 5" xfId="9311"/>
    <cellStyle name="Normal 3 2 3 10 5 2" xfId="31898"/>
    <cellStyle name="Normal 3 2 3 10 6" xfId="25458"/>
    <cellStyle name="Normal 3 2 3 11" xfId="3161"/>
    <cellStyle name="Normal 3 2 3 11 2" xfId="6381"/>
    <cellStyle name="Normal 3 2 3 11 2 2" xfId="22481"/>
    <cellStyle name="Normal 3 2 3 11 2 2 2" xfId="45068"/>
    <cellStyle name="Normal 3 2 3 11 2 3" xfId="12821"/>
    <cellStyle name="Normal 3 2 3 11 2 3 2" xfId="35408"/>
    <cellStyle name="Normal 3 2 3 11 2 4" xfId="28968"/>
    <cellStyle name="Normal 3 2 3 11 3" xfId="19261"/>
    <cellStyle name="Normal 3 2 3 11 3 2" xfId="41848"/>
    <cellStyle name="Normal 3 2 3 11 4" xfId="16041"/>
    <cellStyle name="Normal 3 2 3 11 4 2" xfId="38628"/>
    <cellStyle name="Normal 3 2 3 11 5" xfId="9601"/>
    <cellStyle name="Normal 3 2 3 11 5 2" xfId="32188"/>
    <cellStyle name="Normal 3 2 3 11 6" xfId="25748"/>
    <cellStyle name="Normal 3 2 3 12" xfId="454"/>
    <cellStyle name="Normal 3 2 3 12 2" xfId="3741"/>
    <cellStyle name="Normal 3 2 3 12 2 2" xfId="19841"/>
    <cellStyle name="Normal 3 2 3 12 2 2 2" xfId="42428"/>
    <cellStyle name="Normal 3 2 3 12 2 3" xfId="10181"/>
    <cellStyle name="Normal 3 2 3 12 2 3 2" xfId="32768"/>
    <cellStyle name="Normal 3 2 3 12 2 4" xfId="26328"/>
    <cellStyle name="Normal 3 2 3 12 3" xfId="16621"/>
    <cellStyle name="Normal 3 2 3 12 3 2" xfId="39208"/>
    <cellStyle name="Normal 3 2 3 12 4" xfId="13401"/>
    <cellStyle name="Normal 3 2 3 12 4 2" xfId="35988"/>
    <cellStyle name="Normal 3 2 3 12 5" xfId="6961"/>
    <cellStyle name="Normal 3 2 3 12 5 2" xfId="29548"/>
    <cellStyle name="Normal 3 2 3 12 6" xfId="23108"/>
    <cellStyle name="Normal 3 2 3 13" xfId="3451"/>
    <cellStyle name="Normal 3 2 3 13 2" xfId="19551"/>
    <cellStyle name="Normal 3 2 3 13 2 2" xfId="42138"/>
    <cellStyle name="Normal 3 2 3 13 3" xfId="9891"/>
    <cellStyle name="Normal 3 2 3 13 3 2" xfId="32478"/>
    <cellStyle name="Normal 3 2 3 13 4" xfId="26038"/>
    <cellStyle name="Normal 3 2 3 14" xfId="16331"/>
    <cellStyle name="Normal 3 2 3 14 2" xfId="38918"/>
    <cellStyle name="Normal 3 2 3 15" xfId="13111"/>
    <cellStyle name="Normal 3 2 3 15 2" xfId="35698"/>
    <cellStyle name="Normal 3 2 3 16" xfId="6671"/>
    <cellStyle name="Normal 3 2 3 16 2" xfId="29258"/>
    <cellStyle name="Normal 3 2 3 17" xfId="22818"/>
    <cellStyle name="Normal 3 2 3 2" xfId="199"/>
    <cellStyle name="Normal 3 2 3 2 10" xfId="491"/>
    <cellStyle name="Normal 3 2 3 2 10 2" xfId="3778"/>
    <cellStyle name="Normal 3 2 3 2 10 2 2" xfId="19878"/>
    <cellStyle name="Normal 3 2 3 2 10 2 2 2" xfId="42465"/>
    <cellStyle name="Normal 3 2 3 2 10 2 3" xfId="10218"/>
    <cellStyle name="Normal 3 2 3 2 10 2 3 2" xfId="32805"/>
    <cellStyle name="Normal 3 2 3 2 10 2 4" xfId="26365"/>
    <cellStyle name="Normal 3 2 3 2 10 3" xfId="16658"/>
    <cellStyle name="Normal 3 2 3 2 10 3 2" xfId="39245"/>
    <cellStyle name="Normal 3 2 3 2 10 4" xfId="13438"/>
    <cellStyle name="Normal 3 2 3 2 10 4 2" xfId="36025"/>
    <cellStyle name="Normal 3 2 3 2 10 5" xfId="6998"/>
    <cellStyle name="Normal 3 2 3 2 10 5 2" xfId="29585"/>
    <cellStyle name="Normal 3 2 3 2 10 6" xfId="23145"/>
    <cellStyle name="Normal 3 2 3 2 11" xfId="3488"/>
    <cellStyle name="Normal 3 2 3 2 11 2" xfId="19588"/>
    <cellStyle name="Normal 3 2 3 2 11 2 2" xfId="42175"/>
    <cellStyle name="Normal 3 2 3 2 11 3" xfId="9928"/>
    <cellStyle name="Normal 3 2 3 2 11 3 2" xfId="32515"/>
    <cellStyle name="Normal 3 2 3 2 11 4" xfId="26075"/>
    <cellStyle name="Normal 3 2 3 2 12" xfId="16368"/>
    <cellStyle name="Normal 3 2 3 2 12 2" xfId="38955"/>
    <cellStyle name="Normal 3 2 3 2 13" xfId="13148"/>
    <cellStyle name="Normal 3 2 3 2 13 2" xfId="35735"/>
    <cellStyle name="Normal 3 2 3 2 14" xfId="6708"/>
    <cellStyle name="Normal 3 2 3 2 14 2" xfId="29295"/>
    <cellStyle name="Normal 3 2 3 2 15" xfId="22855"/>
    <cellStyle name="Normal 3 2 3 2 2" xfId="298"/>
    <cellStyle name="Normal 3 2 3 2 2 10" xfId="16465"/>
    <cellStyle name="Normal 3 2 3 2 2 10 2" xfId="39052"/>
    <cellStyle name="Normal 3 2 3 2 2 11" xfId="13245"/>
    <cellStyle name="Normal 3 2 3 2 2 11 2" xfId="35832"/>
    <cellStyle name="Normal 3 2 3 2 2 12" xfId="6805"/>
    <cellStyle name="Normal 3 2 3 2 2 12 2" xfId="29392"/>
    <cellStyle name="Normal 3 2 3 2 2 13" xfId="22952"/>
    <cellStyle name="Normal 3 2 3 2 2 2" xfId="1017"/>
    <cellStyle name="Normal 3 2 3 2 2 2 2" xfId="2331"/>
    <cellStyle name="Normal 3 2 3 2 2 2 2 2" xfId="5552"/>
    <cellStyle name="Normal 3 2 3 2 2 2 2 2 2" xfId="21652"/>
    <cellStyle name="Normal 3 2 3 2 2 2 2 2 2 2" xfId="44239"/>
    <cellStyle name="Normal 3 2 3 2 2 2 2 2 3" xfId="11992"/>
    <cellStyle name="Normal 3 2 3 2 2 2 2 2 3 2" xfId="34579"/>
    <cellStyle name="Normal 3 2 3 2 2 2 2 2 4" xfId="28139"/>
    <cellStyle name="Normal 3 2 3 2 2 2 2 3" xfId="18432"/>
    <cellStyle name="Normal 3 2 3 2 2 2 2 3 2" xfId="41019"/>
    <cellStyle name="Normal 3 2 3 2 2 2 2 4" xfId="15212"/>
    <cellStyle name="Normal 3 2 3 2 2 2 2 4 2" xfId="37799"/>
    <cellStyle name="Normal 3 2 3 2 2 2 2 5" xfId="8772"/>
    <cellStyle name="Normal 3 2 3 2 2 2 2 5 2" xfId="31359"/>
    <cellStyle name="Normal 3 2 3 2 2 2 2 6" xfId="24919"/>
    <cellStyle name="Normal 3 2 3 2 2 2 3" xfId="4244"/>
    <cellStyle name="Normal 3 2 3 2 2 2 3 2" xfId="20344"/>
    <cellStyle name="Normal 3 2 3 2 2 2 3 2 2" xfId="42931"/>
    <cellStyle name="Normal 3 2 3 2 2 2 3 3" xfId="10684"/>
    <cellStyle name="Normal 3 2 3 2 2 2 3 3 2" xfId="33271"/>
    <cellStyle name="Normal 3 2 3 2 2 2 3 4" xfId="26831"/>
    <cellStyle name="Normal 3 2 3 2 2 2 4" xfId="17124"/>
    <cellStyle name="Normal 3 2 3 2 2 2 4 2" xfId="39711"/>
    <cellStyle name="Normal 3 2 3 2 2 2 5" xfId="13904"/>
    <cellStyle name="Normal 3 2 3 2 2 2 5 2" xfId="36491"/>
    <cellStyle name="Normal 3 2 3 2 2 2 6" xfId="7464"/>
    <cellStyle name="Normal 3 2 3 2 2 2 6 2" xfId="30051"/>
    <cellStyle name="Normal 3 2 3 2 2 2 7" xfId="23611"/>
    <cellStyle name="Normal 3 2 3 2 2 3" xfId="1364"/>
    <cellStyle name="Normal 3 2 3 2 2 3 2" xfId="2678"/>
    <cellStyle name="Normal 3 2 3 2 2 3 2 2" xfId="5899"/>
    <cellStyle name="Normal 3 2 3 2 2 3 2 2 2" xfId="21999"/>
    <cellStyle name="Normal 3 2 3 2 2 3 2 2 2 2" xfId="44586"/>
    <cellStyle name="Normal 3 2 3 2 2 3 2 2 3" xfId="12339"/>
    <cellStyle name="Normal 3 2 3 2 2 3 2 2 3 2" xfId="34926"/>
    <cellStyle name="Normal 3 2 3 2 2 3 2 2 4" xfId="28486"/>
    <cellStyle name="Normal 3 2 3 2 2 3 2 3" xfId="18779"/>
    <cellStyle name="Normal 3 2 3 2 2 3 2 3 2" xfId="41366"/>
    <cellStyle name="Normal 3 2 3 2 2 3 2 4" xfId="15559"/>
    <cellStyle name="Normal 3 2 3 2 2 3 2 4 2" xfId="38146"/>
    <cellStyle name="Normal 3 2 3 2 2 3 2 5" xfId="9119"/>
    <cellStyle name="Normal 3 2 3 2 2 3 2 5 2" xfId="31706"/>
    <cellStyle name="Normal 3 2 3 2 2 3 2 6" xfId="25266"/>
    <cellStyle name="Normal 3 2 3 2 2 3 3" xfId="4591"/>
    <cellStyle name="Normal 3 2 3 2 2 3 3 2" xfId="20691"/>
    <cellStyle name="Normal 3 2 3 2 2 3 3 2 2" xfId="43278"/>
    <cellStyle name="Normal 3 2 3 2 2 3 3 3" xfId="11031"/>
    <cellStyle name="Normal 3 2 3 2 2 3 3 3 2" xfId="33618"/>
    <cellStyle name="Normal 3 2 3 2 2 3 3 4" xfId="27178"/>
    <cellStyle name="Normal 3 2 3 2 2 3 4" xfId="17471"/>
    <cellStyle name="Normal 3 2 3 2 2 3 4 2" xfId="40058"/>
    <cellStyle name="Normal 3 2 3 2 2 3 5" xfId="14251"/>
    <cellStyle name="Normal 3 2 3 2 2 3 5 2" xfId="36838"/>
    <cellStyle name="Normal 3 2 3 2 2 3 6" xfId="7811"/>
    <cellStyle name="Normal 3 2 3 2 2 3 6 2" xfId="30398"/>
    <cellStyle name="Normal 3 2 3 2 2 3 7" xfId="23958"/>
    <cellStyle name="Normal 3 2 3 2 2 4" xfId="1647"/>
    <cellStyle name="Normal 3 2 3 2 2 4 2" xfId="4870"/>
    <cellStyle name="Normal 3 2 3 2 2 4 2 2" xfId="20970"/>
    <cellStyle name="Normal 3 2 3 2 2 4 2 2 2" xfId="43557"/>
    <cellStyle name="Normal 3 2 3 2 2 4 2 3" xfId="11310"/>
    <cellStyle name="Normal 3 2 3 2 2 4 2 3 2" xfId="33897"/>
    <cellStyle name="Normal 3 2 3 2 2 4 2 4" xfId="27457"/>
    <cellStyle name="Normal 3 2 3 2 2 4 3" xfId="17750"/>
    <cellStyle name="Normal 3 2 3 2 2 4 3 2" xfId="40337"/>
    <cellStyle name="Normal 3 2 3 2 2 4 4" xfId="14530"/>
    <cellStyle name="Normal 3 2 3 2 2 4 4 2" xfId="37117"/>
    <cellStyle name="Normal 3 2 3 2 2 4 5" xfId="8090"/>
    <cellStyle name="Normal 3 2 3 2 2 4 5 2" xfId="30677"/>
    <cellStyle name="Normal 3 2 3 2 2 4 6" xfId="24237"/>
    <cellStyle name="Normal 3 2 3 2 2 5" xfId="1983"/>
    <cellStyle name="Normal 3 2 3 2 2 5 2" xfId="5205"/>
    <cellStyle name="Normal 3 2 3 2 2 5 2 2" xfId="21305"/>
    <cellStyle name="Normal 3 2 3 2 2 5 2 2 2" xfId="43892"/>
    <cellStyle name="Normal 3 2 3 2 2 5 2 3" xfId="11645"/>
    <cellStyle name="Normal 3 2 3 2 2 5 2 3 2" xfId="34232"/>
    <cellStyle name="Normal 3 2 3 2 2 5 2 4" xfId="27792"/>
    <cellStyle name="Normal 3 2 3 2 2 5 3" xfId="18085"/>
    <cellStyle name="Normal 3 2 3 2 2 5 3 2" xfId="40672"/>
    <cellStyle name="Normal 3 2 3 2 2 5 4" xfId="14865"/>
    <cellStyle name="Normal 3 2 3 2 2 5 4 2" xfId="37452"/>
    <cellStyle name="Normal 3 2 3 2 2 5 5" xfId="8425"/>
    <cellStyle name="Normal 3 2 3 2 2 5 5 2" xfId="31012"/>
    <cellStyle name="Normal 3 2 3 2 2 5 6" xfId="24572"/>
    <cellStyle name="Normal 3 2 3 2 2 6" xfId="3005"/>
    <cellStyle name="Normal 3 2 3 2 2 6 2" xfId="6225"/>
    <cellStyle name="Normal 3 2 3 2 2 6 2 2" xfId="22325"/>
    <cellStyle name="Normal 3 2 3 2 2 6 2 2 2" xfId="44912"/>
    <cellStyle name="Normal 3 2 3 2 2 6 2 3" xfId="12665"/>
    <cellStyle name="Normal 3 2 3 2 2 6 2 3 2" xfId="35252"/>
    <cellStyle name="Normal 3 2 3 2 2 6 2 4" xfId="28812"/>
    <cellStyle name="Normal 3 2 3 2 2 6 3" xfId="19105"/>
    <cellStyle name="Normal 3 2 3 2 2 6 3 2" xfId="41692"/>
    <cellStyle name="Normal 3 2 3 2 2 6 4" xfId="15885"/>
    <cellStyle name="Normal 3 2 3 2 2 6 4 2" xfId="38472"/>
    <cellStyle name="Normal 3 2 3 2 2 6 5" xfId="9445"/>
    <cellStyle name="Normal 3 2 3 2 2 6 5 2" xfId="32032"/>
    <cellStyle name="Normal 3 2 3 2 2 6 6" xfId="25592"/>
    <cellStyle name="Normal 3 2 3 2 2 7" xfId="3295"/>
    <cellStyle name="Normal 3 2 3 2 2 7 2" xfId="6515"/>
    <cellStyle name="Normal 3 2 3 2 2 7 2 2" xfId="22615"/>
    <cellStyle name="Normal 3 2 3 2 2 7 2 2 2" xfId="45202"/>
    <cellStyle name="Normal 3 2 3 2 2 7 2 3" xfId="12955"/>
    <cellStyle name="Normal 3 2 3 2 2 7 2 3 2" xfId="35542"/>
    <cellStyle name="Normal 3 2 3 2 2 7 2 4" xfId="29102"/>
    <cellStyle name="Normal 3 2 3 2 2 7 3" xfId="19395"/>
    <cellStyle name="Normal 3 2 3 2 2 7 3 2" xfId="41982"/>
    <cellStyle name="Normal 3 2 3 2 2 7 4" xfId="16175"/>
    <cellStyle name="Normal 3 2 3 2 2 7 4 2" xfId="38762"/>
    <cellStyle name="Normal 3 2 3 2 2 7 5" xfId="9735"/>
    <cellStyle name="Normal 3 2 3 2 2 7 5 2" xfId="32322"/>
    <cellStyle name="Normal 3 2 3 2 2 7 6" xfId="25882"/>
    <cellStyle name="Normal 3 2 3 2 2 8" xfId="653"/>
    <cellStyle name="Normal 3 2 3 2 2 8 2" xfId="3897"/>
    <cellStyle name="Normal 3 2 3 2 2 8 2 2" xfId="19997"/>
    <cellStyle name="Normal 3 2 3 2 2 8 2 2 2" xfId="42584"/>
    <cellStyle name="Normal 3 2 3 2 2 8 2 3" xfId="10337"/>
    <cellStyle name="Normal 3 2 3 2 2 8 2 3 2" xfId="32924"/>
    <cellStyle name="Normal 3 2 3 2 2 8 2 4" xfId="26484"/>
    <cellStyle name="Normal 3 2 3 2 2 8 3" xfId="16777"/>
    <cellStyle name="Normal 3 2 3 2 2 8 3 2" xfId="39364"/>
    <cellStyle name="Normal 3 2 3 2 2 8 4" xfId="13557"/>
    <cellStyle name="Normal 3 2 3 2 2 8 4 2" xfId="36144"/>
    <cellStyle name="Normal 3 2 3 2 2 8 5" xfId="7117"/>
    <cellStyle name="Normal 3 2 3 2 2 8 5 2" xfId="29704"/>
    <cellStyle name="Normal 3 2 3 2 2 8 6" xfId="23264"/>
    <cellStyle name="Normal 3 2 3 2 2 9" xfId="3585"/>
    <cellStyle name="Normal 3 2 3 2 2 9 2" xfId="19685"/>
    <cellStyle name="Normal 3 2 3 2 2 9 2 2" xfId="42272"/>
    <cellStyle name="Normal 3 2 3 2 2 9 3" xfId="10025"/>
    <cellStyle name="Normal 3 2 3 2 2 9 3 2" xfId="32612"/>
    <cellStyle name="Normal 3 2 3 2 2 9 4" xfId="26172"/>
    <cellStyle name="Normal 3 2 3 2 3" xfId="394"/>
    <cellStyle name="Normal 3 2 3 2 3 10" xfId="16561"/>
    <cellStyle name="Normal 3 2 3 2 3 10 2" xfId="39148"/>
    <cellStyle name="Normal 3 2 3 2 3 11" xfId="13341"/>
    <cellStyle name="Normal 3 2 3 2 3 11 2" xfId="35928"/>
    <cellStyle name="Normal 3 2 3 2 3 12" xfId="6901"/>
    <cellStyle name="Normal 3 2 3 2 3 12 2" xfId="29488"/>
    <cellStyle name="Normal 3 2 3 2 3 13" xfId="23048"/>
    <cellStyle name="Normal 3 2 3 2 3 2" xfId="1176"/>
    <cellStyle name="Normal 3 2 3 2 3 2 2" xfId="2490"/>
    <cellStyle name="Normal 3 2 3 2 3 2 2 2" xfId="5711"/>
    <cellStyle name="Normal 3 2 3 2 3 2 2 2 2" xfId="21811"/>
    <cellStyle name="Normal 3 2 3 2 3 2 2 2 2 2" xfId="44398"/>
    <cellStyle name="Normal 3 2 3 2 3 2 2 2 3" xfId="12151"/>
    <cellStyle name="Normal 3 2 3 2 3 2 2 2 3 2" xfId="34738"/>
    <cellStyle name="Normal 3 2 3 2 3 2 2 2 4" xfId="28298"/>
    <cellStyle name="Normal 3 2 3 2 3 2 2 3" xfId="18591"/>
    <cellStyle name="Normal 3 2 3 2 3 2 2 3 2" xfId="41178"/>
    <cellStyle name="Normal 3 2 3 2 3 2 2 4" xfId="15371"/>
    <cellStyle name="Normal 3 2 3 2 3 2 2 4 2" xfId="37958"/>
    <cellStyle name="Normal 3 2 3 2 3 2 2 5" xfId="8931"/>
    <cellStyle name="Normal 3 2 3 2 3 2 2 5 2" xfId="31518"/>
    <cellStyle name="Normal 3 2 3 2 3 2 2 6" xfId="25078"/>
    <cellStyle name="Normal 3 2 3 2 3 2 3" xfId="4403"/>
    <cellStyle name="Normal 3 2 3 2 3 2 3 2" xfId="20503"/>
    <cellStyle name="Normal 3 2 3 2 3 2 3 2 2" xfId="43090"/>
    <cellStyle name="Normal 3 2 3 2 3 2 3 3" xfId="10843"/>
    <cellStyle name="Normal 3 2 3 2 3 2 3 3 2" xfId="33430"/>
    <cellStyle name="Normal 3 2 3 2 3 2 3 4" xfId="26990"/>
    <cellStyle name="Normal 3 2 3 2 3 2 4" xfId="17283"/>
    <cellStyle name="Normal 3 2 3 2 3 2 4 2" xfId="39870"/>
    <cellStyle name="Normal 3 2 3 2 3 2 5" xfId="14063"/>
    <cellStyle name="Normal 3 2 3 2 3 2 5 2" xfId="36650"/>
    <cellStyle name="Normal 3 2 3 2 3 2 6" xfId="7623"/>
    <cellStyle name="Normal 3 2 3 2 3 2 6 2" xfId="30210"/>
    <cellStyle name="Normal 3 2 3 2 3 2 7" xfId="23770"/>
    <cellStyle name="Normal 3 2 3 2 3 3" xfId="1523"/>
    <cellStyle name="Normal 3 2 3 2 3 3 2" xfId="2837"/>
    <cellStyle name="Normal 3 2 3 2 3 3 2 2" xfId="6058"/>
    <cellStyle name="Normal 3 2 3 2 3 3 2 2 2" xfId="22158"/>
    <cellStyle name="Normal 3 2 3 2 3 3 2 2 2 2" xfId="44745"/>
    <cellStyle name="Normal 3 2 3 2 3 3 2 2 3" xfId="12498"/>
    <cellStyle name="Normal 3 2 3 2 3 3 2 2 3 2" xfId="35085"/>
    <cellStyle name="Normal 3 2 3 2 3 3 2 2 4" xfId="28645"/>
    <cellStyle name="Normal 3 2 3 2 3 3 2 3" xfId="18938"/>
    <cellStyle name="Normal 3 2 3 2 3 3 2 3 2" xfId="41525"/>
    <cellStyle name="Normal 3 2 3 2 3 3 2 4" xfId="15718"/>
    <cellStyle name="Normal 3 2 3 2 3 3 2 4 2" xfId="38305"/>
    <cellStyle name="Normal 3 2 3 2 3 3 2 5" xfId="9278"/>
    <cellStyle name="Normal 3 2 3 2 3 3 2 5 2" xfId="31865"/>
    <cellStyle name="Normal 3 2 3 2 3 3 2 6" xfId="25425"/>
    <cellStyle name="Normal 3 2 3 2 3 3 3" xfId="4750"/>
    <cellStyle name="Normal 3 2 3 2 3 3 3 2" xfId="20850"/>
    <cellStyle name="Normal 3 2 3 2 3 3 3 2 2" xfId="43437"/>
    <cellStyle name="Normal 3 2 3 2 3 3 3 3" xfId="11190"/>
    <cellStyle name="Normal 3 2 3 2 3 3 3 3 2" xfId="33777"/>
    <cellStyle name="Normal 3 2 3 2 3 3 3 4" xfId="27337"/>
    <cellStyle name="Normal 3 2 3 2 3 3 4" xfId="17630"/>
    <cellStyle name="Normal 3 2 3 2 3 3 4 2" xfId="40217"/>
    <cellStyle name="Normal 3 2 3 2 3 3 5" xfId="14410"/>
    <cellStyle name="Normal 3 2 3 2 3 3 5 2" xfId="36997"/>
    <cellStyle name="Normal 3 2 3 2 3 3 6" xfId="7970"/>
    <cellStyle name="Normal 3 2 3 2 3 3 6 2" xfId="30557"/>
    <cellStyle name="Normal 3 2 3 2 3 3 7" xfId="24117"/>
    <cellStyle name="Normal 3 2 3 2 3 4" xfId="1648"/>
    <cellStyle name="Normal 3 2 3 2 3 4 2" xfId="4871"/>
    <cellStyle name="Normal 3 2 3 2 3 4 2 2" xfId="20971"/>
    <cellStyle name="Normal 3 2 3 2 3 4 2 2 2" xfId="43558"/>
    <cellStyle name="Normal 3 2 3 2 3 4 2 3" xfId="11311"/>
    <cellStyle name="Normal 3 2 3 2 3 4 2 3 2" xfId="33898"/>
    <cellStyle name="Normal 3 2 3 2 3 4 2 4" xfId="27458"/>
    <cellStyle name="Normal 3 2 3 2 3 4 3" xfId="17751"/>
    <cellStyle name="Normal 3 2 3 2 3 4 3 2" xfId="40338"/>
    <cellStyle name="Normal 3 2 3 2 3 4 4" xfId="14531"/>
    <cellStyle name="Normal 3 2 3 2 3 4 4 2" xfId="37118"/>
    <cellStyle name="Normal 3 2 3 2 3 4 5" xfId="8091"/>
    <cellStyle name="Normal 3 2 3 2 3 4 5 2" xfId="30678"/>
    <cellStyle name="Normal 3 2 3 2 3 4 6" xfId="24238"/>
    <cellStyle name="Normal 3 2 3 2 3 5" xfId="2143"/>
    <cellStyle name="Normal 3 2 3 2 3 5 2" xfId="5364"/>
    <cellStyle name="Normal 3 2 3 2 3 5 2 2" xfId="21464"/>
    <cellStyle name="Normal 3 2 3 2 3 5 2 2 2" xfId="44051"/>
    <cellStyle name="Normal 3 2 3 2 3 5 2 3" xfId="11804"/>
    <cellStyle name="Normal 3 2 3 2 3 5 2 3 2" xfId="34391"/>
    <cellStyle name="Normal 3 2 3 2 3 5 2 4" xfId="27951"/>
    <cellStyle name="Normal 3 2 3 2 3 5 3" xfId="18244"/>
    <cellStyle name="Normal 3 2 3 2 3 5 3 2" xfId="40831"/>
    <cellStyle name="Normal 3 2 3 2 3 5 4" xfId="15024"/>
    <cellStyle name="Normal 3 2 3 2 3 5 4 2" xfId="37611"/>
    <cellStyle name="Normal 3 2 3 2 3 5 5" xfId="8584"/>
    <cellStyle name="Normal 3 2 3 2 3 5 5 2" xfId="31171"/>
    <cellStyle name="Normal 3 2 3 2 3 5 6" xfId="24731"/>
    <cellStyle name="Normal 3 2 3 2 3 6" xfId="3101"/>
    <cellStyle name="Normal 3 2 3 2 3 6 2" xfId="6321"/>
    <cellStyle name="Normal 3 2 3 2 3 6 2 2" xfId="22421"/>
    <cellStyle name="Normal 3 2 3 2 3 6 2 2 2" xfId="45008"/>
    <cellStyle name="Normal 3 2 3 2 3 6 2 3" xfId="12761"/>
    <cellStyle name="Normal 3 2 3 2 3 6 2 3 2" xfId="35348"/>
    <cellStyle name="Normal 3 2 3 2 3 6 2 4" xfId="28908"/>
    <cellStyle name="Normal 3 2 3 2 3 6 3" xfId="19201"/>
    <cellStyle name="Normal 3 2 3 2 3 6 3 2" xfId="41788"/>
    <cellStyle name="Normal 3 2 3 2 3 6 4" xfId="15981"/>
    <cellStyle name="Normal 3 2 3 2 3 6 4 2" xfId="38568"/>
    <cellStyle name="Normal 3 2 3 2 3 6 5" xfId="9541"/>
    <cellStyle name="Normal 3 2 3 2 3 6 5 2" xfId="32128"/>
    <cellStyle name="Normal 3 2 3 2 3 6 6" xfId="25688"/>
    <cellStyle name="Normal 3 2 3 2 3 7" xfId="3391"/>
    <cellStyle name="Normal 3 2 3 2 3 7 2" xfId="6611"/>
    <cellStyle name="Normal 3 2 3 2 3 7 2 2" xfId="22711"/>
    <cellStyle name="Normal 3 2 3 2 3 7 2 2 2" xfId="45298"/>
    <cellStyle name="Normal 3 2 3 2 3 7 2 3" xfId="13051"/>
    <cellStyle name="Normal 3 2 3 2 3 7 2 3 2" xfId="35638"/>
    <cellStyle name="Normal 3 2 3 2 3 7 2 4" xfId="29198"/>
    <cellStyle name="Normal 3 2 3 2 3 7 3" xfId="19491"/>
    <cellStyle name="Normal 3 2 3 2 3 7 3 2" xfId="42078"/>
    <cellStyle name="Normal 3 2 3 2 3 7 4" xfId="16271"/>
    <cellStyle name="Normal 3 2 3 2 3 7 4 2" xfId="38858"/>
    <cellStyle name="Normal 3 2 3 2 3 7 5" xfId="9831"/>
    <cellStyle name="Normal 3 2 3 2 3 7 5 2" xfId="32418"/>
    <cellStyle name="Normal 3 2 3 2 3 7 6" xfId="25978"/>
    <cellStyle name="Normal 3 2 3 2 3 8" xfId="824"/>
    <cellStyle name="Normal 3 2 3 2 3 8 2" xfId="4056"/>
    <cellStyle name="Normal 3 2 3 2 3 8 2 2" xfId="20156"/>
    <cellStyle name="Normal 3 2 3 2 3 8 2 2 2" xfId="42743"/>
    <cellStyle name="Normal 3 2 3 2 3 8 2 3" xfId="10496"/>
    <cellStyle name="Normal 3 2 3 2 3 8 2 3 2" xfId="33083"/>
    <cellStyle name="Normal 3 2 3 2 3 8 2 4" xfId="26643"/>
    <cellStyle name="Normal 3 2 3 2 3 8 3" xfId="16936"/>
    <cellStyle name="Normal 3 2 3 2 3 8 3 2" xfId="39523"/>
    <cellStyle name="Normal 3 2 3 2 3 8 4" xfId="13716"/>
    <cellStyle name="Normal 3 2 3 2 3 8 4 2" xfId="36303"/>
    <cellStyle name="Normal 3 2 3 2 3 8 5" xfId="7276"/>
    <cellStyle name="Normal 3 2 3 2 3 8 5 2" xfId="29863"/>
    <cellStyle name="Normal 3 2 3 2 3 8 6" xfId="23423"/>
    <cellStyle name="Normal 3 2 3 2 3 9" xfId="3681"/>
    <cellStyle name="Normal 3 2 3 2 3 9 2" xfId="19781"/>
    <cellStyle name="Normal 3 2 3 2 3 9 2 2" xfId="42368"/>
    <cellStyle name="Normal 3 2 3 2 3 9 3" xfId="10121"/>
    <cellStyle name="Normal 3 2 3 2 3 9 3 2" xfId="32708"/>
    <cellStyle name="Normal 3 2 3 2 3 9 4" xfId="26268"/>
    <cellStyle name="Normal 3 2 3 2 4" xfId="893"/>
    <cellStyle name="Normal 3 2 3 2 4 2" xfId="2212"/>
    <cellStyle name="Normal 3 2 3 2 4 2 2" xfId="5433"/>
    <cellStyle name="Normal 3 2 3 2 4 2 2 2" xfId="21533"/>
    <cellStyle name="Normal 3 2 3 2 4 2 2 2 2" xfId="44120"/>
    <cellStyle name="Normal 3 2 3 2 4 2 2 3" xfId="11873"/>
    <cellStyle name="Normal 3 2 3 2 4 2 2 3 2" xfId="34460"/>
    <cellStyle name="Normal 3 2 3 2 4 2 2 4" xfId="28020"/>
    <cellStyle name="Normal 3 2 3 2 4 2 3" xfId="18313"/>
    <cellStyle name="Normal 3 2 3 2 4 2 3 2" xfId="40900"/>
    <cellStyle name="Normal 3 2 3 2 4 2 4" xfId="15093"/>
    <cellStyle name="Normal 3 2 3 2 4 2 4 2" xfId="37680"/>
    <cellStyle name="Normal 3 2 3 2 4 2 5" xfId="8653"/>
    <cellStyle name="Normal 3 2 3 2 4 2 5 2" xfId="31240"/>
    <cellStyle name="Normal 3 2 3 2 4 2 6" xfId="24800"/>
    <cellStyle name="Normal 3 2 3 2 4 3" xfId="4125"/>
    <cellStyle name="Normal 3 2 3 2 4 3 2" xfId="20225"/>
    <cellStyle name="Normal 3 2 3 2 4 3 2 2" xfId="42812"/>
    <cellStyle name="Normal 3 2 3 2 4 3 3" xfId="10565"/>
    <cellStyle name="Normal 3 2 3 2 4 3 3 2" xfId="33152"/>
    <cellStyle name="Normal 3 2 3 2 4 3 4" xfId="26712"/>
    <cellStyle name="Normal 3 2 3 2 4 4" xfId="17005"/>
    <cellStyle name="Normal 3 2 3 2 4 4 2" xfId="39592"/>
    <cellStyle name="Normal 3 2 3 2 4 5" xfId="13785"/>
    <cellStyle name="Normal 3 2 3 2 4 5 2" xfId="36372"/>
    <cellStyle name="Normal 3 2 3 2 4 6" xfId="7345"/>
    <cellStyle name="Normal 3 2 3 2 4 6 2" xfId="29932"/>
    <cellStyle name="Normal 3 2 3 2 4 7" xfId="23492"/>
    <cellStyle name="Normal 3 2 3 2 5" xfId="1245"/>
    <cellStyle name="Normal 3 2 3 2 5 2" xfId="2559"/>
    <cellStyle name="Normal 3 2 3 2 5 2 2" xfId="5780"/>
    <cellStyle name="Normal 3 2 3 2 5 2 2 2" xfId="21880"/>
    <cellStyle name="Normal 3 2 3 2 5 2 2 2 2" xfId="44467"/>
    <cellStyle name="Normal 3 2 3 2 5 2 2 3" xfId="12220"/>
    <cellStyle name="Normal 3 2 3 2 5 2 2 3 2" xfId="34807"/>
    <cellStyle name="Normal 3 2 3 2 5 2 2 4" xfId="28367"/>
    <cellStyle name="Normal 3 2 3 2 5 2 3" xfId="18660"/>
    <cellStyle name="Normal 3 2 3 2 5 2 3 2" xfId="41247"/>
    <cellStyle name="Normal 3 2 3 2 5 2 4" xfId="15440"/>
    <cellStyle name="Normal 3 2 3 2 5 2 4 2" xfId="38027"/>
    <cellStyle name="Normal 3 2 3 2 5 2 5" xfId="9000"/>
    <cellStyle name="Normal 3 2 3 2 5 2 5 2" xfId="31587"/>
    <cellStyle name="Normal 3 2 3 2 5 2 6" xfId="25147"/>
    <cellStyle name="Normal 3 2 3 2 5 3" xfId="4472"/>
    <cellStyle name="Normal 3 2 3 2 5 3 2" xfId="20572"/>
    <cellStyle name="Normal 3 2 3 2 5 3 2 2" xfId="43159"/>
    <cellStyle name="Normal 3 2 3 2 5 3 3" xfId="10912"/>
    <cellStyle name="Normal 3 2 3 2 5 3 3 2" xfId="33499"/>
    <cellStyle name="Normal 3 2 3 2 5 3 4" xfId="27059"/>
    <cellStyle name="Normal 3 2 3 2 5 4" xfId="17352"/>
    <cellStyle name="Normal 3 2 3 2 5 4 2" xfId="39939"/>
    <cellStyle name="Normal 3 2 3 2 5 5" xfId="14132"/>
    <cellStyle name="Normal 3 2 3 2 5 5 2" xfId="36719"/>
    <cellStyle name="Normal 3 2 3 2 5 6" xfId="7692"/>
    <cellStyle name="Normal 3 2 3 2 5 6 2" xfId="30279"/>
    <cellStyle name="Normal 3 2 3 2 5 7" xfId="23839"/>
    <cellStyle name="Normal 3 2 3 2 6" xfId="1649"/>
    <cellStyle name="Normal 3 2 3 2 6 2" xfId="4872"/>
    <cellStyle name="Normal 3 2 3 2 6 2 2" xfId="20972"/>
    <cellStyle name="Normal 3 2 3 2 6 2 2 2" xfId="43559"/>
    <cellStyle name="Normal 3 2 3 2 6 2 3" xfId="11312"/>
    <cellStyle name="Normal 3 2 3 2 6 2 3 2" xfId="33899"/>
    <cellStyle name="Normal 3 2 3 2 6 2 4" xfId="27459"/>
    <cellStyle name="Normal 3 2 3 2 6 3" xfId="17752"/>
    <cellStyle name="Normal 3 2 3 2 6 3 2" xfId="40339"/>
    <cellStyle name="Normal 3 2 3 2 6 4" xfId="14532"/>
    <cellStyle name="Normal 3 2 3 2 6 4 2" xfId="37119"/>
    <cellStyle name="Normal 3 2 3 2 6 5" xfId="8092"/>
    <cellStyle name="Normal 3 2 3 2 6 5 2" xfId="30679"/>
    <cellStyle name="Normal 3 2 3 2 6 6" xfId="24239"/>
    <cellStyle name="Normal 3 2 3 2 7" xfId="1864"/>
    <cellStyle name="Normal 3 2 3 2 7 2" xfId="5086"/>
    <cellStyle name="Normal 3 2 3 2 7 2 2" xfId="21186"/>
    <cellStyle name="Normal 3 2 3 2 7 2 2 2" xfId="43773"/>
    <cellStyle name="Normal 3 2 3 2 7 2 3" xfId="11526"/>
    <cellStyle name="Normal 3 2 3 2 7 2 3 2" xfId="34113"/>
    <cellStyle name="Normal 3 2 3 2 7 2 4" xfId="27673"/>
    <cellStyle name="Normal 3 2 3 2 7 3" xfId="17966"/>
    <cellStyle name="Normal 3 2 3 2 7 3 2" xfId="40553"/>
    <cellStyle name="Normal 3 2 3 2 7 4" xfId="14746"/>
    <cellStyle name="Normal 3 2 3 2 7 4 2" xfId="37333"/>
    <cellStyle name="Normal 3 2 3 2 7 5" xfId="8306"/>
    <cellStyle name="Normal 3 2 3 2 7 5 2" xfId="30893"/>
    <cellStyle name="Normal 3 2 3 2 7 6" xfId="24453"/>
    <cellStyle name="Normal 3 2 3 2 8" xfId="2907"/>
    <cellStyle name="Normal 3 2 3 2 8 2" xfId="6128"/>
    <cellStyle name="Normal 3 2 3 2 8 2 2" xfId="22228"/>
    <cellStyle name="Normal 3 2 3 2 8 2 2 2" xfId="44815"/>
    <cellStyle name="Normal 3 2 3 2 8 2 3" xfId="12568"/>
    <cellStyle name="Normal 3 2 3 2 8 2 3 2" xfId="35155"/>
    <cellStyle name="Normal 3 2 3 2 8 2 4" xfId="28715"/>
    <cellStyle name="Normal 3 2 3 2 8 3" xfId="19008"/>
    <cellStyle name="Normal 3 2 3 2 8 3 2" xfId="41595"/>
    <cellStyle name="Normal 3 2 3 2 8 4" xfId="15788"/>
    <cellStyle name="Normal 3 2 3 2 8 4 2" xfId="38375"/>
    <cellStyle name="Normal 3 2 3 2 8 5" xfId="9348"/>
    <cellStyle name="Normal 3 2 3 2 8 5 2" xfId="31935"/>
    <cellStyle name="Normal 3 2 3 2 8 6" xfId="25495"/>
    <cellStyle name="Normal 3 2 3 2 9" xfId="3198"/>
    <cellStyle name="Normal 3 2 3 2 9 2" xfId="6418"/>
    <cellStyle name="Normal 3 2 3 2 9 2 2" xfId="22518"/>
    <cellStyle name="Normal 3 2 3 2 9 2 2 2" xfId="45105"/>
    <cellStyle name="Normal 3 2 3 2 9 2 3" xfId="12858"/>
    <cellStyle name="Normal 3 2 3 2 9 2 3 2" xfId="35445"/>
    <cellStyle name="Normal 3 2 3 2 9 2 4" xfId="29005"/>
    <cellStyle name="Normal 3 2 3 2 9 3" xfId="19298"/>
    <cellStyle name="Normal 3 2 3 2 9 3 2" xfId="41885"/>
    <cellStyle name="Normal 3 2 3 2 9 4" xfId="16078"/>
    <cellStyle name="Normal 3 2 3 2 9 4 2" xfId="38665"/>
    <cellStyle name="Normal 3 2 3 2 9 5" xfId="9638"/>
    <cellStyle name="Normal 3 2 3 2 9 5 2" xfId="32225"/>
    <cellStyle name="Normal 3 2 3 2 9 6" xfId="25785"/>
    <cellStyle name="Normal 3 2 3 3" xfId="248"/>
    <cellStyle name="Normal 3 2 3 3 10" xfId="3536"/>
    <cellStyle name="Normal 3 2 3 3 10 2" xfId="19636"/>
    <cellStyle name="Normal 3 2 3 3 10 2 2" xfId="42223"/>
    <cellStyle name="Normal 3 2 3 3 10 3" xfId="9976"/>
    <cellStyle name="Normal 3 2 3 3 10 3 2" xfId="32563"/>
    <cellStyle name="Normal 3 2 3 3 10 4" xfId="26123"/>
    <cellStyle name="Normal 3 2 3 3 11" xfId="16416"/>
    <cellStyle name="Normal 3 2 3 3 11 2" xfId="39003"/>
    <cellStyle name="Normal 3 2 3 3 12" xfId="13196"/>
    <cellStyle name="Normal 3 2 3 3 12 2" xfId="35783"/>
    <cellStyle name="Normal 3 2 3 3 13" xfId="6756"/>
    <cellStyle name="Normal 3 2 3 3 13 2" xfId="29343"/>
    <cellStyle name="Normal 3 2 3 3 14" xfId="22903"/>
    <cellStyle name="Normal 3 2 3 3 2" xfId="690"/>
    <cellStyle name="Normal 3 2 3 3 2 10" xfId="23301"/>
    <cellStyle name="Normal 3 2 3 3 2 2" xfId="1054"/>
    <cellStyle name="Normal 3 2 3 3 2 2 2" xfId="2368"/>
    <cellStyle name="Normal 3 2 3 3 2 2 2 2" xfId="5589"/>
    <cellStyle name="Normal 3 2 3 3 2 2 2 2 2" xfId="21689"/>
    <cellStyle name="Normal 3 2 3 3 2 2 2 2 2 2" xfId="44276"/>
    <cellStyle name="Normal 3 2 3 3 2 2 2 2 3" xfId="12029"/>
    <cellStyle name="Normal 3 2 3 3 2 2 2 2 3 2" xfId="34616"/>
    <cellStyle name="Normal 3 2 3 3 2 2 2 2 4" xfId="28176"/>
    <cellStyle name="Normal 3 2 3 3 2 2 2 3" xfId="18469"/>
    <cellStyle name="Normal 3 2 3 3 2 2 2 3 2" xfId="41056"/>
    <cellStyle name="Normal 3 2 3 3 2 2 2 4" xfId="15249"/>
    <cellStyle name="Normal 3 2 3 3 2 2 2 4 2" xfId="37836"/>
    <cellStyle name="Normal 3 2 3 3 2 2 2 5" xfId="8809"/>
    <cellStyle name="Normal 3 2 3 3 2 2 2 5 2" xfId="31396"/>
    <cellStyle name="Normal 3 2 3 3 2 2 2 6" xfId="24956"/>
    <cellStyle name="Normal 3 2 3 3 2 2 3" xfId="4281"/>
    <cellStyle name="Normal 3 2 3 3 2 2 3 2" xfId="20381"/>
    <cellStyle name="Normal 3 2 3 3 2 2 3 2 2" xfId="42968"/>
    <cellStyle name="Normal 3 2 3 3 2 2 3 3" xfId="10721"/>
    <cellStyle name="Normal 3 2 3 3 2 2 3 3 2" xfId="33308"/>
    <cellStyle name="Normal 3 2 3 3 2 2 3 4" xfId="26868"/>
    <cellStyle name="Normal 3 2 3 3 2 2 4" xfId="17161"/>
    <cellStyle name="Normal 3 2 3 3 2 2 4 2" xfId="39748"/>
    <cellStyle name="Normal 3 2 3 3 2 2 5" xfId="13941"/>
    <cellStyle name="Normal 3 2 3 3 2 2 5 2" xfId="36528"/>
    <cellStyle name="Normal 3 2 3 3 2 2 6" xfId="7501"/>
    <cellStyle name="Normal 3 2 3 3 2 2 6 2" xfId="30088"/>
    <cellStyle name="Normal 3 2 3 3 2 2 7" xfId="23648"/>
    <cellStyle name="Normal 3 2 3 3 2 3" xfId="1401"/>
    <cellStyle name="Normal 3 2 3 3 2 3 2" xfId="2715"/>
    <cellStyle name="Normal 3 2 3 3 2 3 2 2" xfId="5936"/>
    <cellStyle name="Normal 3 2 3 3 2 3 2 2 2" xfId="22036"/>
    <cellStyle name="Normal 3 2 3 3 2 3 2 2 2 2" xfId="44623"/>
    <cellStyle name="Normal 3 2 3 3 2 3 2 2 3" xfId="12376"/>
    <cellStyle name="Normal 3 2 3 3 2 3 2 2 3 2" xfId="34963"/>
    <cellStyle name="Normal 3 2 3 3 2 3 2 2 4" xfId="28523"/>
    <cellStyle name="Normal 3 2 3 3 2 3 2 3" xfId="18816"/>
    <cellStyle name="Normal 3 2 3 3 2 3 2 3 2" xfId="41403"/>
    <cellStyle name="Normal 3 2 3 3 2 3 2 4" xfId="15596"/>
    <cellStyle name="Normal 3 2 3 3 2 3 2 4 2" xfId="38183"/>
    <cellStyle name="Normal 3 2 3 3 2 3 2 5" xfId="9156"/>
    <cellStyle name="Normal 3 2 3 3 2 3 2 5 2" xfId="31743"/>
    <cellStyle name="Normal 3 2 3 3 2 3 2 6" xfId="25303"/>
    <cellStyle name="Normal 3 2 3 3 2 3 3" xfId="4628"/>
    <cellStyle name="Normal 3 2 3 3 2 3 3 2" xfId="20728"/>
    <cellStyle name="Normal 3 2 3 3 2 3 3 2 2" xfId="43315"/>
    <cellStyle name="Normal 3 2 3 3 2 3 3 3" xfId="11068"/>
    <cellStyle name="Normal 3 2 3 3 2 3 3 3 2" xfId="33655"/>
    <cellStyle name="Normal 3 2 3 3 2 3 3 4" xfId="27215"/>
    <cellStyle name="Normal 3 2 3 3 2 3 4" xfId="17508"/>
    <cellStyle name="Normal 3 2 3 3 2 3 4 2" xfId="40095"/>
    <cellStyle name="Normal 3 2 3 3 2 3 5" xfId="14288"/>
    <cellStyle name="Normal 3 2 3 3 2 3 5 2" xfId="36875"/>
    <cellStyle name="Normal 3 2 3 3 2 3 6" xfId="7848"/>
    <cellStyle name="Normal 3 2 3 3 2 3 6 2" xfId="30435"/>
    <cellStyle name="Normal 3 2 3 3 2 3 7" xfId="23995"/>
    <cellStyle name="Normal 3 2 3 3 2 4" xfId="1650"/>
    <cellStyle name="Normal 3 2 3 3 2 4 2" xfId="4873"/>
    <cellStyle name="Normal 3 2 3 3 2 4 2 2" xfId="20973"/>
    <cellStyle name="Normal 3 2 3 3 2 4 2 2 2" xfId="43560"/>
    <cellStyle name="Normal 3 2 3 3 2 4 2 3" xfId="11313"/>
    <cellStyle name="Normal 3 2 3 3 2 4 2 3 2" xfId="33900"/>
    <cellStyle name="Normal 3 2 3 3 2 4 2 4" xfId="27460"/>
    <cellStyle name="Normal 3 2 3 3 2 4 3" xfId="17753"/>
    <cellStyle name="Normal 3 2 3 3 2 4 3 2" xfId="40340"/>
    <cellStyle name="Normal 3 2 3 3 2 4 4" xfId="14533"/>
    <cellStyle name="Normal 3 2 3 3 2 4 4 2" xfId="37120"/>
    <cellStyle name="Normal 3 2 3 3 2 4 5" xfId="8093"/>
    <cellStyle name="Normal 3 2 3 3 2 4 5 2" xfId="30680"/>
    <cellStyle name="Normal 3 2 3 3 2 4 6" xfId="24240"/>
    <cellStyle name="Normal 3 2 3 3 2 5" xfId="2020"/>
    <cellStyle name="Normal 3 2 3 3 2 5 2" xfId="5242"/>
    <cellStyle name="Normal 3 2 3 3 2 5 2 2" xfId="21342"/>
    <cellStyle name="Normal 3 2 3 3 2 5 2 2 2" xfId="43929"/>
    <cellStyle name="Normal 3 2 3 3 2 5 2 3" xfId="11682"/>
    <cellStyle name="Normal 3 2 3 3 2 5 2 3 2" xfId="34269"/>
    <cellStyle name="Normal 3 2 3 3 2 5 2 4" xfId="27829"/>
    <cellStyle name="Normal 3 2 3 3 2 5 3" xfId="18122"/>
    <cellStyle name="Normal 3 2 3 3 2 5 3 2" xfId="40709"/>
    <cellStyle name="Normal 3 2 3 3 2 5 4" xfId="14902"/>
    <cellStyle name="Normal 3 2 3 3 2 5 4 2" xfId="37489"/>
    <cellStyle name="Normal 3 2 3 3 2 5 5" xfId="8462"/>
    <cellStyle name="Normal 3 2 3 3 2 5 5 2" xfId="31049"/>
    <cellStyle name="Normal 3 2 3 3 2 5 6" xfId="24609"/>
    <cellStyle name="Normal 3 2 3 3 2 6" xfId="3934"/>
    <cellStyle name="Normal 3 2 3 3 2 6 2" xfId="20034"/>
    <cellStyle name="Normal 3 2 3 3 2 6 2 2" xfId="42621"/>
    <cellStyle name="Normal 3 2 3 3 2 6 3" xfId="10374"/>
    <cellStyle name="Normal 3 2 3 3 2 6 3 2" xfId="32961"/>
    <cellStyle name="Normal 3 2 3 3 2 6 4" xfId="26521"/>
    <cellStyle name="Normal 3 2 3 3 2 7" xfId="16814"/>
    <cellStyle name="Normal 3 2 3 3 2 7 2" xfId="39401"/>
    <cellStyle name="Normal 3 2 3 3 2 8" xfId="13594"/>
    <cellStyle name="Normal 3 2 3 3 2 8 2" xfId="36181"/>
    <cellStyle name="Normal 3 2 3 3 2 9" xfId="7154"/>
    <cellStyle name="Normal 3 2 3 3 2 9 2" xfId="29741"/>
    <cellStyle name="Normal 3 2 3 3 3" xfId="933"/>
    <cellStyle name="Normal 3 2 3 3 3 2" xfId="2252"/>
    <cellStyle name="Normal 3 2 3 3 3 2 2" xfId="5473"/>
    <cellStyle name="Normal 3 2 3 3 3 2 2 2" xfId="21573"/>
    <cellStyle name="Normal 3 2 3 3 3 2 2 2 2" xfId="44160"/>
    <cellStyle name="Normal 3 2 3 3 3 2 2 3" xfId="11913"/>
    <cellStyle name="Normal 3 2 3 3 3 2 2 3 2" xfId="34500"/>
    <cellStyle name="Normal 3 2 3 3 3 2 2 4" xfId="28060"/>
    <cellStyle name="Normal 3 2 3 3 3 2 3" xfId="18353"/>
    <cellStyle name="Normal 3 2 3 3 3 2 3 2" xfId="40940"/>
    <cellStyle name="Normal 3 2 3 3 3 2 4" xfId="15133"/>
    <cellStyle name="Normal 3 2 3 3 3 2 4 2" xfId="37720"/>
    <cellStyle name="Normal 3 2 3 3 3 2 5" xfId="8693"/>
    <cellStyle name="Normal 3 2 3 3 3 2 5 2" xfId="31280"/>
    <cellStyle name="Normal 3 2 3 3 3 2 6" xfId="24840"/>
    <cellStyle name="Normal 3 2 3 3 3 3" xfId="4165"/>
    <cellStyle name="Normal 3 2 3 3 3 3 2" xfId="20265"/>
    <cellStyle name="Normal 3 2 3 3 3 3 2 2" xfId="42852"/>
    <cellStyle name="Normal 3 2 3 3 3 3 3" xfId="10605"/>
    <cellStyle name="Normal 3 2 3 3 3 3 3 2" xfId="33192"/>
    <cellStyle name="Normal 3 2 3 3 3 3 4" xfId="26752"/>
    <cellStyle name="Normal 3 2 3 3 3 4" xfId="17045"/>
    <cellStyle name="Normal 3 2 3 3 3 4 2" xfId="39632"/>
    <cellStyle name="Normal 3 2 3 3 3 5" xfId="13825"/>
    <cellStyle name="Normal 3 2 3 3 3 5 2" xfId="36412"/>
    <cellStyle name="Normal 3 2 3 3 3 6" xfId="7385"/>
    <cellStyle name="Normal 3 2 3 3 3 6 2" xfId="29972"/>
    <cellStyle name="Normal 3 2 3 3 3 7" xfId="23532"/>
    <cellStyle name="Normal 3 2 3 3 4" xfId="1285"/>
    <cellStyle name="Normal 3 2 3 3 4 2" xfId="2599"/>
    <cellStyle name="Normal 3 2 3 3 4 2 2" xfId="5820"/>
    <cellStyle name="Normal 3 2 3 3 4 2 2 2" xfId="21920"/>
    <cellStyle name="Normal 3 2 3 3 4 2 2 2 2" xfId="44507"/>
    <cellStyle name="Normal 3 2 3 3 4 2 2 3" xfId="12260"/>
    <cellStyle name="Normal 3 2 3 3 4 2 2 3 2" xfId="34847"/>
    <cellStyle name="Normal 3 2 3 3 4 2 2 4" xfId="28407"/>
    <cellStyle name="Normal 3 2 3 3 4 2 3" xfId="18700"/>
    <cellStyle name="Normal 3 2 3 3 4 2 3 2" xfId="41287"/>
    <cellStyle name="Normal 3 2 3 3 4 2 4" xfId="15480"/>
    <cellStyle name="Normal 3 2 3 3 4 2 4 2" xfId="38067"/>
    <cellStyle name="Normal 3 2 3 3 4 2 5" xfId="9040"/>
    <cellStyle name="Normal 3 2 3 3 4 2 5 2" xfId="31627"/>
    <cellStyle name="Normal 3 2 3 3 4 2 6" xfId="25187"/>
    <cellStyle name="Normal 3 2 3 3 4 3" xfId="4512"/>
    <cellStyle name="Normal 3 2 3 3 4 3 2" xfId="20612"/>
    <cellStyle name="Normal 3 2 3 3 4 3 2 2" xfId="43199"/>
    <cellStyle name="Normal 3 2 3 3 4 3 3" xfId="10952"/>
    <cellStyle name="Normal 3 2 3 3 4 3 3 2" xfId="33539"/>
    <cellStyle name="Normal 3 2 3 3 4 3 4" xfId="27099"/>
    <cellStyle name="Normal 3 2 3 3 4 4" xfId="17392"/>
    <cellStyle name="Normal 3 2 3 3 4 4 2" xfId="39979"/>
    <cellStyle name="Normal 3 2 3 3 4 5" xfId="14172"/>
    <cellStyle name="Normal 3 2 3 3 4 5 2" xfId="36759"/>
    <cellStyle name="Normal 3 2 3 3 4 6" xfId="7732"/>
    <cellStyle name="Normal 3 2 3 3 4 6 2" xfId="30319"/>
    <cellStyle name="Normal 3 2 3 3 4 7" xfId="23879"/>
    <cellStyle name="Normal 3 2 3 3 5" xfId="1651"/>
    <cellStyle name="Normal 3 2 3 3 5 2" xfId="4874"/>
    <cellStyle name="Normal 3 2 3 3 5 2 2" xfId="20974"/>
    <cellStyle name="Normal 3 2 3 3 5 2 2 2" xfId="43561"/>
    <cellStyle name="Normal 3 2 3 3 5 2 3" xfId="11314"/>
    <cellStyle name="Normal 3 2 3 3 5 2 3 2" xfId="33901"/>
    <cellStyle name="Normal 3 2 3 3 5 2 4" xfId="27461"/>
    <cellStyle name="Normal 3 2 3 3 5 3" xfId="17754"/>
    <cellStyle name="Normal 3 2 3 3 5 3 2" xfId="40341"/>
    <cellStyle name="Normal 3 2 3 3 5 4" xfId="14534"/>
    <cellStyle name="Normal 3 2 3 3 5 4 2" xfId="37121"/>
    <cellStyle name="Normal 3 2 3 3 5 5" xfId="8094"/>
    <cellStyle name="Normal 3 2 3 3 5 5 2" xfId="30681"/>
    <cellStyle name="Normal 3 2 3 3 5 6" xfId="24241"/>
    <cellStyle name="Normal 3 2 3 3 6" xfId="1904"/>
    <cellStyle name="Normal 3 2 3 3 6 2" xfId="5126"/>
    <cellStyle name="Normal 3 2 3 3 6 2 2" xfId="21226"/>
    <cellStyle name="Normal 3 2 3 3 6 2 2 2" xfId="43813"/>
    <cellStyle name="Normal 3 2 3 3 6 2 3" xfId="11566"/>
    <cellStyle name="Normal 3 2 3 3 6 2 3 2" xfId="34153"/>
    <cellStyle name="Normal 3 2 3 3 6 2 4" xfId="27713"/>
    <cellStyle name="Normal 3 2 3 3 6 3" xfId="18006"/>
    <cellStyle name="Normal 3 2 3 3 6 3 2" xfId="40593"/>
    <cellStyle name="Normal 3 2 3 3 6 4" xfId="14786"/>
    <cellStyle name="Normal 3 2 3 3 6 4 2" xfId="37373"/>
    <cellStyle name="Normal 3 2 3 3 6 5" xfId="8346"/>
    <cellStyle name="Normal 3 2 3 3 6 5 2" xfId="30933"/>
    <cellStyle name="Normal 3 2 3 3 6 6" xfId="24493"/>
    <cellStyle name="Normal 3 2 3 3 7" xfId="2955"/>
    <cellStyle name="Normal 3 2 3 3 7 2" xfId="6176"/>
    <cellStyle name="Normal 3 2 3 3 7 2 2" xfId="22276"/>
    <cellStyle name="Normal 3 2 3 3 7 2 2 2" xfId="44863"/>
    <cellStyle name="Normal 3 2 3 3 7 2 3" xfId="12616"/>
    <cellStyle name="Normal 3 2 3 3 7 2 3 2" xfId="35203"/>
    <cellStyle name="Normal 3 2 3 3 7 2 4" xfId="28763"/>
    <cellStyle name="Normal 3 2 3 3 7 3" xfId="19056"/>
    <cellStyle name="Normal 3 2 3 3 7 3 2" xfId="41643"/>
    <cellStyle name="Normal 3 2 3 3 7 4" xfId="15836"/>
    <cellStyle name="Normal 3 2 3 3 7 4 2" xfId="38423"/>
    <cellStyle name="Normal 3 2 3 3 7 5" xfId="9396"/>
    <cellStyle name="Normal 3 2 3 3 7 5 2" xfId="31983"/>
    <cellStyle name="Normal 3 2 3 3 7 6" xfId="25543"/>
    <cellStyle name="Normal 3 2 3 3 8" xfId="3246"/>
    <cellStyle name="Normal 3 2 3 3 8 2" xfId="6466"/>
    <cellStyle name="Normal 3 2 3 3 8 2 2" xfId="22566"/>
    <cellStyle name="Normal 3 2 3 3 8 2 2 2" xfId="45153"/>
    <cellStyle name="Normal 3 2 3 3 8 2 3" xfId="12906"/>
    <cellStyle name="Normal 3 2 3 3 8 2 3 2" xfId="35493"/>
    <cellStyle name="Normal 3 2 3 3 8 2 4" xfId="29053"/>
    <cellStyle name="Normal 3 2 3 3 8 3" xfId="19346"/>
    <cellStyle name="Normal 3 2 3 3 8 3 2" xfId="41933"/>
    <cellStyle name="Normal 3 2 3 3 8 4" xfId="16126"/>
    <cellStyle name="Normal 3 2 3 3 8 4 2" xfId="38713"/>
    <cellStyle name="Normal 3 2 3 3 8 5" xfId="9686"/>
    <cellStyle name="Normal 3 2 3 3 8 5 2" xfId="32273"/>
    <cellStyle name="Normal 3 2 3 3 8 6" xfId="25833"/>
    <cellStyle name="Normal 3 2 3 3 9" xfId="531"/>
    <cellStyle name="Normal 3 2 3 3 9 2" xfId="3818"/>
    <cellStyle name="Normal 3 2 3 3 9 2 2" xfId="19918"/>
    <cellStyle name="Normal 3 2 3 3 9 2 2 2" xfId="42505"/>
    <cellStyle name="Normal 3 2 3 3 9 2 3" xfId="10258"/>
    <cellStyle name="Normal 3 2 3 3 9 2 3 2" xfId="32845"/>
    <cellStyle name="Normal 3 2 3 3 9 2 4" xfId="26405"/>
    <cellStyle name="Normal 3 2 3 3 9 3" xfId="16698"/>
    <cellStyle name="Normal 3 2 3 3 9 3 2" xfId="39285"/>
    <cellStyle name="Normal 3 2 3 3 9 4" xfId="13478"/>
    <cellStyle name="Normal 3 2 3 3 9 4 2" xfId="36065"/>
    <cellStyle name="Normal 3 2 3 3 9 5" xfId="7038"/>
    <cellStyle name="Normal 3 2 3 3 9 5 2" xfId="29625"/>
    <cellStyle name="Normal 3 2 3 3 9 6" xfId="23185"/>
    <cellStyle name="Normal 3 2 3 4" xfId="357"/>
    <cellStyle name="Normal 3 2 3 4 10" xfId="16524"/>
    <cellStyle name="Normal 3 2 3 4 10 2" xfId="39111"/>
    <cellStyle name="Normal 3 2 3 4 11" xfId="13304"/>
    <cellStyle name="Normal 3 2 3 4 11 2" xfId="35891"/>
    <cellStyle name="Normal 3 2 3 4 12" xfId="6864"/>
    <cellStyle name="Normal 3 2 3 4 12 2" xfId="29451"/>
    <cellStyle name="Normal 3 2 3 4 13" xfId="23011"/>
    <cellStyle name="Normal 3 2 3 4 2" xfId="956"/>
    <cellStyle name="Normal 3 2 3 4 2 2" xfId="2275"/>
    <cellStyle name="Normal 3 2 3 4 2 2 2" xfId="5496"/>
    <cellStyle name="Normal 3 2 3 4 2 2 2 2" xfId="21596"/>
    <cellStyle name="Normal 3 2 3 4 2 2 2 2 2" xfId="44183"/>
    <cellStyle name="Normal 3 2 3 4 2 2 2 3" xfId="11936"/>
    <cellStyle name="Normal 3 2 3 4 2 2 2 3 2" xfId="34523"/>
    <cellStyle name="Normal 3 2 3 4 2 2 2 4" xfId="28083"/>
    <cellStyle name="Normal 3 2 3 4 2 2 3" xfId="18376"/>
    <cellStyle name="Normal 3 2 3 4 2 2 3 2" xfId="40963"/>
    <cellStyle name="Normal 3 2 3 4 2 2 4" xfId="15156"/>
    <cellStyle name="Normal 3 2 3 4 2 2 4 2" xfId="37743"/>
    <cellStyle name="Normal 3 2 3 4 2 2 5" xfId="8716"/>
    <cellStyle name="Normal 3 2 3 4 2 2 5 2" xfId="31303"/>
    <cellStyle name="Normal 3 2 3 4 2 2 6" xfId="24863"/>
    <cellStyle name="Normal 3 2 3 4 2 3" xfId="4188"/>
    <cellStyle name="Normal 3 2 3 4 2 3 2" xfId="20288"/>
    <cellStyle name="Normal 3 2 3 4 2 3 2 2" xfId="42875"/>
    <cellStyle name="Normal 3 2 3 4 2 3 3" xfId="10628"/>
    <cellStyle name="Normal 3 2 3 4 2 3 3 2" xfId="33215"/>
    <cellStyle name="Normal 3 2 3 4 2 3 4" xfId="26775"/>
    <cellStyle name="Normal 3 2 3 4 2 4" xfId="17068"/>
    <cellStyle name="Normal 3 2 3 4 2 4 2" xfId="39655"/>
    <cellStyle name="Normal 3 2 3 4 2 5" xfId="13848"/>
    <cellStyle name="Normal 3 2 3 4 2 5 2" xfId="36435"/>
    <cellStyle name="Normal 3 2 3 4 2 6" xfId="7408"/>
    <cellStyle name="Normal 3 2 3 4 2 6 2" xfId="29995"/>
    <cellStyle name="Normal 3 2 3 4 2 7" xfId="23555"/>
    <cellStyle name="Normal 3 2 3 4 3" xfId="1308"/>
    <cellStyle name="Normal 3 2 3 4 3 2" xfId="2622"/>
    <cellStyle name="Normal 3 2 3 4 3 2 2" xfId="5843"/>
    <cellStyle name="Normal 3 2 3 4 3 2 2 2" xfId="21943"/>
    <cellStyle name="Normal 3 2 3 4 3 2 2 2 2" xfId="44530"/>
    <cellStyle name="Normal 3 2 3 4 3 2 2 3" xfId="12283"/>
    <cellStyle name="Normal 3 2 3 4 3 2 2 3 2" xfId="34870"/>
    <cellStyle name="Normal 3 2 3 4 3 2 2 4" xfId="28430"/>
    <cellStyle name="Normal 3 2 3 4 3 2 3" xfId="18723"/>
    <cellStyle name="Normal 3 2 3 4 3 2 3 2" xfId="41310"/>
    <cellStyle name="Normal 3 2 3 4 3 2 4" xfId="15503"/>
    <cellStyle name="Normal 3 2 3 4 3 2 4 2" xfId="38090"/>
    <cellStyle name="Normal 3 2 3 4 3 2 5" xfId="9063"/>
    <cellStyle name="Normal 3 2 3 4 3 2 5 2" xfId="31650"/>
    <cellStyle name="Normal 3 2 3 4 3 2 6" xfId="25210"/>
    <cellStyle name="Normal 3 2 3 4 3 3" xfId="4535"/>
    <cellStyle name="Normal 3 2 3 4 3 3 2" xfId="20635"/>
    <cellStyle name="Normal 3 2 3 4 3 3 2 2" xfId="43222"/>
    <cellStyle name="Normal 3 2 3 4 3 3 3" xfId="10975"/>
    <cellStyle name="Normal 3 2 3 4 3 3 3 2" xfId="33562"/>
    <cellStyle name="Normal 3 2 3 4 3 3 4" xfId="27122"/>
    <cellStyle name="Normal 3 2 3 4 3 4" xfId="17415"/>
    <cellStyle name="Normal 3 2 3 4 3 4 2" xfId="40002"/>
    <cellStyle name="Normal 3 2 3 4 3 5" xfId="14195"/>
    <cellStyle name="Normal 3 2 3 4 3 5 2" xfId="36782"/>
    <cellStyle name="Normal 3 2 3 4 3 6" xfId="7755"/>
    <cellStyle name="Normal 3 2 3 4 3 6 2" xfId="30342"/>
    <cellStyle name="Normal 3 2 3 4 3 7" xfId="23902"/>
    <cellStyle name="Normal 3 2 3 4 4" xfId="1652"/>
    <cellStyle name="Normal 3 2 3 4 4 2" xfId="4875"/>
    <cellStyle name="Normal 3 2 3 4 4 2 2" xfId="20975"/>
    <cellStyle name="Normal 3 2 3 4 4 2 2 2" xfId="43562"/>
    <cellStyle name="Normal 3 2 3 4 4 2 3" xfId="11315"/>
    <cellStyle name="Normal 3 2 3 4 4 2 3 2" xfId="33902"/>
    <cellStyle name="Normal 3 2 3 4 4 2 4" xfId="27462"/>
    <cellStyle name="Normal 3 2 3 4 4 3" xfId="17755"/>
    <cellStyle name="Normal 3 2 3 4 4 3 2" xfId="40342"/>
    <cellStyle name="Normal 3 2 3 4 4 4" xfId="14535"/>
    <cellStyle name="Normal 3 2 3 4 4 4 2" xfId="37122"/>
    <cellStyle name="Normal 3 2 3 4 4 5" xfId="8095"/>
    <cellStyle name="Normal 3 2 3 4 4 5 2" xfId="30682"/>
    <cellStyle name="Normal 3 2 3 4 4 6" xfId="24242"/>
    <cellStyle name="Normal 3 2 3 4 5" xfId="1927"/>
    <cellStyle name="Normal 3 2 3 4 5 2" xfId="5149"/>
    <cellStyle name="Normal 3 2 3 4 5 2 2" xfId="21249"/>
    <cellStyle name="Normal 3 2 3 4 5 2 2 2" xfId="43836"/>
    <cellStyle name="Normal 3 2 3 4 5 2 3" xfId="11589"/>
    <cellStyle name="Normal 3 2 3 4 5 2 3 2" xfId="34176"/>
    <cellStyle name="Normal 3 2 3 4 5 2 4" xfId="27736"/>
    <cellStyle name="Normal 3 2 3 4 5 3" xfId="18029"/>
    <cellStyle name="Normal 3 2 3 4 5 3 2" xfId="40616"/>
    <cellStyle name="Normal 3 2 3 4 5 4" xfId="14809"/>
    <cellStyle name="Normal 3 2 3 4 5 4 2" xfId="37396"/>
    <cellStyle name="Normal 3 2 3 4 5 5" xfId="8369"/>
    <cellStyle name="Normal 3 2 3 4 5 5 2" xfId="30956"/>
    <cellStyle name="Normal 3 2 3 4 5 6" xfId="24516"/>
    <cellStyle name="Normal 3 2 3 4 6" xfId="3064"/>
    <cellStyle name="Normal 3 2 3 4 6 2" xfId="6284"/>
    <cellStyle name="Normal 3 2 3 4 6 2 2" xfId="22384"/>
    <cellStyle name="Normal 3 2 3 4 6 2 2 2" xfId="44971"/>
    <cellStyle name="Normal 3 2 3 4 6 2 3" xfId="12724"/>
    <cellStyle name="Normal 3 2 3 4 6 2 3 2" xfId="35311"/>
    <cellStyle name="Normal 3 2 3 4 6 2 4" xfId="28871"/>
    <cellStyle name="Normal 3 2 3 4 6 3" xfId="19164"/>
    <cellStyle name="Normal 3 2 3 4 6 3 2" xfId="41751"/>
    <cellStyle name="Normal 3 2 3 4 6 4" xfId="15944"/>
    <cellStyle name="Normal 3 2 3 4 6 4 2" xfId="38531"/>
    <cellStyle name="Normal 3 2 3 4 6 5" xfId="9504"/>
    <cellStyle name="Normal 3 2 3 4 6 5 2" xfId="32091"/>
    <cellStyle name="Normal 3 2 3 4 6 6" xfId="25651"/>
    <cellStyle name="Normal 3 2 3 4 7" xfId="3354"/>
    <cellStyle name="Normal 3 2 3 4 7 2" xfId="6574"/>
    <cellStyle name="Normal 3 2 3 4 7 2 2" xfId="22674"/>
    <cellStyle name="Normal 3 2 3 4 7 2 2 2" xfId="45261"/>
    <cellStyle name="Normal 3 2 3 4 7 2 3" xfId="13014"/>
    <cellStyle name="Normal 3 2 3 4 7 2 3 2" xfId="35601"/>
    <cellStyle name="Normal 3 2 3 4 7 2 4" xfId="29161"/>
    <cellStyle name="Normal 3 2 3 4 7 3" xfId="19454"/>
    <cellStyle name="Normal 3 2 3 4 7 3 2" xfId="42041"/>
    <cellStyle name="Normal 3 2 3 4 7 4" xfId="16234"/>
    <cellStyle name="Normal 3 2 3 4 7 4 2" xfId="38821"/>
    <cellStyle name="Normal 3 2 3 4 7 5" xfId="9794"/>
    <cellStyle name="Normal 3 2 3 4 7 5 2" xfId="32381"/>
    <cellStyle name="Normal 3 2 3 4 7 6" xfId="25941"/>
    <cellStyle name="Normal 3 2 3 4 8" xfId="560"/>
    <cellStyle name="Normal 3 2 3 4 8 2" xfId="3841"/>
    <cellStyle name="Normal 3 2 3 4 8 2 2" xfId="19941"/>
    <cellStyle name="Normal 3 2 3 4 8 2 2 2" xfId="42528"/>
    <cellStyle name="Normal 3 2 3 4 8 2 3" xfId="10281"/>
    <cellStyle name="Normal 3 2 3 4 8 2 3 2" xfId="32868"/>
    <cellStyle name="Normal 3 2 3 4 8 2 4" xfId="26428"/>
    <cellStyle name="Normal 3 2 3 4 8 3" xfId="16721"/>
    <cellStyle name="Normal 3 2 3 4 8 3 2" xfId="39308"/>
    <cellStyle name="Normal 3 2 3 4 8 4" xfId="13501"/>
    <cellStyle name="Normal 3 2 3 4 8 4 2" xfId="36088"/>
    <cellStyle name="Normal 3 2 3 4 8 5" xfId="7061"/>
    <cellStyle name="Normal 3 2 3 4 8 5 2" xfId="29648"/>
    <cellStyle name="Normal 3 2 3 4 8 6" xfId="23208"/>
    <cellStyle name="Normal 3 2 3 4 9" xfId="3644"/>
    <cellStyle name="Normal 3 2 3 4 9 2" xfId="19744"/>
    <cellStyle name="Normal 3 2 3 4 9 2 2" xfId="42331"/>
    <cellStyle name="Normal 3 2 3 4 9 3" xfId="10084"/>
    <cellStyle name="Normal 3 2 3 4 9 3 2" xfId="32671"/>
    <cellStyle name="Normal 3 2 3 4 9 4" xfId="26231"/>
    <cellStyle name="Normal 3 2 3 5" xfId="786"/>
    <cellStyle name="Normal 3 2 3 5 2" xfId="1138"/>
    <cellStyle name="Normal 3 2 3 5 2 2" xfId="2452"/>
    <cellStyle name="Normal 3 2 3 5 2 2 2" xfId="5673"/>
    <cellStyle name="Normal 3 2 3 5 2 2 2 2" xfId="21773"/>
    <cellStyle name="Normal 3 2 3 5 2 2 2 2 2" xfId="44360"/>
    <cellStyle name="Normal 3 2 3 5 2 2 2 3" xfId="12113"/>
    <cellStyle name="Normal 3 2 3 5 2 2 2 3 2" xfId="34700"/>
    <cellStyle name="Normal 3 2 3 5 2 2 2 4" xfId="28260"/>
    <cellStyle name="Normal 3 2 3 5 2 2 3" xfId="18553"/>
    <cellStyle name="Normal 3 2 3 5 2 2 3 2" xfId="41140"/>
    <cellStyle name="Normal 3 2 3 5 2 2 4" xfId="15333"/>
    <cellStyle name="Normal 3 2 3 5 2 2 4 2" xfId="37920"/>
    <cellStyle name="Normal 3 2 3 5 2 2 5" xfId="8893"/>
    <cellStyle name="Normal 3 2 3 5 2 2 5 2" xfId="31480"/>
    <cellStyle name="Normal 3 2 3 5 2 2 6" xfId="25040"/>
    <cellStyle name="Normal 3 2 3 5 2 3" xfId="4365"/>
    <cellStyle name="Normal 3 2 3 5 2 3 2" xfId="20465"/>
    <cellStyle name="Normal 3 2 3 5 2 3 2 2" xfId="43052"/>
    <cellStyle name="Normal 3 2 3 5 2 3 3" xfId="10805"/>
    <cellStyle name="Normal 3 2 3 5 2 3 3 2" xfId="33392"/>
    <cellStyle name="Normal 3 2 3 5 2 3 4" xfId="26952"/>
    <cellStyle name="Normal 3 2 3 5 2 4" xfId="17245"/>
    <cellStyle name="Normal 3 2 3 5 2 4 2" xfId="39832"/>
    <cellStyle name="Normal 3 2 3 5 2 5" xfId="14025"/>
    <cellStyle name="Normal 3 2 3 5 2 5 2" xfId="36612"/>
    <cellStyle name="Normal 3 2 3 5 2 6" xfId="7585"/>
    <cellStyle name="Normal 3 2 3 5 2 6 2" xfId="30172"/>
    <cellStyle name="Normal 3 2 3 5 2 7" xfId="23732"/>
    <cellStyle name="Normal 3 2 3 5 3" xfId="1485"/>
    <cellStyle name="Normal 3 2 3 5 3 2" xfId="2799"/>
    <cellStyle name="Normal 3 2 3 5 3 2 2" xfId="6020"/>
    <cellStyle name="Normal 3 2 3 5 3 2 2 2" xfId="22120"/>
    <cellStyle name="Normal 3 2 3 5 3 2 2 2 2" xfId="44707"/>
    <cellStyle name="Normal 3 2 3 5 3 2 2 3" xfId="12460"/>
    <cellStyle name="Normal 3 2 3 5 3 2 2 3 2" xfId="35047"/>
    <cellStyle name="Normal 3 2 3 5 3 2 2 4" xfId="28607"/>
    <cellStyle name="Normal 3 2 3 5 3 2 3" xfId="18900"/>
    <cellStyle name="Normal 3 2 3 5 3 2 3 2" xfId="41487"/>
    <cellStyle name="Normal 3 2 3 5 3 2 4" xfId="15680"/>
    <cellStyle name="Normal 3 2 3 5 3 2 4 2" xfId="38267"/>
    <cellStyle name="Normal 3 2 3 5 3 2 5" xfId="9240"/>
    <cellStyle name="Normal 3 2 3 5 3 2 5 2" xfId="31827"/>
    <cellStyle name="Normal 3 2 3 5 3 2 6" xfId="25387"/>
    <cellStyle name="Normal 3 2 3 5 3 3" xfId="4712"/>
    <cellStyle name="Normal 3 2 3 5 3 3 2" xfId="20812"/>
    <cellStyle name="Normal 3 2 3 5 3 3 2 2" xfId="43399"/>
    <cellStyle name="Normal 3 2 3 5 3 3 3" xfId="11152"/>
    <cellStyle name="Normal 3 2 3 5 3 3 3 2" xfId="33739"/>
    <cellStyle name="Normal 3 2 3 5 3 3 4" xfId="27299"/>
    <cellStyle name="Normal 3 2 3 5 3 4" xfId="17592"/>
    <cellStyle name="Normal 3 2 3 5 3 4 2" xfId="40179"/>
    <cellStyle name="Normal 3 2 3 5 3 5" xfId="14372"/>
    <cellStyle name="Normal 3 2 3 5 3 5 2" xfId="36959"/>
    <cellStyle name="Normal 3 2 3 5 3 6" xfId="7932"/>
    <cellStyle name="Normal 3 2 3 5 3 6 2" xfId="30519"/>
    <cellStyle name="Normal 3 2 3 5 3 7" xfId="24079"/>
    <cellStyle name="Normal 3 2 3 5 4" xfId="2105"/>
    <cellStyle name="Normal 3 2 3 5 4 2" xfId="5326"/>
    <cellStyle name="Normal 3 2 3 5 4 2 2" xfId="21426"/>
    <cellStyle name="Normal 3 2 3 5 4 2 2 2" xfId="44013"/>
    <cellStyle name="Normal 3 2 3 5 4 2 3" xfId="11766"/>
    <cellStyle name="Normal 3 2 3 5 4 2 3 2" xfId="34353"/>
    <cellStyle name="Normal 3 2 3 5 4 2 4" xfId="27913"/>
    <cellStyle name="Normal 3 2 3 5 4 3" xfId="18206"/>
    <cellStyle name="Normal 3 2 3 5 4 3 2" xfId="40793"/>
    <cellStyle name="Normal 3 2 3 5 4 4" xfId="14986"/>
    <cellStyle name="Normal 3 2 3 5 4 4 2" xfId="37573"/>
    <cellStyle name="Normal 3 2 3 5 4 5" xfId="8546"/>
    <cellStyle name="Normal 3 2 3 5 4 5 2" xfId="31133"/>
    <cellStyle name="Normal 3 2 3 5 4 6" xfId="24693"/>
    <cellStyle name="Normal 3 2 3 5 5" xfId="4018"/>
    <cellStyle name="Normal 3 2 3 5 5 2" xfId="20118"/>
    <cellStyle name="Normal 3 2 3 5 5 2 2" xfId="42705"/>
    <cellStyle name="Normal 3 2 3 5 5 3" xfId="10458"/>
    <cellStyle name="Normal 3 2 3 5 5 3 2" xfId="33045"/>
    <cellStyle name="Normal 3 2 3 5 5 4" xfId="26605"/>
    <cellStyle name="Normal 3 2 3 5 6" xfId="16898"/>
    <cellStyle name="Normal 3 2 3 5 6 2" xfId="39485"/>
    <cellStyle name="Normal 3 2 3 5 7" xfId="13678"/>
    <cellStyle name="Normal 3 2 3 5 7 2" xfId="36265"/>
    <cellStyle name="Normal 3 2 3 5 8" xfId="7238"/>
    <cellStyle name="Normal 3 2 3 5 8 2" xfId="29825"/>
    <cellStyle name="Normal 3 2 3 5 9" xfId="23385"/>
    <cellStyle name="Normal 3 2 3 6" xfId="856"/>
    <cellStyle name="Normal 3 2 3 6 2" xfId="2175"/>
    <cellStyle name="Normal 3 2 3 6 2 2" xfId="5396"/>
    <cellStyle name="Normal 3 2 3 6 2 2 2" xfId="21496"/>
    <cellStyle name="Normal 3 2 3 6 2 2 2 2" xfId="44083"/>
    <cellStyle name="Normal 3 2 3 6 2 2 3" xfId="11836"/>
    <cellStyle name="Normal 3 2 3 6 2 2 3 2" xfId="34423"/>
    <cellStyle name="Normal 3 2 3 6 2 2 4" xfId="27983"/>
    <cellStyle name="Normal 3 2 3 6 2 3" xfId="18276"/>
    <cellStyle name="Normal 3 2 3 6 2 3 2" xfId="40863"/>
    <cellStyle name="Normal 3 2 3 6 2 4" xfId="15056"/>
    <cellStyle name="Normal 3 2 3 6 2 4 2" xfId="37643"/>
    <cellStyle name="Normal 3 2 3 6 2 5" xfId="8616"/>
    <cellStyle name="Normal 3 2 3 6 2 5 2" xfId="31203"/>
    <cellStyle name="Normal 3 2 3 6 2 6" xfId="24763"/>
    <cellStyle name="Normal 3 2 3 6 3" xfId="4088"/>
    <cellStyle name="Normal 3 2 3 6 3 2" xfId="20188"/>
    <cellStyle name="Normal 3 2 3 6 3 2 2" xfId="42775"/>
    <cellStyle name="Normal 3 2 3 6 3 3" xfId="10528"/>
    <cellStyle name="Normal 3 2 3 6 3 3 2" xfId="33115"/>
    <cellStyle name="Normal 3 2 3 6 3 4" xfId="26675"/>
    <cellStyle name="Normal 3 2 3 6 4" xfId="16968"/>
    <cellStyle name="Normal 3 2 3 6 4 2" xfId="39555"/>
    <cellStyle name="Normal 3 2 3 6 5" xfId="13748"/>
    <cellStyle name="Normal 3 2 3 6 5 2" xfId="36335"/>
    <cellStyle name="Normal 3 2 3 6 6" xfId="7308"/>
    <cellStyle name="Normal 3 2 3 6 6 2" xfId="29895"/>
    <cellStyle name="Normal 3 2 3 6 7" xfId="23455"/>
    <cellStyle name="Normal 3 2 3 7" xfId="1208"/>
    <cellStyle name="Normal 3 2 3 7 2" xfId="2522"/>
    <cellStyle name="Normal 3 2 3 7 2 2" xfId="5743"/>
    <cellStyle name="Normal 3 2 3 7 2 2 2" xfId="21843"/>
    <cellStyle name="Normal 3 2 3 7 2 2 2 2" xfId="44430"/>
    <cellStyle name="Normal 3 2 3 7 2 2 3" xfId="12183"/>
    <cellStyle name="Normal 3 2 3 7 2 2 3 2" xfId="34770"/>
    <cellStyle name="Normal 3 2 3 7 2 2 4" xfId="28330"/>
    <cellStyle name="Normal 3 2 3 7 2 3" xfId="18623"/>
    <cellStyle name="Normal 3 2 3 7 2 3 2" xfId="41210"/>
    <cellStyle name="Normal 3 2 3 7 2 4" xfId="15403"/>
    <cellStyle name="Normal 3 2 3 7 2 4 2" xfId="37990"/>
    <cellStyle name="Normal 3 2 3 7 2 5" xfId="8963"/>
    <cellStyle name="Normal 3 2 3 7 2 5 2" xfId="31550"/>
    <cellStyle name="Normal 3 2 3 7 2 6" xfId="25110"/>
    <cellStyle name="Normal 3 2 3 7 3" xfId="4435"/>
    <cellStyle name="Normal 3 2 3 7 3 2" xfId="20535"/>
    <cellStyle name="Normal 3 2 3 7 3 2 2" xfId="43122"/>
    <cellStyle name="Normal 3 2 3 7 3 3" xfId="10875"/>
    <cellStyle name="Normal 3 2 3 7 3 3 2" xfId="33462"/>
    <cellStyle name="Normal 3 2 3 7 3 4" xfId="27022"/>
    <cellStyle name="Normal 3 2 3 7 4" xfId="17315"/>
    <cellStyle name="Normal 3 2 3 7 4 2" xfId="39902"/>
    <cellStyle name="Normal 3 2 3 7 5" xfId="14095"/>
    <cellStyle name="Normal 3 2 3 7 5 2" xfId="36682"/>
    <cellStyle name="Normal 3 2 3 7 6" xfId="7655"/>
    <cellStyle name="Normal 3 2 3 7 6 2" xfId="30242"/>
    <cellStyle name="Normal 3 2 3 7 7" xfId="23802"/>
    <cellStyle name="Normal 3 2 3 8" xfId="1653"/>
    <cellStyle name="Normal 3 2 3 8 2" xfId="4876"/>
    <cellStyle name="Normal 3 2 3 8 2 2" xfId="20976"/>
    <cellStyle name="Normal 3 2 3 8 2 2 2" xfId="43563"/>
    <cellStyle name="Normal 3 2 3 8 2 3" xfId="11316"/>
    <cellStyle name="Normal 3 2 3 8 2 3 2" xfId="33903"/>
    <cellStyle name="Normal 3 2 3 8 2 4" xfId="27463"/>
    <cellStyle name="Normal 3 2 3 8 3" xfId="17756"/>
    <cellStyle name="Normal 3 2 3 8 3 2" xfId="40343"/>
    <cellStyle name="Normal 3 2 3 8 4" xfId="14536"/>
    <cellStyle name="Normal 3 2 3 8 4 2" xfId="37123"/>
    <cellStyle name="Normal 3 2 3 8 5" xfId="8096"/>
    <cellStyle name="Normal 3 2 3 8 5 2" xfId="30683"/>
    <cellStyle name="Normal 3 2 3 8 6" xfId="24243"/>
    <cellStyle name="Normal 3 2 3 9" xfId="1827"/>
    <cellStyle name="Normal 3 2 3 9 2" xfId="5049"/>
    <cellStyle name="Normal 3 2 3 9 2 2" xfId="21149"/>
    <cellStyle name="Normal 3 2 3 9 2 2 2" xfId="43736"/>
    <cellStyle name="Normal 3 2 3 9 2 3" xfId="11489"/>
    <cellStyle name="Normal 3 2 3 9 2 3 2" xfId="34076"/>
    <cellStyle name="Normal 3 2 3 9 2 4" xfId="27636"/>
    <cellStyle name="Normal 3 2 3 9 3" xfId="17929"/>
    <cellStyle name="Normal 3 2 3 9 3 2" xfId="40516"/>
    <cellStyle name="Normal 3 2 3 9 4" xfId="14709"/>
    <cellStyle name="Normal 3 2 3 9 4 2" xfId="37296"/>
    <cellStyle name="Normal 3 2 3 9 5" xfId="8269"/>
    <cellStyle name="Normal 3 2 3 9 5 2" xfId="30856"/>
    <cellStyle name="Normal 3 2 3 9 6" xfId="24416"/>
    <cellStyle name="Normal 3 2 4" xfId="133"/>
    <cellStyle name="Normal 3 2 4 10" xfId="471"/>
    <cellStyle name="Normal 3 2 4 10 2" xfId="3758"/>
    <cellStyle name="Normal 3 2 4 10 2 2" xfId="19858"/>
    <cellStyle name="Normal 3 2 4 10 2 2 2" xfId="42445"/>
    <cellStyle name="Normal 3 2 4 10 2 3" xfId="10198"/>
    <cellStyle name="Normal 3 2 4 10 2 3 2" xfId="32785"/>
    <cellStyle name="Normal 3 2 4 10 2 4" xfId="26345"/>
    <cellStyle name="Normal 3 2 4 10 3" xfId="16638"/>
    <cellStyle name="Normal 3 2 4 10 3 2" xfId="39225"/>
    <cellStyle name="Normal 3 2 4 10 4" xfId="13418"/>
    <cellStyle name="Normal 3 2 4 10 4 2" xfId="36005"/>
    <cellStyle name="Normal 3 2 4 10 5" xfId="6978"/>
    <cellStyle name="Normal 3 2 4 10 5 2" xfId="29565"/>
    <cellStyle name="Normal 3 2 4 10 6" xfId="23125"/>
    <cellStyle name="Normal 3 2 4 11" xfId="3468"/>
    <cellStyle name="Normal 3 2 4 11 2" xfId="19568"/>
    <cellStyle name="Normal 3 2 4 11 2 2" xfId="42155"/>
    <cellStyle name="Normal 3 2 4 11 3" xfId="9908"/>
    <cellStyle name="Normal 3 2 4 11 3 2" xfId="32495"/>
    <cellStyle name="Normal 3 2 4 11 4" xfId="26055"/>
    <cellStyle name="Normal 3 2 4 12" xfId="16348"/>
    <cellStyle name="Normal 3 2 4 12 2" xfId="38935"/>
    <cellStyle name="Normal 3 2 4 13" xfId="13128"/>
    <cellStyle name="Normal 3 2 4 13 2" xfId="35715"/>
    <cellStyle name="Normal 3 2 4 14" xfId="6688"/>
    <cellStyle name="Normal 3 2 4 14 2" xfId="29275"/>
    <cellStyle name="Normal 3 2 4 15" xfId="22835"/>
    <cellStyle name="Normal 3 2 4 2" xfId="257"/>
    <cellStyle name="Normal 3 2 4 2 10" xfId="16424"/>
    <cellStyle name="Normal 3 2 4 2 10 2" xfId="39011"/>
    <cellStyle name="Normal 3 2 4 2 11" xfId="13204"/>
    <cellStyle name="Normal 3 2 4 2 11 2" xfId="35791"/>
    <cellStyle name="Normal 3 2 4 2 12" xfId="6764"/>
    <cellStyle name="Normal 3 2 4 2 12 2" xfId="29351"/>
    <cellStyle name="Normal 3 2 4 2 13" xfId="22911"/>
    <cellStyle name="Normal 3 2 4 2 2" xfId="997"/>
    <cellStyle name="Normal 3 2 4 2 2 2" xfId="1654"/>
    <cellStyle name="Normal 3 2 4 2 2 2 2" xfId="4877"/>
    <cellStyle name="Normal 3 2 4 2 2 2 2 2" xfId="20977"/>
    <cellStyle name="Normal 3 2 4 2 2 2 2 2 2" xfId="43564"/>
    <cellStyle name="Normal 3 2 4 2 2 2 2 3" xfId="11317"/>
    <cellStyle name="Normal 3 2 4 2 2 2 2 3 2" xfId="33904"/>
    <cellStyle name="Normal 3 2 4 2 2 2 2 4" xfId="27464"/>
    <cellStyle name="Normal 3 2 4 2 2 2 3" xfId="17757"/>
    <cellStyle name="Normal 3 2 4 2 2 2 3 2" xfId="40344"/>
    <cellStyle name="Normal 3 2 4 2 2 2 4" xfId="14537"/>
    <cellStyle name="Normal 3 2 4 2 2 2 4 2" xfId="37124"/>
    <cellStyle name="Normal 3 2 4 2 2 2 5" xfId="8097"/>
    <cellStyle name="Normal 3 2 4 2 2 2 5 2" xfId="30684"/>
    <cellStyle name="Normal 3 2 4 2 2 2 6" xfId="24244"/>
    <cellStyle name="Normal 3 2 4 2 2 3" xfId="2311"/>
    <cellStyle name="Normal 3 2 4 2 2 3 2" xfId="5532"/>
    <cellStyle name="Normal 3 2 4 2 2 3 2 2" xfId="21632"/>
    <cellStyle name="Normal 3 2 4 2 2 3 2 2 2" xfId="44219"/>
    <cellStyle name="Normal 3 2 4 2 2 3 2 3" xfId="11972"/>
    <cellStyle name="Normal 3 2 4 2 2 3 2 3 2" xfId="34559"/>
    <cellStyle name="Normal 3 2 4 2 2 3 2 4" xfId="28119"/>
    <cellStyle name="Normal 3 2 4 2 2 3 3" xfId="18412"/>
    <cellStyle name="Normal 3 2 4 2 2 3 3 2" xfId="40999"/>
    <cellStyle name="Normal 3 2 4 2 2 3 4" xfId="15192"/>
    <cellStyle name="Normal 3 2 4 2 2 3 4 2" xfId="37779"/>
    <cellStyle name="Normal 3 2 4 2 2 3 5" xfId="8752"/>
    <cellStyle name="Normal 3 2 4 2 2 3 5 2" xfId="31339"/>
    <cellStyle name="Normal 3 2 4 2 2 3 6" xfId="24899"/>
    <cellStyle name="Normal 3 2 4 2 2 4" xfId="4224"/>
    <cellStyle name="Normal 3 2 4 2 2 4 2" xfId="20324"/>
    <cellStyle name="Normal 3 2 4 2 2 4 2 2" xfId="42911"/>
    <cellStyle name="Normal 3 2 4 2 2 4 3" xfId="10664"/>
    <cellStyle name="Normal 3 2 4 2 2 4 3 2" xfId="33251"/>
    <cellStyle name="Normal 3 2 4 2 2 4 4" xfId="26811"/>
    <cellStyle name="Normal 3 2 4 2 2 5" xfId="17104"/>
    <cellStyle name="Normal 3 2 4 2 2 5 2" xfId="39691"/>
    <cellStyle name="Normal 3 2 4 2 2 6" xfId="13884"/>
    <cellStyle name="Normal 3 2 4 2 2 6 2" xfId="36471"/>
    <cellStyle name="Normal 3 2 4 2 2 7" xfId="7444"/>
    <cellStyle name="Normal 3 2 4 2 2 7 2" xfId="30031"/>
    <cellStyle name="Normal 3 2 4 2 2 8" xfId="23591"/>
    <cellStyle name="Normal 3 2 4 2 3" xfId="1344"/>
    <cellStyle name="Normal 3 2 4 2 3 2" xfId="2658"/>
    <cellStyle name="Normal 3 2 4 2 3 2 2" xfId="5879"/>
    <cellStyle name="Normal 3 2 4 2 3 2 2 2" xfId="21979"/>
    <cellStyle name="Normal 3 2 4 2 3 2 2 2 2" xfId="44566"/>
    <cellStyle name="Normal 3 2 4 2 3 2 2 3" xfId="12319"/>
    <cellStyle name="Normal 3 2 4 2 3 2 2 3 2" xfId="34906"/>
    <cellStyle name="Normal 3 2 4 2 3 2 2 4" xfId="28466"/>
    <cellStyle name="Normal 3 2 4 2 3 2 3" xfId="18759"/>
    <cellStyle name="Normal 3 2 4 2 3 2 3 2" xfId="41346"/>
    <cellStyle name="Normal 3 2 4 2 3 2 4" xfId="15539"/>
    <cellStyle name="Normal 3 2 4 2 3 2 4 2" xfId="38126"/>
    <cellStyle name="Normal 3 2 4 2 3 2 5" xfId="9099"/>
    <cellStyle name="Normal 3 2 4 2 3 2 5 2" xfId="31686"/>
    <cellStyle name="Normal 3 2 4 2 3 2 6" xfId="25246"/>
    <cellStyle name="Normal 3 2 4 2 3 3" xfId="4571"/>
    <cellStyle name="Normal 3 2 4 2 3 3 2" xfId="20671"/>
    <cellStyle name="Normal 3 2 4 2 3 3 2 2" xfId="43258"/>
    <cellStyle name="Normal 3 2 4 2 3 3 3" xfId="11011"/>
    <cellStyle name="Normal 3 2 4 2 3 3 3 2" xfId="33598"/>
    <cellStyle name="Normal 3 2 4 2 3 3 4" xfId="27158"/>
    <cellStyle name="Normal 3 2 4 2 3 4" xfId="17451"/>
    <cellStyle name="Normal 3 2 4 2 3 4 2" xfId="40038"/>
    <cellStyle name="Normal 3 2 4 2 3 5" xfId="14231"/>
    <cellStyle name="Normal 3 2 4 2 3 5 2" xfId="36818"/>
    <cellStyle name="Normal 3 2 4 2 3 6" xfId="7791"/>
    <cellStyle name="Normal 3 2 4 2 3 6 2" xfId="30378"/>
    <cellStyle name="Normal 3 2 4 2 3 7" xfId="23938"/>
    <cellStyle name="Normal 3 2 4 2 4" xfId="1655"/>
    <cellStyle name="Normal 3 2 4 2 4 2" xfId="4878"/>
    <cellStyle name="Normal 3 2 4 2 4 2 2" xfId="20978"/>
    <cellStyle name="Normal 3 2 4 2 4 2 2 2" xfId="43565"/>
    <cellStyle name="Normal 3 2 4 2 4 2 3" xfId="11318"/>
    <cellStyle name="Normal 3 2 4 2 4 2 3 2" xfId="33905"/>
    <cellStyle name="Normal 3 2 4 2 4 2 4" xfId="27465"/>
    <cellStyle name="Normal 3 2 4 2 4 3" xfId="17758"/>
    <cellStyle name="Normal 3 2 4 2 4 3 2" xfId="40345"/>
    <cellStyle name="Normal 3 2 4 2 4 4" xfId="14538"/>
    <cellStyle name="Normal 3 2 4 2 4 4 2" xfId="37125"/>
    <cellStyle name="Normal 3 2 4 2 4 5" xfId="8098"/>
    <cellStyle name="Normal 3 2 4 2 4 5 2" xfId="30685"/>
    <cellStyle name="Normal 3 2 4 2 4 6" xfId="24245"/>
    <cellStyle name="Normal 3 2 4 2 5" xfId="1963"/>
    <cellStyle name="Normal 3 2 4 2 5 2" xfId="5185"/>
    <cellStyle name="Normal 3 2 4 2 5 2 2" xfId="21285"/>
    <cellStyle name="Normal 3 2 4 2 5 2 2 2" xfId="43872"/>
    <cellStyle name="Normal 3 2 4 2 5 2 3" xfId="11625"/>
    <cellStyle name="Normal 3 2 4 2 5 2 3 2" xfId="34212"/>
    <cellStyle name="Normal 3 2 4 2 5 2 4" xfId="27772"/>
    <cellStyle name="Normal 3 2 4 2 5 3" xfId="18065"/>
    <cellStyle name="Normal 3 2 4 2 5 3 2" xfId="40652"/>
    <cellStyle name="Normal 3 2 4 2 5 4" xfId="14845"/>
    <cellStyle name="Normal 3 2 4 2 5 4 2" xfId="37432"/>
    <cellStyle name="Normal 3 2 4 2 5 5" xfId="8405"/>
    <cellStyle name="Normal 3 2 4 2 5 5 2" xfId="30992"/>
    <cellStyle name="Normal 3 2 4 2 5 6" xfId="24552"/>
    <cellStyle name="Normal 3 2 4 2 6" xfId="2964"/>
    <cellStyle name="Normal 3 2 4 2 6 2" xfId="6184"/>
    <cellStyle name="Normal 3 2 4 2 6 2 2" xfId="22284"/>
    <cellStyle name="Normal 3 2 4 2 6 2 2 2" xfId="44871"/>
    <cellStyle name="Normal 3 2 4 2 6 2 3" xfId="12624"/>
    <cellStyle name="Normal 3 2 4 2 6 2 3 2" xfId="35211"/>
    <cellStyle name="Normal 3 2 4 2 6 2 4" xfId="28771"/>
    <cellStyle name="Normal 3 2 4 2 6 3" xfId="19064"/>
    <cellStyle name="Normal 3 2 4 2 6 3 2" xfId="41651"/>
    <cellStyle name="Normal 3 2 4 2 6 4" xfId="15844"/>
    <cellStyle name="Normal 3 2 4 2 6 4 2" xfId="38431"/>
    <cellStyle name="Normal 3 2 4 2 6 5" xfId="9404"/>
    <cellStyle name="Normal 3 2 4 2 6 5 2" xfId="31991"/>
    <cellStyle name="Normal 3 2 4 2 6 6" xfId="25551"/>
    <cellStyle name="Normal 3 2 4 2 7" xfId="3254"/>
    <cellStyle name="Normal 3 2 4 2 7 2" xfId="6474"/>
    <cellStyle name="Normal 3 2 4 2 7 2 2" xfId="22574"/>
    <cellStyle name="Normal 3 2 4 2 7 2 2 2" xfId="45161"/>
    <cellStyle name="Normal 3 2 4 2 7 2 3" xfId="12914"/>
    <cellStyle name="Normal 3 2 4 2 7 2 3 2" xfId="35501"/>
    <cellStyle name="Normal 3 2 4 2 7 2 4" xfId="29061"/>
    <cellStyle name="Normal 3 2 4 2 7 3" xfId="19354"/>
    <cellStyle name="Normal 3 2 4 2 7 3 2" xfId="41941"/>
    <cellStyle name="Normal 3 2 4 2 7 4" xfId="16134"/>
    <cellStyle name="Normal 3 2 4 2 7 4 2" xfId="38721"/>
    <cellStyle name="Normal 3 2 4 2 7 5" xfId="9694"/>
    <cellStyle name="Normal 3 2 4 2 7 5 2" xfId="32281"/>
    <cellStyle name="Normal 3 2 4 2 7 6" xfId="25841"/>
    <cellStyle name="Normal 3 2 4 2 8" xfId="633"/>
    <cellStyle name="Normal 3 2 4 2 8 2" xfId="3877"/>
    <cellStyle name="Normal 3 2 4 2 8 2 2" xfId="19977"/>
    <cellStyle name="Normal 3 2 4 2 8 2 2 2" xfId="42564"/>
    <cellStyle name="Normal 3 2 4 2 8 2 3" xfId="10317"/>
    <cellStyle name="Normal 3 2 4 2 8 2 3 2" xfId="32904"/>
    <cellStyle name="Normal 3 2 4 2 8 2 4" xfId="26464"/>
    <cellStyle name="Normal 3 2 4 2 8 3" xfId="16757"/>
    <cellStyle name="Normal 3 2 4 2 8 3 2" xfId="39344"/>
    <cellStyle name="Normal 3 2 4 2 8 4" xfId="13537"/>
    <cellStyle name="Normal 3 2 4 2 8 4 2" xfId="36124"/>
    <cellStyle name="Normal 3 2 4 2 8 5" xfId="7097"/>
    <cellStyle name="Normal 3 2 4 2 8 5 2" xfId="29684"/>
    <cellStyle name="Normal 3 2 4 2 8 6" xfId="23244"/>
    <cellStyle name="Normal 3 2 4 2 9" xfId="3544"/>
    <cellStyle name="Normal 3 2 4 2 9 2" xfId="19644"/>
    <cellStyle name="Normal 3 2 4 2 9 2 2" xfId="42231"/>
    <cellStyle name="Normal 3 2 4 2 9 3" xfId="9984"/>
    <cellStyle name="Normal 3 2 4 2 9 3 2" xfId="32571"/>
    <cellStyle name="Normal 3 2 4 2 9 4" xfId="26131"/>
    <cellStyle name="Normal 3 2 4 3" xfId="374"/>
    <cellStyle name="Normal 3 2 4 3 10" xfId="16541"/>
    <cellStyle name="Normal 3 2 4 3 10 2" xfId="39128"/>
    <cellStyle name="Normal 3 2 4 3 11" xfId="13321"/>
    <cellStyle name="Normal 3 2 4 3 11 2" xfId="35908"/>
    <cellStyle name="Normal 3 2 4 3 12" xfId="6881"/>
    <cellStyle name="Normal 3 2 4 3 12 2" xfId="29468"/>
    <cellStyle name="Normal 3 2 4 3 13" xfId="23028"/>
    <cellStyle name="Normal 3 2 4 3 2" xfId="1158"/>
    <cellStyle name="Normal 3 2 4 3 2 2" xfId="2472"/>
    <cellStyle name="Normal 3 2 4 3 2 2 2" xfId="5693"/>
    <cellStyle name="Normal 3 2 4 3 2 2 2 2" xfId="21793"/>
    <cellStyle name="Normal 3 2 4 3 2 2 2 2 2" xfId="44380"/>
    <cellStyle name="Normal 3 2 4 3 2 2 2 3" xfId="12133"/>
    <cellStyle name="Normal 3 2 4 3 2 2 2 3 2" xfId="34720"/>
    <cellStyle name="Normal 3 2 4 3 2 2 2 4" xfId="28280"/>
    <cellStyle name="Normal 3 2 4 3 2 2 3" xfId="18573"/>
    <cellStyle name="Normal 3 2 4 3 2 2 3 2" xfId="41160"/>
    <cellStyle name="Normal 3 2 4 3 2 2 4" xfId="15353"/>
    <cellStyle name="Normal 3 2 4 3 2 2 4 2" xfId="37940"/>
    <cellStyle name="Normal 3 2 4 3 2 2 5" xfId="8913"/>
    <cellStyle name="Normal 3 2 4 3 2 2 5 2" xfId="31500"/>
    <cellStyle name="Normal 3 2 4 3 2 2 6" xfId="25060"/>
    <cellStyle name="Normal 3 2 4 3 2 3" xfId="4385"/>
    <cellStyle name="Normal 3 2 4 3 2 3 2" xfId="20485"/>
    <cellStyle name="Normal 3 2 4 3 2 3 2 2" xfId="43072"/>
    <cellStyle name="Normal 3 2 4 3 2 3 3" xfId="10825"/>
    <cellStyle name="Normal 3 2 4 3 2 3 3 2" xfId="33412"/>
    <cellStyle name="Normal 3 2 4 3 2 3 4" xfId="26972"/>
    <cellStyle name="Normal 3 2 4 3 2 4" xfId="17265"/>
    <cellStyle name="Normal 3 2 4 3 2 4 2" xfId="39852"/>
    <cellStyle name="Normal 3 2 4 3 2 5" xfId="14045"/>
    <cellStyle name="Normal 3 2 4 3 2 5 2" xfId="36632"/>
    <cellStyle name="Normal 3 2 4 3 2 6" xfId="7605"/>
    <cellStyle name="Normal 3 2 4 3 2 6 2" xfId="30192"/>
    <cellStyle name="Normal 3 2 4 3 2 7" xfId="23752"/>
    <cellStyle name="Normal 3 2 4 3 3" xfId="1505"/>
    <cellStyle name="Normal 3 2 4 3 3 2" xfId="2819"/>
    <cellStyle name="Normal 3 2 4 3 3 2 2" xfId="6040"/>
    <cellStyle name="Normal 3 2 4 3 3 2 2 2" xfId="22140"/>
    <cellStyle name="Normal 3 2 4 3 3 2 2 2 2" xfId="44727"/>
    <cellStyle name="Normal 3 2 4 3 3 2 2 3" xfId="12480"/>
    <cellStyle name="Normal 3 2 4 3 3 2 2 3 2" xfId="35067"/>
    <cellStyle name="Normal 3 2 4 3 3 2 2 4" xfId="28627"/>
    <cellStyle name="Normal 3 2 4 3 3 2 3" xfId="18920"/>
    <cellStyle name="Normal 3 2 4 3 3 2 3 2" xfId="41507"/>
    <cellStyle name="Normal 3 2 4 3 3 2 4" xfId="15700"/>
    <cellStyle name="Normal 3 2 4 3 3 2 4 2" xfId="38287"/>
    <cellStyle name="Normal 3 2 4 3 3 2 5" xfId="9260"/>
    <cellStyle name="Normal 3 2 4 3 3 2 5 2" xfId="31847"/>
    <cellStyle name="Normal 3 2 4 3 3 2 6" xfId="25407"/>
    <cellStyle name="Normal 3 2 4 3 3 3" xfId="4732"/>
    <cellStyle name="Normal 3 2 4 3 3 3 2" xfId="20832"/>
    <cellStyle name="Normal 3 2 4 3 3 3 2 2" xfId="43419"/>
    <cellStyle name="Normal 3 2 4 3 3 3 3" xfId="11172"/>
    <cellStyle name="Normal 3 2 4 3 3 3 3 2" xfId="33759"/>
    <cellStyle name="Normal 3 2 4 3 3 3 4" xfId="27319"/>
    <cellStyle name="Normal 3 2 4 3 3 4" xfId="17612"/>
    <cellStyle name="Normal 3 2 4 3 3 4 2" xfId="40199"/>
    <cellStyle name="Normal 3 2 4 3 3 5" xfId="14392"/>
    <cellStyle name="Normal 3 2 4 3 3 5 2" xfId="36979"/>
    <cellStyle name="Normal 3 2 4 3 3 6" xfId="7952"/>
    <cellStyle name="Normal 3 2 4 3 3 6 2" xfId="30539"/>
    <cellStyle name="Normal 3 2 4 3 3 7" xfId="24099"/>
    <cellStyle name="Normal 3 2 4 3 4" xfId="1656"/>
    <cellStyle name="Normal 3 2 4 3 4 2" xfId="4879"/>
    <cellStyle name="Normal 3 2 4 3 4 2 2" xfId="20979"/>
    <cellStyle name="Normal 3 2 4 3 4 2 2 2" xfId="43566"/>
    <cellStyle name="Normal 3 2 4 3 4 2 3" xfId="11319"/>
    <cellStyle name="Normal 3 2 4 3 4 2 3 2" xfId="33906"/>
    <cellStyle name="Normal 3 2 4 3 4 2 4" xfId="27466"/>
    <cellStyle name="Normal 3 2 4 3 4 3" xfId="17759"/>
    <cellStyle name="Normal 3 2 4 3 4 3 2" xfId="40346"/>
    <cellStyle name="Normal 3 2 4 3 4 4" xfId="14539"/>
    <cellStyle name="Normal 3 2 4 3 4 4 2" xfId="37126"/>
    <cellStyle name="Normal 3 2 4 3 4 5" xfId="8099"/>
    <cellStyle name="Normal 3 2 4 3 4 5 2" xfId="30686"/>
    <cellStyle name="Normal 3 2 4 3 4 6" xfId="24246"/>
    <cellStyle name="Normal 3 2 4 3 5" xfId="2125"/>
    <cellStyle name="Normal 3 2 4 3 5 2" xfId="5346"/>
    <cellStyle name="Normal 3 2 4 3 5 2 2" xfId="21446"/>
    <cellStyle name="Normal 3 2 4 3 5 2 2 2" xfId="44033"/>
    <cellStyle name="Normal 3 2 4 3 5 2 3" xfId="11786"/>
    <cellStyle name="Normal 3 2 4 3 5 2 3 2" xfId="34373"/>
    <cellStyle name="Normal 3 2 4 3 5 2 4" xfId="27933"/>
    <cellStyle name="Normal 3 2 4 3 5 3" xfId="18226"/>
    <cellStyle name="Normal 3 2 4 3 5 3 2" xfId="40813"/>
    <cellStyle name="Normal 3 2 4 3 5 4" xfId="15006"/>
    <cellStyle name="Normal 3 2 4 3 5 4 2" xfId="37593"/>
    <cellStyle name="Normal 3 2 4 3 5 5" xfId="8566"/>
    <cellStyle name="Normal 3 2 4 3 5 5 2" xfId="31153"/>
    <cellStyle name="Normal 3 2 4 3 5 6" xfId="24713"/>
    <cellStyle name="Normal 3 2 4 3 6" xfId="3081"/>
    <cellStyle name="Normal 3 2 4 3 6 2" xfId="6301"/>
    <cellStyle name="Normal 3 2 4 3 6 2 2" xfId="22401"/>
    <cellStyle name="Normal 3 2 4 3 6 2 2 2" xfId="44988"/>
    <cellStyle name="Normal 3 2 4 3 6 2 3" xfId="12741"/>
    <cellStyle name="Normal 3 2 4 3 6 2 3 2" xfId="35328"/>
    <cellStyle name="Normal 3 2 4 3 6 2 4" xfId="28888"/>
    <cellStyle name="Normal 3 2 4 3 6 3" xfId="19181"/>
    <cellStyle name="Normal 3 2 4 3 6 3 2" xfId="41768"/>
    <cellStyle name="Normal 3 2 4 3 6 4" xfId="15961"/>
    <cellStyle name="Normal 3 2 4 3 6 4 2" xfId="38548"/>
    <cellStyle name="Normal 3 2 4 3 6 5" xfId="9521"/>
    <cellStyle name="Normal 3 2 4 3 6 5 2" xfId="32108"/>
    <cellStyle name="Normal 3 2 4 3 6 6" xfId="25668"/>
    <cellStyle name="Normal 3 2 4 3 7" xfId="3371"/>
    <cellStyle name="Normal 3 2 4 3 7 2" xfId="6591"/>
    <cellStyle name="Normal 3 2 4 3 7 2 2" xfId="22691"/>
    <cellStyle name="Normal 3 2 4 3 7 2 2 2" xfId="45278"/>
    <cellStyle name="Normal 3 2 4 3 7 2 3" xfId="13031"/>
    <cellStyle name="Normal 3 2 4 3 7 2 3 2" xfId="35618"/>
    <cellStyle name="Normal 3 2 4 3 7 2 4" xfId="29178"/>
    <cellStyle name="Normal 3 2 4 3 7 3" xfId="19471"/>
    <cellStyle name="Normal 3 2 4 3 7 3 2" xfId="42058"/>
    <cellStyle name="Normal 3 2 4 3 7 4" xfId="16251"/>
    <cellStyle name="Normal 3 2 4 3 7 4 2" xfId="38838"/>
    <cellStyle name="Normal 3 2 4 3 7 5" xfId="9811"/>
    <cellStyle name="Normal 3 2 4 3 7 5 2" xfId="32398"/>
    <cellStyle name="Normal 3 2 4 3 7 6" xfId="25958"/>
    <cellStyle name="Normal 3 2 4 3 8" xfId="806"/>
    <cellStyle name="Normal 3 2 4 3 8 2" xfId="4038"/>
    <cellStyle name="Normal 3 2 4 3 8 2 2" xfId="20138"/>
    <cellStyle name="Normal 3 2 4 3 8 2 2 2" xfId="42725"/>
    <cellStyle name="Normal 3 2 4 3 8 2 3" xfId="10478"/>
    <cellStyle name="Normal 3 2 4 3 8 2 3 2" xfId="33065"/>
    <cellStyle name="Normal 3 2 4 3 8 2 4" xfId="26625"/>
    <cellStyle name="Normal 3 2 4 3 8 3" xfId="16918"/>
    <cellStyle name="Normal 3 2 4 3 8 3 2" xfId="39505"/>
    <cellStyle name="Normal 3 2 4 3 8 4" xfId="13698"/>
    <cellStyle name="Normal 3 2 4 3 8 4 2" xfId="36285"/>
    <cellStyle name="Normal 3 2 4 3 8 5" xfId="7258"/>
    <cellStyle name="Normal 3 2 4 3 8 5 2" xfId="29845"/>
    <cellStyle name="Normal 3 2 4 3 8 6" xfId="23405"/>
    <cellStyle name="Normal 3 2 4 3 9" xfId="3661"/>
    <cellStyle name="Normal 3 2 4 3 9 2" xfId="19761"/>
    <cellStyle name="Normal 3 2 4 3 9 2 2" xfId="42348"/>
    <cellStyle name="Normal 3 2 4 3 9 3" xfId="10101"/>
    <cellStyle name="Normal 3 2 4 3 9 3 2" xfId="32688"/>
    <cellStyle name="Normal 3 2 4 3 9 4" xfId="26248"/>
    <cellStyle name="Normal 3 2 4 4" xfId="873"/>
    <cellStyle name="Normal 3 2 4 4 2" xfId="1657"/>
    <cellStyle name="Normal 3 2 4 4 2 2" xfId="4880"/>
    <cellStyle name="Normal 3 2 4 4 2 2 2" xfId="20980"/>
    <cellStyle name="Normal 3 2 4 4 2 2 2 2" xfId="43567"/>
    <cellStyle name="Normal 3 2 4 4 2 2 3" xfId="11320"/>
    <cellStyle name="Normal 3 2 4 4 2 2 3 2" xfId="33907"/>
    <cellStyle name="Normal 3 2 4 4 2 2 4" xfId="27467"/>
    <cellStyle name="Normal 3 2 4 4 2 3" xfId="17760"/>
    <cellStyle name="Normal 3 2 4 4 2 3 2" xfId="40347"/>
    <cellStyle name="Normal 3 2 4 4 2 4" xfId="14540"/>
    <cellStyle name="Normal 3 2 4 4 2 4 2" xfId="37127"/>
    <cellStyle name="Normal 3 2 4 4 2 5" xfId="8100"/>
    <cellStyle name="Normal 3 2 4 4 2 5 2" xfId="30687"/>
    <cellStyle name="Normal 3 2 4 4 2 6" xfId="24247"/>
    <cellStyle name="Normal 3 2 4 4 3" xfId="2192"/>
    <cellStyle name="Normal 3 2 4 4 3 2" xfId="5413"/>
    <cellStyle name="Normal 3 2 4 4 3 2 2" xfId="21513"/>
    <cellStyle name="Normal 3 2 4 4 3 2 2 2" xfId="44100"/>
    <cellStyle name="Normal 3 2 4 4 3 2 3" xfId="11853"/>
    <cellStyle name="Normal 3 2 4 4 3 2 3 2" xfId="34440"/>
    <cellStyle name="Normal 3 2 4 4 3 2 4" xfId="28000"/>
    <cellStyle name="Normal 3 2 4 4 3 3" xfId="18293"/>
    <cellStyle name="Normal 3 2 4 4 3 3 2" xfId="40880"/>
    <cellStyle name="Normal 3 2 4 4 3 4" xfId="15073"/>
    <cellStyle name="Normal 3 2 4 4 3 4 2" xfId="37660"/>
    <cellStyle name="Normal 3 2 4 4 3 5" xfId="8633"/>
    <cellStyle name="Normal 3 2 4 4 3 5 2" xfId="31220"/>
    <cellStyle name="Normal 3 2 4 4 3 6" xfId="24780"/>
    <cellStyle name="Normal 3 2 4 4 4" xfId="4105"/>
    <cellStyle name="Normal 3 2 4 4 4 2" xfId="20205"/>
    <cellStyle name="Normal 3 2 4 4 4 2 2" xfId="42792"/>
    <cellStyle name="Normal 3 2 4 4 4 3" xfId="10545"/>
    <cellStyle name="Normal 3 2 4 4 4 3 2" xfId="33132"/>
    <cellStyle name="Normal 3 2 4 4 4 4" xfId="26692"/>
    <cellStyle name="Normal 3 2 4 4 5" xfId="16985"/>
    <cellStyle name="Normal 3 2 4 4 5 2" xfId="39572"/>
    <cellStyle name="Normal 3 2 4 4 6" xfId="13765"/>
    <cellStyle name="Normal 3 2 4 4 6 2" xfId="36352"/>
    <cellStyle name="Normal 3 2 4 4 7" xfId="7325"/>
    <cellStyle name="Normal 3 2 4 4 7 2" xfId="29912"/>
    <cellStyle name="Normal 3 2 4 4 8" xfId="23472"/>
    <cellStyle name="Normal 3 2 4 5" xfId="1225"/>
    <cellStyle name="Normal 3 2 4 5 2" xfId="2539"/>
    <cellStyle name="Normal 3 2 4 5 2 2" xfId="5760"/>
    <cellStyle name="Normal 3 2 4 5 2 2 2" xfId="21860"/>
    <cellStyle name="Normal 3 2 4 5 2 2 2 2" xfId="44447"/>
    <cellStyle name="Normal 3 2 4 5 2 2 3" xfId="12200"/>
    <cellStyle name="Normal 3 2 4 5 2 2 3 2" xfId="34787"/>
    <cellStyle name="Normal 3 2 4 5 2 2 4" xfId="28347"/>
    <cellStyle name="Normal 3 2 4 5 2 3" xfId="18640"/>
    <cellStyle name="Normal 3 2 4 5 2 3 2" xfId="41227"/>
    <cellStyle name="Normal 3 2 4 5 2 4" xfId="15420"/>
    <cellStyle name="Normal 3 2 4 5 2 4 2" xfId="38007"/>
    <cellStyle name="Normal 3 2 4 5 2 5" xfId="8980"/>
    <cellStyle name="Normal 3 2 4 5 2 5 2" xfId="31567"/>
    <cellStyle name="Normal 3 2 4 5 2 6" xfId="25127"/>
    <cellStyle name="Normal 3 2 4 5 3" xfId="4452"/>
    <cellStyle name="Normal 3 2 4 5 3 2" xfId="20552"/>
    <cellStyle name="Normal 3 2 4 5 3 2 2" xfId="43139"/>
    <cellStyle name="Normal 3 2 4 5 3 3" xfId="10892"/>
    <cellStyle name="Normal 3 2 4 5 3 3 2" xfId="33479"/>
    <cellStyle name="Normal 3 2 4 5 3 4" xfId="27039"/>
    <cellStyle name="Normal 3 2 4 5 4" xfId="17332"/>
    <cellStyle name="Normal 3 2 4 5 4 2" xfId="39919"/>
    <cellStyle name="Normal 3 2 4 5 5" xfId="14112"/>
    <cellStyle name="Normal 3 2 4 5 5 2" xfId="36699"/>
    <cellStyle name="Normal 3 2 4 5 6" xfId="7672"/>
    <cellStyle name="Normal 3 2 4 5 6 2" xfId="30259"/>
    <cellStyle name="Normal 3 2 4 5 7" xfId="23819"/>
    <cellStyle name="Normal 3 2 4 6" xfId="1658"/>
    <cellStyle name="Normal 3 2 4 6 2" xfId="4881"/>
    <cellStyle name="Normal 3 2 4 6 2 2" xfId="20981"/>
    <cellStyle name="Normal 3 2 4 6 2 2 2" xfId="43568"/>
    <cellStyle name="Normal 3 2 4 6 2 3" xfId="11321"/>
    <cellStyle name="Normal 3 2 4 6 2 3 2" xfId="33908"/>
    <cellStyle name="Normal 3 2 4 6 2 4" xfId="27468"/>
    <cellStyle name="Normal 3 2 4 6 3" xfId="17761"/>
    <cellStyle name="Normal 3 2 4 6 3 2" xfId="40348"/>
    <cellStyle name="Normal 3 2 4 6 4" xfId="14541"/>
    <cellStyle name="Normal 3 2 4 6 4 2" xfId="37128"/>
    <cellStyle name="Normal 3 2 4 6 5" xfId="8101"/>
    <cellStyle name="Normal 3 2 4 6 5 2" xfId="30688"/>
    <cellStyle name="Normal 3 2 4 6 6" xfId="24248"/>
    <cellStyle name="Normal 3 2 4 7" xfId="1844"/>
    <cellStyle name="Normal 3 2 4 7 2" xfId="5066"/>
    <cellStyle name="Normal 3 2 4 7 2 2" xfId="21166"/>
    <cellStyle name="Normal 3 2 4 7 2 2 2" xfId="43753"/>
    <cellStyle name="Normal 3 2 4 7 2 3" xfId="11506"/>
    <cellStyle name="Normal 3 2 4 7 2 3 2" xfId="34093"/>
    <cellStyle name="Normal 3 2 4 7 2 4" xfId="27653"/>
    <cellStyle name="Normal 3 2 4 7 3" xfId="17946"/>
    <cellStyle name="Normal 3 2 4 7 3 2" xfId="40533"/>
    <cellStyle name="Normal 3 2 4 7 4" xfId="14726"/>
    <cellStyle name="Normal 3 2 4 7 4 2" xfId="37313"/>
    <cellStyle name="Normal 3 2 4 7 5" xfId="8286"/>
    <cellStyle name="Normal 3 2 4 7 5 2" xfId="30873"/>
    <cellStyle name="Normal 3 2 4 7 6" xfId="24433"/>
    <cellStyle name="Normal 3 2 4 8" xfId="2887"/>
    <cellStyle name="Normal 3 2 4 8 2" xfId="6108"/>
    <cellStyle name="Normal 3 2 4 8 2 2" xfId="22208"/>
    <cellStyle name="Normal 3 2 4 8 2 2 2" xfId="44795"/>
    <cellStyle name="Normal 3 2 4 8 2 3" xfId="12548"/>
    <cellStyle name="Normal 3 2 4 8 2 3 2" xfId="35135"/>
    <cellStyle name="Normal 3 2 4 8 2 4" xfId="28695"/>
    <cellStyle name="Normal 3 2 4 8 3" xfId="18988"/>
    <cellStyle name="Normal 3 2 4 8 3 2" xfId="41575"/>
    <cellStyle name="Normal 3 2 4 8 4" xfId="15768"/>
    <cellStyle name="Normal 3 2 4 8 4 2" xfId="38355"/>
    <cellStyle name="Normal 3 2 4 8 5" xfId="9328"/>
    <cellStyle name="Normal 3 2 4 8 5 2" xfId="31915"/>
    <cellStyle name="Normal 3 2 4 8 6" xfId="25475"/>
    <cellStyle name="Normal 3 2 4 9" xfId="3178"/>
    <cellStyle name="Normal 3 2 4 9 2" xfId="6398"/>
    <cellStyle name="Normal 3 2 4 9 2 2" xfId="22498"/>
    <cellStyle name="Normal 3 2 4 9 2 2 2" xfId="45085"/>
    <cellStyle name="Normal 3 2 4 9 2 3" xfId="12838"/>
    <cellStyle name="Normal 3 2 4 9 2 3 2" xfId="35425"/>
    <cellStyle name="Normal 3 2 4 9 2 4" xfId="28985"/>
    <cellStyle name="Normal 3 2 4 9 3" xfId="19278"/>
    <cellStyle name="Normal 3 2 4 9 3 2" xfId="41865"/>
    <cellStyle name="Normal 3 2 4 9 4" xfId="16058"/>
    <cellStyle name="Normal 3 2 4 9 4 2" xfId="38645"/>
    <cellStyle name="Normal 3 2 4 9 5" xfId="9618"/>
    <cellStyle name="Normal 3 2 4 9 5 2" xfId="32205"/>
    <cellStyle name="Normal 3 2 4 9 6" xfId="25765"/>
    <cellStyle name="Normal 3 2 5" xfId="224"/>
    <cellStyle name="Normal 3 2 5 10" xfId="511"/>
    <cellStyle name="Normal 3 2 5 10 2" xfId="3798"/>
    <cellStyle name="Normal 3 2 5 10 2 2" xfId="19898"/>
    <cellStyle name="Normal 3 2 5 10 2 2 2" xfId="42485"/>
    <cellStyle name="Normal 3 2 5 10 2 3" xfId="10238"/>
    <cellStyle name="Normal 3 2 5 10 2 3 2" xfId="32825"/>
    <cellStyle name="Normal 3 2 5 10 2 4" xfId="26385"/>
    <cellStyle name="Normal 3 2 5 10 3" xfId="16678"/>
    <cellStyle name="Normal 3 2 5 10 3 2" xfId="39265"/>
    <cellStyle name="Normal 3 2 5 10 4" xfId="13458"/>
    <cellStyle name="Normal 3 2 5 10 4 2" xfId="36045"/>
    <cellStyle name="Normal 3 2 5 10 5" xfId="7018"/>
    <cellStyle name="Normal 3 2 5 10 5 2" xfId="29605"/>
    <cellStyle name="Normal 3 2 5 10 6" xfId="23165"/>
    <cellStyle name="Normal 3 2 5 11" xfId="3512"/>
    <cellStyle name="Normal 3 2 5 11 2" xfId="19612"/>
    <cellStyle name="Normal 3 2 5 11 2 2" xfId="42199"/>
    <cellStyle name="Normal 3 2 5 11 3" xfId="9952"/>
    <cellStyle name="Normal 3 2 5 11 3 2" xfId="32539"/>
    <cellStyle name="Normal 3 2 5 11 4" xfId="26099"/>
    <cellStyle name="Normal 3 2 5 12" xfId="16392"/>
    <cellStyle name="Normal 3 2 5 12 2" xfId="38979"/>
    <cellStyle name="Normal 3 2 5 13" xfId="13172"/>
    <cellStyle name="Normal 3 2 5 13 2" xfId="35759"/>
    <cellStyle name="Normal 3 2 5 14" xfId="6732"/>
    <cellStyle name="Normal 3 2 5 14 2" xfId="29319"/>
    <cellStyle name="Normal 3 2 5 15" xfId="22879"/>
    <cellStyle name="Normal 3 2 5 2" xfId="322"/>
    <cellStyle name="Normal 3 2 5 2 10" xfId="16489"/>
    <cellStyle name="Normal 3 2 5 2 10 2" xfId="39076"/>
    <cellStyle name="Normal 3 2 5 2 11" xfId="13269"/>
    <cellStyle name="Normal 3 2 5 2 11 2" xfId="35856"/>
    <cellStyle name="Normal 3 2 5 2 12" xfId="6829"/>
    <cellStyle name="Normal 3 2 5 2 12 2" xfId="29416"/>
    <cellStyle name="Normal 3 2 5 2 13" xfId="22976"/>
    <cellStyle name="Normal 3 2 5 2 2" xfId="1034"/>
    <cellStyle name="Normal 3 2 5 2 2 2" xfId="2348"/>
    <cellStyle name="Normal 3 2 5 2 2 2 2" xfId="5569"/>
    <cellStyle name="Normal 3 2 5 2 2 2 2 2" xfId="21669"/>
    <cellStyle name="Normal 3 2 5 2 2 2 2 2 2" xfId="44256"/>
    <cellStyle name="Normal 3 2 5 2 2 2 2 3" xfId="12009"/>
    <cellStyle name="Normal 3 2 5 2 2 2 2 3 2" xfId="34596"/>
    <cellStyle name="Normal 3 2 5 2 2 2 2 4" xfId="28156"/>
    <cellStyle name="Normal 3 2 5 2 2 2 3" xfId="18449"/>
    <cellStyle name="Normal 3 2 5 2 2 2 3 2" xfId="41036"/>
    <cellStyle name="Normal 3 2 5 2 2 2 4" xfId="15229"/>
    <cellStyle name="Normal 3 2 5 2 2 2 4 2" xfId="37816"/>
    <cellStyle name="Normal 3 2 5 2 2 2 5" xfId="8789"/>
    <cellStyle name="Normal 3 2 5 2 2 2 5 2" xfId="31376"/>
    <cellStyle name="Normal 3 2 5 2 2 2 6" xfId="24936"/>
    <cellStyle name="Normal 3 2 5 2 2 3" xfId="4261"/>
    <cellStyle name="Normal 3 2 5 2 2 3 2" xfId="20361"/>
    <cellStyle name="Normal 3 2 5 2 2 3 2 2" xfId="42948"/>
    <cellStyle name="Normal 3 2 5 2 2 3 3" xfId="10701"/>
    <cellStyle name="Normal 3 2 5 2 2 3 3 2" xfId="33288"/>
    <cellStyle name="Normal 3 2 5 2 2 3 4" xfId="26848"/>
    <cellStyle name="Normal 3 2 5 2 2 4" xfId="17141"/>
    <cellStyle name="Normal 3 2 5 2 2 4 2" xfId="39728"/>
    <cellStyle name="Normal 3 2 5 2 2 5" xfId="13921"/>
    <cellStyle name="Normal 3 2 5 2 2 5 2" xfId="36508"/>
    <cellStyle name="Normal 3 2 5 2 2 6" xfId="7481"/>
    <cellStyle name="Normal 3 2 5 2 2 6 2" xfId="30068"/>
    <cellStyle name="Normal 3 2 5 2 2 7" xfId="23628"/>
    <cellStyle name="Normal 3 2 5 2 3" xfId="1381"/>
    <cellStyle name="Normal 3 2 5 2 3 2" xfId="2695"/>
    <cellStyle name="Normal 3 2 5 2 3 2 2" xfId="5916"/>
    <cellStyle name="Normal 3 2 5 2 3 2 2 2" xfId="22016"/>
    <cellStyle name="Normal 3 2 5 2 3 2 2 2 2" xfId="44603"/>
    <cellStyle name="Normal 3 2 5 2 3 2 2 3" xfId="12356"/>
    <cellStyle name="Normal 3 2 5 2 3 2 2 3 2" xfId="34943"/>
    <cellStyle name="Normal 3 2 5 2 3 2 2 4" xfId="28503"/>
    <cellStyle name="Normal 3 2 5 2 3 2 3" xfId="18796"/>
    <cellStyle name="Normal 3 2 5 2 3 2 3 2" xfId="41383"/>
    <cellStyle name="Normal 3 2 5 2 3 2 4" xfId="15576"/>
    <cellStyle name="Normal 3 2 5 2 3 2 4 2" xfId="38163"/>
    <cellStyle name="Normal 3 2 5 2 3 2 5" xfId="9136"/>
    <cellStyle name="Normal 3 2 5 2 3 2 5 2" xfId="31723"/>
    <cellStyle name="Normal 3 2 5 2 3 2 6" xfId="25283"/>
    <cellStyle name="Normal 3 2 5 2 3 3" xfId="4608"/>
    <cellStyle name="Normal 3 2 5 2 3 3 2" xfId="20708"/>
    <cellStyle name="Normal 3 2 5 2 3 3 2 2" xfId="43295"/>
    <cellStyle name="Normal 3 2 5 2 3 3 3" xfId="11048"/>
    <cellStyle name="Normal 3 2 5 2 3 3 3 2" xfId="33635"/>
    <cellStyle name="Normal 3 2 5 2 3 3 4" xfId="27195"/>
    <cellStyle name="Normal 3 2 5 2 3 4" xfId="17488"/>
    <cellStyle name="Normal 3 2 5 2 3 4 2" xfId="40075"/>
    <cellStyle name="Normal 3 2 5 2 3 5" xfId="14268"/>
    <cellStyle name="Normal 3 2 5 2 3 5 2" xfId="36855"/>
    <cellStyle name="Normal 3 2 5 2 3 6" xfId="7828"/>
    <cellStyle name="Normal 3 2 5 2 3 6 2" xfId="30415"/>
    <cellStyle name="Normal 3 2 5 2 3 7" xfId="23975"/>
    <cellStyle name="Normal 3 2 5 2 4" xfId="1659"/>
    <cellStyle name="Normal 3 2 5 2 4 2" xfId="4882"/>
    <cellStyle name="Normal 3 2 5 2 4 2 2" xfId="20982"/>
    <cellStyle name="Normal 3 2 5 2 4 2 2 2" xfId="43569"/>
    <cellStyle name="Normal 3 2 5 2 4 2 3" xfId="11322"/>
    <cellStyle name="Normal 3 2 5 2 4 2 3 2" xfId="33909"/>
    <cellStyle name="Normal 3 2 5 2 4 2 4" xfId="27469"/>
    <cellStyle name="Normal 3 2 5 2 4 3" xfId="17762"/>
    <cellStyle name="Normal 3 2 5 2 4 3 2" xfId="40349"/>
    <cellStyle name="Normal 3 2 5 2 4 4" xfId="14542"/>
    <cellStyle name="Normal 3 2 5 2 4 4 2" xfId="37129"/>
    <cellStyle name="Normal 3 2 5 2 4 5" xfId="8102"/>
    <cellStyle name="Normal 3 2 5 2 4 5 2" xfId="30689"/>
    <cellStyle name="Normal 3 2 5 2 4 6" xfId="24249"/>
    <cellStyle name="Normal 3 2 5 2 5" xfId="2000"/>
    <cellStyle name="Normal 3 2 5 2 5 2" xfId="5222"/>
    <cellStyle name="Normal 3 2 5 2 5 2 2" xfId="21322"/>
    <cellStyle name="Normal 3 2 5 2 5 2 2 2" xfId="43909"/>
    <cellStyle name="Normal 3 2 5 2 5 2 3" xfId="11662"/>
    <cellStyle name="Normal 3 2 5 2 5 2 3 2" xfId="34249"/>
    <cellStyle name="Normal 3 2 5 2 5 2 4" xfId="27809"/>
    <cellStyle name="Normal 3 2 5 2 5 3" xfId="18102"/>
    <cellStyle name="Normal 3 2 5 2 5 3 2" xfId="40689"/>
    <cellStyle name="Normal 3 2 5 2 5 4" xfId="14882"/>
    <cellStyle name="Normal 3 2 5 2 5 4 2" xfId="37469"/>
    <cellStyle name="Normal 3 2 5 2 5 5" xfId="8442"/>
    <cellStyle name="Normal 3 2 5 2 5 5 2" xfId="31029"/>
    <cellStyle name="Normal 3 2 5 2 5 6" xfId="24589"/>
    <cellStyle name="Normal 3 2 5 2 6" xfId="3029"/>
    <cellStyle name="Normal 3 2 5 2 6 2" xfId="6249"/>
    <cellStyle name="Normal 3 2 5 2 6 2 2" xfId="22349"/>
    <cellStyle name="Normal 3 2 5 2 6 2 2 2" xfId="44936"/>
    <cellStyle name="Normal 3 2 5 2 6 2 3" xfId="12689"/>
    <cellStyle name="Normal 3 2 5 2 6 2 3 2" xfId="35276"/>
    <cellStyle name="Normal 3 2 5 2 6 2 4" xfId="28836"/>
    <cellStyle name="Normal 3 2 5 2 6 3" xfId="19129"/>
    <cellStyle name="Normal 3 2 5 2 6 3 2" xfId="41716"/>
    <cellStyle name="Normal 3 2 5 2 6 4" xfId="15909"/>
    <cellStyle name="Normal 3 2 5 2 6 4 2" xfId="38496"/>
    <cellStyle name="Normal 3 2 5 2 6 5" xfId="9469"/>
    <cellStyle name="Normal 3 2 5 2 6 5 2" xfId="32056"/>
    <cellStyle name="Normal 3 2 5 2 6 6" xfId="25616"/>
    <cellStyle name="Normal 3 2 5 2 7" xfId="3319"/>
    <cellStyle name="Normal 3 2 5 2 7 2" xfId="6539"/>
    <cellStyle name="Normal 3 2 5 2 7 2 2" xfId="22639"/>
    <cellStyle name="Normal 3 2 5 2 7 2 2 2" xfId="45226"/>
    <cellStyle name="Normal 3 2 5 2 7 2 3" xfId="12979"/>
    <cellStyle name="Normal 3 2 5 2 7 2 3 2" xfId="35566"/>
    <cellStyle name="Normal 3 2 5 2 7 2 4" xfId="29126"/>
    <cellStyle name="Normal 3 2 5 2 7 3" xfId="19419"/>
    <cellStyle name="Normal 3 2 5 2 7 3 2" xfId="42006"/>
    <cellStyle name="Normal 3 2 5 2 7 4" xfId="16199"/>
    <cellStyle name="Normal 3 2 5 2 7 4 2" xfId="38786"/>
    <cellStyle name="Normal 3 2 5 2 7 5" xfId="9759"/>
    <cellStyle name="Normal 3 2 5 2 7 5 2" xfId="32346"/>
    <cellStyle name="Normal 3 2 5 2 7 6" xfId="25906"/>
    <cellStyle name="Normal 3 2 5 2 8" xfId="670"/>
    <cellStyle name="Normal 3 2 5 2 8 2" xfId="3914"/>
    <cellStyle name="Normal 3 2 5 2 8 2 2" xfId="20014"/>
    <cellStyle name="Normal 3 2 5 2 8 2 2 2" xfId="42601"/>
    <cellStyle name="Normal 3 2 5 2 8 2 3" xfId="10354"/>
    <cellStyle name="Normal 3 2 5 2 8 2 3 2" xfId="32941"/>
    <cellStyle name="Normal 3 2 5 2 8 2 4" xfId="26501"/>
    <cellStyle name="Normal 3 2 5 2 8 3" xfId="16794"/>
    <cellStyle name="Normal 3 2 5 2 8 3 2" xfId="39381"/>
    <cellStyle name="Normal 3 2 5 2 8 4" xfId="13574"/>
    <cellStyle name="Normal 3 2 5 2 8 4 2" xfId="36161"/>
    <cellStyle name="Normal 3 2 5 2 8 5" xfId="7134"/>
    <cellStyle name="Normal 3 2 5 2 8 5 2" xfId="29721"/>
    <cellStyle name="Normal 3 2 5 2 8 6" xfId="23281"/>
    <cellStyle name="Normal 3 2 5 2 9" xfId="3609"/>
    <cellStyle name="Normal 3 2 5 2 9 2" xfId="19709"/>
    <cellStyle name="Normal 3 2 5 2 9 2 2" xfId="42296"/>
    <cellStyle name="Normal 3 2 5 2 9 3" xfId="10049"/>
    <cellStyle name="Normal 3 2 5 2 9 3 2" xfId="32636"/>
    <cellStyle name="Normal 3 2 5 2 9 4" xfId="26196"/>
    <cellStyle name="Normal 3 2 5 3" xfId="418"/>
    <cellStyle name="Normal 3 2 5 3 10" xfId="16585"/>
    <cellStyle name="Normal 3 2 5 3 10 2" xfId="39172"/>
    <cellStyle name="Normal 3 2 5 3 11" xfId="13365"/>
    <cellStyle name="Normal 3 2 5 3 11 2" xfId="35952"/>
    <cellStyle name="Normal 3 2 5 3 12" xfId="6925"/>
    <cellStyle name="Normal 3 2 5 3 12 2" xfId="29512"/>
    <cellStyle name="Normal 3 2 5 3 13" xfId="23072"/>
    <cellStyle name="Normal 3 2 5 3 2" xfId="1118"/>
    <cellStyle name="Normal 3 2 5 3 2 2" xfId="2432"/>
    <cellStyle name="Normal 3 2 5 3 2 2 2" xfId="5653"/>
    <cellStyle name="Normal 3 2 5 3 2 2 2 2" xfId="21753"/>
    <cellStyle name="Normal 3 2 5 3 2 2 2 2 2" xfId="44340"/>
    <cellStyle name="Normal 3 2 5 3 2 2 2 3" xfId="12093"/>
    <cellStyle name="Normal 3 2 5 3 2 2 2 3 2" xfId="34680"/>
    <cellStyle name="Normal 3 2 5 3 2 2 2 4" xfId="28240"/>
    <cellStyle name="Normal 3 2 5 3 2 2 3" xfId="18533"/>
    <cellStyle name="Normal 3 2 5 3 2 2 3 2" xfId="41120"/>
    <cellStyle name="Normal 3 2 5 3 2 2 4" xfId="15313"/>
    <cellStyle name="Normal 3 2 5 3 2 2 4 2" xfId="37900"/>
    <cellStyle name="Normal 3 2 5 3 2 2 5" xfId="8873"/>
    <cellStyle name="Normal 3 2 5 3 2 2 5 2" xfId="31460"/>
    <cellStyle name="Normal 3 2 5 3 2 2 6" xfId="25020"/>
    <cellStyle name="Normal 3 2 5 3 2 3" xfId="4345"/>
    <cellStyle name="Normal 3 2 5 3 2 3 2" xfId="20445"/>
    <cellStyle name="Normal 3 2 5 3 2 3 2 2" xfId="43032"/>
    <cellStyle name="Normal 3 2 5 3 2 3 3" xfId="10785"/>
    <cellStyle name="Normal 3 2 5 3 2 3 3 2" xfId="33372"/>
    <cellStyle name="Normal 3 2 5 3 2 3 4" xfId="26932"/>
    <cellStyle name="Normal 3 2 5 3 2 4" xfId="17225"/>
    <cellStyle name="Normal 3 2 5 3 2 4 2" xfId="39812"/>
    <cellStyle name="Normal 3 2 5 3 2 5" xfId="14005"/>
    <cellStyle name="Normal 3 2 5 3 2 5 2" xfId="36592"/>
    <cellStyle name="Normal 3 2 5 3 2 6" xfId="7565"/>
    <cellStyle name="Normal 3 2 5 3 2 6 2" xfId="30152"/>
    <cellStyle name="Normal 3 2 5 3 2 7" xfId="23712"/>
    <cellStyle name="Normal 3 2 5 3 3" xfId="1465"/>
    <cellStyle name="Normal 3 2 5 3 3 2" xfId="2779"/>
    <cellStyle name="Normal 3 2 5 3 3 2 2" xfId="6000"/>
    <cellStyle name="Normal 3 2 5 3 3 2 2 2" xfId="22100"/>
    <cellStyle name="Normal 3 2 5 3 3 2 2 2 2" xfId="44687"/>
    <cellStyle name="Normal 3 2 5 3 3 2 2 3" xfId="12440"/>
    <cellStyle name="Normal 3 2 5 3 3 2 2 3 2" xfId="35027"/>
    <cellStyle name="Normal 3 2 5 3 3 2 2 4" xfId="28587"/>
    <cellStyle name="Normal 3 2 5 3 3 2 3" xfId="18880"/>
    <cellStyle name="Normal 3 2 5 3 3 2 3 2" xfId="41467"/>
    <cellStyle name="Normal 3 2 5 3 3 2 4" xfId="15660"/>
    <cellStyle name="Normal 3 2 5 3 3 2 4 2" xfId="38247"/>
    <cellStyle name="Normal 3 2 5 3 3 2 5" xfId="9220"/>
    <cellStyle name="Normal 3 2 5 3 3 2 5 2" xfId="31807"/>
    <cellStyle name="Normal 3 2 5 3 3 2 6" xfId="25367"/>
    <cellStyle name="Normal 3 2 5 3 3 3" xfId="4692"/>
    <cellStyle name="Normal 3 2 5 3 3 3 2" xfId="20792"/>
    <cellStyle name="Normal 3 2 5 3 3 3 2 2" xfId="43379"/>
    <cellStyle name="Normal 3 2 5 3 3 3 3" xfId="11132"/>
    <cellStyle name="Normal 3 2 5 3 3 3 3 2" xfId="33719"/>
    <cellStyle name="Normal 3 2 5 3 3 3 4" xfId="27279"/>
    <cellStyle name="Normal 3 2 5 3 3 4" xfId="17572"/>
    <cellStyle name="Normal 3 2 5 3 3 4 2" xfId="40159"/>
    <cellStyle name="Normal 3 2 5 3 3 5" xfId="14352"/>
    <cellStyle name="Normal 3 2 5 3 3 5 2" xfId="36939"/>
    <cellStyle name="Normal 3 2 5 3 3 6" xfId="7912"/>
    <cellStyle name="Normal 3 2 5 3 3 6 2" xfId="30499"/>
    <cellStyle name="Normal 3 2 5 3 3 7" xfId="24059"/>
    <cellStyle name="Normal 3 2 5 3 4" xfId="1660"/>
    <cellStyle name="Normal 3 2 5 3 4 2" xfId="4883"/>
    <cellStyle name="Normal 3 2 5 3 4 2 2" xfId="20983"/>
    <cellStyle name="Normal 3 2 5 3 4 2 2 2" xfId="43570"/>
    <cellStyle name="Normal 3 2 5 3 4 2 3" xfId="11323"/>
    <cellStyle name="Normal 3 2 5 3 4 2 3 2" xfId="33910"/>
    <cellStyle name="Normal 3 2 5 3 4 2 4" xfId="27470"/>
    <cellStyle name="Normal 3 2 5 3 4 3" xfId="17763"/>
    <cellStyle name="Normal 3 2 5 3 4 3 2" xfId="40350"/>
    <cellStyle name="Normal 3 2 5 3 4 4" xfId="14543"/>
    <cellStyle name="Normal 3 2 5 3 4 4 2" xfId="37130"/>
    <cellStyle name="Normal 3 2 5 3 4 5" xfId="8103"/>
    <cellStyle name="Normal 3 2 5 3 4 5 2" xfId="30690"/>
    <cellStyle name="Normal 3 2 5 3 4 6" xfId="24250"/>
    <cellStyle name="Normal 3 2 5 3 5" xfId="2085"/>
    <cellStyle name="Normal 3 2 5 3 5 2" xfId="5306"/>
    <cellStyle name="Normal 3 2 5 3 5 2 2" xfId="21406"/>
    <cellStyle name="Normal 3 2 5 3 5 2 2 2" xfId="43993"/>
    <cellStyle name="Normal 3 2 5 3 5 2 3" xfId="11746"/>
    <cellStyle name="Normal 3 2 5 3 5 2 3 2" xfId="34333"/>
    <cellStyle name="Normal 3 2 5 3 5 2 4" xfId="27893"/>
    <cellStyle name="Normal 3 2 5 3 5 3" xfId="18186"/>
    <cellStyle name="Normal 3 2 5 3 5 3 2" xfId="40773"/>
    <cellStyle name="Normal 3 2 5 3 5 4" xfId="14966"/>
    <cellStyle name="Normal 3 2 5 3 5 4 2" xfId="37553"/>
    <cellStyle name="Normal 3 2 5 3 5 5" xfId="8526"/>
    <cellStyle name="Normal 3 2 5 3 5 5 2" xfId="31113"/>
    <cellStyle name="Normal 3 2 5 3 5 6" xfId="24673"/>
    <cellStyle name="Normal 3 2 5 3 6" xfId="3125"/>
    <cellStyle name="Normal 3 2 5 3 6 2" xfId="6345"/>
    <cellStyle name="Normal 3 2 5 3 6 2 2" xfId="22445"/>
    <cellStyle name="Normal 3 2 5 3 6 2 2 2" xfId="45032"/>
    <cellStyle name="Normal 3 2 5 3 6 2 3" xfId="12785"/>
    <cellStyle name="Normal 3 2 5 3 6 2 3 2" xfId="35372"/>
    <cellStyle name="Normal 3 2 5 3 6 2 4" xfId="28932"/>
    <cellStyle name="Normal 3 2 5 3 6 3" xfId="19225"/>
    <cellStyle name="Normal 3 2 5 3 6 3 2" xfId="41812"/>
    <cellStyle name="Normal 3 2 5 3 6 4" xfId="16005"/>
    <cellStyle name="Normal 3 2 5 3 6 4 2" xfId="38592"/>
    <cellStyle name="Normal 3 2 5 3 6 5" xfId="9565"/>
    <cellStyle name="Normal 3 2 5 3 6 5 2" xfId="32152"/>
    <cellStyle name="Normal 3 2 5 3 6 6" xfId="25712"/>
    <cellStyle name="Normal 3 2 5 3 7" xfId="3415"/>
    <cellStyle name="Normal 3 2 5 3 7 2" xfId="6635"/>
    <cellStyle name="Normal 3 2 5 3 7 2 2" xfId="22735"/>
    <cellStyle name="Normal 3 2 5 3 7 2 2 2" xfId="45322"/>
    <cellStyle name="Normal 3 2 5 3 7 2 3" xfId="13075"/>
    <cellStyle name="Normal 3 2 5 3 7 2 3 2" xfId="35662"/>
    <cellStyle name="Normal 3 2 5 3 7 2 4" xfId="29222"/>
    <cellStyle name="Normal 3 2 5 3 7 3" xfId="19515"/>
    <cellStyle name="Normal 3 2 5 3 7 3 2" xfId="42102"/>
    <cellStyle name="Normal 3 2 5 3 7 4" xfId="16295"/>
    <cellStyle name="Normal 3 2 5 3 7 4 2" xfId="38882"/>
    <cellStyle name="Normal 3 2 5 3 7 5" xfId="9855"/>
    <cellStyle name="Normal 3 2 5 3 7 5 2" xfId="32442"/>
    <cellStyle name="Normal 3 2 5 3 7 6" xfId="26002"/>
    <cellStyle name="Normal 3 2 5 3 8" xfId="766"/>
    <cellStyle name="Normal 3 2 5 3 8 2" xfId="3998"/>
    <cellStyle name="Normal 3 2 5 3 8 2 2" xfId="20098"/>
    <cellStyle name="Normal 3 2 5 3 8 2 2 2" xfId="42685"/>
    <cellStyle name="Normal 3 2 5 3 8 2 3" xfId="10438"/>
    <cellStyle name="Normal 3 2 5 3 8 2 3 2" xfId="33025"/>
    <cellStyle name="Normal 3 2 5 3 8 2 4" xfId="26585"/>
    <cellStyle name="Normal 3 2 5 3 8 3" xfId="16878"/>
    <cellStyle name="Normal 3 2 5 3 8 3 2" xfId="39465"/>
    <cellStyle name="Normal 3 2 5 3 8 4" xfId="13658"/>
    <cellStyle name="Normal 3 2 5 3 8 4 2" xfId="36245"/>
    <cellStyle name="Normal 3 2 5 3 8 5" xfId="7218"/>
    <cellStyle name="Normal 3 2 5 3 8 5 2" xfId="29805"/>
    <cellStyle name="Normal 3 2 5 3 8 6" xfId="23365"/>
    <cellStyle name="Normal 3 2 5 3 9" xfId="3705"/>
    <cellStyle name="Normal 3 2 5 3 9 2" xfId="19805"/>
    <cellStyle name="Normal 3 2 5 3 9 2 2" xfId="42392"/>
    <cellStyle name="Normal 3 2 5 3 9 3" xfId="10145"/>
    <cellStyle name="Normal 3 2 5 3 9 3 2" xfId="32732"/>
    <cellStyle name="Normal 3 2 5 3 9 4" xfId="26292"/>
    <cellStyle name="Normal 3 2 5 4" xfId="913"/>
    <cellStyle name="Normal 3 2 5 4 2" xfId="2232"/>
    <cellStyle name="Normal 3 2 5 4 2 2" xfId="5453"/>
    <cellStyle name="Normal 3 2 5 4 2 2 2" xfId="21553"/>
    <cellStyle name="Normal 3 2 5 4 2 2 2 2" xfId="44140"/>
    <cellStyle name="Normal 3 2 5 4 2 2 3" xfId="11893"/>
    <cellStyle name="Normal 3 2 5 4 2 2 3 2" xfId="34480"/>
    <cellStyle name="Normal 3 2 5 4 2 2 4" xfId="28040"/>
    <cellStyle name="Normal 3 2 5 4 2 3" xfId="18333"/>
    <cellStyle name="Normal 3 2 5 4 2 3 2" xfId="40920"/>
    <cellStyle name="Normal 3 2 5 4 2 4" xfId="15113"/>
    <cellStyle name="Normal 3 2 5 4 2 4 2" xfId="37700"/>
    <cellStyle name="Normal 3 2 5 4 2 5" xfId="8673"/>
    <cellStyle name="Normal 3 2 5 4 2 5 2" xfId="31260"/>
    <cellStyle name="Normal 3 2 5 4 2 6" xfId="24820"/>
    <cellStyle name="Normal 3 2 5 4 3" xfId="4145"/>
    <cellStyle name="Normal 3 2 5 4 3 2" xfId="20245"/>
    <cellStyle name="Normal 3 2 5 4 3 2 2" xfId="42832"/>
    <cellStyle name="Normal 3 2 5 4 3 3" xfId="10585"/>
    <cellStyle name="Normal 3 2 5 4 3 3 2" xfId="33172"/>
    <cellStyle name="Normal 3 2 5 4 3 4" xfId="26732"/>
    <cellStyle name="Normal 3 2 5 4 4" xfId="17025"/>
    <cellStyle name="Normal 3 2 5 4 4 2" xfId="39612"/>
    <cellStyle name="Normal 3 2 5 4 5" xfId="13805"/>
    <cellStyle name="Normal 3 2 5 4 5 2" xfId="36392"/>
    <cellStyle name="Normal 3 2 5 4 6" xfId="7365"/>
    <cellStyle name="Normal 3 2 5 4 6 2" xfId="29952"/>
    <cellStyle name="Normal 3 2 5 4 7" xfId="23512"/>
    <cellStyle name="Normal 3 2 5 5" xfId="1265"/>
    <cellStyle name="Normal 3 2 5 5 2" xfId="2579"/>
    <cellStyle name="Normal 3 2 5 5 2 2" xfId="5800"/>
    <cellStyle name="Normal 3 2 5 5 2 2 2" xfId="21900"/>
    <cellStyle name="Normal 3 2 5 5 2 2 2 2" xfId="44487"/>
    <cellStyle name="Normal 3 2 5 5 2 2 3" xfId="12240"/>
    <cellStyle name="Normal 3 2 5 5 2 2 3 2" xfId="34827"/>
    <cellStyle name="Normal 3 2 5 5 2 2 4" xfId="28387"/>
    <cellStyle name="Normal 3 2 5 5 2 3" xfId="18680"/>
    <cellStyle name="Normal 3 2 5 5 2 3 2" xfId="41267"/>
    <cellStyle name="Normal 3 2 5 5 2 4" xfId="15460"/>
    <cellStyle name="Normal 3 2 5 5 2 4 2" xfId="38047"/>
    <cellStyle name="Normal 3 2 5 5 2 5" xfId="9020"/>
    <cellStyle name="Normal 3 2 5 5 2 5 2" xfId="31607"/>
    <cellStyle name="Normal 3 2 5 5 2 6" xfId="25167"/>
    <cellStyle name="Normal 3 2 5 5 3" xfId="4492"/>
    <cellStyle name="Normal 3 2 5 5 3 2" xfId="20592"/>
    <cellStyle name="Normal 3 2 5 5 3 2 2" xfId="43179"/>
    <cellStyle name="Normal 3 2 5 5 3 3" xfId="10932"/>
    <cellStyle name="Normal 3 2 5 5 3 3 2" xfId="33519"/>
    <cellStyle name="Normal 3 2 5 5 3 4" xfId="27079"/>
    <cellStyle name="Normal 3 2 5 5 4" xfId="17372"/>
    <cellStyle name="Normal 3 2 5 5 4 2" xfId="39959"/>
    <cellStyle name="Normal 3 2 5 5 5" xfId="14152"/>
    <cellStyle name="Normal 3 2 5 5 5 2" xfId="36739"/>
    <cellStyle name="Normal 3 2 5 5 6" xfId="7712"/>
    <cellStyle name="Normal 3 2 5 5 6 2" xfId="30299"/>
    <cellStyle name="Normal 3 2 5 5 7" xfId="23859"/>
    <cellStyle name="Normal 3 2 5 6" xfId="1661"/>
    <cellStyle name="Normal 3 2 5 6 2" xfId="4884"/>
    <cellStyle name="Normal 3 2 5 6 2 2" xfId="20984"/>
    <cellStyle name="Normal 3 2 5 6 2 2 2" xfId="43571"/>
    <cellStyle name="Normal 3 2 5 6 2 3" xfId="11324"/>
    <cellStyle name="Normal 3 2 5 6 2 3 2" xfId="33911"/>
    <cellStyle name="Normal 3 2 5 6 2 4" xfId="27471"/>
    <cellStyle name="Normal 3 2 5 6 3" xfId="17764"/>
    <cellStyle name="Normal 3 2 5 6 3 2" xfId="40351"/>
    <cellStyle name="Normal 3 2 5 6 4" xfId="14544"/>
    <cellStyle name="Normal 3 2 5 6 4 2" xfId="37131"/>
    <cellStyle name="Normal 3 2 5 6 5" xfId="8104"/>
    <cellStyle name="Normal 3 2 5 6 5 2" xfId="30691"/>
    <cellStyle name="Normal 3 2 5 6 6" xfId="24251"/>
    <cellStyle name="Normal 3 2 5 7" xfId="1884"/>
    <cellStyle name="Normal 3 2 5 7 2" xfId="5106"/>
    <cellStyle name="Normal 3 2 5 7 2 2" xfId="21206"/>
    <cellStyle name="Normal 3 2 5 7 2 2 2" xfId="43793"/>
    <cellStyle name="Normal 3 2 5 7 2 3" xfId="11546"/>
    <cellStyle name="Normal 3 2 5 7 2 3 2" xfId="34133"/>
    <cellStyle name="Normal 3 2 5 7 2 4" xfId="27693"/>
    <cellStyle name="Normal 3 2 5 7 3" xfId="17986"/>
    <cellStyle name="Normal 3 2 5 7 3 2" xfId="40573"/>
    <cellStyle name="Normal 3 2 5 7 4" xfId="14766"/>
    <cellStyle name="Normal 3 2 5 7 4 2" xfId="37353"/>
    <cellStyle name="Normal 3 2 5 7 5" xfId="8326"/>
    <cellStyle name="Normal 3 2 5 7 5 2" xfId="30913"/>
    <cellStyle name="Normal 3 2 5 7 6" xfId="24473"/>
    <cellStyle name="Normal 3 2 5 8" xfId="2931"/>
    <cellStyle name="Normal 3 2 5 8 2" xfId="6152"/>
    <cellStyle name="Normal 3 2 5 8 2 2" xfId="22252"/>
    <cellStyle name="Normal 3 2 5 8 2 2 2" xfId="44839"/>
    <cellStyle name="Normal 3 2 5 8 2 3" xfId="12592"/>
    <cellStyle name="Normal 3 2 5 8 2 3 2" xfId="35179"/>
    <cellStyle name="Normal 3 2 5 8 2 4" xfId="28739"/>
    <cellStyle name="Normal 3 2 5 8 3" xfId="19032"/>
    <cellStyle name="Normal 3 2 5 8 3 2" xfId="41619"/>
    <cellStyle name="Normal 3 2 5 8 4" xfId="15812"/>
    <cellStyle name="Normal 3 2 5 8 4 2" xfId="38399"/>
    <cellStyle name="Normal 3 2 5 8 5" xfId="9372"/>
    <cellStyle name="Normal 3 2 5 8 5 2" xfId="31959"/>
    <cellStyle name="Normal 3 2 5 8 6" xfId="25519"/>
    <cellStyle name="Normal 3 2 5 9" xfId="3222"/>
    <cellStyle name="Normal 3 2 5 9 2" xfId="6442"/>
    <cellStyle name="Normal 3 2 5 9 2 2" xfId="22542"/>
    <cellStyle name="Normal 3 2 5 9 2 2 2" xfId="45129"/>
    <cellStyle name="Normal 3 2 5 9 2 3" xfId="12882"/>
    <cellStyle name="Normal 3 2 5 9 2 3 2" xfId="35469"/>
    <cellStyle name="Normal 3 2 5 9 2 4" xfId="29029"/>
    <cellStyle name="Normal 3 2 5 9 3" xfId="19322"/>
    <cellStyle name="Normal 3 2 5 9 3 2" xfId="41909"/>
    <cellStyle name="Normal 3 2 5 9 4" xfId="16102"/>
    <cellStyle name="Normal 3 2 5 9 4 2" xfId="38689"/>
    <cellStyle name="Normal 3 2 5 9 5" xfId="9662"/>
    <cellStyle name="Normal 3 2 5 9 5 2" xfId="32249"/>
    <cellStyle name="Normal 3 2 5 9 6" xfId="25809"/>
    <cellStyle name="Normal 3 2 6" xfId="243"/>
    <cellStyle name="Normal 3 2 6 10" xfId="16411"/>
    <cellStyle name="Normal 3 2 6 10 2" xfId="38998"/>
    <cellStyle name="Normal 3 2 6 11" xfId="13191"/>
    <cellStyle name="Normal 3 2 6 11 2" xfId="35778"/>
    <cellStyle name="Normal 3 2 6 12" xfId="6751"/>
    <cellStyle name="Normal 3 2 6 12 2" xfId="29338"/>
    <cellStyle name="Normal 3 2 6 13" xfId="22898"/>
    <cellStyle name="Normal 3 2 6 2" xfId="962"/>
    <cellStyle name="Normal 3 2 6 2 2" xfId="1662"/>
    <cellStyle name="Normal 3 2 6 2 2 2" xfId="4885"/>
    <cellStyle name="Normal 3 2 6 2 2 2 2" xfId="20985"/>
    <cellStyle name="Normal 3 2 6 2 2 2 2 2" xfId="43572"/>
    <cellStyle name="Normal 3 2 6 2 2 2 3" xfId="11325"/>
    <cellStyle name="Normal 3 2 6 2 2 2 3 2" xfId="33912"/>
    <cellStyle name="Normal 3 2 6 2 2 2 4" xfId="27472"/>
    <cellStyle name="Normal 3 2 6 2 2 3" xfId="17765"/>
    <cellStyle name="Normal 3 2 6 2 2 3 2" xfId="40352"/>
    <cellStyle name="Normal 3 2 6 2 2 4" xfId="14545"/>
    <cellStyle name="Normal 3 2 6 2 2 4 2" xfId="37132"/>
    <cellStyle name="Normal 3 2 6 2 2 5" xfId="8105"/>
    <cellStyle name="Normal 3 2 6 2 2 5 2" xfId="30692"/>
    <cellStyle name="Normal 3 2 6 2 2 6" xfId="24252"/>
    <cellStyle name="Normal 3 2 6 2 3" xfId="2281"/>
    <cellStyle name="Normal 3 2 6 2 3 2" xfId="5502"/>
    <cellStyle name="Normal 3 2 6 2 3 2 2" xfId="21602"/>
    <cellStyle name="Normal 3 2 6 2 3 2 2 2" xfId="44189"/>
    <cellStyle name="Normal 3 2 6 2 3 2 3" xfId="11942"/>
    <cellStyle name="Normal 3 2 6 2 3 2 3 2" xfId="34529"/>
    <cellStyle name="Normal 3 2 6 2 3 2 4" xfId="28089"/>
    <cellStyle name="Normal 3 2 6 2 3 3" xfId="18382"/>
    <cellStyle name="Normal 3 2 6 2 3 3 2" xfId="40969"/>
    <cellStyle name="Normal 3 2 6 2 3 4" xfId="15162"/>
    <cellStyle name="Normal 3 2 6 2 3 4 2" xfId="37749"/>
    <cellStyle name="Normal 3 2 6 2 3 5" xfId="8722"/>
    <cellStyle name="Normal 3 2 6 2 3 5 2" xfId="31309"/>
    <cellStyle name="Normal 3 2 6 2 3 6" xfId="24869"/>
    <cellStyle name="Normal 3 2 6 2 4" xfId="4194"/>
    <cellStyle name="Normal 3 2 6 2 4 2" xfId="20294"/>
    <cellStyle name="Normal 3 2 6 2 4 2 2" xfId="42881"/>
    <cellStyle name="Normal 3 2 6 2 4 3" xfId="10634"/>
    <cellStyle name="Normal 3 2 6 2 4 3 2" xfId="33221"/>
    <cellStyle name="Normal 3 2 6 2 4 4" xfId="26781"/>
    <cellStyle name="Normal 3 2 6 2 5" xfId="17074"/>
    <cellStyle name="Normal 3 2 6 2 5 2" xfId="39661"/>
    <cellStyle name="Normal 3 2 6 2 6" xfId="13854"/>
    <cellStyle name="Normal 3 2 6 2 6 2" xfId="36441"/>
    <cellStyle name="Normal 3 2 6 2 7" xfId="7414"/>
    <cellStyle name="Normal 3 2 6 2 7 2" xfId="30001"/>
    <cellStyle name="Normal 3 2 6 2 8" xfId="23561"/>
    <cellStyle name="Normal 3 2 6 3" xfId="1314"/>
    <cellStyle name="Normal 3 2 6 3 2" xfId="2628"/>
    <cellStyle name="Normal 3 2 6 3 2 2" xfId="5849"/>
    <cellStyle name="Normal 3 2 6 3 2 2 2" xfId="21949"/>
    <cellStyle name="Normal 3 2 6 3 2 2 2 2" xfId="44536"/>
    <cellStyle name="Normal 3 2 6 3 2 2 3" xfId="12289"/>
    <cellStyle name="Normal 3 2 6 3 2 2 3 2" xfId="34876"/>
    <cellStyle name="Normal 3 2 6 3 2 2 4" xfId="28436"/>
    <cellStyle name="Normal 3 2 6 3 2 3" xfId="18729"/>
    <cellStyle name="Normal 3 2 6 3 2 3 2" xfId="41316"/>
    <cellStyle name="Normal 3 2 6 3 2 4" xfId="15509"/>
    <cellStyle name="Normal 3 2 6 3 2 4 2" xfId="38096"/>
    <cellStyle name="Normal 3 2 6 3 2 5" xfId="9069"/>
    <cellStyle name="Normal 3 2 6 3 2 5 2" xfId="31656"/>
    <cellStyle name="Normal 3 2 6 3 2 6" xfId="25216"/>
    <cellStyle name="Normal 3 2 6 3 3" xfId="4541"/>
    <cellStyle name="Normal 3 2 6 3 3 2" xfId="20641"/>
    <cellStyle name="Normal 3 2 6 3 3 2 2" xfId="43228"/>
    <cellStyle name="Normal 3 2 6 3 3 3" xfId="10981"/>
    <cellStyle name="Normal 3 2 6 3 3 3 2" xfId="33568"/>
    <cellStyle name="Normal 3 2 6 3 3 4" xfId="27128"/>
    <cellStyle name="Normal 3 2 6 3 4" xfId="17421"/>
    <cellStyle name="Normal 3 2 6 3 4 2" xfId="40008"/>
    <cellStyle name="Normal 3 2 6 3 5" xfId="14201"/>
    <cellStyle name="Normal 3 2 6 3 5 2" xfId="36788"/>
    <cellStyle name="Normal 3 2 6 3 6" xfId="7761"/>
    <cellStyle name="Normal 3 2 6 3 6 2" xfId="30348"/>
    <cellStyle name="Normal 3 2 6 3 7" xfId="23908"/>
    <cellStyle name="Normal 3 2 6 4" xfId="1663"/>
    <cellStyle name="Normal 3 2 6 4 2" xfId="4886"/>
    <cellStyle name="Normal 3 2 6 4 2 2" xfId="20986"/>
    <cellStyle name="Normal 3 2 6 4 2 2 2" xfId="43573"/>
    <cellStyle name="Normal 3 2 6 4 2 3" xfId="11326"/>
    <cellStyle name="Normal 3 2 6 4 2 3 2" xfId="33913"/>
    <cellStyle name="Normal 3 2 6 4 2 4" xfId="27473"/>
    <cellStyle name="Normal 3 2 6 4 3" xfId="17766"/>
    <cellStyle name="Normal 3 2 6 4 3 2" xfId="40353"/>
    <cellStyle name="Normal 3 2 6 4 4" xfId="14546"/>
    <cellStyle name="Normal 3 2 6 4 4 2" xfId="37133"/>
    <cellStyle name="Normal 3 2 6 4 5" xfId="8106"/>
    <cellStyle name="Normal 3 2 6 4 5 2" xfId="30693"/>
    <cellStyle name="Normal 3 2 6 4 6" xfId="24253"/>
    <cellStyle name="Normal 3 2 6 5" xfId="1933"/>
    <cellStyle name="Normal 3 2 6 5 2" xfId="5155"/>
    <cellStyle name="Normal 3 2 6 5 2 2" xfId="21255"/>
    <cellStyle name="Normal 3 2 6 5 2 2 2" xfId="43842"/>
    <cellStyle name="Normal 3 2 6 5 2 3" xfId="11595"/>
    <cellStyle name="Normal 3 2 6 5 2 3 2" xfId="34182"/>
    <cellStyle name="Normal 3 2 6 5 2 4" xfId="27742"/>
    <cellStyle name="Normal 3 2 6 5 3" xfId="18035"/>
    <cellStyle name="Normal 3 2 6 5 3 2" xfId="40622"/>
    <cellStyle name="Normal 3 2 6 5 4" xfId="14815"/>
    <cellStyle name="Normal 3 2 6 5 4 2" xfId="37402"/>
    <cellStyle name="Normal 3 2 6 5 5" xfId="8375"/>
    <cellStyle name="Normal 3 2 6 5 5 2" xfId="30962"/>
    <cellStyle name="Normal 3 2 6 5 6" xfId="24522"/>
    <cellStyle name="Normal 3 2 6 6" xfId="2950"/>
    <cellStyle name="Normal 3 2 6 6 2" xfId="6171"/>
    <cellStyle name="Normal 3 2 6 6 2 2" xfId="22271"/>
    <cellStyle name="Normal 3 2 6 6 2 2 2" xfId="44858"/>
    <cellStyle name="Normal 3 2 6 6 2 3" xfId="12611"/>
    <cellStyle name="Normal 3 2 6 6 2 3 2" xfId="35198"/>
    <cellStyle name="Normal 3 2 6 6 2 4" xfId="28758"/>
    <cellStyle name="Normal 3 2 6 6 3" xfId="19051"/>
    <cellStyle name="Normal 3 2 6 6 3 2" xfId="41638"/>
    <cellStyle name="Normal 3 2 6 6 4" xfId="15831"/>
    <cellStyle name="Normal 3 2 6 6 4 2" xfId="38418"/>
    <cellStyle name="Normal 3 2 6 6 5" xfId="9391"/>
    <cellStyle name="Normal 3 2 6 6 5 2" xfId="31978"/>
    <cellStyle name="Normal 3 2 6 6 6" xfId="25538"/>
    <cellStyle name="Normal 3 2 6 7" xfId="3241"/>
    <cellStyle name="Normal 3 2 6 7 2" xfId="6461"/>
    <cellStyle name="Normal 3 2 6 7 2 2" xfId="22561"/>
    <cellStyle name="Normal 3 2 6 7 2 2 2" xfId="45148"/>
    <cellStyle name="Normal 3 2 6 7 2 3" xfId="12901"/>
    <cellStyle name="Normal 3 2 6 7 2 3 2" xfId="35488"/>
    <cellStyle name="Normal 3 2 6 7 2 4" xfId="29048"/>
    <cellStyle name="Normal 3 2 6 7 3" xfId="19341"/>
    <cellStyle name="Normal 3 2 6 7 3 2" xfId="41928"/>
    <cellStyle name="Normal 3 2 6 7 4" xfId="16121"/>
    <cellStyle name="Normal 3 2 6 7 4 2" xfId="38708"/>
    <cellStyle name="Normal 3 2 6 7 5" xfId="9681"/>
    <cellStyle name="Normal 3 2 6 7 5 2" xfId="32268"/>
    <cellStyle name="Normal 3 2 6 7 6" xfId="25828"/>
    <cellStyle name="Normal 3 2 6 8" xfId="576"/>
    <cellStyle name="Normal 3 2 6 8 2" xfId="3847"/>
    <cellStyle name="Normal 3 2 6 8 2 2" xfId="19947"/>
    <cellStyle name="Normal 3 2 6 8 2 2 2" xfId="42534"/>
    <cellStyle name="Normal 3 2 6 8 2 3" xfId="10287"/>
    <cellStyle name="Normal 3 2 6 8 2 3 2" xfId="32874"/>
    <cellStyle name="Normal 3 2 6 8 2 4" xfId="26434"/>
    <cellStyle name="Normal 3 2 6 8 3" xfId="16727"/>
    <cellStyle name="Normal 3 2 6 8 3 2" xfId="39314"/>
    <cellStyle name="Normal 3 2 6 8 4" xfId="13507"/>
    <cellStyle name="Normal 3 2 6 8 4 2" xfId="36094"/>
    <cellStyle name="Normal 3 2 6 8 5" xfId="7067"/>
    <cellStyle name="Normal 3 2 6 8 5 2" xfId="29654"/>
    <cellStyle name="Normal 3 2 6 8 6" xfId="23214"/>
    <cellStyle name="Normal 3 2 6 9" xfId="3531"/>
    <cellStyle name="Normal 3 2 6 9 2" xfId="19631"/>
    <cellStyle name="Normal 3 2 6 9 2 2" xfId="42218"/>
    <cellStyle name="Normal 3 2 6 9 3" xfId="9971"/>
    <cellStyle name="Normal 3 2 6 9 3 2" xfId="32558"/>
    <cellStyle name="Normal 3 2 6 9 4" xfId="26118"/>
    <cellStyle name="Normal 3 2 7" xfId="341"/>
    <cellStyle name="Normal 3 2 7 10" xfId="16508"/>
    <cellStyle name="Normal 3 2 7 10 2" xfId="39095"/>
    <cellStyle name="Normal 3 2 7 11" xfId="13288"/>
    <cellStyle name="Normal 3 2 7 11 2" xfId="35875"/>
    <cellStyle name="Normal 3 2 7 12" xfId="6848"/>
    <cellStyle name="Normal 3 2 7 12 2" xfId="29435"/>
    <cellStyle name="Normal 3 2 7 13" xfId="22995"/>
    <cellStyle name="Normal 3 2 7 2" xfId="1079"/>
    <cellStyle name="Normal 3 2 7 2 2" xfId="1664"/>
    <cellStyle name="Normal 3 2 7 2 2 2" xfId="4887"/>
    <cellStyle name="Normal 3 2 7 2 2 2 2" xfId="20987"/>
    <cellStyle name="Normal 3 2 7 2 2 2 2 2" xfId="43574"/>
    <cellStyle name="Normal 3 2 7 2 2 2 3" xfId="11327"/>
    <cellStyle name="Normal 3 2 7 2 2 2 3 2" xfId="33914"/>
    <cellStyle name="Normal 3 2 7 2 2 2 4" xfId="27474"/>
    <cellStyle name="Normal 3 2 7 2 2 3" xfId="17767"/>
    <cellStyle name="Normal 3 2 7 2 2 3 2" xfId="40354"/>
    <cellStyle name="Normal 3 2 7 2 2 4" xfId="14547"/>
    <cellStyle name="Normal 3 2 7 2 2 4 2" xfId="37134"/>
    <cellStyle name="Normal 3 2 7 2 2 5" xfId="8107"/>
    <cellStyle name="Normal 3 2 7 2 2 5 2" xfId="30694"/>
    <cellStyle name="Normal 3 2 7 2 2 6" xfId="24254"/>
    <cellStyle name="Normal 3 2 7 2 3" xfId="2393"/>
    <cellStyle name="Normal 3 2 7 2 3 2" xfId="5614"/>
    <cellStyle name="Normal 3 2 7 2 3 2 2" xfId="21714"/>
    <cellStyle name="Normal 3 2 7 2 3 2 2 2" xfId="44301"/>
    <cellStyle name="Normal 3 2 7 2 3 2 3" xfId="12054"/>
    <cellStyle name="Normal 3 2 7 2 3 2 3 2" xfId="34641"/>
    <cellStyle name="Normal 3 2 7 2 3 2 4" xfId="28201"/>
    <cellStyle name="Normal 3 2 7 2 3 3" xfId="18494"/>
    <cellStyle name="Normal 3 2 7 2 3 3 2" xfId="41081"/>
    <cellStyle name="Normal 3 2 7 2 3 4" xfId="15274"/>
    <cellStyle name="Normal 3 2 7 2 3 4 2" xfId="37861"/>
    <cellStyle name="Normal 3 2 7 2 3 5" xfId="8834"/>
    <cellStyle name="Normal 3 2 7 2 3 5 2" xfId="31421"/>
    <cellStyle name="Normal 3 2 7 2 3 6" xfId="24981"/>
    <cellStyle name="Normal 3 2 7 2 4" xfId="4306"/>
    <cellStyle name="Normal 3 2 7 2 4 2" xfId="20406"/>
    <cellStyle name="Normal 3 2 7 2 4 2 2" xfId="42993"/>
    <cellStyle name="Normal 3 2 7 2 4 3" xfId="10746"/>
    <cellStyle name="Normal 3 2 7 2 4 3 2" xfId="33333"/>
    <cellStyle name="Normal 3 2 7 2 4 4" xfId="26893"/>
    <cellStyle name="Normal 3 2 7 2 5" xfId="17186"/>
    <cellStyle name="Normal 3 2 7 2 5 2" xfId="39773"/>
    <cellStyle name="Normal 3 2 7 2 6" xfId="13966"/>
    <cellStyle name="Normal 3 2 7 2 6 2" xfId="36553"/>
    <cellStyle name="Normal 3 2 7 2 7" xfId="7526"/>
    <cellStyle name="Normal 3 2 7 2 7 2" xfId="30113"/>
    <cellStyle name="Normal 3 2 7 2 8" xfId="23673"/>
    <cellStyle name="Normal 3 2 7 3" xfId="1426"/>
    <cellStyle name="Normal 3 2 7 3 2" xfId="2740"/>
    <cellStyle name="Normal 3 2 7 3 2 2" xfId="5961"/>
    <cellStyle name="Normal 3 2 7 3 2 2 2" xfId="22061"/>
    <cellStyle name="Normal 3 2 7 3 2 2 2 2" xfId="44648"/>
    <cellStyle name="Normal 3 2 7 3 2 2 3" xfId="12401"/>
    <cellStyle name="Normal 3 2 7 3 2 2 3 2" xfId="34988"/>
    <cellStyle name="Normal 3 2 7 3 2 2 4" xfId="28548"/>
    <cellStyle name="Normal 3 2 7 3 2 3" xfId="18841"/>
    <cellStyle name="Normal 3 2 7 3 2 3 2" xfId="41428"/>
    <cellStyle name="Normal 3 2 7 3 2 4" xfId="15621"/>
    <cellStyle name="Normal 3 2 7 3 2 4 2" xfId="38208"/>
    <cellStyle name="Normal 3 2 7 3 2 5" xfId="9181"/>
    <cellStyle name="Normal 3 2 7 3 2 5 2" xfId="31768"/>
    <cellStyle name="Normal 3 2 7 3 2 6" xfId="25328"/>
    <cellStyle name="Normal 3 2 7 3 3" xfId="4653"/>
    <cellStyle name="Normal 3 2 7 3 3 2" xfId="20753"/>
    <cellStyle name="Normal 3 2 7 3 3 2 2" xfId="43340"/>
    <cellStyle name="Normal 3 2 7 3 3 3" xfId="11093"/>
    <cellStyle name="Normal 3 2 7 3 3 3 2" xfId="33680"/>
    <cellStyle name="Normal 3 2 7 3 3 4" xfId="27240"/>
    <cellStyle name="Normal 3 2 7 3 4" xfId="17533"/>
    <cellStyle name="Normal 3 2 7 3 4 2" xfId="40120"/>
    <cellStyle name="Normal 3 2 7 3 5" xfId="14313"/>
    <cellStyle name="Normal 3 2 7 3 5 2" xfId="36900"/>
    <cellStyle name="Normal 3 2 7 3 6" xfId="7873"/>
    <cellStyle name="Normal 3 2 7 3 6 2" xfId="30460"/>
    <cellStyle name="Normal 3 2 7 3 7" xfId="24020"/>
    <cellStyle name="Normal 3 2 7 4" xfId="1665"/>
    <cellStyle name="Normal 3 2 7 4 2" xfId="4888"/>
    <cellStyle name="Normal 3 2 7 4 2 2" xfId="20988"/>
    <cellStyle name="Normal 3 2 7 4 2 2 2" xfId="43575"/>
    <cellStyle name="Normal 3 2 7 4 2 3" xfId="11328"/>
    <cellStyle name="Normal 3 2 7 4 2 3 2" xfId="33915"/>
    <cellStyle name="Normal 3 2 7 4 2 4" xfId="27475"/>
    <cellStyle name="Normal 3 2 7 4 3" xfId="17768"/>
    <cellStyle name="Normal 3 2 7 4 3 2" xfId="40355"/>
    <cellStyle name="Normal 3 2 7 4 4" xfId="14548"/>
    <cellStyle name="Normal 3 2 7 4 4 2" xfId="37135"/>
    <cellStyle name="Normal 3 2 7 4 5" xfId="8108"/>
    <cellStyle name="Normal 3 2 7 4 5 2" xfId="30695"/>
    <cellStyle name="Normal 3 2 7 4 6" xfId="24255"/>
    <cellStyle name="Normal 3 2 7 5" xfId="2046"/>
    <cellStyle name="Normal 3 2 7 5 2" xfId="5267"/>
    <cellStyle name="Normal 3 2 7 5 2 2" xfId="21367"/>
    <cellStyle name="Normal 3 2 7 5 2 2 2" xfId="43954"/>
    <cellStyle name="Normal 3 2 7 5 2 3" xfId="11707"/>
    <cellStyle name="Normal 3 2 7 5 2 3 2" xfId="34294"/>
    <cellStyle name="Normal 3 2 7 5 2 4" xfId="27854"/>
    <cellStyle name="Normal 3 2 7 5 3" xfId="18147"/>
    <cellStyle name="Normal 3 2 7 5 3 2" xfId="40734"/>
    <cellStyle name="Normal 3 2 7 5 4" xfId="14927"/>
    <cellStyle name="Normal 3 2 7 5 4 2" xfId="37514"/>
    <cellStyle name="Normal 3 2 7 5 5" xfId="8487"/>
    <cellStyle name="Normal 3 2 7 5 5 2" xfId="31074"/>
    <cellStyle name="Normal 3 2 7 5 6" xfId="24634"/>
    <cellStyle name="Normal 3 2 7 6" xfId="3048"/>
    <cellStyle name="Normal 3 2 7 6 2" xfId="6268"/>
    <cellStyle name="Normal 3 2 7 6 2 2" xfId="22368"/>
    <cellStyle name="Normal 3 2 7 6 2 2 2" xfId="44955"/>
    <cellStyle name="Normal 3 2 7 6 2 3" xfId="12708"/>
    <cellStyle name="Normal 3 2 7 6 2 3 2" xfId="35295"/>
    <cellStyle name="Normal 3 2 7 6 2 4" xfId="28855"/>
    <cellStyle name="Normal 3 2 7 6 3" xfId="19148"/>
    <cellStyle name="Normal 3 2 7 6 3 2" xfId="41735"/>
    <cellStyle name="Normal 3 2 7 6 4" xfId="15928"/>
    <cellStyle name="Normal 3 2 7 6 4 2" xfId="38515"/>
    <cellStyle name="Normal 3 2 7 6 5" xfId="9488"/>
    <cellStyle name="Normal 3 2 7 6 5 2" xfId="32075"/>
    <cellStyle name="Normal 3 2 7 6 6" xfId="25635"/>
    <cellStyle name="Normal 3 2 7 7" xfId="3338"/>
    <cellStyle name="Normal 3 2 7 7 2" xfId="6558"/>
    <cellStyle name="Normal 3 2 7 7 2 2" xfId="22658"/>
    <cellStyle name="Normal 3 2 7 7 2 2 2" xfId="45245"/>
    <cellStyle name="Normal 3 2 7 7 2 3" xfId="12998"/>
    <cellStyle name="Normal 3 2 7 7 2 3 2" xfId="35585"/>
    <cellStyle name="Normal 3 2 7 7 2 4" xfId="29145"/>
    <cellStyle name="Normal 3 2 7 7 3" xfId="19438"/>
    <cellStyle name="Normal 3 2 7 7 3 2" xfId="42025"/>
    <cellStyle name="Normal 3 2 7 7 4" xfId="16218"/>
    <cellStyle name="Normal 3 2 7 7 4 2" xfId="38805"/>
    <cellStyle name="Normal 3 2 7 7 5" xfId="9778"/>
    <cellStyle name="Normal 3 2 7 7 5 2" xfId="32365"/>
    <cellStyle name="Normal 3 2 7 7 6" xfId="25925"/>
    <cellStyle name="Normal 3 2 7 8" xfId="727"/>
    <cellStyle name="Normal 3 2 7 8 2" xfId="3959"/>
    <cellStyle name="Normal 3 2 7 8 2 2" xfId="20059"/>
    <cellStyle name="Normal 3 2 7 8 2 2 2" xfId="42646"/>
    <cellStyle name="Normal 3 2 7 8 2 3" xfId="10399"/>
    <cellStyle name="Normal 3 2 7 8 2 3 2" xfId="32986"/>
    <cellStyle name="Normal 3 2 7 8 2 4" xfId="26546"/>
    <cellStyle name="Normal 3 2 7 8 3" xfId="16839"/>
    <cellStyle name="Normal 3 2 7 8 3 2" xfId="39426"/>
    <cellStyle name="Normal 3 2 7 8 4" xfId="13619"/>
    <cellStyle name="Normal 3 2 7 8 4 2" xfId="36206"/>
    <cellStyle name="Normal 3 2 7 8 5" xfId="7179"/>
    <cellStyle name="Normal 3 2 7 8 5 2" xfId="29766"/>
    <cellStyle name="Normal 3 2 7 8 6" xfId="23326"/>
    <cellStyle name="Normal 3 2 7 9" xfId="3628"/>
    <cellStyle name="Normal 3 2 7 9 2" xfId="19728"/>
    <cellStyle name="Normal 3 2 7 9 2 2" xfId="42315"/>
    <cellStyle name="Normal 3 2 7 9 3" xfId="10068"/>
    <cellStyle name="Normal 3 2 7 9 3 2" xfId="32655"/>
    <cellStyle name="Normal 3 2 7 9 4" xfId="26215"/>
    <cellStyle name="Normal 3 2 8" xfId="746"/>
    <cellStyle name="Normal 3 2 8 10" xfId="23345"/>
    <cellStyle name="Normal 3 2 8 2" xfId="1098"/>
    <cellStyle name="Normal 3 2 8 2 2" xfId="2412"/>
    <cellStyle name="Normal 3 2 8 2 2 2" xfId="5633"/>
    <cellStyle name="Normal 3 2 8 2 2 2 2" xfId="21733"/>
    <cellStyle name="Normal 3 2 8 2 2 2 2 2" xfId="44320"/>
    <cellStyle name="Normal 3 2 8 2 2 2 3" xfId="12073"/>
    <cellStyle name="Normal 3 2 8 2 2 2 3 2" xfId="34660"/>
    <cellStyle name="Normal 3 2 8 2 2 2 4" xfId="28220"/>
    <cellStyle name="Normal 3 2 8 2 2 3" xfId="18513"/>
    <cellStyle name="Normal 3 2 8 2 2 3 2" xfId="41100"/>
    <cellStyle name="Normal 3 2 8 2 2 4" xfId="15293"/>
    <cellStyle name="Normal 3 2 8 2 2 4 2" xfId="37880"/>
    <cellStyle name="Normal 3 2 8 2 2 5" xfId="8853"/>
    <cellStyle name="Normal 3 2 8 2 2 5 2" xfId="31440"/>
    <cellStyle name="Normal 3 2 8 2 2 6" xfId="25000"/>
    <cellStyle name="Normal 3 2 8 2 3" xfId="4325"/>
    <cellStyle name="Normal 3 2 8 2 3 2" xfId="20425"/>
    <cellStyle name="Normal 3 2 8 2 3 2 2" xfId="43012"/>
    <cellStyle name="Normal 3 2 8 2 3 3" xfId="10765"/>
    <cellStyle name="Normal 3 2 8 2 3 3 2" xfId="33352"/>
    <cellStyle name="Normal 3 2 8 2 3 4" xfId="26912"/>
    <cellStyle name="Normal 3 2 8 2 4" xfId="17205"/>
    <cellStyle name="Normal 3 2 8 2 4 2" xfId="39792"/>
    <cellStyle name="Normal 3 2 8 2 5" xfId="13985"/>
    <cellStyle name="Normal 3 2 8 2 5 2" xfId="36572"/>
    <cellStyle name="Normal 3 2 8 2 6" xfId="7545"/>
    <cellStyle name="Normal 3 2 8 2 6 2" xfId="30132"/>
    <cellStyle name="Normal 3 2 8 2 7" xfId="23692"/>
    <cellStyle name="Normal 3 2 8 3" xfId="1445"/>
    <cellStyle name="Normal 3 2 8 3 2" xfId="2759"/>
    <cellStyle name="Normal 3 2 8 3 2 2" xfId="5980"/>
    <cellStyle name="Normal 3 2 8 3 2 2 2" xfId="22080"/>
    <cellStyle name="Normal 3 2 8 3 2 2 2 2" xfId="44667"/>
    <cellStyle name="Normal 3 2 8 3 2 2 3" xfId="12420"/>
    <cellStyle name="Normal 3 2 8 3 2 2 3 2" xfId="35007"/>
    <cellStyle name="Normal 3 2 8 3 2 2 4" xfId="28567"/>
    <cellStyle name="Normal 3 2 8 3 2 3" xfId="18860"/>
    <cellStyle name="Normal 3 2 8 3 2 3 2" xfId="41447"/>
    <cellStyle name="Normal 3 2 8 3 2 4" xfId="15640"/>
    <cellStyle name="Normal 3 2 8 3 2 4 2" xfId="38227"/>
    <cellStyle name="Normal 3 2 8 3 2 5" xfId="9200"/>
    <cellStyle name="Normal 3 2 8 3 2 5 2" xfId="31787"/>
    <cellStyle name="Normal 3 2 8 3 2 6" xfId="25347"/>
    <cellStyle name="Normal 3 2 8 3 3" xfId="4672"/>
    <cellStyle name="Normal 3 2 8 3 3 2" xfId="20772"/>
    <cellStyle name="Normal 3 2 8 3 3 2 2" xfId="43359"/>
    <cellStyle name="Normal 3 2 8 3 3 3" xfId="11112"/>
    <cellStyle name="Normal 3 2 8 3 3 3 2" xfId="33699"/>
    <cellStyle name="Normal 3 2 8 3 3 4" xfId="27259"/>
    <cellStyle name="Normal 3 2 8 3 4" xfId="17552"/>
    <cellStyle name="Normal 3 2 8 3 4 2" xfId="40139"/>
    <cellStyle name="Normal 3 2 8 3 5" xfId="14332"/>
    <cellStyle name="Normal 3 2 8 3 5 2" xfId="36919"/>
    <cellStyle name="Normal 3 2 8 3 6" xfId="7892"/>
    <cellStyle name="Normal 3 2 8 3 6 2" xfId="30479"/>
    <cellStyle name="Normal 3 2 8 3 7" xfId="24039"/>
    <cellStyle name="Normal 3 2 8 4" xfId="1666"/>
    <cellStyle name="Normal 3 2 8 4 2" xfId="4889"/>
    <cellStyle name="Normal 3 2 8 4 2 2" xfId="20989"/>
    <cellStyle name="Normal 3 2 8 4 2 2 2" xfId="43576"/>
    <cellStyle name="Normal 3 2 8 4 2 3" xfId="11329"/>
    <cellStyle name="Normal 3 2 8 4 2 3 2" xfId="33916"/>
    <cellStyle name="Normal 3 2 8 4 2 4" xfId="27476"/>
    <cellStyle name="Normal 3 2 8 4 3" xfId="17769"/>
    <cellStyle name="Normal 3 2 8 4 3 2" xfId="40356"/>
    <cellStyle name="Normal 3 2 8 4 4" xfId="14549"/>
    <cellStyle name="Normal 3 2 8 4 4 2" xfId="37136"/>
    <cellStyle name="Normal 3 2 8 4 5" xfId="8109"/>
    <cellStyle name="Normal 3 2 8 4 5 2" xfId="30696"/>
    <cellStyle name="Normal 3 2 8 4 6" xfId="24256"/>
    <cellStyle name="Normal 3 2 8 5" xfId="2065"/>
    <cellStyle name="Normal 3 2 8 5 2" xfId="5286"/>
    <cellStyle name="Normal 3 2 8 5 2 2" xfId="21386"/>
    <cellStyle name="Normal 3 2 8 5 2 2 2" xfId="43973"/>
    <cellStyle name="Normal 3 2 8 5 2 3" xfId="11726"/>
    <cellStyle name="Normal 3 2 8 5 2 3 2" xfId="34313"/>
    <cellStyle name="Normal 3 2 8 5 2 4" xfId="27873"/>
    <cellStyle name="Normal 3 2 8 5 3" xfId="18166"/>
    <cellStyle name="Normal 3 2 8 5 3 2" xfId="40753"/>
    <cellStyle name="Normal 3 2 8 5 4" xfId="14946"/>
    <cellStyle name="Normal 3 2 8 5 4 2" xfId="37533"/>
    <cellStyle name="Normal 3 2 8 5 5" xfId="8506"/>
    <cellStyle name="Normal 3 2 8 5 5 2" xfId="31093"/>
    <cellStyle name="Normal 3 2 8 5 6" xfId="24653"/>
    <cellStyle name="Normal 3 2 8 6" xfId="3978"/>
    <cellStyle name="Normal 3 2 8 6 2" xfId="20078"/>
    <cellStyle name="Normal 3 2 8 6 2 2" xfId="42665"/>
    <cellStyle name="Normal 3 2 8 6 3" xfId="10418"/>
    <cellStyle name="Normal 3 2 8 6 3 2" xfId="33005"/>
    <cellStyle name="Normal 3 2 8 6 4" xfId="26565"/>
    <cellStyle name="Normal 3 2 8 7" xfId="16858"/>
    <cellStyle name="Normal 3 2 8 7 2" xfId="39445"/>
    <cellStyle name="Normal 3 2 8 8" xfId="13638"/>
    <cellStyle name="Normal 3 2 8 8 2" xfId="36225"/>
    <cellStyle name="Normal 3 2 8 9" xfId="7198"/>
    <cellStyle name="Normal 3 2 8 9 2" xfId="29785"/>
    <cellStyle name="Normal 3 2 9" xfId="840"/>
    <cellStyle name="Normal 3 2 9 2" xfId="1667"/>
    <cellStyle name="Normal 3 2 9 2 2" xfId="4890"/>
    <cellStyle name="Normal 3 2 9 2 2 2" xfId="20990"/>
    <cellStyle name="Normal 3 2 9 2 2 2 2" xfId="43577"/>
    <cellStyle name="Normal 3 2 9 2 2 3" xfId="11330"/>
    <cellStyle name="Normal 3 2 9 2 2 3 2" xfId="33917"/>
    <cellStyle name="Normal 3 2 9 2 2 4" xfId="27477"/>
    <cellStyle name="Normal 3 2 9 2 3" xfId="17770"/>
    <cellStyle name="Normal 3 2 9 2 3 2" xfId="40357"/>
    <cellStyle name="Normal 3 2 9 2 4" xfId="14550"/>
    <cellStyle name="Normal 3 2 9 2 4 2" xfId="37137"/>
    <cellStyle name="Normal 3 2 9 2 5" xfId="8110"/>
    <cellStyle name="Normal 3 2 9 2 5 2" xfId="30697"/>
    <cellStyle name="Normal 3 2 9 2 6" xfId="24257"/>
    <cellStyle name="Normal 3 2 9 3" xfId="2159"/>
    <cellStyle name="Normal 3 2 9 3 2" xfId="5380"/>
    <cellStyle name="Normal 3 2 9 3 2 2" xfId="21480"/>
    <cellStyle name="Normal 3 2 9 3 2 2 2" xfId="44067"/>
    <cellStyle name="Normal 3 2 9 3 2 3" xfId="11820"/>
    <cellStyle name="Normal 3 2 9 3 2 3 2" xfId="34407"/>
    <cellStyle name="Normal 3 2 9 3 2 4" xfId="27967"/>
    <cellStyle name="Normal 3 2 9 3 3" xfId="18260"/>
    <cellStyle name="Normal 3 2 9 3 3 2" xfId="40847"/>
    <cellStyle name="Normal 3 2 9 3 4" xfId="15040"/>
    <cellStyle name="Normal 3 2 9 3 4 2" xfId="37627"/>
    <cellStyle name="Normal 3 2 9 3 5" xfId="8600"/>
    <cellStyle name="Normal 3 2 9 3 5 2" xfId="31187"/>
    <cellStyle name="Normal 3 2 9 3 6" xfId="24747"/>
    <cellStyle name="Normal 3 2 9 4" xfId="4072"/>
    <cellStyle name="Normal 3 2 9 4 2" xfId="20172"/>
    <cellStyle name="Normal 3 2 9 4 2 2" xfId="42759"/>
    <cellStyle name="Normal 3 2 9 4 3" xfId="10512"/>
    <cellStyle name="Normal 3 2 9 4 3 2" xfId="33099"/>
    <cellStyle name="Normal 3 2 9 4 4" xfId="26659"/>
    <cellStyle name="Normal 3 2 9 5" xfId="16952"/>
    <cellStyle name="Normal 3 2 9 5 2" xfId="39539"/>
    <cellStyle name="Normal 3 2 9 6" xfId="13732"/>
    <cellStyle name="Normal 3 2 9 6 2" xfId="36319"/>
    <cellStyle name="Normal 3 2 9 7" xfId="7292"/>
    <cellStyle name="Normal 3 2 9 7 2" xfId="29879"/>
    <cellStyle name="Normal 3 2 9 8" xfId="23439"/>
    <cellStyle name="Normal 3 3" xfId="106"/>
    <cellStyle name="Normal 3 3 10" xfId="1668"/>
    <cellStyle name="Normal 3 3 10 2" xfId="4891"/>
    <cellStyle name="Normal 3 3 10 2 2" xfId="20991"/>
    <cellStyle name="Normal 3 3 10 2 2 2" xfId="43578"/>
    <cellStyle name="Normal 3 3 10 2 3" xfId="11331"/>
    <cellStyle name="Normal 3 3 10 2 3 2" xfId="33918"/>
    <cellStyle name="Normal 3 3 10 2 4" xfId="27478"/>
    <cellStyle name="Normal 3 3 10 3" xfId="17771"/>
    <cellStyle name="Normal 3 3 10 3 2" xfId="40358"/>
    <cellStyle name="Normal 3 3 10 4" xfId="14551"/>
    <cellStyle name="Normal 3 3 10 4 2" xfId="37138"/>
    <cellStyle name="Normal 3 3 10 5" xfId="8111"/>
    <cellStyle name="Normal 3 3 10 5 2" xfId="30698"/>
    <cellStyle name="Normal 3 3 10 6" xfId="24258"/>
    <cellStyle name="Normal 3 3 11" xfId="1821"/>
    <cellStyle name="Normal 3 3 11 2" xfId="5043"/>
    <cellStyle name="Normal 3 3 11 2 2" xfId="21143"/>
    <cellStyle name="Normal 3 3 11 2 2 2" xfId="43730"/>
    <cellStyle name="Normal 3 3 11 2 3" xfId="11483"/>
    <cellStyle name="Normal 3 3 11 2 3 2" xfId="34070"/>
    <cellStyle name="Normal 3 3 11 2 4" xfId="27630"/>
    <cellStyle name="Normal 3 3 11 3" xfId="17923"/>
    <cellStyle name="Normal 3 3 11 3 2" xfId="40510"/>
    <cellStyle name="Normal 3 3 11 4" xfId="14703"/>
    <cellStyle name="Normal 3 3 11 4 2" xfId="37290"/>
    <cellStyle name="Normal 3 3 11 5" xfId="8263"/>
    <cellStyle name="Normal 3 3 11 5 2" xfId="30850"/>
    <cellStyle name="Normal 3 3 11 6" xfId="24410"/>
    <cellStyle name="Normal 3 3 12" xfId="2864"/>
    <cellStyle name="Normal 3 3 12 2" xfId="6085"/>
    <cellStyle name="Normal 3 3 12 2 2" xfId="22185"/>
    <cellStyle name="Normal 3 3 12 2 2 2" xfId="44772"/>
    <cellStyle name="Normal 3 3 12 2 3" xfId="12525"/>
    <cellStyle name="Normal 3 3 12 2 3 2" xfId="35112"/>
    <cellStyle name="Normal 3 3 12 2 4" xfId="28672"/>
    <cellStyle name="Normal 3 3 12 3" xfId="18965"/>
    <cellStyle name="Normal 3 3 12 3 2" xfId="41552"/>
    <cellStyle name="Normal 3 3 12 4" xfId="15745"/>
    <cellStyle name="Normal 3 3 12 4 2" xfId="38332"/>
    <cellStyle name="Normal 3 3 12 5" xfId="9305"/>
    <cellStyle name="Normal 3 3 12 5 2" xfId="31892"/>
    <cellStyle name="Normal 3 3 12 6" xfId="25452"/>
    <cellStyle name="Normal 3 3 13" xfId="3155"/>
    <cellStyle name="Normal 3 3 13 2" xfId="6375"/>
    <cellStyle name="Normal 3 3 13 2 2" xfId="22475"/>
    <cellStyle name="Normal 3 3 13 2 2 2" xfId="45062"/>
    <cellStyle name="Normal 3 3 13 2 3" xfId="12815"/>
    <cellStyle name="Normal 3 3 13 2 3 2" xfId="35402"/>
    <cellStyle name="Normal 3 3 13 2 4" xfId="28962"/>
    <cellStyle name="Normal 3 3 13 3" xfId="19255"/>
    <cellStyle name="Normal 3 3 13 3 2" xfId="41842"/>
    <cellStyle name="Normal 3 3 13 4" xfId="16035"/>
    <cellStyle name="Normal 3 3 13 4 2" xfId="38622"/>
    <cellStyle name="Normal 3 3 13 5" xfId="9595"/>
    <cellStyle name="Normal 3 3 13 5 2" xfId="32182"/>
    <cellStyle name="Normal 3 3 13 6" xfId="25742"/>
    <cellStyle name="Normal 3 3 14" xfId="448"/>
    <cellStyle name="Normal 3 3 14 2" xfId="3735"/>
    <cellStyle name="Normal 3 3 14 2 2" xfId="19835"/>
    <cellStyle name="Normal 3 3 14 2 2 2" xfId="42422"/>
    <cellStyle name="Normal 3 3 14 2 3" xfId="10175"/>
    <cellStyle name="Normal 3 3 14 2 3 2" xfId="32762"/>
    <cellStyle name="Normal 3 3 14 2 4" xfId="26322"/>
    <cellStyle name="Normal 3 3 14 3" xfId="16615"/>
    <cellStyle name="Normal 3 3 14 3 2" xfId="39202"/>
    <cellStyle name="Normal 3 3 14 4" xfId="13395"/>
    <cellStyle name="Normal 3 3 14 4 2" xfId="35982"/>
    <cellStyle name="Normal 3 3 14 5" xfId="6955"/>
    <cellStyle name="Normal 3 3 14 5 2" xfId="29542"/>
    <cellStyle name="Normal 3 3 14 6" xfId="23102"/>
    <cellStyle name="Normal 3 3 15" xfId="3445"/>
    <cellStyle name="Normal 3 3 15 2" xfId="19545"/>
    <cellStyle name="Normal 3 3 15 2 2" xfId="42132"/>
    <cellStyle name="Normal 3 3 15 3" xfId="9885"/>
    <cellStyle name="Normal 3 3 15 3 2" xfId="32472"/>
    <cellStyle name="Normal 3 3 15 4" xfId="26032"/>
    <cellStyle name="Normal 3 3 16" xfId="16325"/>
    <cellStyle name="Normal 3 3 16 2" xfId="38912"/>
    <cellStyle name="Normal 3 3 17" xfId="13105"/>
    <cellStyle name="Normal 3 3 17 2" xfId="35692"/>
    <cellStyle name="Normal 3 3 18" xfId="6665"/>
    <cellStyle name="Normal 3 3 18 2" xfId="29252"/>
    <cellStyle name="Normal 3 3 19" xfId="22812"/>
    <cellStyle name="Normal 3 3 2" xfId="124"/>
    <cellStyle name="Normal 3 3 2 10" xfId="2880"/>
    <cellStyle name="Normal 3 3 2 10 2" xfId="6101"/>
    <cellStyle name="Normal 3 3 2 10 2 2" xfId="22201"/>
    <cellStyle name="Normal 3 3 2 10 2 2 2" xfId="44788"/>
    <cellStyle name="Normal 3 3 2 10 2 3" xfId="12541"/>
    <cellStyle name="Normal 3 3 2 10 2 3 2" xfId="35128"/>
    <cellStyle name="Normal 3 3 2 10 2 4" xfId="28688"/>
    <cellStyle name="Normal 3 3 2 10 3" xfId="18981"/>
    <cellStyle name="Normal 3 3 2 10 3 2" xfId="41568"/>
    <cellStyle name="Normal 3 3 2 10 4" xfId="15761"/>
    <cellStyle name="Normal 3 3 2 10 4 2" xfId="38348"/>
    <cellStyle name="Normal 3 3 2 10 5" xfId="9321"/>
    <cellStyle name="Normal 3 3 2 10 5 2" xfId="31908"/>
    <cellStyle name="Normal 3 3 2 10 6" xfId="25468"/>
    <cellStyle name="Normal 3 3 2 11" xfId="3171"/>
    <cellStyle name="Normal 3 3 2 11 2" xfId="6391"/>
    <cellStyle name="Normal 3 3 2 11 2 2" xfId="22491"/>
    <cellStyle name="Normal 3 3 2 11 2 2 2" xfId="45078"/>
    <cellStyle name="Normal 3 3 2 11 2 3" xfId="12831"/>
    <cellStyle name="Normal 3 3 2 11 2 3 2" xfId="35418"/>
    <cellStyle name="Normal 3 3 2 11 2 4" xfId="28978"/>
    <cellStyle name="Normal 3 3 2 11 3" xfId="19271"/>
    <cellStyle name="Normal 3 3 2 11 3 2" xfId="41858"/>
    <cellStyle name="Normal 3 3 2 11 4" xfId="16051"/>
    <cellStyle name="Normal 3 3 2 11 4 2" xfId="38638"/>
    <cellStyle name="Normal 3 3 2 11 5" xfId="9611"/>
    <cellStyle name="Normal 3 3 2 11 5 2" xfId="32198"/>
    <cellStyle name="Normal 3 3 2 11 6" xfId="25758"/>
    <cellStyle name="Normal 3 3 2 12" xfId="464"/>
    <cellStyle name="Normal 3 3 2 12 2" xfId="3751"/>
    <cellStyle name="Normal 3 3 2 12 2 2" xfId="19851"/>
    <cellStyle name="Normal 3 3 2 12 2 2 2" xfId="42438"/>
    <cellStyle name="Normal 3 3 2 12 2 3" xfId="10191"/>
    <cellStyle name="Normal 3 3 2 12 2 3 2" xfId="32778"/>
    <cellStyle name="Normal 3 3 2 12 2 4" xfId="26338"/>
    <cellStyle name="Normal 3 3 2 12 3" xfId="16631"/>
    <cellStyle name="Normal 3 3 2 12 3 2" xfId="39218"/>
    <cellStyle name="Normal 3 3 2 12 4" xfId="13411"/>
    <cellStyle name="Normal 3 3 2 12 4 2" xfId="35998"/>
    <cellStyle name="Normal 3 3 2 12 5" xfId="6971"/>
    <cellStyle name="Normal 3 3 2 12 5 2" xfId="29558"/>
    <cellStyle name="Normal 3 3 2 12 6" xfId="23118"/>
    <cellStyle name="Normal 3 3 2 13" xfId="3461"/>
    <cellStyle name="Normal 3 3 2 13 2" xfId="19561"/>
    <cellStyle name="Normal 3 3 2 13 2 2" xfId="42148"/>
    <cellStyle name="Normal 3 3 2 13 3" xfId="9901"/>
    <cellStyle name="Normal 3 3 2 13 3 2" xfId="32488"/>
    <cellStyle name="Normal 3 3 2 13 4" xfId="26048"/>
    <cellStyle name="Normal 3 3 2 14" xfId="16341"/>
    <cellStyle name="Normal 3 3 2 14 2" xfId="38928"/>
    <cellStyle name="Normal 3 3 2 15" xfId="13121"/>
    <cellStyle name="Normal 3 3 2 15 2" xfId="35708"/>
    <cellStyle name="Normal 3 3 2 16" xfId="6681"/>
    <cellStyle name="Normal 3 3 2 16 2" xfId="29268"/>
    <cellStyle name="Normal 3 3 2 17" xfId="22828"/>
    <cellStyle name="Normal 3 3 2 2" xfId="209"/>
    <cellStyle name="Normal 3 3 2 2 10" xfId="501"/>
    <cellStyle name="Normal 3 3 2 2 10 2" xfId="3788"/>
    <cellStyle name="Normal 3 3 2 2 10 2 2" xfId="19888"/>
    <cellStyle name="Normal 3 3 2 2 10 2 2 2" xfId="42475"/>
    <cellStyle name="Normal 3 3 2 2 10 2 3" xfId="10228"/>
    <cellStyle name="Normal 3 3 2 2 10 2 3 2" xfId="32815"/>
    <cellStyle name="Normal 3 3 2 2 10 2 4" xfId="26375"/>
    <cellStyle name="Normal 3 3 2 2 10 3" xfId="16668"/>
    <cellStyle name="Normal 3 3 2 2 10 3 2" xfId="39255"/>
    <cellStyle name="Normal 3 3 2 2 10 4" xfId="13448"/>
    <cellStyle name="Normal 3 3 2 2 10 4 2" xfId="36035"/>
    <cellStyle name="Normal 3 3 2 2 10 5" xfId="7008"/>
    <cellStyle name="Normal 3 3 2 2 10 5 2" xfId="29595"/>
    <cellStyle name="Normal 3 3 2 2 10 6" xfId="23155"/>
    <cellStyle name="Normal 3 3 2 2 11" xfId="3498"/>
    <cellStyle name="Normal 3 3 2 2 11 2" xfId="19598"/>
    <cellStyle name="Normal 3 3 2 2 11 2 2" xfId="42185"/>
    <cellStyle name="Normal 3 3 2 2 11 3" xfId="9938"/>
    <cellStyle name="Normal 3 3 2 2 11 3 2" xfId="32525"/>
    <cellStyle name="Normal 3 3 2 2 11 4" xfId="26085"/>
    <cellStyle name="Normal 3 3 2 2 12" xfId="16378"/>
    <cellStyle name="Normal 3 3 2 2 12 2" xfId="38965"/>
    <cellStyle name="Normal 3 3 2 2 13" xfId="13158"/>
    <cellStyle name="Normal 3 3 2 2 13 2" xfId="35745"/>
    <cellStyle name="Normal 3 3 2 2 14" xfId="6718"/>
    <cellStyle name="Normal 3 3 2 2 14 2" xfId="29305"/>
    <cellStyle name="Normal 3 3 2 2 15" xfId="22865"/>
    <cellStyle name="Normal 3 3 2 2 2" xfId="308"/>
    <cellStyle name="Normal 3 3 2 2 2 10" xfId="16475"/>
    <cellStyle name="Normal 3 3 2 2 2 10 2" xfId="39062"/>
    <cellStyle name="Normal 3 3 2 2 2 11" xfId="13255"/>
    <cellStyle name="Normal 3 3 2 2 2 11 2" xfId="35842"/>
    <cellStyle name="Normal 3 3 2 2 2 12" xfId="6815"/>
    <cellStyle name="Normal 3 3 2 2 2 12 2" xfId="29402"/>
    <cellStyle name="Normal 3 3 2 2 2 13" xfId="22962"/>
    <cellStyle name="Normal 3 3 2 2 2 2" xfId="1027"/>
    <cellStyle name="Normal 3 3 2 2 2 2 2" xfId="2341"/>
    <cellStyle name="Normal 3 3 2 2 2 2 2 2" xfId="5562"/>
    <cellStyle name="Normal 3 3 2 2 2 2 2 2 2" xfId="21662"/>
    <cellStyle name="Normal 3 3 2 2 2 2 2 2 2 2" xfId="44249"/>
    <cellStyle name="Normal 3 3 2 2 2 2 2 2 3" xfId="12002"/>
    <cellStyle name="Normal 3 3 2 2 2 2 2 2 3 2" xfId="34589"/>
    <cellStyle name="Normal 3 3 2 2 2 2 2 2 4" xfId="28149"/>
    <cellStyle name="Normal 3 3 2 2 2 2 2 3" xfId="18442"/>
    <cellStyle name="Normal 3 3 2 2 2 2 2 3 2" xfId="41029"/>
    <cellStyle name="Normal 3 3 2 2 2 2 2 4" xfId="15222"/>
    <cellStyle name="Normal 3 3 2 2 2 2 2 4 2" xfId="37809"/>
    <cellStyle name="Normal 3 3 2 2 2 2 2 5" xfId="8782"/>
    <cellStyle name="Normal 3 3 2 2 2 2 2 5 2" xfId="31369"/>
    <cellStyle name="Normal 3 3 2 2 2 2 2 6" xfId="24929"/>
    <cellStyle name="Normal 3 3 2 2 2 2 3" xfId="4254"/>
    <cellStyle name="Normal 3 3 2 2 2 2 3 2" xfId="20354"/>
    <cellStyle name="Normal 3 3 2 2 2 2 3 2 2" xfId="42941"/>
    <cellStyle name="Normal 3 3 2 2 2 2 3 3" xfId="10694"/>
    <cellStyle name="Normal 3 3 2 2 2 2 3 3 2" xfId="33281"/>
    <cellStyle name="Normal 3 3 2 2 2 2 3 4" xfId="26841"/>
    <cellStyle name="Normal 3 3 2 2 2 2 4" xfId="17134"/>
    <cellStyle name="Normal 3 3 2 2 2 2 4 2" xfId="39721"/>
    <cellStyle name="Normal 3 3 2 2 2 2 5" xfId="13914"/>
    <cellStyle name="Normal 3 3 2 2 2 2 5 2" xfId="36501"/>
    <cellStyle name="Normal 3 3 2 2 2 2 6" xfId="7474"/>
    <cellStyle name="Normal 3 3 2 2 2 2 6 2" xfId="30061"/>
    <cellStyle name="Normal 3 3 2 2 2 2 7" xfId="23621"/>
    <cellStyle name="Normal 3 3 2 2 2 3" xfId="1374"/>
    <cellStyle name="Normal 3 3 2 2 2 3 2" xfId="2688"/>
    <cellStyle name="Normal 3 3 2 2 2 3 2 2" xfId="5909"/>
    <cellStyle name="Normal 3 3 2 2 2 3 2 2 2" xfId="22009"/>
    <cellStyle name="Normal 3 3 2 2 2 3 2 2 2 2" xfId="44596"/>
    <cellStyle name="Normal 3 3 2 2 2 3 2 2 3" xfId="12349"/>
    <cellStyle name="Normal 3 3 2 2 2 3 2 2 3 2" xfId="34936"/>
    <cellStyle name="Normal 3 3 2 2 2 3 2 2 4" xfId="28496"/>
    <cellStyle name="Normal 3 3 2 2 2 3 2 3" xfId="18789"/>
    <cellStyle name="Normal 3 3 2 2 2 3 2 3 2" xfId="41376"/>
    <cellStyle name="Normal 3 3 2 2 2 3 2 4" xfId="15569"/>
    <cellStyle name="Normal 3 3 2 2 2 3 2 4 2" xfId="38156"/>
    <cellStyle name="Normal 3 3 2 2 2 3 2 5" xfId="9129"/>
    <cellStyle name="Normal 3 3 2 2 2 3 2 5 2" xfId="31716"/>
    <cellStyle name="Normal 3 3 2 2 2 3 2 6" xfId="25276"/>
    <cellStyle name="Normal 3 3 2 2 2 3 3" xfId="4601"/>
    <cellStyle name="Normal 3 3 2 2 2 3 3 2" xfId="20701"/>
    <cellStyle name="Normal 3 3 2 2 2 3 3 2 2" xfId="43288"/>
    <cellStyle name="Normal 3 3 2 2 2 3 3 3" xfId="11041"/>
    <cellStyle name="Normal 3 3 2 2 2 3 3 3 2" xfId="33628"/>
    <cellStyle name="Normal 3 3 2 2 2 3 3 4" xfId="27188"/>
    <cellStyle name="Normal 3 3 2 2 2 3 4" xfId="17481"/>
    <cellStyle name="Normal 3 3 2 2 2 3 4 2" xfId="40068"/>
    <cellStyle name="Normal 3 3 2 2 2 3 5" xfId="14261"/>
    <cellStyle name="Normal 3 3 2 2 2 3 5 2" xfId="36848"/>
    <cellStyle name="Normal 3 3 2 2 2 3 6" xfId="7821"/>
    <cellStyle name="Normal 3 3 2 2 2 3 6 2" xfId="30408"/>
    <cellStyle name="Normal 3 3 2 2 2 3 7" xfId="23968"/>
    <cellStyle name="Normal 3 3 2 2 2 4" xfId="1669"/>
    <cellStyle name="Normal 3 3 2 2 2 4 2" xfId="4892"/>
    <cellStyle name="Normal 3 3 2 2 2 4 2 2" xfId="20992"/>
    <cellStyle name="Normal 3 3 2 2 2 4 2 2 2" xfId="43579"/>
    <cellStyle name="Normal 3 3 2 2 2 4 2 3" xfId="11332"/>
    <cellStyle name="Normal 3 3 2 2 2 4 2 3 2" xfId="33919"/>
    <cellStyle name="Normal 3 3 2 2 2 4 2 4" xfId="27479"/>
    <cellStyle name="Normal 3 3 2 2 2 4 3" xfId="17772"/>
    <cellStyle name="Normal 3 3 2 2 2 4 3 2" xfId="40359"/>
    <cellStyle name="Normal 3 3 2 2 2 4 4" xfId="14552"/>
    <cellStyle name="Normal 3 3 2 2 2 4 4 2" xfId="37139"/>
    <cellStyle name="Normal 3 3 2 2 2 4 5" xfId="8112"/>
    <cellStyle name="Normal 3 3 2 2 2 4 5 2" xfId="30699"/>
    <cellStyle name="Normal 3 3 2 2 2 4 6" xfId="24259"/>
    <cellStyle name="Normal 3 3 2 2 2 5" xfId="1993"/>
    <cellStyle name="Normal 3 3 2 2 2 5 2" xfId="5215"/>
    <cellStyle name="Normal 3 3 2 2 2 5 2 2" xfId="21315"/>
    <cellStyle name="Normal 3 3 2 2 2 5 2 2 2" xfId="43902"/>
    <cellStyle name="Normal 3 3 2 2 2 5 2 3" xfId="11655"/>
    <cellStyle name="Normal 3 3 2 2 2 5 2 3 2" xfId="34242"/>
    <cellStyle name="Normal 3 3 2 2 2 5 2 4" xfId="27802"/>
    <cellStyle name="Normal 3 3 2 2 2 5 3" xfId="18095"/>
    <cellStyle name="Normal 3 3 2 2 2 5 3 2" xfId="40682"/>
    <cellStyle name="Normal 3 3 2 2 2 5 4" xfId="14875"/>
    <cellStyle name="Normal 3 3 2 2 2 5 4 2" xfId="37462"/>
    <cellStyle name="Normal 3 3 2 2 2 5 5" xfId="8435"/>
    <cellStyle name="Normal 3 3 2 2 2 5 5 2" xfId="31022"/>
    <cellStyle name="Normal 3 3 2 2 2 5 6" xfId="24582"/>
    <cellStyle name="Normal 3 3 2 2 2 6" xfId="3015"/>
    <cellStyle name="Normal 3 3 2 2 2 6 2" xfId="6235"/>
    <cellStyle name="Normal 3 3 2 2 2 6 2 2" xfId="22335"/>
    <cellStyle name="Normal 3 3 2 2 2 6 2 2 2" xfId="44922"/>
    <cellStyle name="Normal 3 3 2 2 2 6 2 3" xfId="12675"/>
    <cellStyle name="Normal 3 3 2 2 2 6 2 3 2" xfId="35262"/>
    <cellStyle name="Normal 3 3 2 2 2 6 2 4" xfId="28822"/>
    <cellStyle name="Normal 3 3 2 2 2 6 3" xfId="19115"/>
    <cellStyle name="Normal 3 3 2 2 2 6 3 2" xfId="41702"/>
    <cellStyle name="Normal 3 3 2 2 2 6 4" xfId="15895"/>
    <cellStyle name="Normal 3 3 2 2 2 6 4 2" xfId="38482"/>
    <cellStyle name="Normal 3 3 2 2 2 6 5" xfId="9455"/>
    <cellStyle name="Normal 3 3 2 2 2 6 5 2" xfId="32042"/>
    <cellStyle name="Normal 3 3 2 2 2 6 6" xfId="25602"/>
    <cellStyle name="Normal 3 3 2 2 2 7" xfId="3305"/>
    <cellStyle name="Normal 3 3 2 2 2 7 2" xfId="6525"/>
    <cellStyle name="Normal 3 3 2 2 2 7 2 2" xfId="22625"/>
    <cellStyle name="Normal 3 3 2 2 2 7 2 2 2" xfId="45212"/>
    <cellStyle name="Normal 3 3 2 2 2 7 2 3" xfId="12965"/>
    <cellStyle name="Normal 3 3 2 2 2 7 2 3 2" xfId="35552"/>
    <cellStyle name="Normal 3 3 2 2 2 7 2 4" xfId="29112"/>
    <cellStyle name="Normal 3 3 2 2 2 7 3" xfId="19405"/>
    <cellStyle name="Normal 3 3 2 2 2 7 3 2" xfId="41992"/>
    <cellStyle name="Normal 3 3 2 2 2 7 4" xfId="16185"/>
    <cellStyle name="Normal 3 3 2 2 2 7 4 2" xfId="38772"/>
    <cellStyle name="Normal 3 3 2 2 2 7 5" xfId="9745"/>
    <cellStyle name="Normal 3 3 2 2 2 7 5 2" xfId="32332"/>
    <cellStyle name="Normal 3 3 2 2 2 7 6" xfId="25892"/>
    <cellStyle name="Normal 3 3 2 2 2 8" xfId="663"/>
    <cellStyle name="Normal 3 3 2 2 2 8 2" xfId="3907"/>
    <cellStyle name="Normal 3 3 2 2 2 8 2 2" xfId="20007"/>
    <cellStyle name="Normal 3 3 2 2 2 8 2 2 2" xfId="42594"/>
    <cellStyle name="Normal 3 3 2 2 2 8 2 3" xfId="10347"/>
    <cellStyle name="Normal 3 3 2 2 2 8 2 3 2" xfId="32934"/>
    <cellStyle name="Normal 3 3 2 2 2 8 2 4" xfId="26494"/>
    <cellStyle name="Normal 3 3 2 2 2 8 3" xfId="16787"/>
    <cellStyle name="Normal 3 3 2 2 2 8 3 2" xfId="39374"/>
    <cellStyle name="Normal 3 3 2 2 2 8 4" xfId="13567"/>
    <cellStyle name="Normal 3 3 2 2 2 8 4 2" xfId="36154"/>
    <cellStyle name="Normal 3 3 2 2 2 8 5" xfId="7127"/>
    <cellStyle name="Normal 3 3 2 2 2 8 5 2" xfId="29714"/>
    <cellStyle name="Normal 3 3 2 2 2 8 6" xfId="23274"/>
    <cellStyle name="Normal 3 3 2 2 2 9" xfId="3595"/>
    <cellStyle name="Normal 3 3 2 2 2 9 2" xfId="19695"/>
    <cellStyle name="Normal 3 3 2 2 2 9 2 2" xfId="42282"/>
    <cellStyle name="Normal 3 3 2 2 2 9 3" xfId="10035"/>
    <cellStyle name="Normal 3 3 2 2 2 9 3 2" xfId="32622"/>
    <cellStyle name="Normal 3 3 2 2 2 9 4" xfId="26182"/>
    <cellStyle name="Normal 3 3 2 2 3" xfId="404"/>
    <cellStyle name="Normal 3 3 2 2 3 10" xfId="13351"/>
    <cellStyle name="Normal 3 3 2 2 3 10 2" xfId="35938"/>
    <cellStyle name="Normal 3 3 2 2 3 11" xfId="6911"/>
    <cellStyle name="Normal 3 3 2 2 3 11 2" xfId="29498"/>
    <cellStyle name="Normal 3 3 2 2 3 12" xfId="23058"/>
    <cellStyle name="Normal 3 3 2 2 3 2" xfId="1186"/>
    <cellStyle name="Normal 3 3 2 2 3 2 2" xfId="2500"/>
    <cellStyle name="Normal 3 3 2 2 3 2 2 2" xfId="5721"/>
    <cellStyle name="Normal 3 3 2 2 3 2 2 2 2" xfId="21821"/>
    <cellStyle name="Normal 3 3 2 2 3 2 2 2 2 2" xfId="44408"/>
    <cellStyle name="Normal 3 3 2 2 3 2 2 2 3" xfId="12161"/>
    <cellStyle name="Normal 3 3 2 2 3 2 2 2 3 2" xfId="34748"/>
    <cellStyle name="Normal 3 3 2 2 3 2 2 2 4" xfId="28308"/>
    <cellStyle name="Normal 3 3 2 2 3 2 2 3" xfId="18601"/>
    <cellStyle name="Normal 3 3 2 2 3 2 2 3 2" xfId="41188"/>
    <cellStyle name="Normal 3 3 2 2 3 2 2 4" xfId="15381"/>
    <cellStyle name="Normal 3 3 2 2 3 2 2 4 2" xfId="37968"/>
    <cellStyle name="Normal 3 3 2 2 3 2 2 5" xfId="8941"/>
    <cellStyle name="Normal 3 3 2 2 3 2 2 5 2" xfId="31528"/>
    <cellStyle name="Normal 3 3 2 2 3 2 2 6" xfId="25088"/>
    <cellStyle name="Normal 3 3 2 2 3 2 3" xfId="4413"/>
    <cellStyle name="Normal 3 3 2 2 3 2 3 2" xfId="20513"/>
    <cellStyle name="Normal 3 3 2 2 3 2 3 2 2" xfId="43100"/>
    <cellStyle name="Normal 3 3 2 2 3 2 3 3" xfId="10853"/>
    <cellStyle name="Normal 3 3 2 2 3 2 3 3 2" xfId="33440"/>
    <cellStyle name="Normal 3 3 2 2 3 2 3 4" xfId="27000"/>
    <cellStyle name="Normal 3 3 2 2 3 2 4" xfId="17293"/>
    <cellStyle name="Normal 3 3 2 2 3 2 4 2" xfId="39880"/>
    <cellStyle name="Normal 3 3 2 2 3 2 5" xfId="14073"/>
    <cellStyle name="Normal 3 3 2 2 3 2 5 2" xfId="36660"/>
    <cellStyle name="Normal 3 3 2 2 3 2 6" xfId="7633"/>
    <cellStyle name="Normal 3 3 2 2 3 2 6 2" xfId="30220"/>
    <cellStyle name="Normal 3 3 2 2 3 2 7" xfId="23780"/>
    <cellStyle name="Normal 3 3 2 2 3 3" xfId="1533"/>
    <cellStyle name="Normal 3 3 2 2 3 3 2" xfId="2847"/>
    <cellStyle name="Normal 3 3 2 2 3 3 2 2" xfId="6068"/>
    <cellStyle name="Normal 3 3 2 2 3 3 2 2 2" xfId="22168"/>
    <cellStyle name="Normal 3 3 2 2 3 3 2 2 2 2" xfId="44755"/>
    <cellStyle name="Normal 3 3 2 2 3 3 2 2 3" xfId="12508"/>
    <cellStyle name="Normal 3 3 2 2 3 3 2 2 3 2" xfId="35095"/>
    <cellStyle name="Normal 3 3 2 2 3 3 2 2 4" xfId="28655"/>
    <cellStyle name="Normal 3 3 2 2 3 3 2 3" xfId="18948"/>
    <cellStyle name="Normal 3 3 2 2 3 3 2 3 2" xfId="41535"/>
    <cellStyle name="Normal 3 3 2 2 3 3 2 4" xfId="15728"/>
    <cellStyle name="Normal 3 3 2 2 3 3 2 4 2" xfId="38315"/>
    <cellStyle name="Normal 3 3 2 2 3 3 2 5" xfId="9288"/>
    <cellStyle name="Normal 3 3 2 2 3 3 2 5 2" xfId="31875"/>
    <cellStyle name="Normal 3 3 2 2 3 3 2 6" xfId="25435"/>
    <cellStyle name="Normal 3 3 2 2 3 3 3" xfId="4760"/>
    <cellStyle name="Normal 3 3 2 2 3 3 3 2" xfId="20860"/>
    <cellStyle name="Normal 3 3 2 2 3 3 3 2 2" xfId="43447"/>
    <cellStyle name="Normal 3 3 2 2 3 3 3 3" xfId="11200"/>
    <cellStyle name="Normal 3 3 2 2 3 3 3 3 2" xfId="33787"/>
    <cellStyle name="Normal 3 3 2 2 3 3 3 4" xfId="27347"/>
    <cellStyle name="Normal 3 3 2 2 3 3 4" xfId="17640"/>
    <cellStyle name="Normal 3 3 2 2 3 3 4 2" xfId="40227"/>
    <cellStyle name="Normal 3 3 2 2 3 3 5" xfId="14420"/>
    <cellStyle name="Normal 3 3 2 2 3 3 5 2" xfId="37007"/>
    <cellStyle name="Normal 3 3 2 2 3 3 6" xfId="7980"/>
    <cellStyle name="Normal 3 3 2 2 3 3 6 2" xfId="30567"/>
    <cellStyle name="Normal 3 3 2 2 3 3 7" xfId="24127"/>
    <cellStyle name="Normal 3 3 2 2 3 4" xfId="2153"/>
    <cellStyle name="Normal 3 3 2 2 3 4 2" xfId="5374"/>
    <cellStyle name="Normal 3 3 2 2 3 4 2 2" xfId="21474"/>
    <cellStyle name="Normal 3 3 2 2 3 4 2 2 2" xfId="44061"/>
    <cellStyle name="Normal 3 3 2 2 3 4 2 3" xfId="11814"/>
    <cellStyle name="Normal 3 3 2 2 3 4 2 3 2" xfId="34401"/>
    <cellStyle name="Normal 3 3 2 2 3 4 2 4" xfId="27961"/>
    <cellStyle name="Normal 3 3 2 2 3 4 3" xfId="18254"/>
    <cellStyle name="Normal 3 3 2 2 3 4 3 2" xfId="40841"/>
    <cellStyle name="Normal 3 3 2 2 3 4 4" xfId="15034"/>
    <cellStyle name="Normal 3 3 2 2 3 4 4 2" xfId="37621"/>
    <cellStyle name="Normal 3 3 2 2 3 4 5" xfId="8594"/>
    <cellStyle name="Normal 3 3 2 2 3 4 5 2" xfId="31181"/>
    <cellStyle name="Normal 3 3 2 2 3 4 6" xfId="24741"/>
    <cellStyle name="Normal 3 3 2 2 3 5" xfId="3111"/>
    <cellStyle name="Normal 3 3 2 2 3 5 2" xfId="6331"/>
    <cellStyle name="Normal 3 3 2 2 3 5 2 2" xfId="22431"/>
    <cellStyle name="Normal 3 3 2 2 3 5 2 2 2" xfId="45018"/>
    <cellStyle name="Normal 3 3 2 2 3 5 2 3" xfId="12771"/>
    <cellStyle name="Normal 3 3 2 2 3 5 2 3 2" xfId="35358"/>
    <cellStyle name="Normal 3 3 2 2 3 5 2 4" xfId="28918"/>
    <cellStyle name="Normal 3 3 2 2 3 5 3" xfId="19211"/>
    <cellStyle name="Normal 3 3 2 2 3 5 3 2" xfId="41798"/>
    <cellStyle name="Normal 3 3 2 2 3 5 4" xfId="15991"/>
    <cellStyle name="Normal 3 3 2 2 3 5 4 2" xfId="38578"/>
    <cellStyle name="Normal 3 3 2 2 3 5 5" xfId="9551"/>
    <cellStyle name="Normal 3 3 2 2 3 5 5 2" xfId="32138"/>
    <cellStyle name="Normal 3 3 2 2 3 5 6" xfId="25698"/>
    <cellStyle name="Normal 3 3 2 2 3 6" xfId="3401"/>
    <cellStyle name="Normal 3 3 2 2 3 6 2" xfId="6621"/>
    <cellStyle name="Normal 3 3 2 2 3 6 2 2" xfId="22721"/>
    <cellStyle name="Normal 3 3 2 2 3 6 2 2 2" xfId="45308"/>
    <cellStyle name="Normal 3 3 2 2 3 6 2 3" xfId="13061"/>
    <cellStyle name="Normal 3 3 2 2 3 6 2 3 2" xfId="35648"/>
    <cellStyle name="Normal 3 3 2 2 3 6 2 4" xfId="29208"/>
    <cellStyle name="Normal 3 3 2 2 3 6 3" xfId="19501"/>
    <cellStyle name="Normal 3 3 2 2 3 6 3 2" xfId="42088"/>
    <cellStyle name="Normal 3 3 2 2 3 6 4" xfId="16281"/>
    <cellStyle name="Normal 3 3 2 2 3 6 4 2" xfId="38868"/>
    <cellStyle name="Normal 3 3 2 2 3 6 5" xfId="9841"/>
    <cellStyle name="Normal 3 3 2 2 3 6 5 2" xfId="32428"/>
    <cellStyle name="Normal 3 3 2 2 3 6 6" xfId="25988"/>
    <cellStyle name="Normal 3 3 2 2 3 7" xfId="834"/>
    <cellStyle name="Normal 3 3 2 2 3 7 2" xfId="4066"/>
    <cellStyle name="Normal 3 3 2 2 3 7 2 2" xfId="20166"/>
    <cellStyle name="Normal 3 3 2 2 3 7 2 2 2" xfId="42753"/>
    <cellStyle name="Normal 3 3 2 2 3 7 2 3" xfId="10506"/>
    <cellStyle name="Normal 3 3 2 2 3 7 2 3 2" xfId="33093"/>
    <cellStyle name="Normal 3 3 2 2 3 7 2 4" xfId="26653"/>
    <cellStyle name="Normal 3 3 2 2 3 7 3" xfId="16946"/>
    <cellStyle name="Normal 3 3 2 2 3 7 3 2" xfId="39533"/>
    <cellStyle name="Normal 3 3 2 2 3 7 4" xfId="13726"/>
    <cellStyle name="Normal 3 3 2 2 3 7 4 2" xfId="36313"/>
    <cellStyle name="Normal 3 3 2 2 3 7 5" xfId="7286"/>
    <cellStyle name="Normal 3 3 2 2 3 7 5 2" xfId="29873"/>
    <cellStyle name="Normal 3 3 2 2 3 7 6" xfId="23433"/>
    <cellStyle name="Normal 3 3 2 2 3 8" xfId="3691"/>
    <cellStyle name="Normal 3 3 2 2 3 8 2" xfId="19791"/>
    <cellStyle name="Normal 3 3 2 2 3 8 2 2" xfId="42378"/>
    <cellStyle name="Normal 3 3 2 2 3 8 3" xfId="10131"/>
    <cellStyle name="Normal 3 3 2 2 3 8 3 2" xfId="32718"/>
    <cellStyle name="Normal 3 3 2 2 3 8 4" xfId="26278"/>
    <cellStyle name="Normal 3 3 2 2 3 9" xfId="16571"/>
    <cellStyle name="Normal 3 3 2 2 3 9 2" xfId="39158"/>
    <cellStyle name="Normal 3 3 2 2 4" xfId="903"/>
    <cellStyle name="Normal 3 3 2 2 4 2" xfId="2222"/>
    <cellStyle name="Normal 3 3 2 2 4 2 2" xfId="5443"/>
    <cellStyle name="Normal 3 3 2 2 4 2 2 2" xfId="21543"/>
    <cellStyle name="Normal 3 3 2 2 4 2 2 2 2" xfId="44130"/>
    <cellStyle name="Normal 3 3 2 2 4 2 2 3" xfId="11883"/>
    <cellStyle name="Normal 3 3 2 2 4 2 2 3 2" xfId="34470"/>
    <cellStyle name="Normal 3 3 2 2 4 2 2 4" xfId="28030"/>
    <cellStyle name="Normal 3 3 2 2 4 2 3" xfId="18323"/>
    <cellStyle name="Normal 3 3 2 2 4 2 3 2" xfId="40910"/>
    <cellStyle name="Normal 3 3 2 2 4 2 4" xfId="15103"/>
    <cellStyle name="Normal 3 3 2 2 4 2 4 2" xfId="37690"/>
    <cellStyle name="Normal 3 3 2 2 4 2 5" xfId="8663"/>
    <cellStyle name="Normal 3 3 2 2 4 2 5 2" xfId="31250"/>
    <cellStyle name="Normal 3 3 2 2 4 2 6" xfId="24810"/>
    <cellStyle name="Normal 3 3 2 2 4 3" xfId="4135"/>
    <cellStyle name="Normal 3 3 2 2 4 3 2" xfId="20235"/>
    <cellStyle name="Normal 3 3 2 2 4 3 2 2" xfId="42822"/>
    <cellStyle name="Normal 3 3 2 2 4 3 3" xfId="10575"/>
    <cellStyle name="Normal 3 3 2 2 4 3 3 2" xfId="33162"/>
    <cellStyle name="Normal 3 3 2 2 4 3 4" xfId="26722"/>
    <cellStyle name="Normal 3 3 2 2 4 4" xfId="17015"/>
    <cellStyle name="Normal 3 3 2 2 4 4 2" xfId="39602"/>
    <cellStyle name="Normal 3 3 2 2 4 5" xfId="13795"/>
    <cellStyle name="Normal 3 3 2 2 4 5 2" xfId="36382"/>
    <cellStyle name="Normal 3 3 2 2 4 6" xfId="7355"/>
    <cellStyle name="Normal 3 3 2 2 4 6 2" xfId="29942"/>
    <cellStyle name="Normal 3 3 2 2 4 7" xfId="23502"/>
    <cellStyle name="Normal 3 3 2 2 5" xfId="1255"/>
    <cellStyle name="Normal 3 3 2 2 5 2" xfId="2569"/>
    <cellStyle name="Normal 3 3 2 2 5 2 2" xfId="5790"/>
    <cellStyle name="Normal 3 3 2 2 5 2 2 2" xfId="21890"/>
    <cellStyle name="Normal 3 3 2 2 5 2 2 2 2" xfId="44477"/>
    <cellStyle name="Normal 3 3 2 2 5 2 2 3" xfId="12230"/>
    <cellStyle name="Normal 3 3 2 2 5 2 2 3 2" xfId="34817"/>
    <cellStyle name="Normal 3 3 2 2 5 2 2 4" xfId="28377"/>
    <cellStyle name="Normal 3 3 2 2 5 2 3" xfId="18670"/>
    <cellStyle name="Normal 3 3 2 2 5 2 3 2" xfId="41257"/>
    <cellStyle name="Normal 3 3 2 2 5 2 4" xfId="15450"/>
    <cellStyle name="Normal 3 3 2 2 5 2 4 2" xfId="38037"/>
    <cellStyle name="Normal 3 3 2 2 5 2 5" xfId="9010"/>
    <cellStyle name="Normal 3 3 2 2 5 2 5 2" xfId="31597"/>
    <cellStyle name="Normal 3 3 2 2 5 2 6" xfId="25157"/>
    <cellStyle name="Normal 3 3 2 2 5 3" xfId="4482"/>
    <cellStyle name="Normal 3 3 2 2 5 3 2" xfId="20582"/>
    <cellStyle name="Normal 3 3 2 2 5 3 2 2" xfId="43169"/>
    <cellStyle name="Normal 3 3 2 2 5 3 3" xfId="10922"/>
    <cellStyle name="Normal 3 3 2 2 5 3 3 2" xfId="33509"/>
    <cellStyle name="Normal 3 3 2 2 5 3 4" xfId="27069"/>
    <cellStyle name="Normal 3 3 2 2 5 4" xfId="17362"/>
    <cellStyle name="Normal 3 3 2 2 5 4 2" xfId="39949"/>
    <cellStyle name="Normal 3 3 2 2 5 5" xfId="14142"/>
    <cellStyle name="Normal 3 3 2 2 5 5 2" xfId="36729"/>
    <cellStyle name="Normal 3 3 2 2 5 6" xfId="7702"/>
    <cellStyle name="Normal 3 3 2 2 5 6 2" xfId="30289"/>
    <cellStyle name="Normal 3 3 2 2 5 7" xfId="23849"/>
    <cellStyle name="Normal 3 3 2 2 6" xfId="1670"/>
    <cellStyle name="Normal 3 3 2 2 6 2" xfId="4893"/>
    <cellStyle name="Normal 3 3 2 2 6 2 2" xfId="20993"/>
    <cellStyle name="Normal 3 3 2 2 6 2 2 2" xfId="43580"/>
    <cellStyle name="Normal 3 3 2 2 6 2 3" xfId="11333"/>
    <cellStyle name="Normal 3 3 2 2 6 2 3 2" xfId="33920"/>
    <cellStyle name="Normal 3 3 2 2 6 2 4" xfId="27480"/>
    <cellStyle name="Normal 3 3 2 2 6 3" xfId="17773"/>
    <cellStyle name="Normal 3 3 2 2 6 3 2" xfId="40360"/>
    <cellStyle name="Normal 3 3 2 2 6 4" xfId="14553"/>
    <cellStyle name="Normal 3 3 2 2 6 4 2" xfId="37140"/>
    <cellStyle name="Normal 3 3 2 2 6 5" xfId="8113"/>
    <cellStyle name="Normal 3 3 2 2 6 5 2" xfId="30700"/>
    <cellStyle name="Normal 3 3 2 2 6 6" xfId="24260"/>
    <cellStyle name="Normal 3 3 2 2 7" xfId="1874"/>
    <cellStyle name="Normal 3 3 2 2 7 2" xfId="5096"/>
    <cellStyle name="Normal 3 3 2 2 7 2 2" xfId="21196"/>
    <cellStyle name="Normal 3 3 2 2 7 2 2 2" xfId="43783"/>
    <cellStyle name="Normal 3 3 2 2 7 2 3" xfId="11536"/>
    <cellStyle name="Normal 3 3 2 2 7 2 3 2" xfId="34123"/>
    <cellStyle name="Normal 3 3 2 2 7 2 4" xfId="27683"/>
    <cellStyle name="Normal 3 3 2 2 7 3" xfId="17976"/>
    <cellStyle name="Normal 3 3 2 2 7 3 2" xfId="40563"/>
    <cellStyle name="Normal 3 3 2 2 7 4" xfId="14756"/>
    <cellStyle name="Normal 3 3 2 2 7 4 2" xfId="37343"/>
    <cellStyle name="Normal 3 3 2 2 7 5" xfId="8316"/>
    <cellStyle name="Normal 3 3 2 2 7 5 2" xfId="30903"/>
    <cellStyle name="Normal 3 3 2 2 7 6" xfId="24463"/>
    <cellStyle name="Normal 3 3 2 2 8" xfId="2917"/>
    <cellStyle name="Normal 3 3 2 2 8 2" xfId="6138"/>
    <cellStyle name="Normal 3 3 2 2 8 2 2" xfId="22238"/>
    <cellStyle name="Normal 3 3 2 2 8 2 2 2" xfId="44825"/>
    <cellStyle name="Normal 3 3 2 2 8 2 3" xfId="12578"/>
    <cellStyle name="Normal 3 3 2 2 8 2 3 2" xfId="35165"/>
    <cellStyle name="Normal 3 3 2 2 8 2 4" xfId="28725"/>
    <cellStyle name="Normal 3 3 2 2 8 3" xfId="19018"/>
    <cellStyle name="Normal 3 3 2 2 8 3 2" xfId="41605"/>
    <cellStyle name="Normal 3 3 2 2 8 4" xfId="15798"/>
    <cellStyle name="Normal 3 3 2 2 8 4 2" xfId="38385"/>
    <cellStyle name="Normal 3 3 2 2 8 5" xfId="9358"/>
    <cellStyle name="Normal 3 3 2 2 8 5 2" xfId="31945"/>
    <cellStyle name="Normal 3 3 2 2 8 6" xfId="25505"/>
    <cellStyle name="Normal 3 3 2 2 9" xfId="3208"/>
    <cellStyle name="Normal 3 3 2 2 9 2" xfId="6428"/>
    <cellStyle name="Normal 3 3 2 2 9 2 2" xfId="22528"/>
    <cellStyle name="Normal 3 3 2 2 9 2 2 2" xfId="45115"/>
    <cellStyle name="Normal 3 3 2 2 9 2 3" xfId="12868"/>
    <cellStyle name="Normal 3 3 2 2 9 2 3 2" xfId="35455"/>
    <cellStyle name="Normal 3 3 2 2 9 2 4" xfId="29015"/>
    <cellStyle name="Normal 3 3 2 2 9 3" xfId="19308"/>
    <cellStyle name="Normal 3 3 2 2 9 3 2" xfId="41895"/>
    <cellStyle name="Normal 3 3 2 2 9 4" xfId="16088"/>
    <cellStyle name="Normal 3 3 2 2 9 4 2" xfId="38675"/>
    <cellStyle name="Normal 3 3 2 2 9 5" xfId="9648"/>
    <cellStyle name="Normal 3 3 2 2 9 5 2" xfId="32235"/>
    <cellStyle name="Normal 3 3 2 2 9 6" xfId="25795"/>
    <cellStyle name="Normal 3 3 2 3" xfId="275"/>
    <cellStyle name="Normal 3 3 2 3 10" xfId="3562"/>
    <cellStyle name="Normal 3 3 2 3 10 2" xfId="19662"/>
    <cellStyle name="Normal 3 3 2 3 10 2 2" xfId="42249"/>
    <cellStyle name="Normal 3 3 2 3 10 3" xfId="10002"/>
    <cellStyle name="Normal 3 3 2 3 10 3 2" xfId="32589"/>
    <cellStyle name="Normal 3 3 2 3 10 4" xfId="26149"/>
    <cellStyle name="Normal 3 3 2 3 11" xfId="16442"/>
    <cellStyle name="Normal 3 3 2 3 11 2" xfId="39029"/>
    <cellStyle name="Normal 3 3 2 3 12" xfId="13222"/>
    <cellStyle name="Normal 3 3 2 3 12 2" xfId="35809"/>
    <cellStyle name="Normal 3 3 2 3 13" xfId="6782"/>
    <cellStyle name="Normal 3 3 2 3 13 2" xfId="29369"/>
    <cellStyle name="Normal 3 3 2 3 14" xfId="22929"/>
    <cellStyle name="Normal 3 3 2 3 2" xfId="700"/>
    <cellStyle name="Normal 3 3 2 3 2 2" xfId="1064"/>
    <cellStyle name="Normal 3 3 2 3 2 2 2" xfId="2378"/>
    <cellStyle name="Normal 3 3 2 3 2 2 2 2" xfId="5599"/>
    <cellStyle name="Normal 3 3 2 3 2 2 2 2 2" xfId="21699"/>
    <cellStyle name="Normal 3 3 2 3 2 2 2 2 2 2" xfId="44286"/>
    <cellStyle name="Normal 3 3 2 3 2 2 2 2 3" xfId="12039"/>
    <cellStyle name="Normal 3 3 2 3 2 2 2 2 3 2" xfId="34626"/>
    <cellStyle name="Normal 3 3 2 3 2 2 2 2 4" xfId="28186"/>
    <cellStyle name="Normal 3 3 2 3 2 2 2 3" xfId="18479"/>
    <cellStyle name="Normal 3 3 2 3 2 2 2 3 2" xfId="41066"/>
    <cellStyle name="Normal 3 3 2 3 2 2 2 4" xfId="15259"/>
    <cellStyle name="Normal 3 3 2 3 2 2 2 4 2" xfId="37846"/>
    <cellStyle name="Normal 3 3 2 3 2 2 2 5" xfId="8819"/>
    <cellStyle name="Normal 3 3 2 3 2 2 2 5 2" xfId="31406"/>
    <cellStyle name="Normal 3 3 2 3 2 2 2 6" xfId="24966"/>
    <cellStyle name="Normal 3 3 2 3 2 2 3" xfId="4291"/>
    <cellStyle name="Normal 3 3 2 3 2 2 3 2" xfId="20391"/>
    <cellStyle name="Normal 3 3 2 3 2 2 3 2 2" xfId="42978"/>
    <cellStyle name="Normal 3 3 2 3 2 2 3 3" xfId="10731"/>
    <cellStyle name="Normal 3 3 2 3 2 2 3 3 2" xfId="33318"/>
    <cellStyle name="Normal 3 3 2 3 2 2 3 4" xfId="26878"/>
    <cellStyle name="Normal 3 3 2 3 2 2 4" xfId="17171"/>
    <cellStyle name="Normal 3 3 2 3 2 2 4 2" xfId="39758"/>
    <cellStyle name="Normal 3 3 2 3 2 2 5" xfId="13951"/>
    <cellStyle name="Normal 3 3 2 3 2 2 5 2" xfId="36538"/>
    <cellStyle name="Normal 3 3 2 3 2 2 6" xfId="7511"/>
    <cellStyle name="Normal 3 3 2 3 2 2 6 2" xfId="30098"/>
    <cellStyle name="Normal 3 3 2 3 2 2 7" xfId="23658"/>
    <cellStyle name="Normal 3 3 2 3 2 3" xfId="1411"/>
    <cellStyle name="Normal 3 3 2 3 2 3 2" xfId="2725"/>
    <cellStyle name="Normal 3 3 2 3 2 3 2 2" xfId="5946"/>
    <cellStyle name="Normal 3 3 2 3 2 3 2 2 2" xfId="22046"/>
    <cellStyle name="Normal 3 3 2 3 2 3 2 2 2 2" xfId="44633"/>
    <cellStyle name="Normal 3 3 2 3 2 3 2 2 3" xfId="12386"/>
    <cellStyle name="Normal 3 3 2 3 2 3 2 2 3 2" xfId="34973"/>
    <cellStyle name="Normal 3 3 2 3 2 3 2 2 4" xfId="28533"/>
    <cellStyle name="Normal 3 3 2 3 2 3 2 3" xfId="18826"/>
    <cellStyle name="Normal 3 3 2 3 2 3 2 3 2" xfId="41413"/>
    <cellStyle name="Normal 3 3 2 3 2 3 2 4" xfId="15606"/>
    <cellStyle name="Normal 3 3 2 3 2 3 2 4 2" xfId="38193"/>
    <cellStyle name="Normal 3 3 2 3 2 3 2 5" xfId="9166"/>
    <cellStyle name="Normal 3 3 2 3 2 3 2 5 2" xfId="31753"/>
    <cellStyle name="Normal 3 3 2 3 2 3 2 6" xfId="25313"/>
    <cellStyle name="Normal 3 3 2 3 2 3 3" xfId="4638"/>
    <cellStyle name="Normal 3 3 2 3 2 3 3 2" xfId="20738"/>
    <cellStyle name="Normal 3 3 2 3 2 3 3 2 2" xfId="43325"/>
    <cellStyle name="Normal 3 3 2 3 2 3 3 3" xfId="11078"/>
    <cellStyle name="Normal 3 3 2 3 2 3 3 3 2" xfId="33665"/>
    <cellStyle name="Normal 3 3 2 3 2 3 3 4" xfId="27225"/>
    <cellStyle name="Normal 3 3 2 3 2 3 4" xfId="17518"/>
    <cellStyle name="Normal 3 3 2 3 2 3 4 2" xfId="40105"/>
    <cellStyle name="Normal 3 3 2 3 2 3 5" xfId="14298"/>
    <cellStyle name="Normal 3 3 2 3 2 3 5 2" xfId="36885"/>
    <cellStyle name="Normal 3 3 2 3 2 3 6" xfId="7858"/>
    <cellStyle name="Normal 3 3 2 3 2 3 6 2" xfId="30445"/>
    <cellStyle name="Normal 3 3 2 3 2 3 7" xfId="24005"/>
    <cellStyle name="Normal 3 3 2 3 2 4" xfId="2030"/>
    <cellStyle name="Normal 3 3 2 3 2 4 2" xfId="5252"/>
    <cellStyle name="Normal 3 3 2 3 2 4 2 2" xfId="21352"/>
    <cellStyle name="Normal 3 3 2 3 2 4 2 2 2" xfId="43939"/>
    <cellStyle name="Normal 3 3 2 3 2 4 2 3" xfId="11692"/>
    <cellStyle name="Normal 3 3 2 3 2 4 2 3 2" xfId="34279"/>
    <cellStyle name="Normal 3 3 2 3 2 4 2 4" xfId="27839"/>
    <cellStyle name="Normal 3 3 2 3 2 4 3" xfId="18132"/>
    <cellStyle name="Normal 3 3 2 3 2 4 3 2" xfId="40719"/>
    <cellStyle name="Normal 3 3 2 3 2 4 4" xfId="14912"/>
    <cellStyle name="Normal 3 3 2 3 2 4 4 2" xfId="37499"/>
    <cellStyle name="Normal 3 3 2 3 2 4 5" xfId="8472"/>
    <cellStyle name="Normal 3 3 2 3 2 4 5 2" xfId="31059"/>
    <cellStyle name="Normal 3 3 2 3 2 4 6" xfId="24619"/>
    <cellStyle name="Normal 3 3 2 3 2 5" xfId="3944"/>
    <cellStyle name="Normal 3 3 2 3 2 5 2" xfId="20044"/>
    <cellStyle name="Normal 3 3 2 3 2 5 2 2" xfId="42631"/>
    <cellStyle name="Normal 3 3 2 3 2 5 3" xfId="10384"/>
    <cellStyle name="Normal 3 3 2 3 2 5 3 2" xfId="32971"/>
    <cellStyle name="Normal 3 3 2 3 2 5 4" xfId="26531"/>
    <cellStyle name="Normal 3 3 2 3 2 6" xfId="16824"/>
    <cellStyle name="Normal 3 3 2 3 2 6 2" xfId="39411"/>
    <cellStyle name="Normal 3 3 2 3 2 7" xfId="13604"/>
    <cellStyle name="Normal 3 3 2 3 2 7 2" xfId="36191"/>
    <cellStyle name="Normal 3 3 2 3 2 8" xfId="7164"/>
    <cellStyle name="Normal 3 3 2 3 2 8 2" xfId="29751"/>
    <cellStyle name="Normal 3 3 2 3 2 9" xfId="23311"/>
    <cellStyle name="Normal 3 3 2 3 3" xfId="943"/>
    <cellStyle name="Normal 3 3 2 3 3 2" xfId="2262"/>
    <cellStyle name="Normal 3 3 2 3 3 2 2" xfId="5483"/>
    <cellStyle name="Normal 3 3 2 3 3 2 2 2" xfId="21583"/>
    <cellStyle name="Normal 3 3 2 3 3 2 2 2 2" xfId="44170"/>
    <cellStyle name="Normal 3 3 2 3 3 2 2 3" xfId="11923"/>
    <cellStyle name="Normal 3 3 2 3 3 2 2 3 2" xfId="34510"/>
    <cellStyle name="Normal 3 3 2 3 3 2 2 4" xfId="28070"/>
    <cellStyle name="Normal 3 3 2 3 3 2 3" xfId="18363"/>
    <cellStyle name="Normal 3 3 2 3 3 2 3 2" xfId="40950"/>
    <cellStyle name="Normal 3 3 2 3 3 2 4" xfId="15143"/>
    <cellStyle name="Normal 3 3 2 3 3 2 4 2" xfId="37730"/>
    <cellStyle name="Normal 3 3 2 3 3 2 5" xfId="8703"/>
    <cellStyle name="Normal 3 3 2 3 3 2 5 2" xfId="31290"/>
    <cellStyle name="Normal 3 3 2 3 3 2 6" xfId="24850"/>
    <cellStyle name="Normal 3 3 2 3 3 3" xfId="4175"/>
    <cellStyle name="Normal 3 3 2 3 3 3 2" xfId="20275"/>
    <cellStyle name="Normal 3 3 2 3 3 3 2 2" xfId="42862"/>
    <cellStyle name="Normal 3 3 2 3 3 3 3" xfId="10615"/>
    <cellStyle name="Normal 3 3 2 3 3 3 3 2" xfId="33202"/>
    <cellStyle name="Normal 3 3 2 3 3 3 4" xfId="26762"/>
    <cellStyle name="Normal 3 3 2 3 3 4" xfId="17055"/>
    <cellStyle name="Normal 3 3 2 3 3 4 2" xfId="39642"/>
    <cellStyle name="Normal 3 3 2 3 3 5" xfId="13835"/>
    <cellStyle name="Normal 3 3 2 3 3 5 2" xfId="36422"/>
    <cellStyle name="Normal 3 3 2 3 3 6" xfId="7395"/>
    <cellStyle name="Normal 3 3 2 3 3 6 2" xfId="29982"/>
    <cellStyle name="Normal 3 3 2 3 3 7" xfId="23542"/>
    <cellStyle name="Normal 3 3 2 3 4" xfId="1295"/>
    <cellStyle name="Normal 3 3 2 3 4 2" xfId="2609"/>
    <cellStyle name="Normal 3 3 2 3 4 2 2" xfId="5830"/>
    <cellStyle name="Normal 3 3 2 3 4 2 2 2" xfId="21930"/>
    <cellStyle name="Normal 3 3 2 3 4 2 2 2 2" xfId="44517"/>
    <cellStyle name="Normal 3 3 2 3 4 2 2 3" xfId="12270"/>
    <cellStyle name="Normal 3 3 2 3 4 2 2 3 2" xfId="34857"/>
    <cellStyle name="Normal 3 3 2 3 4 2 2 4" xfId="28417"/>
    <cellStyle name="Normal 3 3 2 3 4 2 3" xfId="18710"/>
    <cellStyle name="Normal 3 3 2 3 4 2 3 2" xfId="41297"/>
    <cellStyle name="Normal 3 3 2 3 4 2 4" xfId="15490"/>
    <cellStyle name="Normal 3 3 2 3 4 2 4 2" xfId="38077"/>
    <cellStyle name="Normal 3 3 2 3 4 2 5" xfId="9050"/>
    <cellStyle name="Normal 3 3 2 3 4 2 5 2" xfId="31637"/>
    <cellStyle name="Normal 3 3 2 3 4 2 6" xfId="25197"/>
    <cellStyle name="Normal 3 3 2 3 4 3" xfId="4522"/>
    <cellStyle name="Normal 3 3 2 3 4 3 2" xfId="20622"/>
    <cellStyle name="Normal 3 3 2 3 4 3 2 2" xfId="43209"/>
    <cellStyle name="Normal 3 3 2 3 4 3 3" xfId="10962"/>
    <cellStyle name="Normal 3 3 2 3 4 3 3 2" xfId="33549"/>
    <cellStyle name="Normal 3 3 2 3 4 3 4" xfId="27109"/>
    <cellStyle name="Normal 3 3 2 3 4 4" xfId="17402"/>
    <cellStyle name="Normal 3 3 2 3 4 4 2" xfId="39989"/>
    <cellStyle name="Normal 3 3 2 3 4 5" xfId="14182"/>
    <cellStyle name="Normal 3 3 2 3 4 5 2" xfId="36769"/>
    <cellStyle name="Normal 3 3 2 3 4 6" xfId="7742"/>
    <cellStyle name="Normal 3 3 2 3 4 6 2" xfId="30329"/>
    <cellStyle name="Normal 3 3 2 3 4 7" xfId="23889"/>
    <cellStyle name="Normal 3 3 2 3 5" xfId="1671"/>
    <cellStyle name="Normal 3 3 2 3 5 2" xfId="4894"/>
    <cellStyle name="Normal 3 3 2 3 5 2 2" xfId="20994"/>
    <cellStyle name="Normal 3 3 2 3 5 2 2 2" xfId="43581"/>
    <cellStyle name="Normal 3 3 2 3 5 2 3" xfId="11334"/>
    <cellStyle name="Normal 3 3 2 3 5 2 3 2" xfId="33921"/>
    <cellStyle name="Normal 3 3 2 3 5 2 4" xfId="27481"/>
    <cellStyle name="Normal 3 3 2 3 5 3" xfId="17774"/>
    <cellStyle name="Normal 3 3 2 3 5 3 2" xfId="40361"/>
    <cellStyle name="Normal 3 3 2 3 5 4" xfId="14554"/>
    <cellStyle name="Normal 3 3 2 3 5 4 2" xfId="37141"/>
    <cellStyle name="Normal 3 3 2 3 5 5" xfId="8114"/>
    <cellStyle name="Normal 3 3 2 3 5 5 2" xfId="30701"/>
    <cellStyle name="Normal 3 3 2 3 5 6" xfId="24261"/>
    <cellStyle name="Normal 3 3 2 3 6" xfId="1914"/>
    <cellStyle name="Normal 3 3 2 3 6 2" xfId="5136"/>
    <cellStyle name="Normal 3 3 2 3 6 2 2" xfId="21236"/>
    <cellStyle name="Normal 3 3 2 3 6 2 2 2" xfId="43823"/>
    <cellStyle name="Normal 3 3 2 3 6 2 3" xfId="11576"/>
    <cellStyle name="Normal 3 3 2 3 6 2 3 2" xfId="34163"/>
    <cellStyle name="Normal 3 3 2 3 6 2 4" xfId="27723"/>
    <cellStyle name="Normal 3 3 2 3 6 3" xfId="18016"/>
    <cellStyle name="Normal 3 3 2 3 6 3 2" xfId="40603"/>
    <cellStyle name="Normal 3 3 2 3 6 4" xfId="14796"/>
    <cellStyle name="Normal 3 3 2 3 6 4 2" xfId="37383"/>
    <cellStyle name="Normal 3 3 2 3 6 5" xfId="8356"/>
    <cellStyle name="Normal 3 3 2 3 6 5 2" xfId="30943"/>
    <cellStyle name="Normal 3 3 2 3 6 6" xfId="24503"/>
    <cellStyle name="Normal 3 3 2 3 7" xfId="2982"/>
    <cellStyle name="Normal 3 3 2 3 7 2" xfId="6202"/>
    <cellStyle name="Normal 3 3 2 3 7 2 2" xfId="22302"/>
    <cellStyle name="Normal 3 3 2 3 7 2 2 2" xfId="44889"/>
    <cellStyle name="Normal 3 3 2 3 7 2 3" xfId="12642"/>
    <cellStyle name="Normal 3 3 2 3 7 2 3 2" xfId="35229"/>
    <cellStyle name="Normal 3 3 2 3 7 2 4" xfId="28789"/>
    <cellStyle name="Normal 3 3 2 3 7 3" xfId="19082"/>
    <cellStyle name="Normal 3 3 2 3 7 3 2" xfId="41669"/>
    <cellStyle name="Normal 3 3 2 3 7 4" xfId="15862"/>
    <cellStyle name="Normal 3 3 2 3 7 4 2" xfId="38449"/>
    <cellStyle name="Normal 3 3 2 3 7 5" xfId="9422"/>
    <cellStyle name="Normal 3 3 2 3 7 5 2" xfId="32009"/>
    <cellStyle name="Normal 3 3 2 3 7 6" xfId="25569"/>
    <cellStyle name="Normal 3 3 2 3 8" xfId="3272"/>
    <cellStyle name="Normal 3 3 2 3 8 2" xfId="6492"/>
    <cellStyle name="Normal 3 3 2 3 8 2 2" xfId="22592"/>
    <cellStyle name="Normal 3 3 2 3 8 2 2 2" xfId="45179"/>
    <cellStyle name="Normal 3 3 2 3 8 2 3" xfId="12932"/>
    <cellStyle name="Normal 3 3 2 3 8 2 3 2" xfId="35519"/>
    <cellStyle name="Normal 3 3 2 3 8 2 4" xfId="29079"/>
    <cellStyle name="Normal 3 3 2 3 8 3" xfId="19372"/>
    <cellStyle name="Normal 3 3 2 3 8 3 2" xfId="41959"/>
    <cellStyle name="Normal 3 3 2 3 8 4" xfId="16152"/>
    <cellStyle name="Normal 3 3 2 3 8 4 2" xfId="38739"/>
    <cellStyle name="Normal 3 3 2 3 8 5" xfId="9712"/>
    <cellStyle name="Normal 3 3 2 3 8 5 2" xfId="32299"/>
    <cellStyle name="Normal 3 3 2 3 8 6" xfId="25859"/>
    <cellStyle name="Normal 3 3 2 3 9" xfId="541"/>
    <cellStyle name="Normal 3 3 2 3 9 2" xfId="3828"/>
    <cellStyle name="Normal 3 3 2 3 9 2 2" xfId="19928"/>
    <cellStyle name="Normal 3 3 2 3 9 2 2 2" xfId="42515"/>
    <cellStyle name="Normal 3 3 2 3 9 2 3" xfId="10268"/>
    <cellStyle name="Normal 3 3 2 3 9 2 3 2" xfId="32855"/>
    <cellStyle name="Normal 3 3 2 3 9 2 4" xfId="26415"/>
    <cellStyle name="Normal 3 3 2 3 9 3" xfId="16708"/>
    <cellStyle name="Normal 3 3 2 3 9 3 2" xfId="39295"/>
    <cellStyle name="Normal 3 3 2 3 9 4" xfId="13488"/>
    <cellStyle name="Normal 3 3 2 3 9 4 2" xfId="36075"/>
    <cellStyle name="Normal 3 3 2 3 9 5" xfId="7048"/>
    <cellStyle name="Normal 3 3 2 3 9 5 2" xfId="29635"/>
    <cellStyle name="Normal 3 3 2 3 9 6" xfId="23195"/>
    <cellStyle name="Normal 3 3 2 4" xfId="367"/>
    <cellStyle name="Normal 3 3 2 4 10" xfId="16534"/>
    <cellStyle name="Normal 3 3 2 4 10 2" xfId="39121"/>
    <cellStyle name="Normal 3 3 2 4 11" xfId="13314"/>
    <cellStyle name="Normal 3 3 2 4 11 2" xfId="35901"/>
    <cellStyle name="Normal 3 3 2 4 12" xfId="6874"/>
    <cellStyle name="Normal 3 3 2 4 12 2" xfId="29461"/>
    <cellStyle name="Normal 3 3 2 4 13" xfId="23021"/>
    <cellStyle name="Normal 3 3 2 4 2" xfId="990"/>
    <cellStyle name="Normal 3 3 2 4 2 2" xfId="2304"/>
    <cellStyle name="Normal 3 3 2 4 2 2 2" xfId="5525"/>
    <cellStyle name="Normal 3 3 2 4 2 2 2 2" xfId="21625"/>
    <cellStyle name="Normal 3 3 2 4 2 2 2 2 2" xfId="44212"/>
    <cellStyle name="Normal 3 3 2 4 2 2 2 3" xfId="11965"/>
    <cellStyle name="Normal 3 3 2 4 2 2 2 3 2" xfId="34552"/>
    <cellStyle name="Normal 3 3 2 4 2 2 2 4" xfId="28112"/>
    <cellStyle name="Normal 3 3 2 4 2 2 3" xfId="18405"/>
    <cellStyle name="Normal 3 3 2 4 2 2 3 2" xfId="40992"/>
    <cellStyle name="Normal 3 3 2 4 2 2 4" xfId="15185"/>
    <cellStyle name="Normal 3 3 2 4 2 2 4 2" xfId="37772"/>
    <cellStyle name="Normal 3 3 2 4 2 2 5" xfId="8745"/>
    <cellStyle name="Normal 3 3 2 4 2 2 5 2" xfId="31332"/>
    <cellStyle name="Normal 3 3 2 4 2 2 6" xfId="24892"/>
    <cellStyle name="Normal 3 3 2 4 2 3" xfId="4217"/>
    <cellStyle name="Normal 3 3 2 4 2 3 2" xfId="20317"/>
    <cellStyle name="Normal 3 3 2 4 2 3 2 2" xfId="42904"/>
    <cellStyle name="Normal 3 3 2 4 2 3 3" xfId="10657"/>
    <cellStyle name="Normal 3 3 2 4 2 3 3 2" xfId="33244"/>
    <cellStyle name="Normal 3 3 2 4 2 3 4" xfId="26804"/>
    <cellStyle name="Normal 3 3 2 4 2 4" xfId="17097"/>
    <cellStyle name="Normal 3 3 2 4 2 4 2" xfId="39684"/>
    <cellStyle name="Normal 3 3 2 4 2 5" xfId="13877"/>
    <cellStyle name="Normal 3 3 2 4 2 5 2" xfId="36464"/>
    <cellStyle name="Normal 3 3 2 4 2 6" xfId="7437"/>
    <cellStyle name="Normal 3 3 2 4 2 6 2" xfId="30024"/>
    <cellStyle name="Normal 3 3 2 4 2 7" xfId="23584"/>
    <cellStyle name="Normal 3 3 2 4 3" xfId="1337"/>
    <cellStyle name="Normal 3 3 2 4 3 2" xfId="2651"/>
    <cellStyle name="Normal 3 3 2 4 3 2 2" xfId="5872"/>
    <cellStyle name="Normal 3 3 2 4 3 2 2 2" xfId="21972"/>
    <cellStyle name="Normal 3 3 2 4 3 2 2 2 2" xfId="44559"/>
    <cellStyle name="Normal 3 3 2 4 3 2 2 3" xfId="12312"/>
    <cellStyle name="Normal 3 3 2 4 3 2 2 3 2" xfId="34899"/>
    <cellStyle name="Normal 3 3 2 4 3 2 2 4" xfId="28459"/>
    <cellStyle name="Normal 3 3 2 4 3 2 3" xfId="18752"/>
    <cellStyle name="Normal 3 3 2 4 3 2 3 2" xfId="41339"/>
    <cellStyle name="Normal 3 3 2 4 3 2 4" xfId="15532"/>
    <cellStyle name="Normal 3 3 2 4 3 2 4 2" xfId="38119"/>
    <cellStyle name="Normal 3 3 2 4 3 2 5" xfId="9092"/>
    <cellStyle name="Normal 3 3 2 4 3 2 5 2" xfId="31679"/>
    <cellStyle name="Normal 3 3 2 4 3 2 6" xfId="25239"/>
    <cellStyle name="Normal 3 3 2 4 3 3" xfId="4564"/>
    <cellStyle name="Normal 3 3 2 4 3 3 2" xfId="20664"/>
    <cellStyle name="Normal 3 3 2 4 3 3 2 2" xfId="43251"/>
    <cellStyle name="Normal 3 3 2 4 3 3 3" xfId="11004"/>
    <cellStyle name="Normal 3 3 2 4 3 3 3 2" xfId="33591"/>
    <cellStyle name="Normal 3 3 2 4 3 3 4" xfId="27151"/>
    <cellStyle name="Normal 3 3 2 4 3 4" xfId="17444"/>
    <cellStyle name="Normal 3 3 2 4 3 4 2" xfId="40031"/>
    <cellStyle name="Normal 3 3 2 4 3 5" xfId="14224"/>
    <cellStyle name="Normal 3 3 2 4 3 5 2" xfId="36811"/>
    <cellStyle name="Normal 3 3 2 4 3 6" xfId="7784"/>
    <cellStyle name="Normal 3 3 2 4 3 6 2" xfId="30371"/>
    <cellStyle name="Normal 3 3 2 4 3 7" xfId="23931"/>
    <cellStyle name="Normal 3 3 2 4 4" xfId="1672"/>
    <cellStyle name="Normal 3 3 2 4 4 2" xfId="4895"/>
    <cellStyle name="Normal 3 3 2 4 4 2 2" xfId="20995"/>
    <cellStyle name="Normal 3 3 2 4 4 2 2 2" xfId="43582"/>
    <cellStyle name="Normal 3 3 2 4 4 2 3" xfId="11335"/>
    <cellStyle name="Normal 3 3 2 4 4 2 3 2" xfId="33922"/>
    <cellStyle name="Normal 3 3 2 4 4 2 4" xfId="27482"/>
    <cellStyle name="Normal 3 3 2 4 4 3" xfId="17775"/>
    <cellStyle name="Normal 3 3 2 4 4 3 2" xfId="40362"/>
    <cellStyle name="Normal 3 3 2 4 4 4" xfId="14555"/>
    <cellStyle name="Normal 3 3 2 4 4 4 2" xfId="37142"/>
    <cellStyle name="Normal 3 3 2 4 4 5" xfId="8115"/>
    <cellStyle name="Normal 3 3 2 4 4 5 2" xfId="30702"/>
    <cellStyle name="Normal 3 3 2 4 4 6" xfId="24262"/>
    <cellStyle name="Normal 3 3 2 4 5" xfId="1956"/>
    <cellStyle name="Normal 3 3 2 4 5 2" xfId="5178"/>
    <cellStyle name="Normal 3 3 2 4 5 2 2" xfId="21278"/>
    <cellStyle name="Normal 3 3 2 4 5 2 2 2" xfId="43865"/>
    <cellStyle name="Normal 3 3 2 4 5 2 3" xfId="11618"/>
    <cellStyle name="Normal 3 3 2 4 5 2 3 2" xfId="34205"/>
    <cellStyle name="Normal 3 3 2 4 5 2 4" xfId="27765"/>
    <cellStyle name="Normal 3 3 2 4 5 3" xfId="18058"/>
    <cellStyle name="Normal 3 3 2 4 5 3 2" xfId="40645"/>
    <cellStyle name="Normal 3 3 2 4 5 4" xfId="14838"/>
    <cellStyle name="Normal 3 3 2 4 5 4 2" xfId="37425"/>
    <cellStyle name="Normal 3 3 2 4 5 5" xfId="8398"/>
    <cellStyle name="Normal 3 3 2 4 5 5 2" xfId="30985"/>
    <cellStyle name="Normal 3 3 2 4 5 6" xfId="24545"/>
    <cellStyle name="Normal 3 3 2 4 6" xfId="3074"/>
    <cellStyle name="Normal 3 3 2 4 6 2" xfId="6294"/>
    <cellStyle name="Normal 3 3 2 4 6 2 2" xfId="22394"/>
    <cellStyle name="Normal 3 3 2 4 6 2 2 2" xfId="44981"/>
    <cellStyle name="Normal 3 3 2 4 6 2 3" xfId="12734"/>
    <cellStyle name="Normal 3 3 2 4 6 2 3 2" xfId="35321"/>
    <cellStyle name="Normal 3 3 2 4 6 2 4" xfId="28881"/>
    <cellStyle name="Normal 3 3 2 4 6 3" xfId="19174"/>
    <cellStyle name="Normal 3 3 2 4 6 3 2" xfId="41761"/>
    <cellStyle name="Normal 3 3 2 4 6 4" xfId="15954"/>
    <cellStyle name="Normal 3 3 2 4 6 4 2" xfId="38541"/>
    <cellStyle name="Normal 3 3 2 4 6 5" xfId="9514"/>
    <cellStyle name="Normal 3 3 2 4 6 5 2" xfId="32101"/>
    <cellStyle name="Normal 3 3 2 4 6 6" xfId="25661"/>
    <cellStyle name="Normal 3 3 2 4 7" xfId="3364"/>
    <cellStyle name="Normal 3 3 2 4 7 2" xfId="6584"/>
    <cellStyle name="Normal 3 3 2 4 7 2 2" xfId="22684"/>
    <cellStyle name="Normal 3 3 2 4 7 2 2 2" xfId="45271"/>
    <cellStyle name="Normal 3 3 2 4 7 2 3" xfId="13024"/>
    <cellStyle name="Normal 3 3 2 4 7 2 3 2" xfId="35611"/>
    <cellStyle name="Normal 3 3 2 4 7 2 4" xfId="29171"/>
    <cellStyle name="Normal 3 3 2 4 7 3" xfId="19464"/>
    <cellStyle name="Normal 3 3 2 4 7 3 2" xfId="42051"/>
    <cellStyle name="Normal 3 3 2 4 7 4" xfId="16244"/>
    <cellStyle name="Normal 3 3 2 4 7 4 2" xfId="38831"/>
    <cellStyle name="Normal 3 3 2 4 7 5" xfId="9804"/>
    <cellStyle name="Normal 3 3 2 4 7 5 2" xfId="32391"/>
    <cellStyle name="Normal 3 3 2 4 7 6" xfId="25951"/>
    <cellStyle name="Normal 3 3 2 4 8" xfId="626"/>
    <cellStyle name="Normal 3 3 2 4 8 2" xfId="3870"/>
    <cellStyle name="Normal 3 3 2 4 8 2 2" xfId="19970"/>
    <cellStyle name="Normal 3 3 2 4 8 2 2 2" xfId="42557"/>
    <cellStyle name="Normal 3 3 2 4 8 2 3" xfId="10310"/>
    <cellStyle name="Normal 3 3 2 4 8 2 3 2" xfId="32897"/>
    <cellStyle name="Normal 3 3 2 4 8 2 4" xfId="26457"/>
    <cellStyle name="Normal 3 3 2 4 8 3" xfId="16750"/>
    <cellStyle name="Normal 3 3 2 4 8 3 2" xfId="39337"/>
    <cellStyle name="Normal 3 3 2 4 8 4" xfId="13530"/>
    <cellStyle name="Normal 3 3 2 4 8 4 2" xfId="36117"/>
    <cellStyle name="Normal 3 3 2 4 8 5" xfId="7090"/>
    <cellStyle name="Normal 3 3 2 4 8 5 2" xfId="29677"/>
    <cellStyle name="Normal 3 3 2 4 8 6" xfId="23237"/>
    <cellStyle name="Normal 3 3 2 4 9" xfId="3654"/>
    <cellStyle name="Normal 3 3 2 4 9 2" xfId="19754"/>
    <cellStyle name="Normal 3 3 2 4 9 2 2" xfId="42341"/>
    <cellStyle name="Normal 3 3 2 4 9 3" xfId="10094"/>
    <cellStyle name="Normal 3 3 2 4 9 3 2" xfId="32681"/>
    <cellStyle name="Normal 3 3 2 4 9 4" xfId="26241"/>
    <cellStyle name="Normal 3 3 2 5" xfId="796"/>
    <cellStyle name="Normal 3 3 2 5 2" xfId="1148"/>
    <cellStyle name="Normal 3 3 2 5 2 2" xfId="2462"/>
    <cellStyle name="Normal 3 3 2 5 2 2 2" xfId="5683"/>
    <cellStyle name="Normal 3 3 2 5 2 2 2 2" xfId="21783"/>
    <cellStyle name="Normal 3 3 2 5 2 2 2 2 2" xfId="44370"/>
    <cellStyle name="Normal 3 3 2 5 2 2 2 3" xfId="12123"/>
    <cellStyle name="Normal 3 3 2 5 2 2 2 3 2" xfId="34710"/>
    <cellStyle name="Normal 3 3 2 5 2 2 2 4" xfId="28270"/>
    <cellStyle name="Normal 3 3 2 5 2 2 3" xfId="18563"/>
    <cellStyle name="Normal 3 3 2 5 2 2 3 2" xfId="41150"/>
    <cellStyle name="Normal 3 3 2 5 2 2 4" xfId="15343"/>
    <cellStyle name="Normal 3 3 2 5 2 2 4 2" xfId="37930"/>
    <cellStyle name="Normal 3 3 2 5 2 2 5" xfId="8903"/>
    <cellStyle name="Normal 3 3 2 5 2 2 5 2" xfId="31490"/>
    <cellStyle name="Normal 3 3 2 5 2 2 6" xfId="25050"/>
    <cellStyle name="Normal 3 3 2 5 2 3" xfId="4375"/>
    <cellStyle name="Normal 3 3 2 5 2 3 2" xfId="20475"/>
    <cellStyle name="Normal 3 3 2 5 2 3 2 2" xfId="43062"/>
    <cellStyle name="Normal 3 3 2 5 2 3 3" xfId="10815"/>
    <cellStyle name="Normal 3 3 2 5 2 3 3 2" xfId="33402"/>
    <cellStyle name="Normal 3 3 2 5 2 3 4" xfId="26962"/>
    <cellStyle name="Normal 3 3 2 5 2 4" xfId="17255"/>
    <cellStyle name="Normal 3 3 2 5 2 4 2" xfId="39842"/>
    <cellStyle name="Normal 3 3 2 5 2 5" xfId="14035"/>
    <cellStyle name="Normal 3 3 2 5 2 5 2" xfId="36622"/>
    <cellStyle name="Normal 3 3 2 5 2 6" xfId="7595"/>
    <cellStyle name="Normal 3 3 2 5 2 6 2" xfId="30182"/>
    <cellStyle name="Normal 3 3 2 5 2 7" xfId="23742"/>
    <cellStyle name="Normal 3 3 2 5 3" xfId="1495"/>
    <cellStyle name="Normal 3 3 2 5 3 2" xfId="2809"/>
    <cellStyle name="Normal 3 3 2 5 3 2 2" xfId="6030"/>
    <cellStyle name="Normal 3 3 2 5 3 2 2 2" xfId="22130"/>
    <cellStyle name="Normal 3 3 2 5 3 2 2 2 2" xfId="44717"/>
    <cellStyle name="Normal 3 3 2 5 3 2 2 3" xfId="12470"/>
    <cellStyle name="Normal 3 3 2 5 3 2 2 3 2" xfId="35057"/>
    <cellStyle name="Normal 3 3 2 5 3 2 2 4" xfId="28617"/>
    <cellStyle name="Normal 3 3 2 5 3 2 3" xfId="18910"/>
    <cellStyle name="Normal 3 3 2 5 3 2 3 2" xfId="41497"/>
    <cellStyle name="Normal 3 3 2 5 3 2 4" xfId="15690"/>
    <cellStyle name="Normal 3 3 2 5 3 2 4 2" xfId="38277"/>
    <cellStyle name="Normal 3 3 2 5 3 2 5" xfId="9250"/>
    <cellStyle name="Normal 3 3 2 5 3 2 5 2" xfId="31837"/>
    <cellStyle name="Normal 3 3 2 5 3 2 6" xfId="25397"/>
    <cellStyle name="Normal 3 3 2 5 3 3" xfId="4722"/>
    <cellStyle name="Normal 3 3 2 5 3 3 2" xfId="20822"/>
    <cellStyle name="Normal 3 3 2 5 3 3 2 2" xfId="43409"/>
    <cellStyle name="Normal 3 3 2 5 3 3 3" xfId="11162"/>
    <cellStyle name="Normal 3 3 2 5 3 3 3 2" xfId="33749"/>
    <cellStyle name="Normal 3 3 2 5 3 3 4" xfId="27309"/>
    <cellStyle name="Normal 3 3 2 5 3 4" xfId="17602"/>
    <cellStyle name="Normal 3 3 2 5 3 4 2" xfId="40189"/>
    <cellStyle name="Normal 3 3 2 5 3 5" xfId="14382"/>
    <cellStyle name="Normal 3 3 2 5 3 5 2" xfId="36969"/>
    <cellStyle name="Normal 3 3 2 5 3 6" xfId="7942"/>
    <cellStyle name="Normal 3 3 2 5 3 6 2" xfId="30529"/>
    <cellStyle name="Normal 3 3 2 5 3 7" xfId="24089"/>
    <cellStyle name="Normal 3 3 2 5 4" xfId="2115"/>
    <cellStyle name="Normal 3 3 2 5 4 2" xfId="5336"/>
    <cellStyle name="Normal 3 3 2 5 4 2 2" xfId="21436"/>
    <cellStyle name="Normal 3 3 2 5 4 2 2 2" xfId="44023"/>
    <cellStyle name="Normal 3 3 2 5 4 2 3" xfId="11776"/>
    <cellStyle name="Normal 3 3 2 5 4 2 3 2" xfId="34363"/>
    <cellStyle name="Normal 3 3 2 5 4 2 4" xfId="27923"/>
    <cellStyle name="Normal 3 3 2 5 4 3" xfId="18216"/>
    <cellStyle name="Normal 3 3 2 5 4 3 2" xfId="40803"/>
    <cellStyle name="Normal 3 3 2 5 4 4" xfId="14996"/>
    <cellStyle name="Normal 3 3 2 5 4 4 2" xfId="37583"/>
    <cellStyle name="Normal 3 3 2 5 4 5" xfId="8556"/>
    <cellStyle name="Normal 3 3 2 5 4 5 2" xfId="31143"/>
    <cellStyle name="Normal 3 3 2 5 4 6" xfId="24703"/>
    <cellStyle name="Normal 3 3 2 5 5" xfId="4028"/>
    <cellStyle name="Normal 3 3 2 5 5 2" xfId="20128"/>
    <cellStyle name="Normal 3 3 2 5 5 2 2" xfId="42715"/>
    <cellStyle name="Normal 3 3 2 5 5 3" xfId="10468"/>
    <cellStyle name="Normal 3 3 2 5 5 3 2" xfId="33055"/>
    <cellStyle name="Normal 3 3 2 5 5 4" xfId="26615"/>
    <cellStyle name="Normal 3 3 2 5 6" xfId="16908"/>
    <cellStyle name="Normal 3 3 2 5 6 2" xfId="39495"/>
    <cellStyle name="Normal 3 3 2 5 7" xfId="13688"/>
    <cellStyle name="Normal 3 3 2 5 7 2" xfId="36275"/>
    <cellStyle name="Normal 3 3 2 5 8" xfId="7248"/>
    <cellStyle name="Normal 3 3 2 5 8 2" xfId="29835"/>
    <cellStyle name="Normal 3 3 2 5 9" xfId="23395"/>
    <cellStyle name="Normal 3 3 2 6" xfId="866"/>
    <cellStyle name="Normal 3 3 2 6 2" xfId="2185"/>
    <cellStyle name="Normal 3 3 2 6 2 2" xfId="5406"/>
    <cellStyle name="Normal 3 3 2 6 2 2 2" xfId="21506"/>
    <cellStyle name="Normal 3 3 2 6 2 2 2 2" xfId="44093"/>
    <cellStyle name="Normal 3 3 2 6 2 2 3" xfId="11846"/>
    <cellStyle name="Normal 3 3 2 6 2 2 3 2" xfId="34433"/>
    <cellStyle name="Normal 3 3 2 6 2 2 4" xfId="27993"/>
    <cellStyle name="Normal 3 3 2 6 2 3" xfId="18286"/>
    <cellStyle name="Normal 3 3 2 6 2 3 2" xfId="40873"/>
    <cellStyle name="Normal 3 3 2 6 2 4" xfId="15066"/>
    <cellStyle name="Normal 3 3 2 6 2 4 2" xfId="37653"/>
    <cellStyle name="Normal 3 3 2 6 2 5" xfId="8626"/>
    <cellStyle name="Normal 3 3 2 6 2 5 2" xfId="31213"/>
    <cellStyle name="Normal 3 3 2 6 2 6" xfId="24773"/>
    <cellStyle name="Normal 3 3 2 6 3" xfId="4098"/>
    <cellStyle name="Normal 3 3 2 6 3 2" xfId="20198"/>
    <cellStyle name="Normal 3 3 2 6 3 2 2" xfId="42785"/>
    <cellStyle name="Normal 3 3 2 6 3 3" xfId="10538"/>
    <cellStyle name="Normal 3 3 2 6 3 3 2" xfId="33125"/>
    <cellStyle name="Normal 3 3 2 6 3 4" xfId="26685"/>
    <cellStyle name="Normal 3 3 2 6 4" xfId="16978"/>
    <cellStyle name="Normal 3 3 2 6 4 2" xfId="39565"/>
    <cellStyle name="Normal 3 3 2 6 5" xfId="13758"/>
    <cellStyle name="Normal 3 3 2 6 5 2" xfId="36345"/>
    <cellStyle name="Normal 3 3 2 6 6" xfId="7318"/>
    <cellStyle name="Normal 3 3 2 6 6 2" xfId="29905"/>
    <cellStyle name="Normal 3 3 2 6 7" xfId="23465"/>
    <cellStyle name="Normal 3 3 2 7" xfId="1218"/>
    <cellStyle name="Normal 3 3 2 7 2" xfId="2532"/>
    <cellStyle name="Normal 3 3 2 7 2 2" xfId="5753"/>
    <cellStyle name="Normal 3 3 2 7 2 2 2" xfId="21853"/>
    <cellStyle name="Normal 3 3 2 7 2 2 2 2" xfId="44440"/>
    <cellStyle name="Normal 3 3 2 7 2 2 3" xfId="12193"/>
    <cellStyle name="Normal 3 3 2 7 2 2 3 2" xfId="34780"/>
    <cellStyle name="Normal 3 3 2 7 2 2 4" xfId="28340"/>
    <cellStyle name="Normal 3 3 2 7 2 3" xfId="18633"/>
    <cellStyle name="Normal 3 3 2 7 2 3 2" xfId="41220"/>
    <cellStyle name="Normal 3 3 2 7 2 4" xfId="15413"/>
    <cellStyle name="Normal 3 3 2 7 2 4 2" xfId="38000"/>
    <cellStyle name="Normal 3 3 2 7 2 5" xfId="8973"/>
    <cellStyle name="Normal 3 3 2 7 2 5 2" xfId="31560"/>
    <cellStyle name="Normal 3 3 2 7 2 6" xfId="25120"/>
    <cellStyle name="Normal 3 3 2 7 3" xfId="4445"/>
    <cellStyle name="Normal 3 3 2 7 3 2" xfId="20545"/>
    <cellStyle name="Normal 3 3 2 7 3 2 2" xfId="43132"/>
    <cellStyle name="Normal 3 3 2 7 3 3" xfId="10885"/>
    <cellStyle name="Normal 3 3 2 7 3 3 2" xfId="33472"/>
    <cellStyle name="Normal 3 3 2 7 3 4" xfId="27032"/>
    <cellStyle name="Normal 3 3 2 7 4" xfId="17325"/>
    <cellStyle name="Normal 3 3 2 7 4 2" xfId="39912"/>
    <cellStyle name="Normal 3 3 2 7 5" xfId="14105"/>
    <cellStyle name="Normal 3 3 2 7 5 2" xfId="36692"/>
    <cellStyle name="Normal 3 3 2 7 6" xfId="7665"/>
    <cellStyle name="Normal 3 3 2 7 6 2" xfId="30252"/>
    <cellStyle name="Normal 3 3 2 7 7" xfId="23812"/>
    <cellStyle name="Normal 3 3 2 8" xfId="1673"/>
    <cellStyle name="Normal 3 3 2 8 2" xfId="4896"/>
    <cellStyle name="Normal 3 3 2 8 2 2" xfId="20996"/>
    <cellStyle name="Normal 3 3 2 8 2 2 2" xfId="43583"/>
    <cellStyle name="Normal 3 3 2 8 2 3" xfId="11336"/>
    <cellStyle name="Normal 3 3 2 8 2 3 2" xfId="33923"/>
    <cellStyle name="Normal 3 3 2 8 2 4" xfId="27483"/>
    <cellStyle name="Normal 3 3 2 8 3" xfId="17776"/>
    <cellStyle name="Normal 3 3 2 8 3 2" xfId="40363"/>
    <cellStyle name="Normal 3 3 2 8 4" xfId="14556"/>
    <cellStyle name="Normal 3 3 2 8 4 2" xfId="37143"/>
    <cellStyle name="Normal 3 3 2 8 5" xfId="8116"/>
    <cellStyle name="Normal 3 3 2 8 5 2" xfId="30703"/>
    <cellStyle name="Normal 3 3 2 8 6" xfId="24263"/>
    <cellStyle name="Normal 3 3 2 9" xfId="1837"/>
    <cellStyle name="Normal 3 3 2 9 2" xfId="5059"/>
    <cellStyle name="Normal 3 3 2 9 2 2" xfId="21159"/>
    <cellStyle name="Normal 3 3 2 9 2 2 2" xfId="43746"/>
    <cellStyle name="Normal 3 3 2 9 2 3" xfId="11499"/>
    <cellStyle name="Normal 3 3 2 9 2 3 2" xfId="34086"/>
    <cellStyle name="Normal 3 3 2 9 2 4" xfId="27646"/>
    <cellStyle name="Normal 3 3 2 9 3" xfId="17939"/>
    <cellStyle name="Normal 3 3 2 9 3 2" xfId="40526"/>
    <cellStyle name="Normal 3 3 2 9 4" xfId="14719"/>
    <cellStyle name="Normal 3 3 2 9 4 2" xfId="37306"/>
    <cellStyle name="Normal 3 3 2 9 5" xfId="8279"/>
    <cellStyle name="Normal 3 3 2 9 5 2" xfId="30866"/>
    <cellStyle name="Normal 3 3 2 9 6" xfId="24426"/>
    <cellStyle name="Normal 3 3 3" xfId="143"/>
    <cellStyle name="Normal 3 3 3 10" xfId="481"/>
    <cellStyle name="Normal 3 3 3 10 2" xfId="3768"/>
    <cellStyle name="Normal 3 3 3 10 2 2" xfId="19868"/>
    <cellStyle name="Normal 3 3 3 10 2 2 2" xfId="42455"/>
    <cellStyle name="Normal 3 3 3 10 2 3" xfId="10208"/>
    <cellStyle name="Normal 3 3 3 10 2 3 2" xfId="32795"/>
    <cellStyle name="Normal 3 3 3 10 2 4" xfId="26355"/>
    <cellStyle name="Normal 3 3 3 10 3" xfId="16648"/>
    <cellStyle name="Normal 3 3 3 10 3 2" xfId="39235"/>
    <cellStyle name="Normal 3 3 3 10 4" xfId="13428"/>
    <cellStyle name="Normal 3 3 3 10 4 2" xfId="36015"/>
    <cellStyle name="Normal 3 3 3 10 5" xfId="6988"/>
    <cellStyle name="Normal 3 3 3 10 5 2" xfId="29575"/>
    <cellStyle name="Normal 3 3 3 10 6" xfId="23135"/>
    <cellStyle name="Normal 3 3 3 11" xfId="3478"/>
    <cellStyle name="Normal 3 3 3 11 2" xfId="19578"/>
    <cellStyle name="Normal 3 3 3 11 2 2" xfId="42165"/>
    <cellStyle name="Normal 3 3 3 11 3" xfId="9918"/>
    <cellStyle name="Normal 3 3 3 11 3 2" xfId="32505"/>
    <cellStyle name="Normal 3 3 3 11 4" xfId="26065"/>
    <cellStyle name="Normal 3 3 3 12" xfId="16358"/>
    <cellStyle name="Normal 3 3 3 12 2" xfId="38945"/>
    <cellStyle name="Normal 3 3 3 13" xfId="13138"/>
    <cellStyle name="Normal 3 3 3 13 2" xfId="35725"/>
    <cellStyle name="Normal 3 3 3 14" xfId="6698"/>
    <cellStyle name="Normal 3 3 3 14 2" xfId="29285"/>
    <cellStyle name="Normal 3 3 3 15" xfId="22845"/>
    <cellStyle name="Normal 3 3 3 2" xfId="289"/>
    <cellStyle name="Normal 3 3 3 2 10" xfId="16456"/>
    <cellStyle name="Normal 3 3 3 2 10 2" xfId="39043"/>
    <cellStyle name="Normal 3 3 3 2 11" xfId="13236"/>
    <cellStyle name="Normal 3 3 3 2 11 2" xfId="35823"/>
    <cellStyle name="Normal 3 3 3 2 12" xfId="6796"/>
    <cellStyle name="Normal 3 3 3 2 12 2" xfId="29383"/>
    <cellStyle name="Normal 3 3 3 2 13" xfId="22943"/>
    <cellStyle name="Normal 3 3 3 2 2" xfId="1007"/>
    <cellStyle name="Normal 3 3 3 2 2 2" xfId="2321"/>
    <cellStyle name="Normal 3 3 3 2 2 2 2" xfId="5542"/>
    <cellStyle name="Normal 3 3 3 2 2 2 2 2" xfId="21642"/>
    <cellStyle name="Normal 3 3 3 2 2 2 2 2 2" xfId="44229"/>
    <cellStyle name="Normal 3 3 3 2 2 2 2 3" xfId="11982"/>
    <cellStyle name="Normal 3 3 3 2 2 2 2 3 2" xfId="34569"/>
    <cellStyle name="Normal 3 3 3 2 2 2 2 4" xfId="28129"/>
    <cellStyle name="Normal 3 3 3 2 2 2 3" xfId="18422"/>
    <cellStyle name="Normal 3 3 3 2 2 2 3 2" xfId="41009"/>
    <cellStyle name="Normal 3 3 3 2 2 2 4" xfId="15202"/>
    <cellStyle name="Normal 3 3 3 2 2 2 4 2" xfId="37789"/>
    <cellStyle name="Normal 3 3 3 2 2 2 5" xfId="8762"/>
    <cellStyle name="Normal 3 3 3 2 2 2 5 2" xfId="31349"/>
    <cellStyle name="Normal 3 3 3 2 2 2 6" xfId="24909"/>
    <cellStyle name="Normal 3 3 3 2 2 3" xfId="4234"/>
    <cellStyle name="Normal 3 3 3 2 2 3 2" xfId="20334"/>
    <cellStyle name="Normal 3 3 3 2 2 3 2 2" xfId="42921"/>
    <cellStyle name="Normal 3 3 3 2 2 3 3" xfId="10674"/>
    <cellStyle name="Normal 3 3 3 2 2 3 3 2" xfId="33261"/>
    <cellStyle name="Normal 3 3 3 2 2 3 4" xfId="26821"/>
    <cellStyle name="Normal 3 3 3 2 2 4" xfId="17114"/>
    <cellStyle name="Normal 3 3 3 2 2 4 2" xfId="39701"/>
    <cellStyle name="Normal 3 3 3 2 2 5" xfId="13894"/>
    <cellStyle name="Normal 3 3 3 2 2 5 2" xfId="36481"/>
    <cellStyle name="Normal 3 3 3 2 2 6" xfId="7454"/>
    <cellStyle name="Normal 3 3 3 2 2 6 2" xfId="30041"/>
    <cellStyle name="Normal 3 3 3 2 2 7" xfId="23601"/>
    <cellStyle name="Normal 3 3 3 2 3" xfId="1354"/>
    <cellStyle name="Normal 3 3 3 2 3 2" xfId="2668"/>
    <cellStyle name="Normal 3 3 3 2 3 2 2" xfId="5889"/>
    <cellStyle name="Normal 3 3 3 2 3 2 2 2" xfId="21989"/>
    <cellStyle name="Normal 3 3 3 2 3 2 2 2 2" xfId="44576"/>
    <cellStyle name="Normal 3 3 3 2 3 2 2 3" xfId="12329"/>
    <cellStyle name="Normal 3 3 3 2 3 2 2 3 2" xfId="34916"/>
    <cellStyle name="Normal 3 3 3 2 3 2 2 4" xfId="28476"/>
    <cellStyle name="Normal 3 3 3 2 3 2 3" xfId="18769"/>
    <cellStyle name="Normal 3 3 3 2 3 2 3 2" xfId="41356"/>
    <cellStyle name="Normal 3 3 3 2 3 2 4" xfId="15549"/>
    <cellStyle name="Normal 3 3 3 2 3 2 4 2" xfId="38136"/>
    <cellStyle name="Normal 3 3 3 2 3 2 5" xfId="9109"/>
    <cellStyle name="Normal 3 3 3 2 3 2 5 2" xfId="31696"/>
    <cellStyle name="Normal 3 3 3 2 3 2 6" xfId="25256"/>
    <cellStyle name="Normal 3 3 3 2 3 3" xfId="4581"/>
    <cellStyle name="Normal 3 3 3 2 3 3 2" xfId="20681"/>
    <cellStyle name="Normal 3 3 3 2 3 3 2 2" xfId="43268"/>
    <cellStyle name="Normal 3 3 3 2 3 3 3" xfId="11021"/>
    <cellStyle name="Normal 3 3 3 2 3 3 3 2" xfId="33608"/>
    <cellStyle name="Normal 3 3 3 2 3 3 4" xfId="27168"/>
    <cellStyle name="Normal 3 3 3 2 3 4" xfId="17461"/>
    <cellStyle name="Normal 3 3 3 2 3 4 2" xfId="40048"/>
    <cellStyle name="Normal 3 3 3 2 3 5" xfId="14241"/>
    <cellStyle name="Normal 3 3 3 2 3 5 2" xfId="36828"/>
    <cellStyle name="Normal 3 3 3 2 3 6" xfId="7801"/>
    <cellStyle name="Normal 3 3 3 2 3 6 2" xfId="30388"/>
    <cellStyle name="Normal 3 3 3 2 3 7" xfId="23948"/>
    <cellStyle name="Normal 3 3 3 2 4" xfId="1674"/>
    <cellStyle name="Normal 3 3 3 2 4 2" xfId="4897"/>
    <cellStyle name="Normal 3 3 3 2 4 2 2" xfId="20997"/>
    <cellStyle name="Normal 3 3 3 2 4 2 2 2" xfId="43584"/>
    <cellStyle name="Normal 3 3 3 2 4 2 3" xfId="11337"/>
    <cellStyle name="Normal 3 3 3 2 4 2 3 2" xfId="33924"/>
    <cellStyle name="Normal 3 3 3 2 4 2 4" xfId="27484"/>
    <cellStyle name="Normal 3 3 3 2 4 3" xfId="17777"/>
    <cellStyle name="Normal 3 3 3 2 4 3 2" xfId="40364"/>
    <cellStyle name="Normal 3 3 3 2 4 4" xfId="14557"/>
    <cellStyle name="Normal 3 3 3 2 4 4 2" xfId="37144"/>
    <cellStyle name="Normal 3 3 3 2 4 5" xfId="8117"/>
    <cellStyle name="Normal 3 3 3 2 4 5 2" xfId="30704"/>
    <cellStyle name="Normal 3 3 3 2 4 6" xfId="24264"/>
    <cellStyle name="Normal 3 3 3 2 5" xfId="1973"/>
    <cellStyle name="Normal 3 3 3 2 5 2" xfId="5195"/>
    <cellStyle name="Normal 3 3 3 2 5 2 2" xfId="21295"/>
    <cellStyle name="Normal 3 3 3 2 5 2 2 2" xfId="43882"/>
    <cellStyle name="Normal 3 3 3 2 5 2 3" xfId="11635"/>
    <cellStyle name="Normal 3 3 3 2 5 2 3 2" xfId="34222"/>
    <cellStyle name="Normal 3 3 3 2 5 2 4" xfId="27782"/>
    <cellStyle name="Normal 3 3 3 2 5 3" xfId="18075"/>
    <cellStyle name="Normal 3 3 3 2 5 3 2" xfId="40662"/>
    <cellStyle name="Normal 3 3 3 2 5 4" xfId="14855"/>
    <cellStyle name="Normal 3 3 3 2 5 4 2" xfId="37442"/>
    <cellStyle name="Normal 3 3 3 2 5 5" xfId="8415"/>
    <cellStyle name="Normal 3 3 3 2 5 5 2" xfId="31002"/>
    <cellStyle name="Normal 3 3 3 2 5 6" xfId="24562"/>
    <cellStyle name="Normal 3 3 3 2 6" xfId="2996"/>
    <cellStyle name="Normal 3 3 3 2 6 2" xfId="6216"/>
    <cellStyle name="Normal 3 3 3 2 6 2 2" xfId="22316"/>
    <cellStyle name="Normal 3 3 3 2 6 2 2 2" xfId="44903"/>
    <cellStyle name="Normal 3 3 3 2 6 2 3" xfId="12656"/>
    <cellStyle name="Normal 3 3 3 2 6 2 3 2" xfId="35243"/>
    <cellStyle name="Normal 3 3 3 2 6 2 4" xfId="28803"/>
    <cellStyle name="Normal 3 3 3 2 6 3" xfId="19096"/>
    <cellStyle name="Normal 3 3 3 2 6 3 2" xfId="41683"/>
    <cellStyle name="Normal 3 3 3 2 6 4" xfId="15876"/>
    <cellStyle name="Normal 3 3 3 2 6 4 2" xfId="38463"/>
    <cellStyle name="Normal 3 3 3 2 6 5" xfId="9436"/>
    <cellStyle name="Normal 3 3 3 2 6 5 2" xfId="32023"/>
    <cellStyle name="Normal 3 3 3 2 6 6" xfId="25583"/>
    <cellStyle name="Normal 3 3 3 2 7" xfId="3286"/>
    <cellStyle name="Normal 3 3 3 2 7 2" xfId="6506"/>
    <cellStyle name="Normal 3 3 3 2 7 2 2" xfId="22606"/>
    <cellStyle name="Normal 3 3 3 2 7 2 2 2" xfId="45193"/>
    <cellStyle name="Normal 3 3 3 2 7 2 3" xfId="12946"/>
    <cellStyle name="Normal 3 3 3 2 7 2 3 2" xfId="35533"/>
    <cellStyle name="Normal 3 3 3 2 7 2 4" xfId="29093"/>
    <cellStyle name="Normal 3 3 3 2 7 3" xfId="19386"/>
    <cellStyle name="Normal 3 3 3 2 7 3 2" xfId="41973"/>
    <cellStyle name="Normal 3 3 3 2 7 4" xfId="16166"/>
    <cellStyle name="Normal 3 3 3 2 7 4 2" xfId="38753"/>
    <cellStyle name="Normal 3 3 3 2 7 5" xfId="9726"/>
    <cellStyle name="Normal 3 3 3 2 7 5 2" xfId="32313"/>
    <cellStyle name="Normal 3 3 3 2 7 6" xfId="25873"/>
    <cellStyle name="Normal 3 3 3 2 8" xfId="643"/>
    <cellStyle name="Normal 3 3 3 2 8 2" xfId="3887"/>
    <cellStyle name="Normal 3 3 3 2 8 2 2" xfId="19987"/>
    <cellStyle name="Normal 3 3 3 2 8 2 2 2" xfId="42574"/>
    <cellStyle name="Normal 3 3 3 2 8 2 3" xfId="10327"/>
    <cellStyle name="Normal 3 3 3 2 8 2 3 2" xfId="32914"/>
    <cellStyle name="Normal 3 3 3 2 8 2 4" xfId="26474"/>
    <cellStyle name="Normal 3 3 3 2 8 3" xfId="16767"/>
    <cellStyle name="Normal 3 3 3 2 8 3 2" xfId="39354"/>
    <cellStyle name="Normal 3 3 3 2 8 4" xfId="13547"/>
    <cellStyle name="Normal 3 3 3 2 8 4 2" xfId="36134"/>
    <cellStyle name="Normal 3 3 3 2 8 5" xfId="7107"/>
    <cellStyle name="Normal 3 3 3 2 8 5 2" xfId="29694"/>
    <cellStyle name="Normal 3 3 3 2 8 6" xfId="23254"/>
    <cellStyle name="Normal 3 3 3 2 9" xfId="3576"/>
    <cellStyle name="Normal 3 3 3 2 9 2" xfId="19676"/>
    <cellStyle name="Normal 3 3 3 2 9 2 2" xfId="42263"/>
    <cellStyle name="Normal 3 3 3 2 9 3" xfId="10016"/>
    <cellStyle name="Normal 3 3 3 2 9 3 2" xfId="32603"/>
    <cellStyle name="Normal 3 3 3 2 9 4" xfId="26163"/>
    <cellStyle name="Normal 3 3 3 3" xfId="384"/>
    <cellStyle name="Normal 3 3 3 3 10" xfId="16551"/>
    <cellStyle name="Normal 3 3 3 3 10 2" xfId="39138"/>
    <cellStyle name="Normal 3 3 3 3 11" xfId="13331"/>
    <cellStyle name="Normal 3 3 3 3 11 2" xfId="35918"/>
    <cellStyle name="Normal 3 3 3 3 12" xfId="6891"/>
    <cellStyle name="Normal 3 3 3 3 12 2" xfId="29478"/>
    <cellStyle name="Normal 3 3 3 3 13" xfId="23038"/>
    <cellStyle name="Normal 3 3 3 3 2" xfId="1168"/>
    <cellStyle name="Normal 3 3 3 3 2 2" xfId="2482"/>
    <cellStyle name="Normal 3 3 3 3 2 2 2" xfId="5703"/>
    <cellStyle name="Normal 3 3 3 3 2 2 2 2" xfId="21803"/>
    <cellStyle name="Normal 3 3 3 3 2 2 2 2 2" xfId="44390"/>
    <cellStyle name="Normal 3 3 3 3 2 2 2 3" xfId="12143"/>
    <cellStyle name="Normal 3 3 3 3 2 2 2 3 2" xfId="34730"/>
    <cellStyle name="Normal 3 3 3 3 2 2 2 4" xfId="28290"/>
    <cellStyle name="Normal 3 3 3 3 2 2 3" xfId="18583"/>
    <cellStyle name="Normal 3 3 3 3 2 2 3 2" xfId="41170"/>
    <cellStyle name="Normal 3 3 3 3 2 2 4" xfId="15363"/>
    <cellStyle name="Normal 3 3 3 3 2 2 4 2" xfId="37950"/>
    <cellStyle name="Normal 3 3 3 3 2 2 5" xfId="8923"/>
    <cellStyle name="Normal 3 3 3 3 2 2 5 2" xfId="31510"/>
    <cellStyle name="Normal 3 3 3 3 2 2 6" xfId="25070"/>
    <cellStyle name="Normal 3 3 3 3 2 3" xfId="4395"/>
    <cellStyle name="Normal 3 3 3 3 2 3 2" xfId="20495"/>
    <cellStyle name="Normal 3 3 3 3 2 3 2 2" xfId="43082"/>
    <cellStyle name="Normal 3 3 3 3 2 3 3" xfId="10835"/>
    <cellStyle name="Normal 3 3 3 3 2 3 3 2" xfId="33422"/>
    <cellStyle name="Normal 3 3 3 3 2 3 4" xfId="26982"/>
    <cellStyle name="Normal 3 3 3 3 2 4" xfId="17275"/>
    <cellStyle name="Normal 3 3 3 3 2 4 2" xfId="39862"/>
    <cellStyle name="Normal 3 3 3 3 2 5" xfId="14055"/>
    <cellStyle name="Normal 3 3 3 3 2 5 2" xfId="36642"/>
    <cellStyle name="Normal 3 3 3 3 2 6" xfId="7615"/>
    <cellStyle name="Normal 3 3 3 3 2 6 2" xfId="30202"/>
    <cellStyle name="Normal 3 3 3 3 2 7" xfId="23762"/>
    <cellStyle name="Normal 3 3 3 3 3" xfId="1515"/>
    <cellStyle name="Normal 3 3 3 3 3 2" xfId="2829"/>
    <cellStyle name="Normal 3 3 3 3 3 2 2" xfId="6050"/>
    <cellStyle name="Normal 3 3 3 3 3 2 2 2" xfId="22150"/>
    <cellStyle name="Normal 3 3 3 3 3 2 2 2 2" xfId="44737"/>
    <cellStyle name="Normal 3 3 3 3 3 2 2 3" xfId="12490"/>
    <cellStyle name="Normal 3 3 3 3 3 2 2 3 2" xfId="35077"/>
    <cellStyle name="Normal 3 3 3 3 3 2 2 4" xfId="28637"/>
    <cellStyle name="Normal 3 3 3 3 3 2 3" xfId="18930"/>
    <cellStyle name="Normal 3 3 3 3 3 2 3 2" xfId="41517"/>
    <cellStyle name="Normal 3 3 3 3 3 2 4" xfId="15710"/>
    <cellStyle name="Normal 3 3 3 3 3 2 4 2" xfId="38297"/>
    <cellStyle name="Normal 3 3 3 3 3 2 5" xfId="9270"/>
    <cellStyle name="Normal 3 3 3 3 3 2 5 2" xfId="31857"/>
    <cellStyle name="Normal 3 3 3 3 3 2 6" xfId="25417"/>
    <cellStyle name="Normal 3 3 3 3 3 3" xfId="4742"/>
    <cellStyle name="Normal 3 3 3 3 3 3 2" xfId="20842"/>
    <cellStyle name="Normal 3 3 3 3 3 3 2 2" xfId="43429"/>
    <cellStyle name="Normal 3 3 3 3 3 3 3" xfId="11182"/>
    <cellStyle name="Normal 3 3 3 3 3 3 3 2" xfId="33769"/>
    <cellStyle name="Normal 3 3 3 3 3 3 4" xfId="27329"/>
    <cellStyle name="Normal 3 3 3 3 3 4" xfId="17622"/>
    <cellStyle name="Normal 3 3 3 3 3 4 2" xfId="40209"/>
    <cellStyle name="Normal 3 3 3 3 3 5" xfId="14402"/>
    <cellStyle name="Normal 3 3 3 3 3 5 2" xfId="36989"/>
    <cellStyle name="Normal 3 3 3 3 3 6" xfId="7962"/>
    <cellStyle name="Normal 3 3 3 3 3 6 2" xfId="30549"/>
    <cellStyle name="Normal 3 3 3 3 3 7" xfId="24109"/>
    <cellStyle name="Normal 3 3 3 3 4" xfId="1675"/>
    <cellStyle name="Normal 3 3 3 3 4 2" xfId="4898"/>
    <cellStyle name="Normal 3 3 3 3 4 2 2" xfId="20998"/>
    <cellStyle name="Normal 3 3 3 3 4 2 2 2" xfId="43585"/>
    <cellStyle name="Normal 3 3 3 3 4 2 3" xfId="11338"/>
    <cellStyle name="Normal 3 3 3 3 4 2 3 2" xfId="33925"/>
    <cellStyle name="Normal 3 3 3 3 4 2 4" xfId="27485"/>
    <cellStyle name="Normal 3 3 3 3 4 3" xfId="17778"/>
    <cellStyle name="Normal 3 3 3 3 4 3 2" xfId="40365"/>
    <cellStyle name="Normal 3 3 3 3 4 4" xfId="14558"/>
    <cellStyle name="Normal 3 3 3 3 4 4 2" xfId="37145"/>
    <cellStyle name="Normal 3 3 3 3 4 5" xfId="8118"/>
    <cellStyle name="Normal 3 3 3 3 4 5 2" xfId="30705"/>
    <cellStyle name="Normal 3 3 3 3 4 6" xfId="24265"/>
    <cellStyle name="Normal 3 3 3 3 5" xfId="2135"/>
    <cellStyle name="Normal 3 3 3 3 5 2" xfId="5356"/>
    <cellStyle name="Normal 3 3 3 3 5 2 2" xfId="21456"/>
    <cellStyle name="Normal 3 3 3 3 5 2 2 2" xfId="44043"/>
    <cellStyle name="Normal 3 3 3 3 5 2 3" xfId="11796"/>
    <cellStyle name="Normal 3 3 3 3 5 2 3 2" xfId="34383"/>
    <cellStyle name="Normal 3 3 3 3 5 2 4" xfId="27943"/>
    <cellStyle name="Normal 3 3 3 3 5 3" xfId="18236"/>
    <cellStyle name="Normal 3 3 3 3 5 3 2" xfId="40823"/>
    <cellStyle name="Normal 3 3 3 3 5 4" xfId="15016"/>
    <cellStyle name="Normal 3 3 3 3 5 4 2" xfId="37603"/>
    <cellStyle name="Normal 3 3 3 3 5 5" xfId="8576"/>
    <cellStyle name="Normal 3 3 3 3 5 5 2" xfId="31163"/>
    <cellStyle name="Normal 3 3 3 3 5 6" xfId="24723"/>
    <cellStyle name="Normal 3 3 3 3 6" xfId="3091"/>
    <cellStyle name="Normal 3 3 3 3 6 2" xfId="6311"/>
    <cellStyle name="Normal 3 3 3 3 6 2 2" xfId="22411"/>
    <cellStyle name="Normal 3 3 3 3 6 2 2 2" xfId="44998"/>
    <cellStyle name="Normal 3 3 3 3 6 2 3" xfId="12751"/>
    <cellStyle name="Normal 3 3 3 3 6 2 3 2" xfId="35338"/>
    <cellStyle name="Normal 3 3 3 3 6 2 4" xfId="28898"/>
    <cellStyle name="Normal 3 3 3 3 6 3" xfId="19191"/>
    <cellStyle name="Normal 3 3 3 3 6 3 2" xfId="41778"/>
    <cellStyle name="Normal 3 3 3 3 6 4" xfId="15971"/>
    <cellStyle name="Normal 3 3 3 3 6 4 2" xfId="38558"/>
    <cellStyle name="Normal 3 3 3 3 6 5" xfId="9531"/>
    <cellStyle name="Normal 3 3 3 3 6 5 2" xfId="32118"/>
    <cellStyle name="Normal 3 3 3 3 6 6" xfId="25678"/>
    <cellStyle name="Normal 3 3 3 3 7" xfId="3381"/>
    <cellStyle name="Normal 3 3 3 3 7 2" xfId="6601"/>
    <cellStyle name="Normal 3 3 3 3 7 2 2" xfId="22701"/>
    <cellStyle name="Normal 3 3 3 3 7 2 2 2" xfId="45288"/>
    <cellStyle name="Normal 3 3 3 3 7 2 3" xfId="13041"/>
    <cellStyle name="Normal 3 3 3 3 7 2 3 2" xfId="35628"/>
    <cellStyle name="Normal 3 3 3 3 7 2 4" xfId="29188"/>
    <cellStyle name="Normal 3 3 3 3 7 3" xfId="19481"/>
    <cellStyle name="Normal 3 3 3 3 7 3 2" xfId="42068"/>
    <cellStyle name="Normal 3 3 3 3 7 4" xfId="16261"/>
    <cellStyle name="Normal 3 3 3 3 7 4 2" xfId="38848"/>
    <cellStyle name="Normal 3 3 3 3 7 5" xfId="9821"/>
    <cellStyle name="Normal 3 3 3 3 7 5 2" xfId="32408"/>
    <cellStyle name="Normal 3 3 3 3 7 6" xfId="25968"/>
    <cellStyle name="Normal 3 3 3 3 8" xfId="816"/>
    <cellStyle name="Normal 3 3 3 3 8 2" xfId="4048"/>
    <cellStyle name="Normal 3 3 3 3 8 2 2" xfId="20148"/>
    <cellStyle name="Normal 3 3 3 3 8 2 2 2" xfId="42735"/>
    <cellStyle name="Normal 3 3 3 3 8 2 3" xfId="10488"/>
    <cellStyle name="Normal 3 3 3 3 8 2 3 2" xfId="33075"/>
    <cellStyle name="Normal 3 3 3 3 8 2 4" xfId="26635"/>
    <cellStyle name="Normal 3 3 3 3 8 3" xfId="16928"/>
    <cellStyle name="Normal 3 3 3 3 8 3 2" xfId="39515"/>
    <cellStyle name="Normal 3 3 3 3 8 4" xfId="13708"/>
    <cellStyle name="Normal 3 3 3 3 8 4 2" xfId="36295"/>
    <cellStyle name="Normal 3 3 3 3 8 5" xfId="7268"/>
    <cellStyle name="Normal 3 3 3 3 8 5 2" xfId="29855"/>
    <cellStyle name="Normal 3 3 3 3 8 6" xfId="23415"/>
    <cellStyle name="Normal 3 3 3 3 9" xfId="3671"/>
    <cellStyle name="Normal 3 3 3 3 9 2" xfId="19771"/>
    <cellStyle name="Normal 3 3 3 3 9 2 2" xfId="42358"/>
    <cellStyle name="Normal 3 3 3 3 9 3" xfId="10111"/>
    <cellStyle name="Normal 3 3 3 3 9 3 2" xfId="32698"/>
    <cellStyle name="Normal 3 3 3 3 9 4" xfId="26258"/>
    <cellStyle name="Normal 3 3 3 4" xfId="883"/>
    <cellStyle name="Normal 3 3 3 4 2" xfId="2202"/>
    <cellStyle name="Normal 3 3 3 4 2 2" xfId="5423"/>
    <cellStyle name="Normal 3 3 3 4 2 2 2" xfId="21523"/>
    <cellStyle name="Normal 3 3 3 4 2 2 2 2" xfId="44110"/>
    <cellStyle name="Normal 3 3 3 4 2 2 3" xfId="11863"/>
    <cellStyle name="Normal 3 3 3 4 2 2 3 2" xfId="34450"/>
    <cellStyle name="Normal 3 3 3 4 2 2 4" xfId="28010"/>
    <cellStyle name="Normal 3 3 3 4 2 3" xfId="18303"/>
    <cellStyle name="Normal 3 3 3 4 2 3 2" xfId="40890"/>
    <cellStyle name="Normal 3 3 3 4 2 4" xfId="15083"/>
    <cellStyle name="Normal 3 3 3 4 2 4 2" xfId="37670"/>
    <cellStyle name="Normal 3 3 3 4 2 5" xfId="8643"/>
    <cellStyle name="Normal 3 3 3 4 2 5 2" xfId="31230"/>
    <cellStyle name="Normal 3 3 3 4 2 6" xfId="24790"/>
    <cellStyle name="Normal 3 3 3 4 3" xfId="4115"/>
    <cellStyle name="Normal 3 3 3 4 3 2" xfId="20215"/>
    <cellStyle name="Normal 3 3 3 4 3 2 2" xfId="42802"/>
    <cellStyle name="Normal 3 3 3 4 3 3" xfId="10555"/>
    <cellStyle name="Normal 3 3 3 4 3 3 2" xfId="33142"/>
    <cellStyle name="Normal 3 3 3 4 3 4" xfId="26702"/>
    <cellStyle name="Normal 3 3 3 4 4" xfId="16995"/>
    <cellStyle name="Normal 3 3 3 4 4 2" xfId="39582"/>
    <cellStyle name="Normal 3 3 3 4 5" xfId="13775"/>
    <cellStyle name="Normal 3 3 3 4 5 2" xfId="36362"/>
    <cellStyle name="Normal 3 3 3 4 6" xfId="7335"/>
    <cellStyle name="Normal 3 3 3 4 6 2" xfId="29922"/>
    <cellStyle name="Normal 3 3 3 4 7" xfId="23482"/>
    <cellStyle name="Normal 3 3 3 5" xfId="1235"/>
    <cellStyle name="Normal 3 3 3 5 2" xfId="2549"/>
    <cellStyle name="Normal 3 3 3 5 2 2" xfId="5770"/>
    <cellStyle name="Normal 3 3 3 5 2 2 2" xfId="21870"/>
    <cellStyle name="Normal 3 3 3 5 2 2 2 2" xfId="44457"/>
    <cellStyle name="Normal 3 3 3 5 2 2 3" xfId="12210"/>
    <cellStyle name="Normal 3 3 3 5 2 2 3 2" xfId="34797"/>
    <cellStyle name="Normal 3 3 3 5 2 2 4" xfId="28357"/>
    <cellStyle name="Normal 3 3 3 5 2 3" xfId="18650"/>
    <cellStyle name="Normal 3 3 3 5 2 3 2" xfId="41237"/>
    <cellStyle name="Normal 3 3 3 5 2 4" xfId="15430"/>
    <cellStyle name="Normal 3 3 3 5 2 4 2" xfId="38017"/>
    <cellStyle name="Normal 3 3 3 5 2 5" xfId="8990"/>
    <cellStyle name="Normal 3 3 3 5 2 5 2" xfId="31577"/>
    <cellStyle name="Normal 3 3 3 5 2 6" xfId="25137"/>
    <cellStyle name="Normal 3 3 3 5 3" xfId="4462"/>
    <cellStyle name="Normal 3 3 3 5 3 2" xfId="20562"/>
    <cellStyle name="Normal 3 3 3 5 3 2 2" xfId="43149"/>
    <cellStyle name="Normal 3 3 3 5 3 3" xfId="10902"/>
    <cellStyle name="Normal 3 3 3 5 3 3 2" xfId="33489"/>
    <cellStyle name="Normal 3 3 3 5 3 4" xfId="27049"/>
    <cellStyle name="Normal 3 3 3 5 4" xfId="17342"/>
    <cellStyle name="Normal 3 3 3 5 4 2" xfId="39929"/>
    <cellStyle name="Normal 3 3 3 5 5" xfId="14122"/>
    <cellStyle name="Normal 3 3 3 5 5 2" xfId="36709"/>
    <cellStyle name="Normal 3 3 3 5 6" xfId="7682"/>
    <cellStyle name="Normal 3 3 3 5 6 2" xfId="30269"/>
    <cellStyle name="Normal 3 3 3 5 7" xfId="23829"/>
    <cellStyle name="Normal 3 3 3 6" xfId="1676"/>
    <cellStyle name="Normal 3 3 3 6 2" xfId="4899"/>
    <cellStyle name="Normal 3 3 3 6 2 2" xfId="20999"/>
    <cellStyle name="Normal 3 3 3 6 2 2 2" xfId="43586"/>
    <cellStyle name="Normal 3 3 3 6 2 3" xfId="11339"/>
    <cellStyle name="Normal 3 3 3 6 2 3 2" xfId="33926"/>
    <cellStyle name="Normal 3 3 3 6 2 4" xfId="27486"/>
    <cellStyle name="Normal 3 3 3 6 3" xfId="17779"/>
    <cellStyle name="Normal 3 3 3 6 3 2" xfId="40366"/>
    <cellStyle name="Normal 3 3 3 6 4" xfId="14559"/>
    <cellStyle name="Normal 3 3 3 6 4 2" xfId="37146"/>
    <cellStyle name="Normal 3 3 3 6 5" xfId="8119"/>
    <cellStyle name="Normal 3 3 3 6 5 2" xfId="30706"/>
    <cellStyle name="Normal 3 3 3 6 6" xfId="24266"/>
    <cellStyle name="Normal 3 3 3 7" xfId="1854"/>
    <cellStyle name="Normal 3 3 3 7 2" xfId="5076"/>
    <cellStyle name="Normal 3 3 3 7 2 2" xfId="21176"/>
    <cellStyle name="Normal 3 3 3 7 2 2 2" xfId="43763"/>
    <cellStyle name="Normal 3 3 3 7 2 3" xfId="11516"/>
    <cellStyle name="Normal 3 3 3 7 2 3 2" xfId="34103"/>
    <cellStyle name="Normal 3 3 3 7 2 4" xfId="27663"/>
    <cellStyle name="Normal 3 3 3 7 3" xfId="17956"/>
    <cellStyle name="Normal 3 3 3 7 3 2" xfId="40543"/>
    <cellStyle name="Normal 3 3 3 7 4" xfId="14736"/>
    <cellStyle name="Normal 3 3 3 7 4 2" xfId="37323"/>
    <cellStyle name="Normal 3 3 3 7 5" xfId="8296"/>
    <cellStyle name="Normal 3 3 3 7 5 2" xfId="30883"/>
    <cellStyle name="Normal 3 3 3 7 6" xfId="24443"/>
    <cellStyle name="Normal 3 3 3 8" xfId="2897"/>
    <cellStyle name="Normal 3 3 3 8 2" xfId="6118"/>
    <cellStyle name="Normal 3 3 3 8 2 2" xfId="22218"/>
    <cellStyle name="Normal 3 3 3 8 2 2 2" xfId="44805"/>
    <cellStyle name="Normal 3 3 3 8 2 3" xfId="12558"/>
    <cellStyle name="Normal 3 3 3 8 2 3 2" xfId="35145"/>
    <cellStyle name="Normal 3 3 3 8 2 4" xfId="28705"/>
    <cellStyle name="Normal 3 3 3 8 3" xfId="18998"/>
    <cellStyle name="Normal 3 3 3 8 3 2" xfId="41585"/>
    <cellStyle name="Normal 3 3 3 8 4" xfId="15778"/>
    <cellStyle name="Normal 3 3 3 8 4 2" xfId="38365"/>
    <cellStyle name="Normal 3 3 3 8 5" xfId="9338"/>
    <cellStyle name="Normal 3 3 3 8 5 2" xfId="31925"/>
    <cellStyle name="Normal 3 3 3 8 6" xfId="25485"/>
    <cellStyle name="Normal 3 3 3 9" xfId="3188"/>
    <cellStyle name="Normal 3 3 3 9 2" xfId="6408"/>
    <cellStyle name="Normal 3 3 3 9 2 2" xfId="22508"/>
    <cellStyle name="Normal 3 3 3 9 2 2 2" xfId="45095"/>
    <cellStyle name="Normal 3 3 3 9 2 3" xfId="12848"/>
    <cellStyle name="Normal 3 3 3 9 2 3 2" xfId="35435"/>
    <cellStyle name="Normal 3 3 3 9 2 4" xfId="28995"/>
    <cellStyle name="Normal 3 3 3 9 3" xfId="19288"/>
    <cellStyle name="Normal 3 3 3 9 3 2" xfId="41875"/>
    <cellStyle name="Normal 3 3 3 9 4" xfId="16068"/>
    <cellStyle name="Normal 3 3 3 9 4 2" xfId="38655"/>
    <cellStyle name="Normal 3 3 3 9 5" xfId="9628"/>
    <cellStyle name="Normal 3 3 3 9 5 2" xfId="32215"/>
    <cellStyle name="Normal 3 3 3 9 6" xfId="25775"/>
    <cellStyle name="Normal 3 3 4" xfId="234"/>
    <cellStyle name="Normal 3 3 4 10" xfId="521"/>
    <cellStyle name="Normal 3 3 4 10 2" xfId="3808"/>
    <cellStyle name="Normal 3 3 4 10 2 2" xfId="19908"/>
    <cellStyle name="Normal 3 3 4 10 2 2 2" xfId="42495"/>
    <cellStyle name="Normal 3 3 4 10 2 3" xfId="10248"/>
    <cellStyle name="Normal 3 3 4 10 2 3 2" xfId="32835"/>
    <cellStyle name="Normal 3 3 4 10 2 4" xfId="26395"/>
    <cellStyle name="Normal 3 3 4 10 3" xfId="16688"/>
    <cellStyle name="Normal 3 3 4 10 3 2" xfId="39275"/>
    <cellStyle name="Normal 3 3 4 10 4" xfId="13468"/>
    <cellStyle name="Normal 3 3 4 10 4 2" xfId="36055"/>
    <cellStyle name="Normal 3 3 4 10 5" xfId="7028"/>
    <cellStyle name="Normal 3 3 4 10 5 2" xfId="29615"/>
    <cellStyle name="Normal 3 3 4 10 6" xfId="23175"/>
    <cellStyle name="Normal 3 3 4 11" xfId="3522"/>
    <cellStyle name="Normal 3 3 4 11 2" xfId="19622"/>
    <cellStyle name="Normal 3 3 4 11 2 2" xfId="42209"/>
    <cellStyle name="Normal 3 3 4 11 3" xfId="9962"/>
    <cellStyle name="Normal 3 3 4 11 3 2" xfId="32549"/>
    <cellStyle name="Normal 3 3 4 11 4" xfId="26109"/>
    <cellStyle name="Normal 3 3 4 12" xfId="16402"/>
    <cellStyle name="Normal 3 3 4 12 2" xfId="38989"/>
    <cellStyle name="Normal 3 3 4 13" xfId="13182"/>
    <cellStyle name="Normal 3 3 4 13 2" xfId="35769"/>
    <cellStyle name="Normal 3 3 4 14" xfId="6742"/>
    <cellStyle name="Normal 3 3 4 14 2" xfId="29329"/>
    <cellStyle name="Normal 3 3 4 15" xfId="22889"/>
    <cellStyle name="Normal 3 3 4 2" xfId="332"/>
    <cellStyle name="Normal 3 3 4 2 10" xfId="16499"/>
    <cellStyle name="Normal 3 3 4 2 10 2" xfId="39086"/>
    <cellStyle name="Normal 3 3 4 2 11" xfId="13279"/>
    <cellStyle name="Normal 3 3 4 2 11 2" xfId="35866"/>
    <cellStyle name="Normal 3 3 4 2 12" xfId="6839"/>
    <cellStyle name="Normal 3 3 4 2 12 2" xfId="29426"/>
    <cellStyle name="Normal 3 3 4 2 13" xfId="22986"/>
    <cellStyle name="Normal 3 3 4 2 2" xfId="1044"/>
    <cellStyle name="Normal 3 3 4 2 2 2" xfId="2358"/>
    <cellStyle name="Normal 3 3 4 2 2 2 2" xfId="5579"/>
    <cellStyle name="Normal 3 3 4 2 2 2 2 2" xfId="21679"/>
    <cellStyle name="Normal 3 3 4 2 2 2 2 2 2" xfId="44266"/>
    <cellStyle name="Normal 3 3 4 2 2 2 2 3" xfId="12019"/>
    <cellStyle name="Normal 3 3 4 2 2 2 2 3 2" xfId="34606"/>
    <cellStyle name="Normal 3 3 4 2 2 2 2 4" xfId="28166"/>
    <cellStyle name="Normal 3 3 4 2 2 2 3" xfId="18459"/>
    <cellStyle name="Normal 3 3 4 2 2 2 3 2" xfId="41046"/>
    <cellStyle name="Normal 3 3 4 2 2 2 4" xfId="15239"/>
    <cellStyle name="Normal 3 3 4 2 2 2 4 2" xfId="37826"/>
    <cellStyle name="Normal 3 3 4 2 2 2 5" xfId="8799"/>
    <cellStyle name="Normal 3 3 4 2 2 2 5 2" xfId="31386"/>
    <cellStyle name="Normal 3 3 4 2 2 2 6" xfId="24946"/>
    <cellStyle name="Normal 3 3 4 2 2 3" xfId="4271"/>
    <cellStyle name="Normal 3 3 4 2 2 3 2" xfId="20371"/>
    <cellStyle name="Normal 3 3 4 2 2 3 2 2" xfId="42958"/>
    <cellStyle name="Normal 3 3 4 2 2 3 3" xfId="10711"/>
    <cellStyle name="Normal 3 3 4 2 2 3 3 2" xfId="33298"/>
    <cellStyle name="Normal 3 3 4 2 2 3 4" xfId="26858"/>
    <cellStyle name="Normal 3 3 4 2 2 4" xfId="17151"/>
    <cellStyle name="Normal 3 3 4 2 2 4 2" xfId="39738"/>
    <cellStyle name="Normal 3 3 4 2 2 5" xfId="13931"/>
    <cellStyle name="Normal 3 3 4 2 2 5 2" xfId="36518"/>
    <cellStyle name="Normal 3 3 4 2 2 6" xfId="7491"/>
    <cellStyle name="Normal 3 3 4 2 2 6 2" xfId="30078"/>
    <cellStyle name="Normal 3 3 4 2 2 7" xfId="23638"/>
    <cellStyle name="Normal 3 3 4 2 3" xfId="1391"/>
    <cellStyle name="Normal 3 3 4 2 3 2" xfId="2705"/>
    <cellStyle name="Normal 3 3 4 2 3 2 2" xfId="5926"/>
    <cellStyle name="Normal 3 3 4 2 3 2 2 2" xfId="22026"/>
    <cellStyle name="Normal 3 3 4 2 3 2 2 2 2" xfId="44613"/>
    <cellStyle name="Normal 3 3 4 2 3 2 2 3" xfId="12366"/>
    <cellStyle name="Normal 3 3 4 2 3 2 2 3 2" xfId="34953"/>
    <cellStyle name="Normal 3 3 4 2 3 2 2 4" xfId="28513"/>
    <cellStyle name="Normal 3 3 4 2 3 2 3" xfId="18806"/>
    <cellStyle name="Normal 3 3 4 2 3 2 3 2" xfId="41393"/>
    <cellStyle name="Normal 3 3 4 2 3 2 4" xfId="15586"/>
    <cellStyle name="Normal 3 3 4 2 3 2 4 2" xfId="38173"/>
    <cellStyle name="Normal 3 3 4 2 3 2 5" xfId="9146"/>
    <cellStyle name="Normal 3 3 4 2 3 2 5 2" xfId="31733"/>
    <cellStyle name="Normal 3 3 4 2 3 2 6" xfId="25293"/>
    <cellStyle name="Normal 3 3 4 2 3 3" xfId="4618"/>
    <cellStyle name="Normal 3 3 4 2 3 3 2" xfId="20718"/>
    <cellStyle name="Normal 3 3 4 2 3 3 2 2" xfId="43305"/>
    <cellStyle name="Normal 3 3 4 2 3 3 3" xfId="11058"/>
    <cellStyle name="Normal 3 3 4 2 3 3 3 2" xfId="33645"/>
    <cellStyle name="Normal 3 3 4 2 3 3 4" xfId="27205"/>
    <cellStyle name="Normal 3 3 4 2 3 4" xfId="17498"/>
    <cellStyle name="Normal 3 3 4 2 3 4 2" xfId="40085"/>
    <cellStyle name="Normal 3 3 4 2 3 5" xfId="14278"/>
    <cellStyle name="Normal 3 3 4 2 3 5 2" xfId="36865"/>
    <cellStyle name="Normal 3 3 4 2 3 6" xfId="7838"/>
    <cellStyle name="Normal 3 3 4 2 3 6 2" xfId="30425"/>
    <cellStyle name="Normal 3 3 4 2 3 7" xfId="23985"/>
    <cellStyle name="Normal 3 3 4 2 4" xfId="1677"/>
    <cellStyle name="Normal 3 3 4 2 4 2" xfId="4900"/>
    <cellStyle name="Normal 3 3 4 2 4 2 2" xfId="21000"/>
    <cellStyle name="Normal 3 3 4 2 4 2 2 2" xfId="43587"/>
    <cellStyle name="Normal 3 3 4 2 4 2 3" xfId="11340"/>
    <cellStyle name="Normal 3 3 4 2 4 2 3 2" xfId="33927"/>
    <cellStyle name="Normal 3 3 4 2 4 2 4" xfId="27487"/>
    <cellStyle name="Normal 3 3 4 2 4 3" xfId="17780"/>
    <cellStyle name="Normal 3 3 4 2 4 3 2" xfId="40367"/>
    <cellStyle name="Normal 3 3 4 2 4 4" xfId="14560"/>
    <cellStyle name="Normal 3 3 4 2 4 4 2" xfId="37147"/>
    <cellStyle name="Normal 3 3 4 2 4 5" xfId="8120"/>
    <cellStyle name="Normal 3 3 4 2 4 5 2" xfId="30707"/>
    <cellStyle name="Normal 3 3 4 2 4 6" xfId="24267"/>
    <cellStyle name="Normal 3 3 4 2 5" xfId="2010"/>
    <cellStyle name="Normal 3 3 4 2 5 2" xfId="5232"/>
    <cellStyle name="Normal 3 3 4 2 5 2 2" xfId="21332"/>
    <cellStyle name="Normal 3 3 4 2 5 2 2 2" xfId="43919"/>
    <cellStyle name="Normal 3 3 4 2 5 2 3" xfId="11672"/>
    <cellStyle name="Normal 3 3 4 2 5 2 3 2" xfId="34259"/>
    <cellStyle name="Normal 3 3 4 2 5 2 4" xfId="27819"/>
    <cellStyle name="Normal 3 3 4 2 5 3" xfId="18112"/>
    <cellStyle name="Normal 3 3 4 2 5 3 2" xfId="40699"/>
    <cellStyle name="Normal 3 3 4 2 5 4" xfId="14892"/>
    <cellStyle name="Normal 3 3 4 2 5 4 2" xfId="37479"/>
    <cellStyle name="Normal 3 3 4 2 5 5" xfId="8452"/>
    <cellStyle name="Normal 3 3 4 2 5 5 2" xfId="31039"/>
    <cellStyle name="Normal 3 3 4 2 5 6" xfId="24599"/>
    <cellStyle name="Normal 3 3 4 2 6" xfId="3039"/>
    <cellStyle name="Normal 3 3 4 2 6 2" xfId="6259"/>
    <cellStyle name="Normal 3 3 4 2 6 2 2" xfId="22359"/>
    <cellStyle name="Normal 3 3 4 2 6 2 2 2" xfId="44946"/>
    <cellStyle name="Normal 3 3 4 2 6 2 3" xfId="12699"/>
    <cellStyle name="Normal 3 3 4 2 6 2 3 2" xfId="35286"/>
    <cellStyle name="Normal 3 3 4 2 6 2 4" xfId="28846"/>
    <cellStyle name="Normal 3 3 4 2 6 3" xfId="19139"/>
    <cellStyle name="Normal 3 3 4 2 6 3 2" xfId="41726"/>
    <cellStyle name="Normal 3 3 4 2 6 4" xfId="15919"/>
    <cellStyle name="Normal 3 3 4 2 6 4 2" xfId="38506"/>
    <cellStyle name="Normal 3 3 4 2 6 5" xfId="9479"/>
    <cellStyle name="Normal 3 3 4 2 6 5 2" xfId="32066"/>
    <cellStyle name="Normal 3 3 4 2 6 6" xfId="25626"/>
    <cellStyle name="Normal 3 3 4 2 7" xfId="3329"/>
    <cellStyle name="Normal 3 3 4 2 7 2" xfId="6549"/>
    <cellStyle name="Normal 3 3 4 2 7 2 2" xfId="22649"/>
    <cellStyle name="Normal 3 3 4 2 7 2 2 2" xfId="45236"/>
    <cellStyle name="Normal 3 3 4 2 7 2 3" xfId="12989"/>
    <cellStyle name="Normal 3 3 4 2 7 2 3 2" xfId="35576"/>
    <cellStyle name="Normal 3 3 4 2 7 2 4" xfId="29136"/>
    <cellStyle name="Normal 3 3 4 2 7 3" xfId="19429"/>
    <cellStyle name="Normal 3 3 4 2 7 3 2" xfId="42016"/>
    <cellStyle name="Normal 3 3 4 2 7 4" xfId="16209"/>
    <cellStyle name="Normal 3 3 4 2 7 4 2" xfId="38796"/>
    <cellStyle name="Normal 3 3 4 2 7 5" xfId="9769"/>
    <cellStyle name="Normal 3 3 4 2 7 5 2" xfId="32356"/>
    <cellStyle name="Normal 3 3 4 2 7 6" xfId="25916"/>
    <cellStyle name="Normal 3 3 4 2 8" xfId="680"/>
    <cellStyle name="Normal 3 3 4 2 8 2" xfId="3924"/>
    <cellStyle name="Normal 3 3 4 2 8 2 2" xfId="20024"/>
    <cellStyle name="Normal 3 3 4 2 8 2 2 2" xfId="42611"/>
    <cellStyle name="Normal 3 3 4 2 8 2 3" xfId="10364"/>
    <cellStyle name="Normal 3 3 4 2 8 2 3 2" xfId="32951"/>
    <cellStyle name="Normal 3 3 4 2 8 2 4" xfId="26511"/>
    <cellStyle name="Normal 3 3 4 2 8 3" xfId="16804"/>
    <cellStyle name="Normal 3 3 4 2 8 3 2" xfId="39391"/>
    <cellStyle name="Normal 3 3 4 2 8 4" xfId="13584"/>
    <cellStyle name="Normal 3 3 4 2 8 4 2" xfId="36171"/>
    <cellStyle name="Normal 3 3 4 2 8 5" xfId="7144"/>
    <cellStyle name="Normal 3 3 4 2 8 5 2" xfId="29731"/>
    <cellStyle name="Normal 3 3 4 2 8 6" xfId="23291"/>
    <cellStyle name="Normal 3 3 4 2 9" xfId="3619"/>
    <cellStyle name="Normal 3 3 4 2 9 2" xfId="19719"/>
    <cellStyle name="Normal 3 3 4 2 9 2 2" xfId="42306"/>
    <cellStyle name="Normal 3 3 4 2 9 3" xfId="10059"/>
    <cellStyle name="Normal 3 3 4 2 9 3 2" xfId="32646"/>
    <cellStyle name="Normal 3 3 4 2 9 4" xfId="26206"/>
    <cellStyle name="Normal 3 3 4 3" xfId="428"/>
    <cellStyle name="Normal 3 3 4 3 10" xfId="13375"/>
    <cellStyle name="Normal 3 3 4 3 10 2" xfId="35962"/>
    <cellStyle name="Normal 3 3 4 3 11" xfId="6935"/>
    <cellStyle name="Normal 3 3 4 3 11 2" xfId="29522"/>
    <cellStyle name="Normal 3 3 4 3 12" xfId="23082"/>
    <cellStyle name="Normal 3 3 4 3 2" xfId="1128"/>
    <cellStyle name="Normal 3 3 4 3 2 2" xfId="2442"/>
    <cellStyle name="Normal 3 3 4 3 2 2 2" xfId="5663"/>
    <cellStyle name="Normal 3 3 4 3 2 2 2 2" xfId="21763"/>
    <cellStyle name="Normal 3 3 4 3 2 2 2 2 2" xfId="44350"/>
    <cellStyle name="Normal 3 3 4 3 2 2 2 3" xfId="12103"/>
    <cellStyle name="Normal 3 3 4 3 2 2 2 3 2" xfId="34690"/>
    <cellStyle name="Normal 3 3 4 3 2 2 2 4" xfId="28250"/>
    <cellStyle name="Normal 3 3 4 3 2 2 3" xfId="18543"/>
    <cellStyle name="Normal 3 3 4 3 2 2 3 2" xfId="41130"/>
    <cellStyle name="Normal 3 3 4 3 2 2 4" xfId="15323"/>
    <cellStyle name="Normal 3 3 4 3 2 2 4 2" xfId="37910"/>
    <cellStyle name="Normal 3 3 4 3 2 2 5" xfId="8883"/>
    <cellStyle name="Normal 3 3 4 3 2 2 5 2" xfId="31470"/>
    <cellStyle name="Normal 3 3 4 3 2 2 6" xfId="25030"/>
    <cellStyle name="Normal 3 3 4 3 2 3" xfId="4355"/>
    <cellStyle name="Normal 3 3 4 3 2 3 2" xfId="20455"/>
    <cellStyle name="Normal 3 3 4 3 2 3 2 2" xfId="43042"/>
    <cellStyle name="Normal 3 3 4 3 2 3 3" xfId="10795"/>
    <cellStyle name="Normal 3 3 4 3 2 3 3 2" xfId="33382"/>
    <cellStyle name="Normal 3 3 4 3 2 3 4" xfId="26942"/>
    <cellStyle name="Normal 3 3 4 3 2 4" xfId="17235"/>
    <cellStyle name="Normal 3 3 4 3 2 4 2" xfId="39822"/>
    <cellStyle name="Normal 3 3 4 3 2 5" xfId="14015"/>
    <cellStyle name="Normal 3 3 4 3 2 5 2" xfId="36602"/>
    <cellStyle name="Normal 3 3 4 3 2 6" xfId="7575"/>
    <cellStyle name="Normal 3 3 4 3 2 6 2" xfId="30162"/>
    <cellStyle name="Normal 3 3 4 3 2 7" xfId="23722"/>
    <cellStyle name="Normal 3 3 4 3 3" xfId="1475"/>
    <cellStyle name="Normal 3 3 4 3 3 2" xfId="2789"/>
    <cellStyle name="Normal 3 3 4 3 3 2 2" xfId="6010"/>
    <cellStyle name="Normal 3 3 4 3 3 2 2 2" xfId="22110"/>
    <cellStyle name="Normal 3 3 4 3 3 2 2 2 2" xfId="44697"/>
    <cellStyle name="Normal 3 3 4 3 3 2 2 3" xfId="12450"/>
    <cellStyle name="Normal 3 3 4 3 3 2 2 3 2" xfId="35037"/>
    <cellStyle name="Normal 3 3 4 3 3 2 2 4" xfId="28597"/>
    <cellStyle name="Normal 3 3 4 3 3 2 3" xfId="18890"/>
    <cellStyle name="Normal 3 3 4 3 3 2 3 2" xfId="41477"/>
    <cellStyle name="Normal 3 3 4 3 3 2 4" xfId="15670"/>
    <cellStyle name="Normal 3 3 4 3 3 2 4 2" xfId="38257"/>
    <cellStyle name="Normal 3 3 4 3 3 2 5" xfId="9230"/>
    <cellStyle name="Normal 3 3 4 3 3 2 5 2" xfId="31817"/>
    <cellStyle name="Normal 3 3 4 3 3 2 6" xfId="25377"/>
    <cellStyle name="Normal 3 3 4 3 3 3" xfId="4702"/>
    <cellStyle name="Normal 3 3 4 3 3 3 2" xfId="20802"/>
    <cellStyle name="Normal 3 3 4 3 3 3 2 2" xfId="43389"/>
    <cellStyle name="Normal 3 3 4 3 3 3 3" xfId="11142"/>
    <cellStyle name="Normal 3 3 4 3 3 3 3 2" xfId="33729"/>
    <cellStyle name="Normal 3 3 4 3 3 3 4" xfId="27289"/>
    <cellStyle name="Normal 3 3 4 3 3 4" xfId="17582"/>
    <cellStyle name="Normal 3 3 4 3 3 4 2" xfId="40169"/>
    <cellStyle name="Normal 3 3 4 3 3 5" xfId="14362"/>
    <cellStyle name="Normal 3 3 4 3 3 5 2" xfId="36949"/>
    <cellStyle name="Normal 3 3 4 3 3 6" xfId="7922"/>
    <cellStyle name="Normal 3 3 4 3 3 6 2" xfId="30509"/>
    <cellStyle name="Normal 3 3 4 3 3 7" xfId="24069"/>
    <cellStyle name="Normal 3 3 4 3 4" xfId="2095"/>
    <cellStyle name="Normal 3 3 4 3 4 2" xfId="5316"/>
    <cellStyle name="Normal 3 3 4 3 4 2 2" xfId="21416"/>
    <cellStyle name="Normal 3 3 4 3 4 2 2 2" xfId="44003"/>
    <cellStyle name="Normal 3 3 4 3 4 2 3" xfId="11756"/>
    <cellStyle name="Normal 3 3 4 3 4 2 3 2" xfId="34343"/>
    <cellStyle name="Normal 3 3 4 3 4 2 4" xfId="27903"/>
    <cellStyle name="Normal 3 3 4 3 4 3" xfId="18196"/>
    <cellStyle name="Normal 3 3 4 3 4 3 2" xfId="40783"/>
    <cellStyle name="Normal 3 3 4 3 4 4" xfId="14976"/>
    <cellStyle name="Normal 3 3 4 3 4 4 2" xfId="37563"/>
    <cellStyle name="Normal 3 3 4 3 4 5" xfId="8536"/>
    <cellStyle name="Normal 3 3 4 3 4 5 2" xfId="31123"/>
    <cellStyle name="Normal 3 3 4 3 4 6" xfId="24683"/>
    <cellStyle name="Normal 3 3 4 3 5" xfId="3135"/>
    <cellStyle name="Normal 3 3 4 3 5 2" xfId="6355"/>
    <cellStyle name="Normal 3 3 4 3 5 2 2" xfId="22455"/>
    <cellStyle name="Normal 3 3 4 3 5 2 2 2" xfId="45042"/>
    <cellStyle name="Normal 3 3 4 3 5 2 3" xfId="12795"/>
    <cellStyle name="Normal 3 3 4 3 5 2 3 2" xfId="35382"/>
    <cellStyle name="Normal 3 3 4 3 5 2 4" xfId="28942"/>
    <cellStyle name="Normal 3 3 4 3 5 3" xfId="19235"/>
    <cellStyle name="Normal 3 3 4 3 5 3 2" xfId="41822"/>
    <cellStyle name="Normal 3 3 4 3 5 4" xfId="16015"/>
    <cellStyle name="Normal 3 3 4 3 5 4 2" xfId="38602"/>
    <cellStyle name="Normal 3 3 4 3 5 5" xfId="9575"/>
    <cellStyle name="Normal 3 3 4 3 5 5 2" xfId="32162"/>
    <cellStyle name="Normal 3 3 4 3 5 6" xfId="25722"/>
    <cellStyle name="Normal 3 3 4 3 6" xfId="3425"/>
    <cellStyle name="Normal 3 3 4 3 6 2" xfId="6645"/>
    <cellStyle name="Normal 3 3 4 3 6 2 2" xfId="22745"/>
    <cellStyle name="Normal 3 3 4 3 6 2 2 2" xfId="45332"/>
    <cellStyle name="Normal 3 3 4 3 6 2 3" xfId="13085"/>
    <cellStyle name="Normal 3 3 4 3 6 2 3 2" xfId="35672"/>
    <cellStyle name="Normal 3 3 4 3 6 2 4" xfId="29232"/>
    <cellStyle name="Normal 3 3 4 3 6 3" xfId="19525"/>
    <cellStyle name="Normal 3 3 4 3 6 3 2" xfId="42112"/>
    <cellStyle name="Normal 3 3 4 3 6 4" xfId="16305"/>
    <cellStyle name="Normal 3 3 4 3 6 4 2" xfId="38892"/>
    <cellStyle name="Normal 3 3 4 3 6 5" xfId="9865"/>
    <cellStyle name="Normal 3 3 4 3 6 5 2" xfId="32452"/>
    <cellStyle name="Normal 3 3 4 3 6 6" xfId="26012"/>
    <cellStyle name="Normal 3 3 4 3 7" xfId="776"/>
    <cellStyle name="Normal 3 3 4 3 7 2" xfId="4008"/>
    <cellStyle name="Normal 3 3 4 3 7 2 2" xfId="20108"/>
    <cellStyle name="Normal 3 3 4 3 7 2 2 2" xfId="42695"/>
    <cellStyle name="Normal 3 3 4 3 7 2 3" xfId="10448"/>
    <cellStyle name="Normal 3 3 4 3 7 2 3 2" xfId="33035"/>
    <cellStyle name="Normal 3 3 4 3 7 2 4" xfId="26595"/>
    <cellStyle name="Normal 3 3 4 3 7 3" xfId="16888"/>
    <cellStyle name="Normal 3 3 4 3 7 3 2" xfId="39475"/>
    <cellStyle name="Normal 3 3 4 3 7 4" xfId="13668"/>
    <cellStyle name="Normal 3 3 4 3 7 4 2" xfId="36255"/>
    <cellStyle name="Normal 3 3 4 3 7 5" xfId="7228"/>
    <cellStyle name="Normal 3 3 4 3 7 5 2" xfId="29815"/>
    <cellStyle name="Normal 3 3 4 3 7 6" xfId="23375"/>
    <cellStyle name="Normal 3 3 4 3 8" xfId="3715"/>
    <cellStyle name="Normal 3 3 4 3 8 2" xfId="19815"/>
    <cellStyle name="Normal 3 3 4 3 8 2 2" xfId="42402"/>
    <cellStyle name="Normal 3 3 4 3 8 3" xfId="10155"/>
    <cellStyle name="Normal 3 3 4 3 8 3 2" xfId="32742"/>
    <cellStyle name="Normal 3 3 4 3 8 4" xfId="26302"/>
    <cellStyle name="Normal 3 3 4 3 9" xfId="16595"/>
    <cellStyle name="Normal 3 3 4 3 9 2" xfId="39182"/>
    <cellStyle name="Normal 3 3 4 4" xfId="923"/>
    <cellStyle name="Normal 3 3 4 4 2" xfId="2242"/>
    <cellStyle name="Normal 3 3 4 4 2 2" xfId="5463"/>
    <cellStyle name="Normal 3 3 4 4 2 2 2" xfId="21563"/>
    <cellStyle name="Normal 3 3 4 4 2 2 2 2" xfId="44150"/>
    <cellStyle name="Normal 3 3 4 4 2 2 3" xfId="11903"/>
    <cellStyle name="Normal 3 3 4 4 2 2 3 2" xfId="34490"/>
    <cellStyle name="Normal 3 3 4 4 2 2 4" xfId="28050"/>
    <cellStyle name="Normal 3 3 4 4 2 3" xfId="18343"/>
    <cellStyle name="Normal 3 3 4 4 2 3 2" xfId="40930"/>
    <cellStyle name="Normal 3 3 4 4 2 4" xfId="15123"/>
    <cellStyle name="Normal 3 3 4 4 2 4 2" xfId="37710"/>
    <cellStyle name="Normal 3 3 4 4 2 5" xfId="8683"/>
    <cellStyle name="Normal 3 3 4 4 2 5 2" xfId="31270"/>
    <cellStyle name="Normal 3 3 4 4 2 6" xfId="24830"/>
    <cellStyle name="Normal 3 3 4 4 3" xfId="4155"/>
    <cellStyle name="Normal 3 3 4 4 3 2" xfId="20255"/>
    <cellStyle name="Normal 3 3 4 4 3 2 2" xfId="42842"/>
    <cellStyle name="Normal 3 3 4 4 3 3" xfId="10595"/>
    <cellStyle name="Normal 3 3 4 4 3 3 2" xfId="33182"/>
    <cellStyle name="Normal 3 3 4 4 3 4" xfId="26742"/>
    <cellStyle name="Normal 3 3 4 4 4" xfId="17035"/>
    <cellStyle name="Normal 3 3 4 4 4 2" xfId="39622"/>
    <cellStyle name="Normal 3 3 4 4 5" xfId="13815"/>
    <cellStyle name="Normal 3 3 4 4 5 2" xfId="36402"/>
    <cellStyle name="Normal 3 3 4 4 6" xfId="7375"/>
    <cellStyle name="Normal 3 3 4 4 6 2" xfId="29962"/>
    <cellStyle name="Normal 3 3 4 4 7" xfId="23522"/>
    <cellStyle name="Normal 3 3 4 5" xfId="1275"/>
    <cellStyle name="Normal 3 3 4 5 2" xfId="2589"/>
    <cellStyle name="Normal 3 3 4 5 2 2" xfId="5810"/>
    <cellStyle name="Normal 3 3 4 5 2 2 2" xfId="21910"/>
    <cellStyle name="Normal 3 3 4 5 2 2 2 2" xfId="44497"/>
    <cellStyle name="Normal 3 3 4 5 2 2 3" xfId="12250"/>
    <cellStyle name="Normal 3 3 4 5 2 2 3 2" xfId="34837"/>
    <cellStyle name="Normal 3 3 4 5 2 2 4" xfId="28397"/>
    <cellStyle name="Normal 3 3 4 5 2 3" xfId="18690"/>
    <cellStyle name="Normal 3 3 4 5 2 3 2" xfId="41277"/>
    <cellStyle name="Normal 3 3 4 5 2 4" xfId="15470"/>
    <cellStyle name="Normal 3 3 4 5 2 4 2" xfId="38057"/>
    <cellStyle name="Normal 3 3 4 5 2 5" xfId="9030"/>
    <cellStyle name="Normal 3 3 4 5 2 5 2" xfId="31617"/>
    <cellStyle name="Normal 3 3 4 5 2 6" xfId="25177"/>
    <cellStyle name="Normal 3 3 4 5 3" xfId="4502"/>
    <cellStyle name="Normal 3 3 4 5 3 2" xfId="20602"/>
    <cellStyle name="Normal 3 3 4 5 3 2 2" xfId="43189"/>
    <cellStyle name="Normal 3 3 4 5 3 3" xfId="10942"/>
    <cellStyle name="Normal 3 3 4 5 3 3 2" xfId="33529"/>
    <cellStyle name="Normal 3 3 4 5 3 4" xfId="27089"/>
    <cellStyle name="Normal 3 3 4 5 4" xfId="17382"/>
    <cellStyle name="Normal 3 3 4 5 4 2" xfId="39969"/>
    <cellStyle name="Normal 3 3 4 5 5" xfId="14162"/>
    <cellStyle name="Normal 3 3 4 5 5 2" xfId="36749"/>
    <cellStyle name="Normal 3 3 4 5 6" xfId="7722"/>
    <cellStyle name="Normal 3 3 4 5 6 2" xfId="30309"/>
    <cellStyle name="Normal 3 3 4 5 7" xfId="23869"/>
    <cellStyle name="Normal 3 3 4 6" xfId="1678"/>
    <cellStyle name="Normal 3 3 4 6 2" xfId="4901"/>
    <cellStyle name="Normal 3 3 4 6 2 2" xfId="21001"/>
    <cellStyle name="Normal 3 3 4 6 2 2 2" xfId="43588"/>
    <cellStyle name="Normal 3 3 4 6 2 3" xfId="11341"/>
    <cellStyle name="Normal 3 3 4 6 2 3 2" xfId="33928"/>
    <cellStyle name="Normal 3 3 4 6 2 4" xfId="27488"/>
    <cellStyle name="Normal 3 3 4 6 3" xfId="17781"/>
    <cellStyle name="Normal 3 3 4 6 3 2" xfId="40368"/>
    <cellStyle name="Normal 3 3 4 6 4" xfId="14561"/>
    <cellStyle name="Normal 3 3 4 6 4 2" xfId="37148"/>
    <cellStyle name="Normal 3 3 4 6 5" xfId="8121"/>
    <cellStyle name="Normal 3 3 4 6 5 2" xfId="30708"/>
    <cellStyle name="Normal 3 3 4 6 6" xfId="24268"/>
    <cellStyle name="Normal 3 3 4 7" xfId="1894"/>
    <cellStyle name="Normal 3 3 4 7 2" xfId="5116"/>
    <cellStyle name="Normal 3 3 4 7 2 2" xfId="21216"/>
    <cellStyle name="Normal 3 3 4 7 2 2 2" xfId="43803"/>
    <cellStyle name="Normal 3 3 4 7 2 3" xfId="11556"/>
    <cellStyle name="Normal 3 3 4 7 2 3 2" xfId="34143"/>
    <cellStyle name="Normal 3 3 4 7 2 4" xfId="27703"/>
    <cellStyle name="Normal 3 3 4 7 3" xfId="17996"/>
    <cellStyle name="Normal 3 3 4 7 3 2" xfId="40583"/>
    <cellStyle name="Normal 3 3 4 7 4" xfId="14776"/>
    <cellStyle name="Normal 3 3 4 7 4 2" xfId="37363"/>
    <cellStyle name="Normal 3 3 4 7 5" xfId="8336"/>
    <cellStyle name="Normal 3 3 4 7 5 2" xfId="30923"/>
    <cellStyle name="Normal 3 3 4 7 6" xfId="24483"/>
    <cellStyle name="Normal 3 3 4 8" xfId="2941"/>
    <cellStyle name="Normal 3 3 4 8 2" xfId="6162"/>
    <cellStyle name="Normal 3 3 4 8 2 2" xfId="22262"/>
    <cellStyle name="Normal 3 3 4 8 2 2 2" xfId="44849"/>
    <cellStyle name="Normal 3 3 4 8 2 3" xfId="12602"/>
    <cellStyle name="Normal 3 3 4 8 2 3 2" xfId="35189"/>
    <cellStyle name="Normal 3 3 4 8 2 4" xfId="28749"/>
    <cellStyle name="Normal 3 3 4 8 3" xfId="19042"/>
    <cellStyle name="Normal 3 3 4 8 3 2" xfId="41629"/>
    <cellStyle name="Normal 3 3 4 8 4" xfId="15822"/>
    <cellStyle name="Normal 3 3 4 8 4 2" xfId="38409"/>
    <cellStyle name="Normal 3 3 4 8 5" xfId="9382"/>
    <cellStyle name="Normal 3 3 4 8 5 2" xfId="31969"/>
    <cellStyle name="Normal 3 3 4 8 6" xfId="25529"/>
    <cellStyle name="Normal 3 3 4 9" xfId="3232"/>
    <cellStyle name="Normal 3 3 4 9 2" xfId="6452"/>
    <cellStyle name="Normal 3 3 4 9 2 2" xfId="22552"/>
    <cellStyle name="Normal 3 3 4 9 2 2 2" xfId="45139"/>
    <cellStyle name="Normal 3 3 4 9 2 3" xfId="12892"/>
    <cellStyle name="Normal 3 3 4 9 2 3 2" xfId="35479"/>
    <cellStyle name="Normal 3 3 4 9 2 4" xfId="29039"/>
    <cellStyle name="Normal 3 3 4 9 3" xfId="19332"/>
    <cellStyle name="Normal 3 3 4 9 3 2" xfId="41919"/>
    <cellStyle name="Normal 3 3 4 9 4" xfId="16112"/>
    <cellStyle name="Normal 3 3 4 9 4 2" xfId="38699"/>
    <cellStyle name="Normal 3 3 4 9 5" xfId="9672"/>
    <cellStyle name="Normal 3 3 4 9 5 2" xfId="32259"/>
    <cellStyle name="Normal 3 3 4 9 6" xfId="25819"/>
    <cellStyle name="Normal 3 3 5" xfId="267"/>
    <cellStyle name="Normal 3 3 5 10" xfId="16434"/>
    <cellStyle name="Normal 3 3 5 10 2" xfId="39021"/>
    <cellStyle name="Normal 3 3 5 11" xfId="13214"/>
    <cellStyle name="Normal 3 3 5 11 2" xfId="35801"/>
    <cellStyle name="Normal 3 3 5 12" xfId="6774"/>
    <cellStyle name="Normal 3 3 5 12 2" xfId="29361"/>
    <cellStyle name="Normal 3 3 5 13" xfId="22921"/>
    <cellStyle name="Normal 3 3 5 2" xfId="973"/>
    <cellStyle name="Normal 3 3 5 2 2" xfId="2291"/>
    <cellStyle name="Normal 3 3 5 2 2 2" xfId="5512"/>
    <cellStyle name="Normal 3 3 5 2 2 2 2" xfId="21612"/>
    <cellStyle name="Normal 3 3 5 2 2 2 2 2" xfId="44199"/>
    <cellStyle name="Normal 3 3 5 2 2 2 3" xfId="11952"/>
    <cellStyle name="Normal 3 3 5 2 2 2 3 2" xfId="34539"/>
    <cellStyle name="Normal 3 3 5 2 2 2 4" xfId="28099"/>
    <cellStyle name="Normal 3 3 5 2 2 3" xfId="18392"/>
    <cellStyle name="Normal 3 3 5 2 2 3 2" xfId="40979"/>
    <cellStyle name="Normal 3 3 5 2 2 4" xfId="15172"/>
    <cellStyle name="Normal 3 3 5 2 2 4 2" xfId="37759"/>
    <cellStyle name="Normal 3 3 5 2 2 5" xfId="8732"/>
    <cellStyle name="Normal 3 3 5 2 2 5 2" xfId="31319"/>
    <cellStyle name="Normal 3 3 5 2 2 6" xfId="24879"/>
    <cellStyle name="Normal 3 3 5 2 3" xfId="4204"/>
    <cellStyle name="Normal 3 3 5 2 3 2" xfId="20304"/>
    <cellStyle name="Normal 3 3 5 2 3 2 2" xfId="42891"/>
    <cellStyle name="Normal 3 3 5 2 3 3" xfId="10644"/>
    <cellStyle name="Normal 3 3 5 2 3 3 2" xfId="33231"/>
    <cellStyle name="Normal 3 3 5 2 3 4" xfId="26791"/>
    <cellStyle name="Normal 3 3 5 2 4" xfId="17084"/>
    <cellStyle name="Normal 3 3 5 2 4 2" xfId="39671"/>
    <cellStyle name="Normal 3 3 5 2 5" xfId="13864"/>
    <cellStyle name="Normal 3 3 5 2 5 2" xfId="36451"/>
    <cellStyle name="Normal 3 3 5 2 6" xfId="7424"/>
    <cellStyle name="Normal 3 3 5 2 6 2" xfId="30011"/>
    <cellStyle name="Normal 3 3 5 2 7" xfId="23571"/>
    <cellStyle name="Normal 3 3 5 3" xfId="1324"/>
    <cellStyle name="Normal 3 3 5 3 2" xfId="2638"/>
    <cellStyle name="Normal 3 3 5 3 2 2" xfId="5859"/>
    <cellStyle name="Normal 3 3 5 3 2 2 2" xfId="21959"/>
    <cellStyle name="Normal 3 3 5 3 2 2 2 2" xfId="44546"/>
    <cellStyle name="Normal 3 3 5 3 2 2 3" xfId="12299"/>
    <cellStyle name="Normal 3 3 5 3 2 2 3 2" xfId="34886"/>
    <cellStyle name="Normal 3 3 5 3 2 2 4" xfId="28446"/>
    <cellStyle name="Normal 3 3 5 3 2 3" xfId="18739"/>
    <cellStyle name="Normal 3 3 5 3 2 3 2" xfId="41326"/>
    <cellStyle name="Normal 3 3 5 3 2 4" xfId="15519"/>
    <cellStyle name="Normal 3 3 5 3 2 4 2" xfId="38106"/>
    <cellStyle name="Normal 3 3 5 3 2 5" xfId="9079"/>
    <cellStyle name="Normal 3 3 5 3 2 5 2" xfId="31666"/>
    <cellStyle name="Normal 3 3 5 3 2 6" xfId="25226"/>
    <cellStyle name="Normal 3 3 5 3 3" xfId="4551"/>
    <cellStyle name="Normal 3 3 5 3 3 2" xfId="20651"/>
    <cellStyle name="Normal 3 3 5 3 3 2 2" xfId="43238"/>
    <cellStyle name="Normal 3 3 5 3 3 3" xfId="10991"/>
    <cellStyle name="Normal 3 3 5 3 3 3 2" xfId="33578"/>
    <cellStyle name="Normal 3 3 5 3 3 4" xfId="27138"/>
    <cellStyle name="Normal 3 3 5 3 4" xfId="17431"/>
    <cellStyle name="Normal 3 3 5 3 4 2" xfId="40018"/>
    <cellStyle name="Normal 3 3 5 3 5" xfId="14211"/>
    <cellStyle name="Normal 3 3 5 3 5 2" xfId="36798"/>
    <cellStyle name="Normal 3 3 5 3 6" xfId="7771"/>
    <cellStyle name="Normal 3 3 5 3 6 2" xfId="30358"/>
    <cellStyle name="Normal 3 3 5 3 7" xfId="23918"/>
    <cellStyle name="Normal 3 3 5 4" xfId="1679"/>
    <cellStyle name="Normal 3 3 5 4 2" xfId="4902"/>
    <cellStyle name="Normal 3 3 5 4 2 2" xfId="21002"/>
    <cellStyle name="Normal 3 3 5 4 2 2 2" xfId="43589"/>
    <cellStyle name="Normal 3 3 5 4 2 3" xfId="11342"/>
    <cellStyle name="Normal 3 3 5 4 2 3 2" xfId="33929"/>
    <cellStyle name="Normal 3 3 5 4 2 4" xfId="27489"/>
    <cellStyle name="Normal 3 3 5 4 3" xfId="17782"/>
    <cellStyle name="Normal 3 3 5 4 3 2" xfId="40369"/>
    <cellStyle name="Normal 3 3 5 4 4" xfId="14562"/>
    <cellStyle name="Normal 3 3 5 4 4 2" xfId="37149"/>
    <cellStyle name="Normal 3 3 5 4 5" xfId="8122"/>
    <cellStyle name="Normal 3 3 5 4 5 2" xfId="30709"/>
    <cellStyle name="Normal 3 3 5 4 6" xfId="24269"/>
    <cellStyle name="Normal 3 3 5 5" xfId="1943"/>
    <cellStyle name="Normal 3 3 5 5 2" xfId="5165"/>
    <cellStyle name="Normal 3 3 5 5 2 2" xfId="21265"/>
    <cellStyle name="Normal 3 3 5 5 2 2 2" xfId="43852"/>
    <cellStyle name="Normal 3 3 5 5 2 3" xfId="11605"/>
    <cellStyle name="Normal 3 3 5 5 2 3 2" xfId="34192"/>
    <cellStyle name="Normal 3 3 5 5 2 4" xfId="27752"/>
    <cellStyle name="Normal 3 3 5 5 3" xfId="18045"/>
    <cellStyle name="Normal 3 3 5 5 3 2" xfId="40632"/>
    <cellStyle name="Normal 3 3 5 5 4" xfId="14825"/>
    <cellStyle name="Normal 3 3 5 5 4 2" xfId="37412"/>
    <cellStyle name="Normal 3 3 5 5 5" xfId="8385"/>
    <cellStyle name="Normal 3 3 5 5 5 2" xfId="30972"/>
    <cellStyle name="Normal 3 3 5 5 6" xfId="24532"/>
    <cellStyle name="Normal 3 3 5 6" xfId="2974"/>
    <cellStyle name="Normal 3 3 5 6 2" xfId="6194"/>
    <cellStyle name="Normal 3 3 5 6 2 2" xfId="22294"/>
    <cellStyle name="Normal 3 3 5 6 2 2 2" xfId="44881"/>
    <cellStyle name="Normal 3 3 5 6 2 3" xfId="12634"/>
    <cellStyle name="Normal 3 3 5 6 2 3 2" xfId="35221"/>
    <cellStyle name="Normal 3 3 5 6 2 4" xfId="28781"/>
    <cellStyle name="Normal 3 3 5 6 3" xfId="19074"/>
    <cellStyle name="Normal 3 3 5 6 3 2" xfId="41661"/>
    <cellStyle name="Normal 3 3 5 6 4" xfId="15854"/>
    <cellStyle name="Normal 3 3 5 6 4 2" xfId="38441"/>
    <cellStyle name="Normal 3 3 5 6 5" xfId="9414"/>
    <cellStyle name="Normal 3 3 5 6 5 2" xfId="32001"/>
    <cellStyle name="Normal 3 3 5 6 6" xfId="25561"/>
    <cellStyle name="Normal 3 3 5 7" xfId="3264"/>
    <cellStyle name="Normal 3 3 5 7 2" xfId="6484"/>
    <cellStyle name="Normal 3 3 5 7 2 2" xfId="22584"/>
    <cellStyle name="Normal 3 3 5 7 2 2 2" xfId="45171"/>
    <cellStyle name="Normal 3 3 5 7 2 3" xfId="12924"/>
    <cellStyle name="Normal 3 3 5 7 2 3 2" xfId="35511"/>
    <cellStyle name="Normal 3 3 5 7 2 4" xfId="29071"/>
    <cellStyle name="Normal 3 3 5 7 3" xfId="19364"/>
    <cellStyle name="Normal 3 3 5 7 3 2" xfId="41951"/>
    <cellStyle name="Normal 3 3 5 7 4" xfId="16144"/>
    <cellStyle name="Normal 3 3 5 7 4 2" xfId="38731"/>
    <cellStyle name="Normal 3 3 5 7 5" xfId="9704"/>
    <cellStyle name="Normal 3 3 5 7 5 2" xfId="32291"/>
    <cellStyle name="Normal 3 3 5 7 6" xfId="25851"/>
    <cellStyle name="Normal 3 3 5 8" xfId="588"/>
    <cellStyle name="Normal 3 3 5 8 2" xfId="3857"/>
    <cellStyle name="Normal 3 3 5 8 2 2" xfId="19957"/>
    <cellStyle name="Normal 3 3 5 8 2 2 2" xfId="42544"/>
    <cellStyle name="Normal 3 3 5 8 2 3" xfId="10297"/>
    <cellStyle name="Normal 3 3 5 8 2 3 2" xfId="32884"/>
    <cellStyle name="Normal 3 3 5 8 2 4" xfId="26444"/>
    <cellStyle name="Normal 3 3 5 8 3" xfId="16737"/>
    <cellStyle name="Normal 3 3 5 8 3 2" xfId="39324"/>
    <cellStyle name="Normal 3 3 5 8 4" xfId="13517"/>
    <cellStyle name="Normal 3 3 5 8 4 2" xfId="36104"/>
    <cellStyle name="Normal 3 3 5 8 5" xfId="7077"/>
    <cellStyle name="Normal 3 3 5 8 5 2" xfId="29664"/>
    <cellStyle name="Normal 3 3 5 8 6" xfId="23224"/>
    <cellStyle name="Normal 3 3 5 9" xfId="3554"/>
    <cellStyle name="Normal 3 3 5 9 2" xfId="19654"/>
    <cellStyle name="Normal 3 3 5 9 2 2" xfId="42241"/>
    <cellStyle name="Normal 3 3 5 9 3" xfId="9994"/>
    <cellStyle name="Normal 3 3 5 9 3 2" xfId="32581"/>
    <cellStyle name="Normal 3 3 5 9 4" xfId="26141"/>
    <cellStyle name="Normal 3 3 6" xfId="351"/>
    <cellStyle name="Normal 3 3 6 10" xfId="13298"/>
    <cellStyle name="Normal 3 3 6 10 2" xfId="35885"/>
    <cellStyle name="Normal 3 3 6 11" xfId="6858"/>
    <cellStyle name="Normal 3 3 6 11 2" xfId="29445"/>
    <cellStyle name="Normal 3 3 6 12" xfId="23005"/>
    <cellStyle name="Normal 3 3 6 2" xfId="1088"/>
    <cellStyle name="Normal 3 3 6 2 2" xfId="2402"/>
    <cellStyle name="Normal 3 3 6 2 2 2" xfId="5623"/>
    <cellStyle name="Normal 3 3 6 2 2 2 2" xfId="21723"/>
    <cellStyle name="Normal 3 3 6 2 2 2 2 2" xfId="44310"/>
    <cellStyle name="Normal 3 3 6 2 2 2 3" xfId="12063"/>
    <cellStyle name="Normal 3 3 6 2 2 2 3 2" xfId="34650"/>
    <cellStyle name="Normal 3 3 6 2 2 2 4" xfId="28210"/>
    <cellStyle name="Normal 3 3 6 2 2 3" xfId="18503"/>
    <cellStyle name="Normal 3 3 6 2 2 3 2" xfId="41090"/>
    <cellStyle name="Normal 3 3 6 2 2 4" xfId="15283"/>
    <cellStyle name="Normal 3 3 6 2 2 4 2" xfId="37870"/>
    <cellStyle name="Normal 3 3 6 2 2 5" xfId="8843"/>
    <cellStyle name="Normal 3 3 6 2 2 5 2" xfId="31430"/>
    <cellStyle name="Normal 3 3 6 2 2 6" xfId="24990"/>
    <cellStyle name="Normal 3 3 6 2 3" xfId="4315"/>
    <cellStyle name="Normal 3 3 6 2 3 2" xfId="20415"/>
    <cellStyle name="Normal 3 3 6 2 3 2 2" xfId="43002"/>
    <cellStyle name="Normal 3 3 6 2 3 3" xfId="10755"/>
    <cellStyle name="Normal 3 3 6 2 3 3 2" xfId="33342"/>
    <cellStyle name="Normal 3 3 6 2 3 4" xfId="26902"/>
    <cellStyle name="Normal 3 3 6 2 4" xfId="17195"/>
    <cellStyle name="Normal 3 3 6 2 4 2" xfId="39782"/>
    <cellStyle name="Normal 3 3 6 2 5" xfId="13975"/>
    <cellStyle name="Normal 3 3 6 2 5 2" xfId="36562"/>
    <cellStyle name="Normal 3 3 6 2 6" xfId="7535"/>
    <cellStyle name="Normal 3 3 6 2 6 2" xfId="30122"/>
    <cellStyle name="Normal 3 3 6 2 7" xfId="23682"/>
    <cellStyle name="Normal 3 3 6 3" xfId="1435"/>
    <cellStyle name="Normal 3 3 6 3 2" xfId="2749"/>
    <cellStyle name="Normal 3 3 6 3 2 2" xfId="5970"/>
    <cellStyle name="Normal 3 3 6 3 2 2 2" xfId="22070"/>
    <cellStyle name="Normal 3 3 6 3 2 2 2 2" xfId="44657"/>
    <cellStyle name="Normal 3 3 6 3 2 2 3" xfId="12410"/>
    <cellStyle name="Normal 3 3 6 3 2 2 3 2" xfId="34997"/>
    <cellStyle name="Normal 3 3 6 3 2 2 4" xfId="28557"/>
    <cellStyle name="Normal 3 3 6 3 2 3" xfId="18850"/>
    <cellStyle name="Normal 3 3 6 3 2 3 2" xfId="41437"/>
    <cellStyle name="Normal 3 3 6 3 2 4" xfId="15630"/>
    <cellStyle name="Normal 3 3 6 3 2 4 2" xfId="38217"/>
    <cellStyle name="Normal 3 3 6 3 2 5" xfId="9190"/>
    <cellStyle name="Normal 3 3 6 3 2 5 2" xfId="31777"/>
    <cellStyle name="Normal 3 3 6 3 2 6" xfId="25337"/>
    <cellStyle name="Normal 3 3 6 3 3" xfId="4662"/>
    <cellStyle name="Normal 3 3 6 3 3 2" xfId="20762"/>
    <cellStyle name="Normal 3 3 6 3 3 2 2" xfId="43349"/>
    <cellStyle name="Normal 3 3 6 3 3 3" xfId="11102"/>
    <cellStyle name="Normal 3 3 6 3 3 3 2" xfId="33689"/>
    <cellStyle name="Normal 3 3 6 3 3 4" xfId="27249"/>
    <cellStyle name="Normal 3 3 6 3 4" xfId="17542"/>
    <cellStyle name="Normal 3 3 6 3 4 2" xfId="40129"/>
    <cellStyle name="Normal 3 3 6 3 5" xfId="14322"/>
    <cellStyle name="Normal 3 3 6 3 5 2" xfId="36909"/>
    <cellStyle name="Normal 3 3 6 3 6" xfId="7882"/>
    <cellStyle name="Normal 3 3 6 3 6 2" xfId="30469"/>
    <cellStyle name="Normal 3 3 6 3 7" xfId="24029"/>
    <cellStyle name="Normal 3 3 6 4" xfId="2055"/>
    <cellStyle name="Normal 3 3 6 4 2" xfId="5276"/>
    <cellStyle name="Normal 3 3 6 4 2 2" xfId="21376"/>
    <cellStyle name="Normal 3 3 6 4 2 2 2" xfId="43963"/>
    <cellStyle name="Normal 3 3 6 4 2 3" xfId="11716"/>
    <cellStyle name="Normal 3 3 6 4 2 3 2" xfId="34303"/>
    <cellStyle name="Normal 3 3 6 4 2 4" xfId="27863"/>
    <cellStyle name="Normal 3 3 6 4 3" xfId="18156"/>
    <cellStyle name="Normal 3 3 6 4 3 2" xfId="40743"/>
    <cellStyle name="Normal 3 3 6 4 4" xfId="14936"/>
    <cellStyle name="Normal 3 3 6 4 4 2" xfId="37523"/>
    <cellStyle name="Normal 3 3 6 4 5" xfId="8496"/>
    <cellStyle name="Normal 3 3 6 4 5 2" xfId="31083"/>
    <cellStyle name="Normal 3 3 6 4 6" xfId="24643"/>
    <cellStyle name="Normal 3 3 6 5" xfId="3058"/>
    <cellStyle name="Normal 3 3 6 5 2" xfId="6278"/>
    <cellStyle name="Normal 3 3 6 5 2 2" xfId="22378"/>
    <cellStyle name="Normal 3 3 6 5 2 2 2" xfId="44965"/>
    <cellStyle name="Normal 3 3 6 5 2 3" xfId="12718"/>
    <cellStyle name="Normal 3 3 6 5 2 3 2" xfId="35305"/>
    <cellStyle name="Normal 3 3 6 5 2 4" xfId="28865"/>
    <cellStyle name="Normal 3 3 6 5 3" xfId="19158"/>
    <cellStyle name="Normal 3 3 6 5 3 2" xfId="41745"/>
    <cellStyle name="Normal 3 3 6 5 4" xfId="15938"/>
    <cellStyle name="Normal 3 3 6 5 4 2" xfId="38525"/>
    <cellStyle name="Normal 3 3 6 5 5" xfId="9498"/>
    <cellStyle name="Normal 3 3 6 5 5 2" xfId="32085"/>
    <cellStyle name="Normal 3 3 6 5 6" xfId="25645"/>
    <cellStyle name="Normal 3 3 6 6" xfId="3348"/>
    <cellStyle name="Normal 3 3 6 6 2" xfId="6568"/>
    <cellStyle name="Normal 3 3 6 6 2 2" xfId="22668"/>
    <cellStyle name="Normal 3 3 6 6 2 2 2" xfId="45255"/>
    <cellStyle name="Normal 3 3 6 6 2 3" xfId="13008"/>
    <cellStyle name="Normal 3 3 6 6 2 3 2" xfId="35595"/>
    <cellStyle name="Normal 3 3 6 6 2 4" xfId="29155"/>
    <cellStyle name="Normal 3 3 6 6 3" xfId="19448"/>
    <cellStyle name="Normal 3 3 6 6 3 2" xfId="42035"/>
    <cellStyle name="Normal 3 3 6 6 4" xfId="16228"/>
    <cellStyle name="Normal 3 3 6 6 4 2" xfId="38815"/>
    <cellStyle name="Normal 3 3 6 6 5" xfId="9788"/>
    <cellStyle name="Normal 3 3 6 6 5 2" xfId="32375"/>
    <cellStyle name="Normal 3 3 6 6 6" xfId="25935"/>
    <cellStyle name="Normal 3 3 6 7" xfId="736"/>
    <cellStyle name="Normal 3 3 6 7 2" xfId="3968"/>
    <cellStyle name="Normal 3 3 6 7 2 2" xfId="20068"/>
    <cellStyle name="Normal 3 3 6 7 2 2 2" xfId="42655"/>
    <cellStyle name="Normal 3 3 6 7 2 3" xfId="10408"/>
    <cellStyle name="Normal 3 3 6 7 2 3 2" xfId="32995"/>
    <cellStyle name="Normal 3 3 6 7 2 4" xfId="26555"/>
    <cellStyle name="Normal 3 3 6 7 3" xfId="16848"/>
    <cellStyle name="Normal 3 3 6 7 3 2" xfId="39435"/>
    <cellStyle name="Normal 3 3 6 7 4" xfId="13628"/>
    <cellStyle name="Normal 3 3 6 7 4 2" xfId="36215"/>
    <cellStyle name="Normal 3 3 6 7 5" xfId="7188"/>
    <cellStyle name="Normal 3 3 6 7 5 2" xfId="29775"/>
    <cellStyle name="Normal 3 3 6 7 6" xfId="23335"/>
    <cellStyle name="Normal 3 3 6 8" xfId="3638"/>
    <cellStyle name="Normal 3 3 6 8 2" xfId="19738"/>
    <cellStyle name="Normal 3 3 6 8 2 2" xfId="42325"/>
    <cellStyle name="Normal 3 3 6 8 3" xfId="10078"/>
    <cellStyle name="Normal 3 3 6 8 3 2" xfId="32665"/>
    <cellStyle name="Normal 3 3 6 8 4" xfId="26225"/>
    <cellStyle name="Normal 3 3 6 9" xfId="16518"/>
    <cellStyle name="Normal 3 3 6 9 2" xfId="39105"/>
    <cellStyle name="Normal 3 3 7" xfId="756"/>
    <cellStyle name="Normal 3 3 7 2" xfId="1108"/>
    <cellStyle name="Normal 3 3 7 2 2" xfId="2422"/>
    <cellStyle name="Normal 3 3 7 2 2 2" xfId="5643"/>
    <cellStyle name="Normal 3 3 7 2 2 2 2" xfId="21743"/>
    <cellStyle name="Normal 3 3 7 2 2 2 2 2" xfId="44330"/>
    <cellStyle name="Normal 3 3 7 2 2 2 3" xfId="12083"/>
    <cellStyle name="Normal 3 3 7 2 2 2 3 2" xfId="34670"/>
    <cellStyle name="Normal 3 3 7 2 2 2 4" xfId="28230"/>
    <cellStyle name="Normal 3 3 7 2 2 3" xfId="18523"/>
    <cellStyle name="Normal 3 3 7 2 2 3 2" xfId="41110"/>
    <cellStyle name="Normal 3 3 7 2 2 4" xfId="15303"/>
    <cellStyle name="Normal 3 3 7 2 2 4 2" xfId="37890"/>
    <cellStyle name="Normal 3 3 7 2 2 5" xfId="8863"/>
    <cellStyle name="Normal 3 3 7 2 2 5 2" xfId="31450"/>
    <cellStyle name="Normal 3 3 7 2 2 6" xfId="25010"/>
    <cellStyle name="Normal 3 3 7 2 3" xfId="4335"/>
    <cellStyle name="Normal 3 3 7 2 3 2" xfId="20435"/>
    <cellStyle name="Normal 3 3 7 2 3 2 2" xfId="43022"/>
    <cellStyle name="Normal 3 3 7 2 3 3" xfId="10775"/>
    <cellStyle name="Normal 3 3 7 2 3 3 2" xfId="33362"/>
    <cellStyle name="Normal 3 3 7 2 3 4" xfId="26922"/>
    <cellStyle name="Normal 3 3 7 2 4" xfId="17215"/>
    <cellStyle name="Normal 3 3 7 2 4 2" xfId="39802"/>
    <cellStyle name="Normal 3 3 7 2 5" xfId="13995"/>
    <cellStyle name="Normal 3 3 7 2 5 2" xfId="36582"/>
    <cellStyle name="Normal 3 3 7 2 6" xfId="7555"/>
    <cellStyle name="Normal 3 3 7 2 6 2" xfId="30142"/>
    <cellStyle name="Normal 3 3 7 2 7" xfId="23702"/>
    <cellStyle name="Normal 3 3 7 3" xfId="1455"/>
    <cellStyle name="Normal 3 3 7 3 2" xfId="2769"/>
    <cellStyle name="Normal 3 3 7 3 2 2" xfId="5990"/>
    <cellStyle name="Normal 3 3 7 3 2 2 2" xfId="22090"/>
    <cellStyle name="Normal 3 3 7 3 2 2 2 2" xfId="44677"/>
    <cellStyle name="Normal 3 3 7 3 2 2 3" xfId="12430"/>
    <cellStyle name="Normal 3 3 7 3 2 2 3 2" xfId="35017"/>
    <cellStyle name="Normal 3 3 7 3 2 2 4" xfId="28577"/>
    <cellStyle name="Normal 3 3 7 3 2 3" xfId="18870"/>
    <cellStyle name="Normal 3 3 7 3 2 3 2" xfId="41457"/>
    <cellStyle name="Normal 3 3 7 3 2 4" xfId="15650"/>
    <cellStyle name="Normal 3 3 7 3 2 4 2" xfId="38237"/>
    <cellStyle name="Normal 3 3 7 3 2 5" xfId="9210"/>
    <cellStyle name="Normal 3 3 7 3 2 5 2" xfId="31797"/>
    <cellStyle name="Normal 3 3 7 3 2 6" xfId="25357"/>
    <cellStyle name="Normal 3 3 7 3 3" xfId="4682"/>
    <cellStyle name="Normal 3 3 7 3 3 2" xfId="20782"/>
    <cellStyle name="Normal 3 3 7 3 3 2 2" xfId="43369"/>
    <cellStyle name="Normal 3 3 7 3 3 3" xfId="11122"/>
    <cellStyle name="Normal 3 3 7 3 3 3 2" xfId="33709"/>
    <cellStyle name="Normal 3 3 7 3 3 4" xfId="27269"/>
    <cellStyle name="Normal 3 3 7 3 4" xfId="17562"/>
    <cellStyle name="Normal 3 3 7 3 4 2" xfId="40149"/>
    <cellStyle name="Normal 3 3 7 3 5" xfId="14342"/>
    <cellStyle name="Normal 3 3 7 3 5 2" xfId="36929"/>
    <cellStyle name="Normal 3 3 7 3 6" xfId="7902"/>
    <cellStyle name="Normal 3 3 7 3 6 2" xfId="30489"/>
    <cellStyle name="Normal 3 3 7 3 7" xfId="24049"/>
    <cellStyle name="Normal 3 3 7 4" xfId="2075"/>
    <cellStyle name="Normal 3 3 7 4 2" xfId="5296"/>
    <cellStyle name="Normal 3 3 7 4 2 2" xfId="21396"/>
    <cellStyle name="Normal 3 3 7 4 2 2 2" xfId="43983"/>
    <cellStyle name="Normal 3 3 7 4 2 3" xfId="11736"/>
    <cellStyle name="Normal 3 3 7 4 2 3 2" xfId="34323"/>
    <cellStyle name="Normal 3 3 7 4 2 4" xfId="27883"/>
    <cellStyle name="Normal 3 3 7 4 3" xfId="18176"/>
    <cellStyle name="Normal 3 3 7 4 3 2" xfId="40763"/>
    <cellStyle name="Normal 3 3 7 4 4" xfId="14956"/>
    <cellStyle name="Normal 3 3 7 4 4 2" xfId="37543"/>
    <cellStyle name="Normal 3 3 7 4 5" xfId="8516"/>
    <cellStyle name="Normal 3 3 7 4 5 2" xfId="31103"/>
    <cellStyle name="Normal 3 3 7 4 6" xfId="24663"/>
    <cellStyle name="Normal 3 3 7 5" xfId="3988"/>
    <cellStyle name="Normal 3 3 7 5 2" xfId="20088"/>
    <cellStyle name="Normal 3 3 7 5 2 2" xfId="42675"/>
    <cellStyle name="Normal 3 3 7 5 3" xfId="10428"/>
    <cellStyle name="Normal 3 3 7 5 3 2" xfId="33015"/>
    <cellStyle name="Normal 3 3 7 5 4" xfId="26575"/>
    <cellStyle name="Normal 3 3 7 6" xfId="16868"/>
    <cellStyle name="Normal 3 3 7 6 2" xfId="39455"/>
    <cellStyle name="Normal 3 3 7 7" xfId="13648"/>
    <cellStyle name="Normal 3 3 7 7 2" xfId="36235"/>
    <cellStyle name="Normal 3 3 7 8" xfId="7208"/>
    <cellStyle name="Normal 3 3 7 8 2" xfId="29795"/>
    <cellStyle name="Normal 3 3 7 9" xfId="23355"/>
    <cellStyle name="Normal 3 3 8" xfId="850"/>
    <cellStyle name="Normal 3 3 8 2" xfId="2169"/>
    <cellStyle name="Normal 3 3 8 2 2" xfId="5390"/>
    <cellStyle name="Normal 3 3 8 2 2 2" xfId="21490"/>
    <cellStyle name="Normal 3 3 8 2 2 2 2" xfId="44077"/>
    <cellStyle name="Normal 3 3 8 2 2 3" xfId="11830"/>
    <cellStyle name="Normal 3 3 8 2 2 3 2" xfId="34417"/>
    <cellStyle name="Normal 3 3 8 2 2 4" xfId="27977"/>
    <cellStyle name="Normal 3 3 8 2 3" xfId="18270"/>
    <cellStyle name="Normal 3 3 8 2 3 2" xfId="40857"/>
    <cellStyle name="Normal 3 3 8 2 4" xfId="15050"/>
    <cellStyle name="Normal 3 3 8 2 4 2" xfId="37637"/>
    <cellStyle name="Normal 3 3 8 2 5" xfId="8610"/>
    <cellStyle name="Normal 3 3 8 2 5 2" xfId="31197"/>
    <cellStyle name="Normal 3 3 8 2 6" xfId="24757"/>
    <cellStyle name="Normal 3 3 8 3" xfId="4082"/>
    <cellStyle name="Normal 3 3 8 3 2" xfId="20182"/>
    <cellStyle name="Normal 3 3 8 3 2 2" xfId="42769"/>
    <cellStyle name="Normal 3 3 8 3 3" xfId="10522"/>
    <cellStyle name="Normal 3 3 8 3 3 2" xfId="33109"/>
    <cellStyle name="Normal 3 3 8 3 4" xfId="26669"/>
    <cellStyle name="Normal 3 3 8 4" xfId="16962"/>
    <cellStyle name="Normal 3 3 8 4 2" xfId="39549"/>
    <cellStyle name="Normal 3 3 8 5" xfId="13742"/>
    <cellStyle name="Normal 3 3 8 5 2" xfId="36329"/>
    <cellStyle name="Normal 3 3 8 6" xfId="7302"/>
    <cellStyle name="Normal 3 3 8 6 2" xfId="29889"/>
    <cellStyle name="Normal 3 3 8 7" xfId="23449"/>
    <cellStyle name="Normal 3 3 9" xfId="1202"/>
    <cellStyle name="Normal 3 3 9 2" xfId="2516"/>
    <cellStyle name="Normal 3 3 9 2 2" xfId="5737"/>
    <cellStyle name="Normal 3 3 9 2 2 2" xfId="21837"/>
    <cellStyle name="Normal 3 3 9 2 2 2 2" xfId="44424"/>
    <cellStyle name="Normal 3 3 9 2 2 3" xfId="12177"/>
    <cellStyle name="Normal 3 3 9 2 2 3 2" xfId="34764"/>
    <cellStyle name="Normal 3 3 9 2 2 4" xfId="28324"/>
    <cellStyle name="Normal 3 3 9 2 3" xfId="18617"/>
    <cellStyle name="Normal 3 3 9 2 3 2" xfId="41204"/>
    <cellStyle name="Normal 3 3 9 2 4" xfId="15397"/>
    <cellStyle name="Normal 3 3 9 2 4 2" xfId="37984"/>
    <cellStyle name="Normal 3 3 9 2 5" xfId="8957"/>
    <cellStyle name="Normal 3 3 9 2 5 2" xfId="31544"/>
    <cellStyle name="Normal 3 3 9 2 6" xfId="25104"/>
    <cellStyle name="Normal 3 3 9 3" xfId="4429"/>
    <cellStyle name="Normal 3 3 9 3 2" xfId="20529"/>
    <cellStyle name="Normal 3 3 9 3 2 2" xfId="43116"/>
    <cellStyle name="Normal 3 3 9 3 3" xfId="10869"/>
    <cellStyle name="Normal 3 3 9 3 3 2" xfId="33456"/>
    <cellStyle name="Normal 3 3 9 3 4" xfId="27016"/>
    <cellStyle name="Normal 3 3 9 4" xfId="17309"/>
    <cellStyle name="Normal 3 3 9 4 2" xfId="39896"/>
    <cellStyle name="Normal 3 3 9 5" xfId="14089"/>
    <cellStyle name="Normal 3 3 9 5 2" xfId="36676"/>
    <cellStyle name="Normal 3 3 9 6" xfId="7649"/>
    <cellStyle name="Normal 3 3 9 6 2" xfId="30236"/>
    <cellStyle name="Normal 3 3 9 7" xfId="23796"/>
    <cellStyle name="Normal 3 4" xfId="195"/>
    <cellStyle name="Normal 3 5" xfId="149"/>
    <cellStyle name="Normal 3 5 10" xfId="3194"/>
    <cellStyle name="Normal 3 5 10 2" xfId="6414"/>
    <cellStyle name="Normal 3 5 10 2 2" xfId="22514"/>
    <cellStyle name="Normal 3 5 10 2 2 2" xfId="45101"/>
    <cellStyle name="Normal 3 5 10 2 3" xfId="12854"/>
    <cellStyle name="Normal 3 5 10 2 3 2" xfId="35441"/>
    <cellStyle name="Normal 3 5 10 2 4" xfId="29001"/>
    <cellStyle name="Normal 3 5 10 3" xfId="19294"/>
    <cellStyle name="Normal 3 5 10 3 2" xfId="41881"/>
    <cellStyle name="Normal 3 5 10 4" xfId="16074"/>
    <cellStyle name="Normal 3 5 10 4 2" xfId="38661"/>
    <cellStyle name="Normal 3 5 10 5" xfId="9634"/>
    <cellStyle name="Normal 3 5 10 5 2" xfId="32221"/>
    <cellStyle name="Normal 3 5 10 6" xfId="25781"/>
    <cellStyle name="Normal 3 5 11" xfId="487"/>
    <cellStyle name="Normal 3 5 11 2" xfId="3774"/>
    <cellStyle name="Normal 3 5 11 2 2" xfId="19874"/>
    <cellStyle name="Normal 3 5 11 2 2 2" xfId="42461"/>
    <cellStyle name="Normal 3 5 11 2 3" xfId="10214"/>
    <cellStyle name="Normal 3 5 11 2 3 2" xfId="32801"/>
    <cellStyle name="Normal 3 5 11 2 4" xfId="26361"/>
    <cellStyle name="Normal 3 5 11 3" xfId="16654"/>
    <cellStyle name="Normal 3 5 11 3 2" xfId="39241"/>
    <cellStyle name="Normal 3 5 11 4" xfId="13434"/>
    <cellStyle name="Normal 3 5 11 4 2" xfId="36021"/>
    <cellStyle name="Normal 3 5 11 5" xfId="6994"/>
    <cellStyle name="Normal 3 5 11 5 2" xfId="29581"/>
    <cellStyle name="Normal 3 5 11 6" xfId="23141"/>
    <cellStyle name="Normal 3 5 12" xfId="3484"/>
    <cellStyle name="Normal 3 5 12 2" xfId="19584"/>
    <cellStyle name="Normal 3 5 12 2 2" xfId="42171"/>
    <cellStyle name="Normal 3 5 12 3" xfId="9924"/>
    <cellStyle name="Normal 3 5 12 3 2" xfId="32511"/>
    <cellStyle name="Normal 3 5 12 4" xfId="26071"/>
    <cellStyle name="Normal 3 5 13" xfId="16364"/>
    <cellStyle name="Normal 3 5 13 2" xfId="38951"/>
    <cellStyle name="Normal 3 5 14" xfId="13144"/>
    <cellStyle name="Normal 3 5 14 2" xfId="35731"/>
    <cellStyle name="Normal 3 5 15" xfId="6704"/>
    <cellStyle name="Normal 3 5 15 2" xfId="29291"/>
    <cellStyle name="Normal 3 5 16" xfId="22851"/>
    <cellStyle name="Normal 3 5 2" xfId="294"/>
    <cellStyle name="Normal 3 5 2 10" xfId="3581"/>
    <cellStyle name="Normal 3 5 2 10 2" xfId="19681"/>
    <cellStyle name="Normal 3 5 2 10 2 2" xfId="42268"/>
    <cellStyle name="Normal 3 5 2 10 3" xfId="10021"/>
    <cellStyle name="Normal 3 5 2 10 3 2" xfId="32608"/>
    <cellStyle name="Normal 3 5 2 10 4" xfId="26168"/>
    <cellStyle name="Normal 3 5 2 11" xfId="16461"/>
    <cellStyle name="Normal 3 5 2 11 2" xfId="39048"/>
    <cellStyle name="Normal 3 5 2 12" xfId="13241"/>
    <cellStyle name="Normal 3 5 2 12 2" xfId="35828"/>
    <cellStyle name="Normal 3 5 2 13" xfId="6801"/>
    <cellStyle name="Normal 3 5 2 13 2" xfId="29388"/>
    <cellStyle name="Normal 3 5 2 14" xfId="22948"/>
    <cellStyle name="Normal 3 5 2 2" xfId="686"/>
    <cellStyle name="Normal 3 5 2 2 2" xfId="1050"/>
    <cellStyle name="Normal 3 5 2 2 2 2" xfId="2364"/>
    <cellStyle name="Normal 3 5 2 2 2 2 2" xfId="5585"/>
    <cellStyle name="Normal 3 5 2 2 2 2 2 2" xfId="21685"/>
    <cellStyle name="Normal 3 5 2 2 2 2 2 2 2" xfId="44272"/>
    <cellStyle name="Normal 3 5 2 2 2 2 2 3" xfId="12025"/>
    <cellStyle name="Normal 3 5 2 2 2 2 2 3 2" xfId="34612"/>
    <cellStyle name="Normal 3 5 2 2 2 2 2 4" xfId="28172"/>
    <cellStyle name="Normal 3 5 2 2 2 2 3" xfId="18465"/>
    <cellStyle name="Normal 3 5 2 2 2 2 3 2" xfId="41052"/>
    <cellStyle name="Normal 3 5 2 2 2 2 4" xfId="15245"/>
    <cellStyle name="Normal 3 5 2 2 2 2 4 2" xfId="37832"/>
    <cellStyle name="Normal 3 5 2 2 2 2 5" xfId="8805"/>
    <cellStyle name="Normal 3 5 2 2 2 2 5 2" xfId="31392"/>
    <cellStyle name="Normal 3 5 2 2 2 2 6" xfId="24952"/>
    <cellStyle name="Normal 3 5 2 2 2 3" xfId="4277"/>
    <cellStyle name="Normal 3 5 2 2 2 3 2" xfId="20377"/>
    <cellStyle name="Normal 3 5 2 2 2 3 2 2" xfId="42964"/>
    <cellStyle name="Normal 3 5 2 2 2 3 3" xfId="10717"/>
    <cellStyle name="Normal 3 5 2 2 2 3 3 2" xfId="33304"/>
    <cellStyle name="Normal 3 5 2 2 2 3 4" xfId="26864"/>
    <cellStyle name="Normal 3 5 2 2 2 4" xfId="17157"/>
    <cellStyle name="Normal 3 5 2 2 2 4 2" xfId="39744"/>
    <cellStyle name="Normal 3 5 2 2 2 5" xfId="13937"/>
    <cellStyle name="Normal 3 5 2 2 2 5 2" xfId="36524"/>
    <cellStyle name="Normal 3 5 2 2 2 6" xfId="7497"/>
    <cellStyle name="Normal 3 5 2 2 2 6 2" xfId="30084"/>
    <cellStyle name="Normal 3 5 2 2 2 7" xfId="23644"/>
    <cellStyle name="Normal 3 5 2 2 3" xfId="1397"/>
    <cellStyle name="Normal 3 5 2 2 3 2" xfId="2711"/>
    <cellStyle name="Normal 3 5 2 2 3 2 2" xfId="5932"/>
    <cellStyle name="Normal 3 5 2 2 3 2 2 2" xfId="22032"/>
    <cellStyle name="Normal 3 5 2 2 3 2 2 2 2" xfId="44619"/>
    <cellStyle name="Normal 3 5 2 2 3 2 2 3" xfId="12372"/>
    <cellStyle name="Normal 3 5 2 2 3 2 2 3 2" xfId="34959"/>
    <cellStyle name="Normal 3 5 2 2 3 2 2 4" xfId="28519"/>
    <cellStyle name="Normal 3 5 2 2 3 2 3" xfId="18812"/>
    <cellStyle name="Normal 3 5 2 2 3 2 3 2" xfId="41399"/>
    <cellStyle name="Normal 3 5 2 2 3 2 4" xfId="15592"/>
    <cellStyle name="Normal 3 5 2 2 3 2 4 2" xfId="38179"/>
    <cellStyle name="Normal 3 5 2 2 3 2 5" xfId="9152"/>
    <cellStyle name="Normal 3 5 2 2 3 2 5 2" xfId="31739"/>
    <cellStyle name="Normal 3 5 2 2 3 2 6" xfId="25299"/>
    <cellStyle name="Normal 3 5 2 2 3 3" xfId="4624"/>
    <cellStyle name="Normal 3 5 2 2 3 3 2" xfId="20724"/>
    <cellStyle name="Normal 3 5 2 2 3 3 2 2" xfId="43311"/>
    <cellStyle name="Normal 3 5 2 2 3 3 3" xfId="11064"/>
    <cellStyle name="Normal 3 5 2 2 3 3 3 2" xfId="33651"/>
    <cellStyle name="Normal 3 5 2 2 3 3 4" xfId="27211"/>
    <cellStyle name="Normal 3 5 2 2 3 4" xfId="17504"/>
    <cellStyle name="Normal 3 5 2 2 3 4 2" xfId="40091"/>
    <cellStyle name="Normal 3 5 2 2 3 5" xfId="14284"/>
    <cellStyle name="Normal 3 5 2 2 3 5 2" xfId="36871"/>
    <cellStyle name="Normal 3 5 2 2 3 6" xfId="7844"/>
    <cellStyle name="Normal 3 5 2 2 3 6 2" xfId="30431"/>
    <cellStyle name="Normal 3 5 2 2 3 7" xfId="23991"/>
    <cellStyle name="Normal 3 5 2 2 4" xfId="2016"/>
    <cellStyle name="Normal 3 5 2 2 4 2" xfId="5238"/>
    <cellStyle name="Normal 3 5 2 2 4 2 2" xfId="21338"/>
    <cellStyle name="Normal 3 5 2 2 4 2 2 2" xfId="43925"/>
    <cellStyle name="Normal 3 5 2 2 4 2 3" xfId="11678"/>
    <cellStyle name="Normal 3 5 2 2 4 2 3 2" xfId="34265"/>
    <cellStyle name="Normal 3 5 2 2 4 2 4" xfId="27825"/>
    <cellStyle name="Normal 3 5 2 2 4 3" xfId="18118"/>
    <cellStyle name="Normal 3 5 2 2 4 3 2" xfId="40705"/>
    <cellStyle name="Normal 3 5 2 2 4 4" xfId="14898"/>
    <cellStyle name="Normal 3 5 2 2 4 4 2" xfId="37485"/>
    <cellStyle name="Normal 3 5 2 2 4 5" xfId="8458"/>
    <cellStyle name="Normal 3 5 2 2 4 5 2" xfId="31045"/>
    <cellStyle name="Normal 3 5 2 2 4 6" xfId="24605"/>
    <cellStyle name="Normal 3 5 2 2 5" xfId="3930"/>
    <cellStyle name="Normal 3 5 2 2 5 2" xfId="20030"/>
    <cellStyle name="Normal 3 5 2 2 5 2 2" xfId="42617"/>
    <cellStyle name="Normal 3 5 2 2 5 3" xfId="10370"/>
    <cellStyle name="Normal 3 5 2 2 5 3 2" xfId="32957"/>
    <cellStyle name="Normal 3 5 2 2 5 4" xfId="26517"/>
    <cellStyle name="Normal 3 5 2 2 6" xfId="16810"/>
    <cellStyle name="Normal 3 5 2 2 6 2" xfId="39397"/>
    <cellStyle name="Normal 3 5 2 2 7" xfId="13590"/>
    <cellStyle name="Normal 3 5 2 2 7 2" xfId="36177"/>
    <cellStyle name="Normal 3 5 2 2 8" xfId="7150"/>
    <cellStyle name="Normal 3 5 2 2 8 2" xfId="29737"/>
    <cellStyle name="Normal 3 5 2 2 9" xfId="23297"/>
    <cellStyle name="Normal 3 5 2 3" xfId="929"/>
    <cellStyle name="Normal 3 5 2 3 2" xfId="2248"/>
    <cellStyle name="Normal 3 5 2 3 2 2" xfId="5469"/>
    <cellStyle name="Normal 3 5 2 3 2 2 2" xfId="21569"/>
    <cellStyle name="Normal 3 5 2 3 2 2 2 2" xfId="44156"/>
    <cellStyle name="Normal 3 5 2 3 2 2 3" xfId="11909"/>
    <cellStyle name="Normal 3 5 2 3 2 2 3 2" xfId="34496"/>
    <cellStyle name="Normal 3 5 2 3 2 2 4" xfId="28056"/>
    <cellStyle name="Normal 3 5 2 3 2 3" xfId="18349"/>
    <cellStyle name="Normal 3 5 2 3 2 3 2" xfId="40936"/>
    <cellStyle name="Normal 3 5 2 3 2 4" xfId="15129"/>
    <cellStyle name="Normal 3 5 2 3 2 4 2" xfId="37716"/>
    <cellStyle name="Normal 3 5 2 3 2 5" xfId="8689"/>
    <cellStyle name="Normal 3 5 2 3 2 5 2" xfId="31276"/>
    <cellStyle name="Normal 3 5 2 3 2 6" xfId="24836"/>
    <cellStyle name="Normal 3 5 2 3 3" xfId="4161"/>
    <cellStyle name="Normal 3 5 2 3 3 2" xfId="20261"/>
    <cellStyle name="Normal 3 5 2 3 3 2 2" xfId="42848"/>
    <cellStyle name="Normal 3 5 2 3 3 3" xfId="10601"/>
    <cellStyle name="Normal 3 5 2 3 3 3 2" xfId="33188"/>
    <cellStyle name="Normal 3 5 2 3 3 4" xfId="26748"/>
    <cellStyle name="Normal 3 5 2 3 4" xfId="17041"/>
    <cellStyle name="Normal 3 5 2 3 4 2" xfId="39628"/>
    <cellStyle name="Normal 3 5 2 3 5" xfId="13821"/>
    <cellStyle name="Normal 3 5 2 3 5 2" xfId="36408"/>
    <cellStyle name="Normal 3 5 2 3 6" xfId="7381"/>
    <cellStyle name="Normal 3 5 2 3 6 2" xfId="29968"/>
    <cellStyle name="Normal 3 5 2 3 7" xfId="23528"/>
    <cellStyle name="Normal 3 5 2 4" xfId="1281"/>
    <cellStyle name="Normal 3 5 2 4 2" xfId="2595"/>
    <cellStyle name="Normal 3 5 2 4 2 2" xfId="5816"/>
    <cellStyle name="Normal 3 5 2 4 2 2 2" xfId="21916"/>
    <cellStyle name="Normal 3 5 2 4 2 2 2 2" xfId="44503"/>
    <cellStyle name="Normal 3 5 2 4 2 2 3" xfId="12256"/>
    <cellStyle name="Normal 3 5 2 4 2 2 3 2" xfId="34843"/>
    <cellStyle name="Normal 3 5 2 4 2 2 4" xfId="28403"/>
    <cellStyle name="Normal 3 5 2 4 2 3" xfId="18696"/>
    <cellStyle name="Normal 3 5 2 4 2 3 2" xfId="41283"/>
    <cellStyle name="Normal 3 5 2 4 2 4" xfId="15476"/>
    <cellStyle name="Normal 3 5 2 4 2 4 2" xfId="38063"/>
    <cellStyle name="Normal 3 5 2 4 2 5" xfId="9036"/>
    <cellStyle name="Normal 3 5 2 4 2 5 2" xfId="31623"/>
    <cellStyle name="Normal 3 5 2 4 2 6" xfId="25183"/>
    <cellStyle name="Normal 3 5 2 4 3" xfId="4508"/>
    <cellStyle name="Normal 3 5 2 4 3 2" xfId="20608"/>
    <cellStyle name="Normal 3 5 2 4 3 2 2" xfId="43195"/>
    <cellStyle name="Normal 3 5 2 4 3 3" xfId="10948"/>
    <cellStyle name="Normal 3 5 2 4 3 3 2" xfId="33535"/>
    <cellStyle name="Normal 3 5 2 4 3 4" xfId="27095"/>
    <cellStyle name="Normal 3 5 2 4 4" xfId="17388"/>
    <cellStyle name="Normal 3 5 2 4 4 2" xfId="39975"/>
    <cellStyle name="Normal 3 5 2 4 5" xfId="14168"/>
    <cellStyle name="Normal 3 5 2 4 5 2" xfId="36755"/>
    <cellStyle name="Normal 3 5 2 4 6" xfId="7728"/>
    <cellStyle name="Normal 3 5 2 4 6 2" xfId="30315"/>
    <cellStyle name="Normal 3 5 2 4 7" xfId="23875"/>
    <cellStyle name="Normal 3 5 2 5" xfId="1680"/>
    <cellStyle name="Normal 3 5 2 5 2" xfId="4903"/>
    <cellStyle name="Normal 3 5 2 5 2 2" xfId="21003"/>
    <cellStyle name="Normal 3 5 2 5 2 2 2" xfId="43590"/>
    <cellStyle name="Normal 3 5 2 5 2 3" xfId="11343"/>
    <cellStyle name="Normal 3 5 2 5 2 3 2" xfId="33930"/>
    <cellStyle name="Normal 3 5 2 5 2 4" xfId="27490"/>
    <cellStyle name="Normal 3 5 2 5 3" xfId="17783"/>
    <cellStyle name="Normal 3 5 2 5 3 2" xfId="40370"/>
    <cellStyle name="Normal 3 5 2 5 4" xfId="14563"/>
    <cellStyle name="Normal 3 5 2 5 4 2" xfId="37150"/>
    <cellStyle name="Normal 3 5 2 5 5" xfId="8123"/>
    <cellStyle name="Normal 3 5 2 5 5 2" xfId="30710"/>
    <cellStyle name="Normal 3 5 2 5 6" xfId="24270"/>
    <cellStyle name="Normal 3 5 2 6" xfId="1900"/>
    <cellStyle name="Normal 3 5 2 6 2" xfId="5122"/>
    <cellStyle name="Normal 3 5 2 6 2 2" xfId="21222"/>
    <cellStyle name="Normal 3 5 2 6 2 2 2" xfId="43809"/>
    <cellStyle name="Normal 3 5 2 6 2 3" xfId="11562"/>
    <cellStyle name="Normal 3 5 2 6 2 3 2" xfId="34149"/>
    <cellStyle name="Normal 3 5 2 6 2 4" xfId="27709"/>
    <cellStyle name="Normal 3 5 2 6 3" xfId="18002"/>
    <cellStyle name="Normal 3 5 2 6 3 2" xfId="40589"/>
    <cellStyle name="Normal 3 5 2 6 4" xfId="14782"/>
    <cellStyle name="Normal 3 5 2 6 4 2" xfId="37369"/>
    <cellStyle name="Normal 3 5 2 6 5" xfId="8342"/>
    <cellStyle name="Normal 3 5 2 6 5 2" xfId="30929"/>
    <cellStyle name="Normal 3 5 2 6 6" xfId="24489"/>
    <cellStyle name="Normal 3 5 2 7" xfId="3001"/>
    <cellStyle name="Normal 3 5 2 7 2" xfId="6221"/>
    <cellStyle name="Normal 3 5 2 7 2 2" xfId="22321"/>
    <cellStyle name="Normal 3 5 2 7 2 2 2" xfId="44908"/>
    <cellStyle name="Normal 3 5 2 7 2 3" xfId="12661"/>
    <cellStyle name="Normal 3 5 2 7 2 3 2" xfId="35248"/>
    <cellStyle name="Normal 3 5 2 7 2 4" xfId="28808"/>
    <cellStyle name="Normal 3 5 2 7 3" xfId="19101"/>
    <cellStyle name="Normal 3 5 2 7 3 2" xfId="41688"/>
    <cellStyle name="Normal 3 5 2 7 4" xfId="15881"/>
    <cellStyle name="Normal 3 5 2 7 4 2" xfId="38468"/>
    <cellStyle name="Normal 3 5 2 7 5" xfId="9441"/>
    <cellStyle name="Normal 3 5 2 7 5 2" xfId="32028"/>
    <cellStyle name="Normal 3 5 2 7 6" xfId="25588"/>
    <cellStyle name="Normal 3 5 2 8" xfId="3291"/>
    <cellStyle name="Normal 3 5 2 8 2" xfId="6511"/>
    <cellStyle name="Normal 3 5 2 8 2 2" xfId="22611"/>
    <cellStyle name="Normal 3 5 2 8 2 2 2" xfId="45198"/>
    <cellStyle name="Normal 3 5 2 8 2 3" xfId="12951"/>
    <cellStyle name="Normal 3 5 2 8 2 3 2" xfId="35538"/>
    <cellStyle name="Normal 3 5 2 8 2 4" xfId="29098"/>
    <cellStyle name="Normal 3 5 2 8 3" xfId="19391"/>
    <cellStyle name="Normal 3 5 2 8 3 2" xfId="41978"/>
    <cellStyle name="Normal 3 5 2 8 4" xfId="16171"/>
    <cellStyle name="Normal 3 5 2 8 4 2" xfId="38758"/>
    <cellStyle name="Normal 3 5 2 8 5" xfId="9731"/>
    <cellStyle name="Normal 3 5 2 8 5 2" xfId="32318"/>
    <cellStyle name="Normal 3 5 2 8 6" xfId="25878"/>
    <cellStyle name="Normal 3 5 2 9" xfId="527"/>
    <cellStyle name="Normal 3 5 2 9 2" xfId="3814"/>
    <cellStyle name="Normal 3 5 2 9 2 2" xfId="19914"/>
    <cellStyle name="Normal 3 5 2 9 2 2 2" xfId="42501"/>
    <cellStyle name="Normal 3 5 2 9 2 3" xfId="10254"/>
    <cellStyle name="Normal 3 5 2 9 2 3 2" xfId="32841"/>
    <cellStyle name="Normal 3 5 2 9 2 4" xfId="26401"/>
    <cellStyle name="Normal 3 5 2 9 3" xfId="16694"/>
    <cellStyle name="Normal 3 5 2 9 3 2" xfId="39281"/>
    <cellStyle name="Normal 3 5 2 9 4" xfId="13474"/>
    <cellStyle name="Normal 3 5 2 9 4 2" xfId="36061"/>
    <cellStyle name="Normal 3 5 2 9 5" xfId="7034"/>
    <cellStyle name="Normal 3 5 2 9 5 2" xfId="29621"/>
    <cellStyle name="Normal 3 5 2 9 6" xfId="23181"/>
    <cellStyle name="Normal 3 5 3" xfId="390"/>
    <cellStyle name="Normal 3 5 3 10" xfId="13337"/>
    <cellStyle name="Normal 3 5 3 10 2" xfId="35924"/>
    <cellStyle name="Normal 3 5 3 11" xfId="6897"/>
    <cellStyle name="Normal 3 5 3 11 2" xfId="29484"/>
    <cellStyle name="Normal 3 5 3 12" xfId="23044"/>
    <cellStyle name="Normal 3 5 3 2" xfId="1013"/>
    <cellStyle name="Normal 3 5 3 2 2" xfId="2327"/>
    <cellStyle name="Normal 3 5 3 2 2 2" xfId="5548"/>
    <cellStyle name="Normal 3 5 3 2 2 2 2" xfId="21648"/>
    <cellStyle name="Normal 3 5 3 2 2 2 2 2" xfId="44235"/>
    <cellStyle name="Normal 3 5 3 2 2 2 3" xfId="11988"/>
    <cellStyle name="Normal 3 5 3 2 2 2 3 2" xfId="34575"/>
    <cellStyle name="Normal 3 5 3 2 2 2 4" xfId="28135"/>
    <cellStyle name="Normal 3 5 3 2 2 3" xfId="18428"/>
    <cellStyle name="Normal 3 5 3 2 2 3 2" xfId="41015"/>
    <cellStyle name="Normal 3 5 3 2 2 4" xfId="15208"/>
    <cellStyle name="Normal 3 5 3 2 2 4 2" xfId="37795"/>
    <cellStyle name="Normal 3 5 3 2 2 5" xfId="8768"/>
    <cellStyle name="Normal 3 5 3 2 2 5 2" xfId="31355"/>
    <cellStyle name="Normal 3 5 3 2 2 6" xfId="24915"/>
    <cellStyle name="Normal 3 5 3 2 3" xfId="4240"/>
    <cellStyle name="Normal 3 5 3 2 3 2" xfId="20340"/>
    <cellStyle name="Normal 3 5 3 2 3 2 2" xfId="42927"/>
    <cellStyle name="Normal 3 5 3 2 3 3" xfId="10680"/>
    <cellStyle name="Normal 3 5 3 2 3 3 2" xfId="33267"/>
    <cellStyle name="Normal 3 5 3 2 3 4" xfId="26827"/>
    <cellStyle name="Normal 3 5 3 2 4" xfId="17120"/>
    <cellStyle name="Normal 3 5 3 2 4 2" xfId="39707"/>
    <cellStyle name="Normal 3 5 3 2 5" xfId="13900"/>
    <cellStyle name="Normal 3 5 3 2 5 2" xfId="36487"/>
    <cellStyle name="Normal 3 5 3 2 6" xfId="7460"/>
    <cellStyle name="Normal 3 5 3 2 6 2" xfId="30047"/>
    <cellStyle name="Normal 3 5 3 2 7" xfId="23607"/>
    <cellStyle name="Normal 3 5 3 3" xfId="1360"/>
    <cellStyle name="Normal 3 5 3 3 2" xfId="2674"/>
    <cellStyle name="Normal 3 5 3 3 2 2" xfId="5895"/>
    <cellStyle name="Normal 3 5 3 3 2 2 2" xfId="21995"/>
    <cellStyle name="Normal 3 5 3 3 2 2 2 2" xfId="44582"/>
    <cellStyle name="Normal 3 5 3 3 2 2 3" xfId="12335"/>
    <cellStyle name="Normal 3 5 3 3 2 2 3 2" xfId="34922"/>
    <cellStyle name="Normal 3 5 3 3 2 2 4" xfId="28482"/>
    <cellStyle name="Normal 3 5 3 3 2 3" xfId="18775"/>
    <cellStyle name="Normal 3 5 3 3 2 3 2" xfId="41362"/>
    <cellStyle name="Normal 3 5 3 3 2 4" xfId="15555"/>
    <cellStyle name="Normal 3 5 3 3 2 4 2" xfId="38142"/>
    <cellStyle name="Normal 3 5 3 3 2 5" xfId="9115"/>
    <cellStyle name="Normal 3 5 3 3 2 5 2" xfId="31702"/>
    <cellStyle name="Normal 3 5 3 3 2 6" xfId="25262"/>
    <cellStyle name="Normal 3 5 3 3 3" xfId="4587"/>
    <cellStyle name="Normal 3 5 3 3 3 2" xfId="20687"/>
    <cellStyle name="Normal 3 5 3 3 3 2 2" xfId="43274"/>
    <cellStyle name="Normal 3 5 3 3 3 3" xfId="11027"/>
    <cellStyle name="Normal 3 5 3 3 3 3 2" xfId="33614"/>
    <cellStyle name="Normal 3 5 3 3 3 4" xfId="27174"/>
    <cellStyle name="Normal 3 5 3 3 4" xfId="17467"/>
    <cellStyle name="Normal 3 5 3 3 4 2" xfId="40054"/>
    <cellStyle name="Normal 3 5 3 3 5" xfId="14247"/>
    <cellStyle name="Normal 3 5 3 3 5 2" xfId="36834"/>
    <cellStyle name="Normal 3 5 3 3 6" xfId="7807"/>
    <cellStyle name="Normal 3 5 3 3 6 2" xfId="30394"/>
    <cellStyle name="Normal 3 5 3 3 7" xfId="23954"/>
    <cellStyle name="Normal 3 5 3 4" xfId="1979"/>
    <cellStyle name="Normal 3 5 3 4 2" xfId="5201"/>
    <cellStyle name="Normal 3 5 3 4 2 2" xfId="21301"/>
    <cellStyle name="Normal 3 5 3 4 2 2 2" xfId="43888"/>
    <cellStyle name="Normal 3 5 3 4 2 3" xfId="11641"/>
    <cellStyle name="Normal 3 5 3 4 2 3 2" xfId="34228"/>
    <cellStyle name="Normal 3 5 3 4 2 4" xfId="27788"/>
    <cellStyle name="Normal 3 5 3 4 3" xfId="18081"/>
    <cellStyle name="Normal 3 5 3 4 3 2" xfId="40668"/>
    <cellStyle name="Normal 3 5 3 4 4" xfId="14861"/>
    <cellStyle name="Normal 3 5 3 4 4 2" xfId="37448"/>
    <cellStyle name="Normal 3 5 3 4 5" xfId="8421"/>
    <cellStyle name="Normal 3 5 3 4 5 2" xfId="31008"/>
    <cellStyle name="Normal 3 5 3 4 6" xfId="24568"/>
    <cellStyle name="Normal 3 5 3 5" xfId="3097"/>
    <cellStyle name="Normal 3 5 3 5 2" xfId="6317"/>
    <cellStyle name="Normal 3 5 3 5 2 2" xfId="22417"/>
    <cellStyle name="Normal 3 5 3 5 2 2 2" xfId="45004"/>
    <cellStyle name="Normal 3 5 3 5 2 3" xfId="12757"/>
    <cellStyle name="Normal 3 5 3 5 2 3 2" xfId="35344"/>
    <cellStyle name="Normal 3 5 3 5 2 4" xfId="28904"/>
    <cellStyle name="Normal 3 5 3 5 3" xfId="19197"/>
    <cellStyle name="Normal 3 5 3 5 3 2" xfId="41784"/>
    <cellStyle name="Normal 3 5 3 5 4" xfId="15977"/>
    <cellStyle name="Normal 3 5 3 5 4 2" xfId="38564"/>
    <cellStyle name="Normal 3 5 3 5 5" xfId="9537"/>
    <cellStyle name="Normal 3 5 3 5 5 2" xfId="32124"/>
    <cellStyle name="Normal 3 5 3 5 6" xfId="25684"/>
    <cellStyle name="Normal 3 5 3 6" xfId="3387"/>
    <cellStyle name="Normal 3 5 3 6 2" xfId="6607"/>
    <cellStyle name="Normal 3 5 3 6 2 2" xfId="22707"/>
    <cellStyle name="Normal 3 5 3 6 2 2 2" xfId="45294"/>
    <cellStyle name="Normal 3 5 3 6 2 3" xfId="13047"/>
    <cellStyle name="Normal 3 5 3 6 2 3 2" xfId="35634"/>
    <cellStyle name="Normal 3 5 3 6 2 4" xfId="29194"/>
    <cellStyle name="Normal 3 5 3 6 3" xfId="19487"/>
    <cellStyle name="Normal 3 5 3 6 3 2" xfId="42074"/>
    <cellStyle name="Normal 3 5 3 6 4" xfId="16267"/>
    <cellStyle name="Normal 3 5 3 6 4 2" xfId="38854"/>
    <cellStyle name="Normal 3 5 3 6 5" xfId="9827"/>
    <cellStyle name="Normal 3 5 3 6 5 2" xfId="32414"/>
    <cellStyle name="Normal 3 5 3 6 6" xfId="25974"/>
    <cellStyle name="Normal 3 5 3 7" xfId="649"/>
    <cellStyle name="Normal 3 5 3 7 2" xfId="3893"/>
    <cellStyle name="Normal 3 5 3 7 2 2" xfId="19993"/>
    <cellStyle name="Normal 3 5 3 7 2 2 2" xfId="42580"/>
    <cellStyle name="Normal 3 5 3 7 2 3" xfId="10333"/>
    <cellStyle name="Normal 3 5 3 7 2 3 2" xfId="32920"/>
    <cellStyle name="Normal 3 5 3 7 2 4" xfId="26480"/>
    <cellStyle name="Normal 3 5 3 7 3" xfId="16773"/>
    <cellStyle name="Normal 3 5 3 7 3 2" xfId="39360"/>
    <cellStyle name="Normal 3 5 3 7 4" xfId="13553"/>
    <cellStyle name="Normal 3 5 3 7 4 2" xfId="36140"/>
    <cellStyle name="Normal 3 5 3 7 5" xfId="7113"/>
    <cellStyle name="Normal 3 5 3 7 5 2" xfId="29700"/>
    <cellStyle name="Normal 3 5 3 7 6" xfId="23260"/>
    <cellStyle name="Normal 3 5 3 8" xfId="3677"/>
    <cellStyle name="Normal 3 5 3 8 2" xfId="19777"/>
    <cellStyle name="Normal 3 5 3 8 2 2" xfId="42364"/>
    <cellStyle name="Normal 3 5 3 8 3" xfId="10117"/>
    <cellStyle name="Normal 3 5 3 8 3 2" xfId="32704"/>
    <cellStyle name="Normal 3 5 3 8 4" xfId="26264"/>
    <cellStyle name="Normal 3 5 3 9" xfId="16557"/>
    <cellStyle name="Normal 3 5 3 9 2" xfId="39144"/>
    <cellStyle name="Normal 3 5 4" xfId="782"/>
    <cellStyle name="Normal 3 5 4 2" xfId="1134"/>
    <cellStyle name="Normal 3 5 4 2 2" xfId="2448"/>
    <cellStyle name="Normal 3 5 4 2 2 2" xfId="5669"/>
    <cellStyle name="Normal 3 5 4 2 2 2 2" xfId="21769"/>
    <cellStyle name="Normal 3 5 4 2 2 2 2 2" xfId="44356"/>
    <cellStyle name="Normal 3 5 4 2 2 2 3" xfId="12109"/>
    <cellStyle name="Normal 3 5 4 2 2 2 3 2" xfId="34696"/>
    <cellStyle name="Normal 3 5 4 2 2 2 4" xfId="28256"/>
    <cellStyle name="Normal 3 5 4 2 2 3" xfId="18549"/>
    <cellStyle name="Normal 3 5 4 2 2 3 2" xfId="41136"/>
    <cellStyle name="Normal 3 5 4 2 2 4" xfId="15329"/>
    <cellStyle name="Normal 3 5 4 2 2 4 2" xfId="37916"/>
    <cellStyle name="Normal 3 5 4 2 2 5" xfId="8889"/>
    <cellStyle name="Normal 3 5 4 2 2 5 2" xfId="31476"/>
    <cellStyle name="Normal 3 5 4 2 2 6" xfId="25036"/>
    <cellStyle name="Normal 3 5 4 2 3" xfId="4361"/>
    <cellStyle name="Normal 3 5 4 2 3 2" xfId="20461"/>
    <cellStyle name="Normal 3 5 4 2 3 2 2" xfId="43048"/>
    <cellStyle name="Normal 3 5 4 2 3 3" xfId="10801"/>
    <cellStyle name="Normal 3 5 4 2 3 3 2" xfId="33388"/>
    <cellStyle name="Normal 3 5 4 2 3 4" xfId="26948"/>
    <cellStyle name="Normal 3 5 4 2 4" xfId="17241"/>
    <cellStyle name="Normal 3 5 4 2 4 2" xfId="39828"/>
    <cellStyle name="Normal 3 5 4 2 5" xfId="14021"/>
    <cellStyle name="Normal 3 5 4 2 5 2" xfId="36608"/>
    <cellStyle name="Normal 3 5 4 2 6" xfId="7581"/>
    <cellStyle name="Normal 3 5 4 2 6 2" xfId="30168"/>
    <cellStyle name="Normal 3 5 4 2 7" xfId="23728"/>
    <cellStyle name="Normal 3 5 4 3" xfId="1481"/>
    <cellStyle name="Normal 3 5 4 3 2" xfId="2795"/>
    <cellStyle name="Normal 3 5 4 3 2 2" xfId="6016"/>
    <cellStyle name="Normal 3 5 4 3 2 2 2" xfId="22116"/>
    <cellStyle name="Normal 3 5 4 3 2 2 2 2" xfId="44703"/>
    <cellStyle name="Normal 3 5 4 3 2 2 3" xfId="12456"/>
    <cellStyle name="Normal 3 5 4 3 2 2 3 2" xfId="35043"/>
    <cellStyle name="Normal 3 5 4 3 2 2 4" xfId="28603"/>
    <cellStyle name="Normal 3 5 4 3 2 3" xfId="18896"/>
    <cellStyle name="Normal 3 5 4 3 2 3 2" xfId="41483"/>
    <cellStyle name="Normal 3 5 4 3 2 4" xfId="15676"/>
    <cellStyle name="Normal 3 5 4 3 2 4 2" xfId="38263"/>
    <cellStyle name="Normal 3 5 4 3 2 5" xfId="9236"/>
    <cellStyle name="Normal 3 5 4 3 2 5 2" xfId="31823"/>
    <cellStyle name="Normal 3 5 4 3 2 6" xfId="25383"/>
    <cellStyle name="Normal 3 5 4 3 3" xfId="4708"/>
    <cellStyle name="Normal 3 5 4 3 3 2" xfId="20808"/>
    <cellStyle name="Normal 3 5 4 3 3 2 2" xfId="43395"/>
    <cellStyle name="Normal 3 5 4 3 3 3" xfId="11148"/>
    <cellStyle name="Normal 3 5 4 3 3 3 2" xfId="33735"/>
    <cellStyle name="Normal 3 5 4 3 3 4" xfId="27295"/>
    <cellStyle name="Normal 3 5 4 3 4" xfId="17588"/>
    <cellStyle name="Normal 3 5 4 3 4 2" xfId="40175"/>
    <cellStyle name="Normal 3 5 4 3 5" xfId="14368"/>
    <cellStyle name="Normal 3 5 4 3 5 2" xfId="36955"/>
    <cellStyle name="Normal 3 5 4 3 6" xfId="7928"/>
    <cellStyle name="Normal 3 5 4 3 6 2" xfId="30515"/>
    <cellStyle name="Normal 3 5 4 3 7" xfId="24075"/>
    <cellStyle name="Normal 3 5 4 4" xfId="2101"/>
    <cellStyle name="Normal 3 5 4 4 2" xfId="5322"/>
    <cellStyle name="Normal 3 5 4 4 2 2" xfId="21422"/>
    <cellStyle name="Normal 3 5 4 4 2 2 2" xfId="44009"/>
    <cellStyle name="Normal 3 5 4 4 2 3" xfId="11762"/>
    <cellStyle name="Normal 3 5 4 4 2 3 2" xfId="34349"/>
    <cellStyle name="Normal 3 5 4 4 2 4" xfId="27909"/>
    <cellStyle name="Normal 3 5 4 4 3" xfId="18202"/>
    <cellStyle name="Normal 3 5 4 4 3 2" xfId="40789"/>
    <cellStyle name="Normal 3 5 4 4 4" xfId="14982"/>
    <cellStyle name="Normal 3 5 4 4 4 2" xfId="37569"/>
    <cellStyle name="Normal 3 5 4 4 5" xfId="8542"/>
    <cellStyle name="Normal 3 5 4 4 5 2" xfId="31129"/>
    <cellStyle name="Normal 3 5 4 4 6" xfId="24689"/>
    <cellStyle name="Normal 3 5 4 5" xfId="4014"/>
    <cellStyle name="Normal 3 5 4 5 2" xfId="20114"/>
    <cellStyle name="Normal 3 5 4 5 2 2" xfId="42701"/>
    <cellStyle name="Normal 3 5 4 5 3" xfId="10454"/>
    <cellStyle name="Normal 3 5 4 5 3 2" xfId="33041"/>
    <cellStyle name="Normal 3 5 4 5 4" xfId="26601"/>
    <cellStyle name="Normal 3 5 4 6" xfId="16894"/>
    <cellStyle name="Normal 3 5 4 6 2" xfId="39481"/>
    <cellStyle name="Normal 3 5 4 7" xfId="13674"/>
    <cellStyle name="Normal 3 5 4 7 2" xfId="36261"/>
    <cellStyle name="Normal 3 5 4 8" xfId="7234"/>
    <cellStyle name="Normal 3 5 4 8 2" xfId="29821"/>
    <cellStyle name="Normal 3 5 4 9" xfId="23381"/>
    <cellStyle name="Normal 3 5 5" xfId="889"/>
    <cellStyle name="Normal 3 5 5 2" xfId="2208"/>
    <cellStyle name="Normal 3 5 5 2 2" xfId="5429"/>
    <cellStyle name="Normal 3 5 5 2 2 2" xfId="21529"/>
    <cellStyle name="Normal 3 5 5 2 2 2 2" xfId="44116"/>
    <cellStyle name="Normal 3 5 5 2 2 3" xfId="11869"/>
    <cellStyle name="Normal 3 5 5 2 2 3 2" xfId="34456"/>
    <cellStyle name="Normal 3 5 5 2 2 4" xfId="28016"/>
    <cellStyle name="Normal 3 5 5 2 3" xfId="18309"/>
    <cellStyle name="Normal 3 5 5 2 3 2" xfId="40896"/>
    <cellStyle name="Normal 3 5 5 2 4" xfId="15089"/>
    <cellStyle name="Normal 3 5 5 2 4 2" xfId="37676"/>
    <cellStyle name="Normal 3 5 5 2 5" xfId="8649"/>
    <cellStyle name="Normal 3 5 5 2 5 2" xfId="31236"/>
    <cellStyle name="Normal 3 5 5 2 6" xfId="24796"/>
    <cellStyle name="Normal 3 5 5 3" xfId="4121"/>
    <cellStyle name="Normal 3 5 5 3 2" xfId="20221"/>
    <cellStyle name="Normal 3 5 5 3 2 2" xfId="42808"/>
    <cellStyle name="Normal 3 5 5 3 3" xfId="10561"/>
    <cellStyle name="Normal 3 5 5 3 3 2" xfId="33148"/>
    <cellStyle name="Normal 3 5 5 3 4" xfId="26708"/>
    <cellStyle name="Normal 3 5 5 4" xfId="17001"/>
    <cellStyle name="Normal 3 5 5 4 2" xfId="39588"/>
    <cellStyle name="Normal 3 5 5 5" xfId="13781"/>
    <cellStyle name="Normal 3 5 5 5 2" xfId="36368"/>
    <cellStyle name="Normal 3 5 5 6" xfId="7341"/>
    <cellStyle name="Normal 3 5 5 6 2" xfId="29928"/>
    <cellStyle name="Normal 3 5 5 7" xfId="23488"/>
    <cellStyle name="Normal 3 5 6" xfId="1241"/>
    <cellStyle name="Normal 3 5 6 2" xfId="2555"/>
    <cellStyle name="Normal 3 5 6 2 2" xfId="5776"/>
    <cellStyle name="Normal 3 5 6 2 2 2" xfId="21876"/>
    <cellStyle name="Normal 3 5 6 2 2 2 2" xfId="44463"/>
    <cellStyle name="Normal 3 5 6 2 2 3" xfId="12216"/>
    <cellStyle name="Normal 3 5 6 2 2 3 2" xfId="34803"/>
    <cellStyle name="Normal 3 5 6 2 2 4" xfId="28363"/>
    <cellStyle name="Normal 3 5 6 2 3" xfId="18656"/>
    <cellStyle name="Normal 3 5 6 2 3 2" xfId="41243"/>
    <cellStyle name="Normal 3 5 6 2 4" xfId="15436"/>
    <cellStyle name="Normal 3 5 6 2 4 2" xfId="38023"/>
    <cellStyle name="Normal 3 5 6 2 5" xfId="8996"/>
    <cellStyle name="Normal 3 5 6 2 5 2" xfId="31583"/>
    <cellStyle name="Normal 3 5 6 2 6" xfId="25143"/>
    <cellStyle name="Normal 3 5 6 3" xfId="4468"/>
    <cellStyle name="Normal 3 5 6 3 2" xfId="20568"/>
    <cellStyle name="Normal 3 5 6 3 2 2" xfId="43155"/>
    <cellStyle name="Normal 3 5 6 3 3" xfId="10908"/>
    <cellStyle name="Normal 3 5 6 3 3 2" xfId="33495"/>
    <cellStyle name="Normal 3 5 6 3 4" xfId="27055"/>
    <cellStyle name="Normal 3 5 6 4" xfId="17348"/>
    <cellStyle name="Normal 3 5 6 4 2" xfId="39935"/>
    <cellStyle name="Normal 3 5 6 5" xfId="14128"/>
    <cellStyle name="Normal 3 5 6 5 2" xfId="36715"/>
    <cellStyle name="Normal 3 5 6 6" xfId="7688"/>
    <cellStyle name="Normal 3 5 6 6 2" xfId="30275"/>
    <cellStyle name="Normal 3 5 6 7" xfId="23835"/>
    <cellStyle name="Normal 3 5 7" xfId="1681"/>
    <cellStyle name="Normal 3 5 7 2" xfId="4904"/>
    <cellStyle name="Normal 3 5 7 2 2" xfId="21004"/>
    <cellStyle name="Normal 3 5 7 2 2 2" xfId="43591"/>
    <cellStyle name="Normal 3 5 7 2 3" xfId="11344"/>
    <cellStyle name="Normal 3 5 7 2 3 2" xfId="33931"/>
    <cellStyle name="Normal 3 5 7 2 4" xfId="27491"/>
    <cellStyle name="Normal 3 5 7 3" xfId="17784"/>
    <cellStyle name="Normal 3 5 7 3 2" xfId="40371"/>
    <cellStyle name="Normal 3 5 7 4" xfId="14564"/>
    <cellStyle name="Normal 3 5 7 4 2" xfId="37151"/>
    <cellStyle name="Normal 3 5 7 5" xfId="8124"/>
    <cellStyle name="Normal 3 5 7 5 2" xfId="30711"/>
    <cellStyle name="Normal 3 5 7 6" xfId="24271"/>
    <cellStyle name="Normal 3 5 8" xfId="1860"/>
    <cellStyle name="Normal 3 5 8 2" xfId="5082"/>
    <cellStyle name="Normal 3 5 8 2 2" xfId="21182"/>
    <cellStyle name="Normal 3 5 8 2 2 2" xfId="43769"/>
    <cellStyle name="Normal 3 5 8 2 3" xfId="11522"/>
    <cellStyle name="Normal 3 5 8 2 3 2" xfId="34109"/>
    <cellStyle name="Normal 3 5 8 2 4" xfId="27669"/>
    <cellStyle name="Normal 3 5 8 3" xfId="17962"/>
    <cellStyle name="Normal 3 5 8 3 2" xfId="40549"/>
    <cellStyle name="Normal 3 5 8 4" xfId="14742"/>
    <cellStyle name="Normal 3 5 8 4 2" xfId="37329"/>
    <cellStyle name="Normal 3 5 8 5" xfId="8302"/>
    <cellStyle name="Normal 3 5 8 5 2" xfId="30889"/>
    <cellStyle name="Normal 3 5 8 6" xfId="24449"/>
    <cellStyle name="Normal 3 5 9" xfId="2903"/>
    <cellStyle name="Normal 3 5 9 2" xfId="6124"/>
    <cellStyle name="Normal 3 5 9 2 2" xfId="22224"/>
    <cellStyle name="Normal 3 5 9 2 2 2" xfId="44811"/>
    <cellStyle name="Normal 3 5 9 2 3" xfId="12564"/>
    <cellStyle name="Normal 3 5 9 2 3 2" xfId="35151"/>
    <cellStyle name="Normal 3 5 9 2 4" xfId="28711"/>
    <cellStyle name="Normal 3 5 9 3" xfId="19004"/>
    <cellStyle name="Normal 3 5 9 3 2" xfId="41591"/>
    <cellStyle name="Normal 3 5 9 4" xfId="15784"/>
    <cellStyle name="Normal 3 5 9 4 2" xfId="38371"/>
    <cellStyle name="Normal 3 5 9 5" xfId="9344"/>
    <cellStyle name="Normal 3 5 9 5 2" xfId="31931"/>
    <cellStyle name="Normal 3 5 9 6" xfId="25491"/>
    <cellStyle name="Normal 3 6" xfId="220"/>
    <cellStyle name="Normal 3 6 10" xfId="16388"/>
    <cellStyle name="Normal 3 6 10 2" xfId="38975"/>
    <cellStyle name="Normal 3 6 11" xfId="13168"/>
    <cellStyle name="Normal 3 6 11 2" xfId="35755"/>
    <cellStyle name="Normal 3 6 12" xfId="6728"/>
    <cellStyle name="Normal 3 6 12 2" xfId="29315"/>
    <cellStyle name="Normal 3 6 13" xfId="22875"/>
    <cellStyle name="Normal 3 6 2" xfId="318"/>
    <cellStyle name="Normal 3 6 2 10" xfId="13265"/>
    <cellStyle name="Normal 3 6 2 10 2" xfId="35852"/>
    <cellStyle name="Normal 3 6 2 11" xfId="6825"/>
    <cellStyle name="Normal 3 6 2 11 2" xfId="29412"/>
    <cellStyle name="Normal 3 6 2 12" xfId="22972"/>
    <cellStyle name="Normal 3 6 2 2" xfId="1114"/>
    <cellStyle name="Normal 3 6 2 2 2" xfId="2428"/>
    <cellStyle name="Normal 3 6 2 2 2 2" xfId="5649"/>
    <cellStyle name="Normal 3 6 2 2 2 2 2" xfId="21749"/>
    <cellStyle name="Normal 3 6 2 2 2 2 2 2" xfId="44336"/>
    <cellStyle name="Normal 3 6 2 2 2 2 3" xfId="12089"/>
    <cellStyle name="Normal 3 6 2 2 2 2 3 2" xfId="34676"/>
    <cellStyle name="Normal 3 6 2 2 2 2 4" xfId="28236"/>
    <cellStyle name="Normal 3 6 2 2 2 3" xfId="18529"/>
    <cellStyle name="Normal 3 6 2 2 2 3 2" xfId="41116"/>
    <cellStyle name="Normal 3 6 2 2 2 4" xfId="15309"/>
    <cellStyle name="Normal 3 6 2 2 2 4 2" xfId="37896"/>
    <cellStyle name="Normal 3 6 2 2 2 5" xfId="8869"/>
    <cellStyle name="Normal 3 6 2 2 2 5 2" xfId="31456"/>
    <cellStyle name="Normal 3 6 2 2 2 6" xfId="25016"/>
    <cellStyle name="Normal 3 6 2 2 3" xfId="4341"/>
    <cellStyle name="Normal 3 6 2 2 3 2" xfId="20441"/>
    <cellStyle name="Normal 3 6 2 2 3 2 2" xfId="43028"/>
    <cellStyle name="Normal 3 6 2 2 3 3" xfId="10781"/>
    <cellStyle name="Normal 3 6 2 2 3 3 2" xfId="33368"/>
    <cellStyle name="Normal 3 6 2 2 3 4" xfId="26928"/>
    <cellStyle name="Normal 3 6 2 2 4" xfId="17221"/>
    <cellStyle name="Normal 3 6 2 2 4 2" xfId="39808"/>
    <cellStyle name="Normal 3 6 2 2 5" xfId="14001"/>
    <cellStyle name="Normal 3 6 2 2 5 2" xfId="36588"/>
    <cellStyle name="Normal 3 6 2 2 6" xfId="7561"/>
    <cellStyle name="Normal 3 6 2 2 6 2" xfId="30148"/>
    <cellStyle name="Normal 3 6 2 2 7" xfId="23708"/>
    <cellStyle name="Normal 3 6 2 3" xfId="1461"/>
    <cellStyle name="Normal 3 6 2 3 2" xfId="2775"/>
    <cellStyle name="Normal 3 6 2 3 2 2" xfId="5996"/>
    <cellStyle name="Normal 3 6 2 3 2 2 2" xfId="22096"/>
    <cellStyle name="Normal 3 6 2 3 2 2 2 2" xfId="44683"/>
    <cellStyle name="Normal 3 6 2 3 2 2 3" xfId="12436"/>
    <cellStyle name="Normal 3 6 2 3 2 2 3 2" xfId="35023"/>
    <cellStyle name="Normal 3 6 2 3 2 2 4" xfId="28583"/>
    <cellStyle name="Normal 3 6 2 3 2 3" xfId="18876"/>
    <cellStyle name="Normal 3 6 2 3 2 3 2" xfId="41463"/>
    <cellStyle name="Normal 3 6 2 3 2 4" xfId="15656"/>
    <cellStyle name="Normal 3 6 2 3 2 4 2" xfId="38243"/>
    <cellStyle name="Normal 3 6 2 3 2 5" xfId="9216"/>
    <cellStyle name="Normal 3 6 2 3 2 5 2" xfId="31803"/>
    <cellStyle name="Normal 3 6 2 3 2 6" xfId="25363"/>
    <cellStyle name="Normal 3 6 2 3 3" xfId="4688"/>
    <cellStyle name="Normal 3 6 2 3 3 2" xfId="20788"/>
    <cellStyle name="Normal 3 6 2 3 3 2 2" xfId="43375"/>
    <cellStyle name="Normal 3 6 2 3 3 3" xfId="11128"/>
    <cellStyle name="Normal 3 6 2 3 3 3 2" xfId="33715"/>
    <cellStyle name="Normal 3 6 2 3 3 4" xfId="27275"/>
    <cellStyle name="Normal 3 6 2 3 4" xfId="17568"/>
    <cellStyle name="Normal 3 6 2 3 4 2" xfId="40155"/>
    <cellStyle name="Normal 3 6 2 3 5" xfId="14348"/>
    <cellStyle name="Normal 3 6 2 3 5 2" xfId="36935"/>
    <cellStyle name="Normal 3 6 2 3 6" xfId="7908"/>
    <cellStyle name="Normal 3 6 2 3 6 2" xfId="30495"/>
    <cellStyle name="Normal 3 6 2 3 7" xfId="24055"/>
    <cellStyle name="Normal 3 6 2 4" xfId="2081"/>
    <cellStyle name="Normal 3 6 2 4 2" xfId="5302"/>
    <cellStyle name="Normal 3 6 2 4 2 2" xfId="21402"/>
    <cellStyle name="Normal 3 6 2 4 2 2 2" xfId="43989"/>
    <cellStyle name="Normal 3 6 2 4 2 3" xfId="11742"/>
    <cellStyle name="Normal 3 6 2 4 2 3 2" xfId="34329"/>
    <cellStyle name="Normal 3 6 2 4 2 4" xfId="27889"/>
    <cellStyle name="Normal 3 6 2 4 3" xfId="18182"/>
    <cellStyle name="Normal 3 6 2 4 3 2" xfId="40769"/>
    <cellStyle name="Normal 3 6 2 4 4" xfId="14962"/>
    <cellStyle name="Normal 3 6 2 4 4 2" xfId="37549"/>
    <cellStyle name="Normal 3 6 2 4 5" xfId="8522"/>
    <cellStyle name="Normal 3 6 2 4 5 2" xfId="31109"/>
    <cellStyle name="Normal 3 6 2 4 6" xfId="24669"/>
    <cellStyle name="Normal 3 6 2 5" xfId="3025"/>
    <cellStyle name="Normal 3 6 2 5 2" xfId="6245"/>
    <cellStyle name="Normal 3 6 2 5 2 2" xfId="22345"/>
    <cellStyle name="Normal 3 6 2 5 2 2 2" xfId="44932"/>
    <cellStyle name="Normal 3 6 2 5 2 3" xfId="12685"/>
    <cellStyle name="Normal 3 6 2 5 2 3 2" xfId="35272"/>
    <cellStyle name="Normal 3 6 2 5 2 4" xfId="28832"/>
    <cellStyle name="Normal 3 6 2 5 3" xfId="19125"/>
    <cellStyle name="Normal 3 6 2 5 3 2" xfId="41712"/>
    <cellStyle name="Normal 3 6 2 5 4" xfId="15905"/>
    <cellStyle name="Normal 3 6 2 5 4 2" xfId="38492"/>
    <cellStyle name="Normal 3 6 2 5 5" xfId="9465"/>
    <cellStyle name="Normal 3 6 2 5 5 2" xfId="32052"/>
    <cellStyle name="Normal 3 6 2 5 6" xfId="25612"/>
    <cellStyle name="Normal 3 6 2 6" xfId="3315"/>
    <cellStyle name="Normal 3 6 2 6 2" xfId="6535"/>
    <cellStyle name="Normal 3 6 2 6 2 2" xfId="22635"/>
    <cellStyle name="Normal 3 6 2 6 2 2 2" xfId="45222"/>
    <cellStyle name="Normal 3 6 2 6 2 3" xfId="12975"/>
    <cellStyle name="Normal 3 6 2 6 2 3 2" xfId="35562"/>
    <cellStyle name="Normal 3 6 2 6 2 4" xfId="29122"/>
    <cellStyle name="Normal 3 6 2 6 3" xfId="19415"/>
    <cellStyle name="Normal 3 6 2 6 3 2" xfId="42002"/>
    <cellStyle name="Normal 3 6 2 6 4" xfId="16195"/>
    <cellStyle name="Normal 3 6 2 6 4 2" xfId="38782"/>
    <cellStyle name="Normal 3 6 2 6 5" xfId="9755"/>
    <cellStyle name="Normal 3 6 2 6 5 2" xfId="32342"/>
    <cellStyle name="Normal 3 6 2 6 6" xfId="25902"/>
    <cellStyle name="Normal 3 6 2 7" xfId="762"/>
    <cellStyle name="Normal 3 6 2 7 2" xfId="3994"/>
    <cellStyle name="Normal 3 6 2 7 2 2" xfId="20094"/>
    <cellStyle name="Normal 3 6 2 7 2 2 2" xfId="42681"/>
    <cellStyle name="Normal 3 6 2 7 2 3" xfId="10434"/>
    <cellStyle name="Normal 3 6 2 7 2 3 2" xfId="33021"/>
    <cellStyle name="Normal 3 6 2 7 2 4" xfId="26581"/>
    <cellStyle name="Normal 3 6 2 7 3" xfId="16874"/>
    <cellStyle name="Normal 3 6 2 7 3 2" xfId="39461"/>
    <cellStyle name="Normal 3 6 2 7 4" xfId="13654"/>
    <cellStyle name="Normal 3 6 2 7 4 2" xfId="36241"/>
    <cellStyle name="Normal 3 6 2 7 5" xfId="7214"/>
    <cellStyle name="Normal 3 6 2 7 5 2" xfId="29801"/>
    <cellStyle name="Normal 3 6 2 7 6" xfId="23361"/>
    <cellStyle name="Normal 3 6 2 8" xfId="3605"/>
    <cellStyle name="Normal 3 6 2 8 2" xfId="19705"/>
    <cellStyle name="Normal 3 6 2 8 2 2" xfId="42292"/>
    <cellStyle name="Normal 3 6 2 8 3" xfId="10045"/>
    <cellStyle name="Normal 3 6 2 8 3 2" xfId="32632"/>
    <cellStyle name="Normal 3 6 2 8 4" xfId="26192"/>
    <cellStyle name="Normal 3 6 2 9" xfId="16485"/>
    <cellStyle name="Normal 3 6 2 9 2" xfId="39072"/>
    <cellStyle name="Normal 3 6 3" xfId="414"/>
    <cellStyle name="Normal 3 6 3 10" xfId="23068"/>
    <cellStyle name="Normal 3 6 3 2" xfId="2271"/>
    <cellStyle name="Normal 3 6 3 2 2" xfId="5492"/>
    <cellStyle name="Normal 3 6 3 2 2 2" xfId="21592"/>
    <cellStyle name="Normal 3 6 3 2 2 2 2" xfId="44179"/>
    <cellStyle name="Normal 3 6 3 2 2 3" xfId="11932"/>
    <cellStyle name="Normal 3 6 3 2 2 3 2" xfId="34519"/>
    <cellStyle name="Normal 3 6 3 2 2 4" xfId="28079"/>
    <cellStyle name="Normal 3 6 3 2 3" xfId="18372"/>
    <cellStyle name="Normal 3 6 3 2 3 2" xfId="40959"/>
    <cellStyle name="Normal 3 6 3 2 4" xfId="15152"/>
    <cellStyle name="Normal 3 6 3 2 4 2" xfId="37739"/>
    <cellStyle name="Normal 3 6 3 2 5" xfId="8712"/>
    <cellStyle name="Normal 3 6 3 2 5 2" xfId="31299"/>
    <cellStyle name="Normal 3 6 3 2 6" xfId="24859"/>
    <cellStyle name="Normal 3 6 3 3" xfId="3121"/>
    <cellStyle name="Normal 3 6 3 3 2" xfId="6341"/>
    <cellStyle name="Normal 3 6 3 3 2 2" xfId="22441"/>
    <cellStyle name="Normal 3 6 3 3 2 2 2" xfId="45028"/>
    <cellStyle name="Normal 3 6 3 3 2 3" xfId="12781"/>
    <cellStyle name="Normal 3 6 3 3 2 3 2" xfId="35368"/>
    <cellStyle name="Normal 3 6 3 3 2 4" xfId="28928"/>
    <cellStyle name="Normal 3 6 3 3 3" xfId="19221"/>
    <cellStyle name="Normal 3 6 3 3 3 2" xfId="41808"/>
    <cellStyle name="Normal 3 6 3 3 4" xfId="16001"/>
    <cellStyle name="Normal 3 6 3 3 4 2" xfId="38588"/>
    <cellStyle name="Normal 3 6 3 3 5" xfId="9561"/>
    <cellStyle name="Normal 3 6 3 3 5 2" xfId="32148"/>
    <cellStyle name="Normal 3 6 3 3 6" xfId="25708"/>
    <cellStyle name="Normal 3 6 3 4" xfId="3411"/>
    <cellStyle name="Normal 3 6 3 4 2" xfId="6631"/>
    <cellStyle name="Normal 3 6 3 4 2 2" xfId="22731"/>
    <cellStyle name="Normal 3 6 3 4 2 2 2" xfId="45318"/>
    <cellStyle name="Normal 3 6 3 4 2 3" xfId="13071"/>
    <cellStyle name="Normal 3 6 3 4 2 3 2" xfId="35658"/>
    <cellStyle name="Normal 3 6 3 4 2 4" xfId="29218"/>
    <cellStyle name="Normal 3 6 3 4 3" xfId="19511"/>
    <cellStyle name="Normal 3 6 3 4 3 2" xfId="42098"/>
    <cellStyle name="Normal 3 6 3 4 4" xfId="16291"/>
    <cellStyle name="Normal 3 6 3 4 4 2" xfId="38878"/>
    <cellStyle name="Normal 3 6 3 4 5" xfId="9851"/>
    <cellStyle name="Normal 3 6 3 4 5 2" xfId="32438"/>
    <cellStyle name="Normal 3 6 3 4 6" xfId="25998"/>
    <cellStyle name="Normal 3 6 3 5" xfId="952"/>
    <cellStyle name="Normal 3 6 3 5 2" xfId="4184"/>
    <cellStyle name="Normal 3 6 3 5 2 2" xfId="20284"/>
    <cellStyle name="Normal 3 6 3 5 2 2 2" xfId="42871"/>
    <cellStyle name="Normal 3 6 3 5 2 3" xfId="10624"/>
    <cellStyle name="Normal 3 6 3 5 2 3 2" xfId="33211"/>
    <cellStyle name="Normal 3 6 3 5 2 4" xfId="26771"/>
    <cellStyle name="Normal 3 6 3 5 3" xfId="17064"/>
    <cellStyle name="Normal 3 6 3 5 3 2" xfId="39651"/>
    <cellStyle name="Normal 3 6 3 5 4" xfId="13844"/>
    <cellStyle name="Normal 3 6 3 5 4 2" xfId="36431"/>
    <cellStyle name="Normal 3 6 3 5 5" xfId="7404"/>
    <cellStyle name="Normal 3 6 3 5 5 2" xfId="29991"/>
    <cellStyle name="Normal 3 6 3 5 6" xfId="23551"/>
    <cellStyle name="Normal 3 6 3 6" xfId="3701"/>
    <cellStyle name="Normal 3 6 3 6 2" xfId="19801"/>
    <cellStyle name="Normal 3 6 3 6 2 2" xfId="42388"/>
    <cellStyle name="Normal 3 6 3 6 3" xfId="10141"/>
    <cellStyle name="Normal 3 6 3 6 3 2" xfId="32728"/>
    <cellStyle name="Normal 3 6 3 6 4" xfId="26288"/>
    <cellStyle name="Normal 3 6 3 7" xfId="16581"/>
    <cellStyle name="Normal 3 6 3 7 2" xfId="39168"/>
    <cellStyle name="Normal 3 6 3 8" xfId="13361"/>
    <cellStyle name="Normal 3 6 3 8 2" xfId="35948"/>
    <cellStyle name="Normal 3 6 3 9" xfId="6921"/>
    <cellStyle name="Normal 3 6 3 9 2" xfId="29508"/>
    <cellStyle name="Normal 3 6 4" xfId="1304"/>
    <cellStyle name="Normal 3 6 4 2" xfId="2618"/>
    <cellStyle name="Normal 3 6 4 2 2" xfId="5839"/>
    <cellStyle name="Normal 3 6 4 2 2 2" xfId="21939"/>
    <cellStyle name="Normal 3 6 4 2 2 2 2" xfId="44526"/>
    <cellStyle name="Normal 3 6 4 2 2 3" xfId="12279"/>
    <cellStyle name="Normal 3 6 4 2 2 3 2" xfId="34866"/>
    <cellStyle name="Normal 3 6 4 2 2 4" xfId="28426"/>
    <cellStyle name="Normal 3 6 4 2 3" xfId="18719"/>
    <cellStyle name="Normal 3 6 4 2 3 2" xfId="41306"/>
    <cellStyle name="Normal 3 6 4 2 4" xfId="15499"/>
    <cellStyle name="Normal 3 6 4 2 4 2" xfId="38086"/>
    <cellStyle name="Normal 3 6 4 2 5" xfId="9059"/>
    <cellStyle name="Normal 3 6 4 2 5 2" xfId="31646"/>
    <cellStyle name="Normal 3 6 4 2 6" xfId="25206"/>
    <cellStyle name="Normal 3 6 4 3" xfId="4531"/>
    <cellStyle name="Normal 3 6 4 3 2" xfId="20631"/>
    <cellStyle name="Normal 3 6 4 3 2 2" xfId="43218"/>
    <cellStyle name="Normal 3 6 4 3 3" xfId="10971"/>
    <cellStyle name="Normal 3 6 4 3 3 2" xfId="33558"/>
    <cellStyle name="Normal 3 6 4 3 4" xfId="27118"/>
    <cellStyle name="Normal 3 6 4 4" xfId="17411"/>
    <cellStyle name="Normal 3 6 4 4 2" xfId="39998"/>
    <cellStyle name="Normal 3 6 4 5" xfId="14191"/>
    <cellStyle name="Normal 3 6 4 5 2" xfId="36778"/>
    <cellStyle name="Normal 3 6 4 6" xfId="7751"/>
    <cellStyle name="Normal 3 6 4 6 2" xfId="30338"/>
    <cellStyle name="Normal 3 6 4 7" xfId="23898"/>
    <cellStyle name="Normal 3 6 5" xfId="1923"/>
    <cellStyle name="Normal 3 6 5 2" xfId="5145"/>
    <cellStyle name="Normal 3 6 5 2 2" xfId="21245"/>
    <cellStyle name="Normal 3 6 5 2 2 2" xfId="43832"/>
    <cellStyle name="Normal 3 6 5 2 3" xfId="11585"/>
    <cellStyle name="Normal 3 6 5 2 3 2" xfId="34172"/>
    <cellStyle name="Normal 3 6 5 2 4" xfId="27732"/>
    <cellStyle name="Normal 3 6 5 3" xfId="18025"/>
    <cellStyle name="Normal 3 6 5 3 2" xfId="40612"/>
    <cellStyle name="Normal 3 6 5 4" xfId="14805"/>
    <cellStyle name="Normal 3 6 5 4 2" xfId="37392"/>
    <cellStyle name="Normal 3 6 5 5" xfId="8365"/>
    <cellStyle name="Normal 3 6 5 5 2" xfId="30952"/>
    <cellStyle name="Normal 3 6 5 6" xfId="24512"/>
    <cellStyle name="Normal 3 6 6" xfId="2927"/>
    <cellStyle name="Normal 3 6 6 2" xfId="6148"/>
    <cellStyle name="Normal 3 6 6 2 2" xfId="22248"/>
    <cellStyle name="Normal 3 6 6 2 2 2" xfId="44835"/>
    <cellStyle name="Normal 3 6 6 2 3" xfId="12588"/>
    <cellStyle name="Normal 3 6 6 2 3 2" xfId="35175"/>
    <cellStyle name="Normal 3 6 6 2 4" xfId="28735"/>
    <cellStyle name="Normal 3 6 6 3" xfId="19028"/>
    <cellStyle name="Normal 3 6 6 3 2" xfId="41615"/>
    <cellStyle name="Normal 3 6 6 4" xfId="15808"/>
    <cellStyle name="Normal 3 6 6 4 2" xfId="38395"/>
    <cellStyle name="Normal 3 6 6 5" xfId="9368"/>
    <cellStyle name="Normal 3 6 6 5 2" xfId="31955"/>
    <cellStyle name="Normal 3 6 6 6" xfId="25515"/>
    <cellStyle name="Normal 3 6 7" xfId="3218"/>
    <cellStyle name="Normal 3 6 7 2" xfId="6438"/>
    <cellStyle name="Normal 3 6 7 2 2" xfId="22538"/>
    <cellStyle name="Normal 3 6 7 2 2 2" xfId="45125"/>
    <cellStyle name="Normal 3 6 7 2 3" xfId="12878"/>
    <cellStyle name="Normal 3 6 7 2 3 2" xfId="35465"/>
    <cellStyle name="Normal 3 6 7 2 4" xfId="29025"/>
    <cellStyle name="Normal 3 6 7 3" xfId="19318"/>
    <cellStyle name="Normal 3 6 7 3 2" xfId="41905"/>
    <cellStyle name="Normal 3 6 7 4" xfId="16098"/>
    <cellStyle name="Normal 3 6 7 4 2" xfId="38685"/>
    <cellStyle name="Normal 3 6 7 5" xfId="9658"/>
    <cellStyle name="Normal 3 6 7 5 2" xfId="32245"/>
    <cellStyle name="Normal 3 6 7 6" xfId="25805"/>
    <cellStyle name="Normal 3 6 8" xfId="550"/>
    <cellStyle name="Normal 3 6 8 2" xfId="3837"/>
    <cellStyle name="Normal 3 6 8 2 2" xfId="19937"/>
    <cellStyle name="Normal 3 6 8 2 2 2" xfId="42524"/>
    <cellStyle name="Normal 3 6 8 2 3" xfId="10277"/>
    <cellStyle name="Normal 3 6 8 2 3 2" xfId="32864"/>
    <cellStyle name="Normal 3 6 8 2 4" xfId="26424"/>
    <cellStyle name="Normal 3 6 8 3" xfId="16717"/>
    <cellStyle name="Normal 3 6 8 3 2" xfId="39304"/>
    <cellStyle name="Normal 3 6 8 4" xfId="13497"/>
    <cellStyle name="Normal 3 6 8 4 2" xfId="36084"/>
    <cellStyle name="Normal 3 6 8 5" xfId="7057"/>
    <cellStyle name="Normal 3 6 8 5 2" xfId="29644"/>
    <cellStyle name="Normal 3 6 8 6" xfId="23204"/>
    <cellStyle name="Normal 3 6 9" xfId="3508"/>
    <cellStyle name="Normal 3 6 9 2" xfId="19608"/>
    <cellStyle name="Normal 3 6 9 2 2" xfId="42195"/>
    <cellStyle name="Normal 3 6 9 3" xfId="9948"/>
    <cellStyle name="Normal 3 6 9 3 2" xfId="32535"/>
    <cellStyle name="Normal 3 6 9 4" xfId="26095"/>
    <cellStyle name="Normal 3 7" xfId="713"/>
    <cellStyle name="Normal 3 7 2" xfId="1075"/>
    <cellStyle name="Normal 3 7 2 2" xfId="2389"/>
    <cellStyle name="Normal 3 7 2 2 2" xfId="5610"/>
    <cellStyle name="Normal 3 7 2 2 2 2" xfId="21710"/>
    <cellStyle name="Normal 3 7 2 2 2 2 2" xfId="44297"/>
    <cellStyle name="Normal 3 7 2 2 2 3" xfId="12050"/>
    <cellStyle name="Normal 3 7 2 2 2 3 2" xfId="34637"/>
    <cellStyle name="Normal 3 7 2 2 2 4" xfId="28197"/>
    <cellStyle name="Normal 3 7 2 2 3" xfId="18490"/>
    <cellStyle name="Normal 3 7 2 2 3 2" xfId="41077"/>
    <cellStyle name="Normal 3 7 2 2 4" xfId="15270"/>
    <cellStyle name="Normal 3 7 2 2 4 2" xfId="37857"/>
    <cellStyle name="Normal 3 7 2 2 5" xfId="8830"/>
    <cellStyle name="Normal 3 7 2 2 5 2" xfId="31417"/>
    <cellStyle name="Normal 3 7 2 2 6" xfId="24977"/>
    <cellStyle name="Normal 3 7 2 3" xfId="4302"/>
    <cellStyle name="Normal 3 7 2 3 2" xfId="20402"/>
    <cellStyle name="Normal 3 7 2 3 2 2" xfId="42989"/>
    <cellStyle name="Normal 3 7 2 3 3" xfId="10742"/>
    <cellStyle name="Normal 3 7 2 3 3 2" xfId="33329"/>
    <cellStyle name="Normal 3 7 2 3 4" xfId="26889"/>
    <cellStyle name="Normal 3 7 2 4" xfId="17182"/>
    <cellStyle name="Normal 3 7 2 4 2" xfId="39769"/>
    <cellStyle name="Normal 3 7 2 5" xfId="13962"/>
    <cellStyle name="Normal 3 7 2 5 2" xfId="36549"/>
    <cellStyle name="Normal 3 7 2 6" xfId="7522"/>
    <cellStyle name="Normal 3 7 2 6 2" xfId="30109"/>
    <cellStyle name="Normal 3 7 2 7" xfId="23669"/>
    <cellStyle name="Normal 3 7 3" xfId="1422"/>
    <cellStyle name="Normal 3 7 3 2" xfId="2736"/>
    <cellStyle name="Normal 3 7 3 2 2" xfId="5957"/>
    <cellStyle name="Normal 3 7 3 2 2 2" xfId="22057"/>
    <cellStyle name="Normal 3 7 3 2 2 2 2" xfId="44644"/>
    <cellStyle name="Normal 3 7 3 2 2 3" xfId="12397"/>
    <cellStyle name="Normal 3 7 3 2 2 3 2" xfId="34984"/>
    <cellStyle name="Normal 3 7 3 2 2 4" xfId="28544"/>
    <cellStyle name="Normal 3 7 3 2 3" xfId="18837"/>
    <cellStyle name="Normal 3 7 3 2 3 2" xfId="41424"/>
    <cellStyle name="Normal 3 7 3 2 4" xfId="15617"/>
    <cellStyle name="Normal 3 7 3 2 4 2" xfId="38204"/>
    <cellStyle name="Normal 3 7 3 2 5" xfId="9177"/>
    <cellStyle name="Normal 3 7 3 2 5 2" xfId="31764"/>
    <cellStyle name="Normal 3 7 3 2 6" xfId="25324"/>
    <cellStyle name="Normal 3 7 3 3" xfId="4649"/>
    <cellStyle name="Normal 3 7 3 3 2" xfId="20749"/>
    <cellStyle name="Normal 3 7 3 3 2 2" xfId="43336"/>
    <cellStyle name="Normal 3 7 3 3 3" xfId="11089"/>
    <cellStyle name="Normal 3 7 3 3 3 2" xfId="33676"/>
    <cellStyle name="Normal 3 7 3 3 4" xfId="27236"/>
    <cellStyle name="Normal 3 7 3 4" xfId="17529"/>
    <cellStyle name="Normal 3 7 3 4 2" xfId="40116"/>
    <cellStyle name="Normal 3 7 3 5" xfId="14309"/>
    <cellStyle name="Normal 3 7 3 5 2" xfId="36896"/>
    <cellStyle name="Normal 3 7 3 6" xfId="7869"/>
    <cellStyle name="Normal 3 7 3 6 2" xfId="30456"/>
    <cellStyle name="Normal 3 7 3 7" xfId="24016"/>
    <cellStyle name="Normal 3 7 4" xfId="2042"/>
    <cellStyle name="Normal 3 7 4 2" xfId="5263"/>
    <cellStyle name="Normal 3 7 4 2 2" xfId="21363"/>
    <cellStyle name="Normal 3 7 4 2 2 2" xfId="43950"/>
    <cellStyle name="Normal 3 7 4 2 3" xfId="11703"/>
    <cellStyle name="Normal 3 7 4 2 3 2" xfId="34290"/>
    <cellStyle name="Normal 3 7 4 2 4" xfId="27850"/>
    <cellStyle name="Normal 3 7 4 3" xfId="18143"/>
    <cellStyle name="Normal 3 7 4 3 2" xfId="40730"/>
    <cellStyle name="Normal 3 7 4 4" xfId="14923"/>
    <cellStyle name="Normal 3 7 4 4 2" xfId="37510"/>
    <cellStyle name="Normal 3 7 4 5" xfId="8483"/>
    <cellStyle name="Normal 3 7 4 5 2" xfId="31070"/>
    <cellStyle name="Normal 3 7 4 6" xfId="24630"/>
    <cellStyle name="Normal 3 7 5" xfId="3955"/>
    <cellStyle name="Normal 3 7 5 2" xfId="20055"/>
    <cellStyle name="Normal 3 7 5 2 2" xfId="42642"/>
    <cellStyle name="Normal 3 7 5 3" xfId="10395"/>
    <cellStyle name="Normal 3 7 5 3 2" xfId="32982"/>
    <cellStyle name="Normal 3 7 5 4" xfId="26542"/>
    <cellStyle name="Normal 3 7 6" xfId="16835"/>
    <cellStyle name="Normal 3 7 6 2" xfId="39422"/>
    <cellStyle name="Normal 3 7 7" xfId="13615"/>
    <cellStyle name="Normal 3 7 7 2" xfId="36202"/>
    <cellStyle name="Normal 3 7 8" xfId="7175"/>
    <cellStyle name="Normal 3 7 8 2" xfId="29762"/>
    <cellStyle name="Normal 3 7 9" xfId="23322"/>
    <cellStyle name="Normal 3 8" xfId="742"/>
    <cellStyle name="Normal 3 8 2" xfId="1094"/>
    <cellStyle name="Normal 3 8 2 2" xfId="2408"/>
    <cellStyle name="Normal 3 8 2 2 2" xfId="5629"/>
    <cellStyle name="Normal 3 8 2 2 2 2" xfId="21729"/>
    <cellStyle name="Normal 3 8 2 2 2 2 2" xfId="44316"/>
    <cellStyle name="Normal 3 8 2 2 2 3" xfId="12069"/>
    <cellStyle name="Normal 3 8 2 2 2 3 2" xfId="34656"/>
    <cellStyle name="Normal 3 8 2 2 2 4" xfId="28216"/>
    <cellStyle name="Normal 3 8 2 2 3" xfId="18509"/>
    <cellStyle name="Normal 3 8 2 2 3 2" xfId="41096"/>
    <cellStyle name="Normal 3 8 2 2 4" xfId="15289"/>
    <cellStyle name="Normal 3 8 2 2 4 2" xfId="37876"/>
    <cellStyle name="Normal 3 8 2 2 5" xfId="8849"/>
    <cellStyle name="Normal 3 8 2 2 5 2" xfId="31436"/>
    <cellStyle name="Normal 3 8 2 2 6" xfId="24996"/>
    <cellStyle name="Normal 3 8 2 3" xfId="4321"/>
    <cellStyle name="Normal 3 8 2 3 2" xfId="20421"/>
    <cellStyle name="Normal 3 8 2 3 2 2" xfId="43008"/>
    <cellStyle name="Normal 3 8 2 3 3" xfId="10761"/>
    <cellStyle name="Normal 3 8 2 3 3 2" xfId="33348"/>
    <cellStyle name="Normal 3 8 2 3 4" xfId="26908"/>
    <cellStyle name="Normal 3 8 2 4" xfId="17201"/>
    <cellStyle name="Normal 3 8 2 4 2" xfId="39788"/>
    <cellStyle name="Normal 3 8 2 5" xfId="13981"/>
    <cellStyle name="Normal 3 8 2 5 2" xfId="36568"/>
    <cellStyle name="Normal 3 8 2 6" xfId="7541"/>
    <cellStyle name="Normal 3 8 2 6 2" xfId="30128"/>
    <cellStyle name="Normal 3 8 2 7" xfId="23688"/>
    <cellStyle name="Normal 3 8 3" xfId="1441"/>
    <cellStyle name="Normal 3 8 3 2" xfId="2755"/>
    <cellStyle name="Normal 3 8 3 2 2" xfId="5976"/>
    <cellStyle name="Normal 3 8 3 2 2 2" xfId="22076"/>
    <cellStyle name="Normal 3 8 3 2 2 2 2" xfId="44663"/>
    <cellStyle name="Normal 3 8 3 2 2 3" xfId="12416"/>
    <cellStyle name="Normal 3 8 3 2 2 3 2" xfId="35003"/>
    <cellStyle name="Normal 3 8 3 2 2 4" xfId="28563"/>
    <cellStyle name="Normal 3 8 3 2 3" xfId="18856"/>
    <cellStyle name="Normal 3 8 3 2 3 2" xfId="41443"/>
    <cellStyle name="Normal 3 8 3 2 4" xfId="15636"/>
    <cellStyle name="Normal 3 8 3 2 4 2" xfId="38223"/>
    <cellStyle name="Normal 3 8 3 2 5" xfId="9196"/>
    <cellStyle name="Normal 3 8 3 2 5 2" xfId="31783"/>
    <cellStyle name="Normal 3 8 3 2 6" xfId="25343"/>
    <cellStyle name="Normal 3 8 3 3" xfId="4668"/>
    <cellStyle name="Normal 3 8 3 3 2" xfId="20768"/>
    <cellStyle name="Normal 3 8 3 3 2 2" xfId="43355"/>
    <cellStyle name="Normal 3 8 3 3 3" xfId="11108"/>
    <cellStyle name="Normal 3 8 3 3 3 2" xfId="33695"/>
    <cellStyle name="Normal 3 8 3 3 4" xfId="27255"/>
    <cellStyle name="Normal 3 8 3 4" xfId="17548"/>
    <cellStyle name="Normal 3 8 3 4 2" xfId="40135"/>
    <cellStyle name="Normal 3 8 3 5" xfId="14328"/>
    <cellStyle name="Normal 3 8 3 5 2" xfId="36915"/>
    <cellStyle name="Normal 3 8 3 6" xfId="7888"/>
    <cellStyle name="Normal 3 8 3 6 2" xfId="30475"/>
    <cellStyle name="Normal 3 8 3 7" xfId="24035"/>
    <cellStyle name="Normal 3 8 4" xfId="2061"/>
    <cellStyle name="Normal 3 8 4 2" xfId="5282"/>
    <cellStyle name="Normal 3 8 4 2 2" xfId="21382"/>
    <cellStyle name="Normal 3 8 4 2 2 2" xfId="43969"/>
    <cellStyle name="Normal 3 8 4 2 3" xfId="11722"/>
    <cellStyle name="Normal 3 8 4 2 3 2" xfId="34309"/>
    <cellStyle name="Normal 3 8 4 2 4" xfId="27869"/>
    <cellStyle name="Normal 3 8 4 3" xfId="18162"/>
    <cellStyle name="Normal 3 8 4 3 2" xfId="40749"/>
    <cellStyle name="Normal 3 8 4 4" xfId="14942"/>
    <cellStyle name="Normal 3 8 4 4 2" xfId="37529"/>
    <cellStyle name="Normal 3 8 4 5" xfId="8502"/>
    <cellStyle name="Normal 3 8 4 5 2" xfId="31089"/>
    <cellStyle name="Normal 3 8 4 6" xfId="24649"/>
    <cellStyle name="Normal 3 8 5" xfId="3974"/>
    <cellStyle name="Normal 3 8 5 2" xfId="20074"/>
    <cellStyle name="Normal 3 8 5 2 2" xfId="42661"/>
    <cellStyle name="Normal 3 8 5 3" xfId="10414"/>
    <cellStyle name="Normal 3 8 5 3 2" xfId="33001"/>
    <cellStyle name="Normal 3 8 5 4" xfId="26561"/>
    <cellStyle name="Normal 3 8 6" xfId="16854"/>
    <cellStyle name="Normal 3 8 6 2" xfId="39441"/>
    <cellStyle name="Normal 3 8 7" xfId="13634"/>
    <cellStyle name="Normal 3 8 7 2" xfId="36221"/>
    <cellStyle name="Normal 3 8 8" xfId="7194"/>
    <cellStyle name="Normal 3 8 8 2" xfId="29781"/>
    <cellStyle name="Normal 3 8 9" xfId="23341"/>
    <cellStyle name="Normal 4" xfId="88"/>
    <cellStyle name="Normal 4 2" xfId="213"/>
    <cellStyle name="Normal 4 2 10" xfId="3212"/>
    <cellStyle name="Normal 4 2 10 2" xfId="6432"/>
    <cellStyle name="Normal 4 2 10 2 2" xfId="22532"/>
    <cellStyle name="Normal 4 2 10 2 2 2" xfId="45119"/>
    <cellStyle name="Normal 4 2 10 2 3" xfId="12872"/>
    <cellStyle name="Normal 4 2 10 2 3 2" xfId="35459"/>
    <cellStyle name="Normal 4 2 10 2 4" xfId="29019"/>
    <cellStyle name="Normal 4 2 10 3" xfId="19312"/>
    <cellStyle name="Normal 4 2 10 3 2" xfId="41899"/>
    <cellStyle name="Normal 4 2 10 4" xfId="16092"/>
    <cellStyle name="Normal 4 2 10 4 2" xfId="38679"/>
    <cellStyle name="Normal 4 2 10 5" xfId="9652"/>
    <cellStyle name="Normal 4 2 10 5 2" xfId="32239"/>
    <cellStyle name="Normal 4 2 10 6" xfId="25799"/>
    <cellStyle name="Normal 4 2 11" xfId="505"/>
    <cellStyle name="Normal 4 2 11 2" xfId="3792"/>
    <cellStyle name="Normal 4 2 11 2 2" xfId="19892"/>
    <cellStyle name="Normal 4 2 11 2 2 2" xfId="42479"/>
    <cellStyle name="Normal 4 2 11 2 3" xfId="10232"/>
    <cellStyle name="Normal 4 2 11 2 3 2" xfId="32819"/>
    <cellStyle name="Normal 4 2 11 2 4" xfId="26379"/>
    <cellStyle name="Normal 4 2 11 3" xfId="16672"/>
    <cellStyle name="Normal 4 2 11 3 2" xfId="39259"/>
    <cellStyle name="Normal 4 2 11 4" xfId="13452"/>
    <cellStyle name="Normal 4 2 11 4 2" xfId="36039"/>
    <cellStyle name="Normal 4 2 11 5" xfId="7012"/>
    <cellStyle name="Normal 4 2 11 5 2" xfId="29599"/>
    <cellStyle name="Normal 4 2 11 6" xfId="23159"/>
    <cellStyle name="Normal 4 2 12" xfId="3502"/>
    <cellStyle name="Normal 4 2 12 2" xfId="19602"/>
    <cellStyle name="Normal 4 2 12 2 2" xfId="42189"/>
    <cellStyle name="Normal 4 2 12 3" xfId="9942"/>
    <cellStyle name="Normal 4 2 12 3 2" xfId="32529"/>
    <cellStyle name="Normal 4 2 12 4" xfId="26089"/>
    <cellStyle name="Normal 4 2 13" xfId="16382"/>
    <cellStyle name="Normal 4 2 13 2" xfId="38969"/>
    <cellStyle name="Normal 4 2 14" xfId="13162"/>
    <cellStyle name="Normal 4 2 14 2" xfId="35749"/>
    <cellStyle name="Normal 4 2 15" xfId="6722"/>
    <cellStyle name="Normal 4 2 15 2" xfId="29309"/>
    <cellStyle name="Normal 4 2 16" xfId="22869"/>
    <cellStyle name="Normal 4 2 2" xfId="238"/>
    <cellStyle name="Normal 4 2 2 10" xfId="3526"/>
    <cellStyle name="Normal 4 2 2 10 2" xfId="19626"/>
    <cellStyle name="Normal 4 2 2 10 2 2" xfId="42213"/>
    <cellStyle name="Normal 4 2 2 10 3" xfId="9966"/>
    <cellStyle name="Normal 4 2 2 10 3 2" xfId="32553"/>
    <cellStyle name="Normal 4 2 2 10 4" xfId="26113"/>
    <cellStyle name="Normal 4 2 2 11" xfId="16406"/>
    <cellStyle name="Normal 4 2 2 11 2" xfId="38993"/>
    <cellStyle name="Normal 4 2 2 12" xfId="13186"/>
    <cellStyle name="Normal 4 2 2 12 2" xfId="35773"/>
    <cellStyle name="Normal 4 2 2 13" xfId="6746"/>
    <cellStyle name="Normal 4 2 2 13 2" xfId="29333"/>
    <cellStyle name="Normal 4 2 2 14" xfId="22893"/>
    <cellStyle name="Normal 4 2 2 2" xfId="336"/>
    <cellStyle name="Normal 4 2 2 2 10" xfId="13283"/>
    <cellStyle name="Normal 4 2 2 2 10 2" xfId="35870"/>
    <cellStyle name="Normal 4 2 2 2 11" xfId="6843"/>
    <cellStyle name="Normal 4 2 2 2 11 2" xfId="29430"/>
    <cellStyle name="Normal 4 2 2 2 12" xfId="22990"/>
    <cellStyle name="Normal 4 2 2 2 2" xfId="1068"/>
    <cellStyle name="Normal 4 2 2 2 2 2" xfId="2382"/>
    <cellStyle name="Normal 4 2 2 2 2 2 2" xfId="5603"/>
    <cellStyle name="Normal 4 2 2 2 2 2 2 2" xfId="21703"/>
    <cellStyle name="Normal 4 2 2 2 2 2 2 2 2" xfId="44290"/>
    <cellStyle name="Normal 4 2 2 2 2 2 2 3" xfId="12043"/>
    <cellStyle name="Normal 4 2 2 2 2 2 2 3 2" xfId="34630"/>
    <cellStyle name="Normal 4 2 2 2 2 2 2 4" xfId="28190"/>
    <cellStyle name="Normal 4 2 2 2 2 2 3" xfId="18483"/>
    <cellStyle name="Normal 4 2 2 2 2 2 3 2" xfId="41070"/>
    <cellStyle name="Normal 4 2 2 2 2 2 4" xfId="15263"/>
    <cellStyle name="Normal 4 2 2 2 2 2 4 2" xfId="37850"/>
    <cellStyle name="Normal 4 2 2 2 2 2 5" xfId="8823"/>
    <cellStyle name="Normal 4 2 2 2 2 2 5 2" xfId="31410"/>
    <cellStyle name="Normal 4 2 2 2 2 2 6" xfId="24970"/>
    <cellStyle name="Normal 4 2 2 2 2 3" xfId="4295"/>
    <cellStyle name="Normal 4 2 2 2 2 3 2" xfId="20395"/>
    <cellStyle name="Normal 4 2 2 2 2 3 2 2" xfId="42982"/>
    <cellStyle name="Normal 4 2 2 2 2 3 3" xfId="10735"/>
    <cellStyle name="Normal 4 2 2 2 2 3 3 2" xfId="33322"/>
    <cellStyle name="Normal 4 2 2 2 2 3 4" xfId="26882"/>
    <cellStyle name="Normal 4 2 2 2 2 4" xfId="17175"/>
    <cellStyle name="Normal 4 2 2 2 2 4 2" xfId="39762"/>
    <cellStyle name="Normal 4 2 2 2 2 5" xfId="13955"/>
    <cellStyle name="Normal 4 2 2 2 2 5 2" xfId="36542"/>
    <cellStyle name="Normal 4 2 2 2 2 6" xfId="7515"/>
    <cellStyle name="Normal 4 2 2 2 2 6 2" xfId="30102"/>
    <cellStyle name="Normal 4 2 2 2 2 7" xfId="23662"/>
    <cellStyle name="Normal 4 2 2 2 3" xfId="1415"/>
    <cellStyle name="Normal 4 2 2 2 3 2" xfId="2729"/>
    <cellStyle name="Normal 4 2 2 2 3 2 2" xfId="5950"/>
    <cellStyle name="Normal 4 2 2 2 3 2 2 2" xfId="22050"/>
    <cellStyle name="Normal 4 2 2 2 3 2 2 2 2" xfId="44637"/>
    <cellStyle name="Normal 4 2 2 2 3 2 2 3" xfId="12390"/>
    <cellStyle name="Normal 4 2 2 2 3 2 2 3 2" xfId="34977"/>
    <cellStyle name="Normal 4 2 2 2 3 2 2 4" xfId="28537"/>
    <cellStyle name="Normal 4 2 2 2 3 2 3" xfId="18830"/>
    <cellStyle name="Normal 4 2 2 2 3 2 3 2" xfId="41417"/>
    <cellStyle name="Normal 4 2 2 2 3 2 4" xfId="15610"/>
    <cellStyle name="Normal 4 2 2 2 3 2 4 2" xfId="38197"/>
    <cellStyle name="Normal 4 2 2 2 3 2 5" xfId="9170"/>
    <cellStyle name="Normal 4 2 2 2 3 2 5 2" xfId="31757"/>
    <cellStyle name="Normal 4 2 2 2 3 2 6" xfId="25317"/>
    <cellStyle name="Normal 4 2 2 2 3 3" xfId="4642"/>
    <cellStyle name="Normal 4 2 2 2 3 3 2" xfId="20742"/>
    <cellStyle name="Normal 4 2 2 2 3 3 2 2" xfId="43329"/>
    <cellStyle name="Normal 4 2 2 2 3 3 3" xfId="11082"/>
    <cellStyle name="Normal 4 2 2 2 3 3 3 2" xfId="33669"/>
    <cellStyle name="Normal 4 2 2 2 3 3 4" xfId="27229"/>
    <cellStyle name="Normal 4 2 2 2 3 4" xfId="17522"/>
    <cellStyle name="Normal 4 2 2 2 3 4 2" xfId="40109"/>
    <cellStyle name="Normal 4 2 2 2 3 5" xfId="14302"/>
    <cellStyle name="Normal 4 2 2 2 3 5 2" xfId="36889"/>
    <cellStyle name="Normal 4 2 2 2 3 6" xfId="7862"/>
    <cellStyle name="Normal 4 2 2 2 3 6 2" xfId="30449"/>
    <cellStyle name="Normal 4 2 2 2 3 7" xfId="24009"/>
    <cellStyle name="Normal 4 2 2 2 4" xfId="2034"/>
    <cellStyle name="Normal 4 2 2 2 4 2" xfId="5256"/>
    <cellStyle name="Normal 4 2 2 2 4 2 2" xfId="21356"/>
    <cellStyle name="Normal 4 2 2 2 4 2 2 2" xfId="43943"/>
    <cellStyle name="Normal 4 2 2 2 4 2 3" xfId="11696"/>
    <cellStyle name="Normal 4 2 2 2 4 2 3 2" xfId="34283"/>
    <cellStyle name="Normal 4 2 2 2 4 2 4" xfId="27843"/>
    <cellStyle name="Normal 4 2 2 2 4 3" xfId="18136"/>
    <cellStyle name="Normal 4 2 2 2 4 3 2" xfId="40723"/>
    <cellStyle name="Normal 4 2 2 2 4 4" xfId="14916"/>
    <cellStyle name="Normal 4 2 2 2 4 4 2" xfId="37503"/>
    <cellStyle name="Normal 4 2 2 2 4 5" xfId="8476"/>
    <cellStyle name="Normal 4 2 2 2 4 5 2" xfId="31063"/>
    <cellStyle name="Normal 4 2 2 2 4 6" xfId="24623"/>
    <cellStyle name="Normal 4 2 2 2 5" xfId="3043"/>
    <cellStyle name="Normal 4 2 2 2 5 2" xfId="6263"/>
    <cellStyle name="Normal 4 2 2 2 5 2 2" xfId="22363"/>
    <cellStyle name="Normal 4 2 2 2 5 2 2 2" xfId="44950"/>
    <cellStyle name="Normal 4 2 2 2 5 2 3" xfId="12703"/>
    <cellStyle name="Normal 4 2 2 2 5 2 3 2" xfId="35290"/>
    <cellStyle name="Normal 4 2 2 2 5 2 4" xfId="28850"/>
    <cellStyle name="Normal 4 2 2 2 5 3" xfId="19143"/>
    <cellStyle name="Normal 4 2 2 2 5 3 2" xfId="41730"/>
    <cellStyle name="Normal 4 2 2 2 5 4" xfId="15923"/>
    <cellStyle name="Normal 4 2 2 2 5 4 2" xfId="38510"/>
    <cellStyle name="Normal 4 2 2 2 5 5" xfId="9483"/>
    <cellStyle name="Normal 4 2 2 2 5 5 2" xfId="32070"/>
    <cellStyle name="Normal 4 2 2 2 5 6" xfId="25630"/>
    <cellStyle name="Normal 4 2 2 2 6" xfId="3333"/>
    <cellStyle name="Normal 4 2 2 2 6 2" xfId="6553"/>
    <cellStyle name="Normal 4 2 2 2 6 2 2" xfId="22653"/>
    <cellStyle name="Normal 4 2 2 2 6 2 2 2" xfId="45240"/>
    <cellStyle name="Normal 4 2 2 2 6 2 3" xfId="12993"/>
    <cellStyle name="Normal 4 2 2 2 6 2 3 2" xfId="35580"/>
    <cellStyle name="Normal 4 2 2 2 6 2 4" xfId="29140"/>
    <cellStyle name="Normal 4 2 2 2 6 3" xfId="19433"/>
    <cellStyle name="Normal 4 2 2 2 6 3 2" xfId="42020"/>
    <cellStyle name="Normal 4 2 2 2 6 4" xfId="16213"/>
    <cellStyle name="Normal 4 2 2 2 6 4 2" xfId="38800"/>
    <cellStyle name="Normal 4 2 2 2 6 5" xfId="9773"/>
    <cellStyle name="Normal 4 2 2 2 6 5 2" xfId="32360"/>
    <cellStyle name="Normal 4 2 2 2 6 6" xfId="25920"/>
    <cellStyle name="Normal 4 2 2 2 7" xfId="704"/>
    <cellStyle name="Normal 4 2 2 2 7 2" xfId="3948"/>
    <cellStyle name="Normal 4 2 2 2 7 2 2" xfId="20048"/>
    <cellStyle name="Normal 4 2 2 2 7 2 2 2" xfId="42635"/>
    <cellStyle name="Normal 4 2 2 2 7 2 3" xfId="10388"/>
    <cellStyle name="Normal 4 2 2 2 7 2 3 2" xfId="32975"/>
    <cellStyle name="Normal 4 2 2 2 7 2 4" xfId="26535"/>
    <cellStyle name="Normal 4 2 2 2 7 3" xfId="16828"/>
    <cellStyle name="Normal 4 2 2 2 7 3 2" xfId="39415"/>
    <cellStyle name="Normal 4 2 2 2 7 4" xfId="13608"/>
    <cellStyle name="Normal 4 2 2 2 7 4 2" xfId="36195"/>
    <cellStyle name="Normal 4 2 2 2 7 5" xfId="7168"/>
    <cellStyle name="Normal 4 2 2 2 7 5 2" xfId="29755"/>
    <cellStyle name="Normal 4 2 2 2 7 6" xfId="23315"/>
    <cellStyle name="Normal 4 2 2 2 8" xfId="3623"/>
    <cellStyle name="Normal 4 2 2 2 8 2" xfId="19723"/>
    <cellStyle name="Normal 4 2 2 2 8 2 2" xfId="42310"/>
    <cellStyle name="Normal 4 2 2 2 8 3" xfId="10063"/>
    <cellStyle name="Normal 4 2 2 2 8 3 2" xfId="32650"/>
    <cellStyle name="Normal 4 2 2 2 8 4" xfId="26210"/>
    <cellStyle name="Normal 4 2 2 2 9" xfId="16503"/>
    <cellStyle name="Normal 4 2 2 2 9 2" xfId="39090"/>
    <cellStyle name="Normal 4 2 2 3" xfId="432"/>
    <cellStyle name="Normal 4 2 2 3 10" xfId="23086"/>
    <cellStyle name="Normal 4 2 2 3 2" xfId="2266"/>
    <cellStyle name="Normal 4 2 2 3 2 2" xfId="5487"/>
    <cellStyle name="Normal 4 2 2 3 2 2 2" xfId="21587"/>
    <cellStyle name="Normal 4 2 2 3 2 2 2 2" xfId="44174"/>
    <cellStyle name="Normal 4 2 2 3 2 2 3" xfId="11927"/>
    <cellStyle name="Normal 4 2 2 3 2 2 3 2" xfId="34514"/>
    <cellStyle name="Normal 4 2 2 3 2 2 4" xfId="28074"/>
    <cellStyle name="Normal 4 2 2 3 2 3" xfId="18367"/>
    <cellStyle name="Normal 4 2 2 3 2 3 2" xfId="40954"/>
    <cellStyle name="Normal 4 2 2 3 2 4" xfId="15147"/>
    <cellStyle name="Normal 4 2 2 3 2 4 2" xfId="37734"/>
    <cellStyle name="Normal 4 2 2 3 2 5" xfId="8707"/>
    <cellStyle name="Normal 4 2 2 3 2 5 2" xfId="31294"/>
    <cellStyle name="Normal 4 2 2 3 2 6" xfId="24854"/>
    <cellStyle name="Normal 4 2 2 3 3" xfId="3139"/>
    <cellStyle name="Normal 4 2 2 3 3 2" xfId="6359"/>
    <cellStyle name="Normal 4 2 2 3 3 2 2" xfId="22459"/>
    <cellStyle name="Normal 4 2 2 3 3 2 2 2" xfId="45046"/>
    <cellStyle name="Normal 4 2 2 3 3 2 3" xfId="12799"/>
    <cellStyle name="Normal 4 2 2 3 3 2 3 2" xfId="35386"/>
    <cellStyle name="Normal 4 2 2 3 3 2 4" xfId="28946"/>
    <cellStyle name="Normal 4 2 2 3 3 3" xfId="19239"/>
    <cellStyle name="Normal 4 2 2 3 3 3 2" xfId="41826"/>
    <cellStyle name="Normal 4 2 2 3 3 4" xfId="16019"/>
    <cellStyle name="Normal 4 2 2 3 3 4 2" xfId="38606"/>
    <cellStyle name="Normal 4 2 2 3 3 5" xfId="9579"/>
    <cellStyle name="Normal 4 2 2 3 3 5 2" xfId="32166"/>
    <cellStyle name="Normal 4 2 2 3 3 6" xfId="25726"/>
    <cellStyle name="Normal 4 2 2 3 4" xfId="3429"/>
    <cellStyle name="Normal 4 2 2 3 4 2" xfId="6649"/>
    <cellStyle name="Normal 4 2 2 3 4 2 2" xfId="22749"/>
    <cellStyle name="Normal 4 2 2 3 4 2 2 2" xfId="45336"/>
    <cellStyle name="Normal 4 2 2 3 4 2 3" xfId="13089"/>
    <cellStyle name="Normal 4 2 2 3 4 2 3 2" xfId="35676"/>
    <cellStyle name="Normal 4 2 2 3 4 2 4" xfId="29236"/>
    <cellStyle name="Normal 4 2 2 3 4 3" xfId="19529"/>
    <cellStyle name="Normal 4 2 2 3 4 3 2" xfId="42116"/>
    <cellStyle name="Normal 4 2 2 3 4 4" xfId="16309"/>
    <cellStyle name="Normal 4 2 2 3 4 4 2" xfId="38896"/>
    <cellStyle name="Normal 4 2 2 3 4 5" xfId="9869"/>
    <cellStyle name="Normal 4 2 2 3 4 5 2" xfId="32456"/>
    <cellStyle name="Normal 4 2 2 3 4 6" xfId="26016"/>
    <cellStyle name="Normal 4 2 2 3 5" xfId="947"/>
    <cellStyle name="Normal 4 2 2 3 5 2" xfId="4179"/>
    <cellStyle name="Normal 4 2 2 3 5 2 2" xfId="20279"/>
    <cellStyle name="Normal 4 2 2 3 5 2 2 2" xfId="42866"/>
    <cellStyle name="Normal 4 2 2 3 5 2 3" xfId="10619"/>
    <cellStyle name="Normal 4 2 2 3 5 2 3 2" xfId="33206"/>
    <cellStyle name="Normal 4 2 2 3 5 2 4" xfId="26766"/>
    <cellStyle name="Normal 4 2 2 3 5 3" xfId="17059"/>
    <cellStyle name="Normal 4 2 2 3 5 3 2" xfId="39646"/>
    <cellStyle name="Normal 4 2 2 3 5 4" xfId="13839"/>
    <cellStyle name="Normal 4 2 2 3 5 4 2" xfId="36426"/>
    <cellStyle name="Normal 4 2 2 3 5 5" xfId="7399"/>
    <cellStyle name="Normal 4 2 2 3 5 5 2" xfId="29986"/>
    <cellStyle name="Normal 4 2 2 3 5 6" xfId="23546"/>
    <cellStyle name="Normal 4 2 2 3 6" xfId="3719"/>
    <cellStyle name="Normal 4 2 2 3 6 2" xfId="19819"/>
    <cellStyle name="Normal 4 2 2 3 6 2 2" xfId="42406"/>
    <cellStyle name="Normal 4 2 2 3 6 3" xfId="10159"/>
    <cellStyle name="Normal 4 2 2 3 6 3 2" xfId="32746"/>
    <cellStyle name="Normal 4 2 2 3 6 4" xfId="26306"/>
    <cellStyle name="Normal 4 2 2 3 7" xfId="16599"/>
    <cellStyle name="Normal 4 2 2 3 7 2" xfId="39186"/>
    <cellStyle name="Normal 4 2 2 3 8" xfId="13379"/>
    <cellStyle name="Normal 4 2 2 3 8 2" xfId="35966"/>
    <cellStyle name="Normal 4 2 2 3 9" xfId="6939"/>
    <cellStyle name="Normal 4 2 2 3 9 2" xfId="29526"/>
    <cellStyle name="Normal 4 2 2 4" xfId="1299"/>
    <cellStyle name="Normal 4 2 2 4 2" xfId="2613"/>
    <cellStyle name="Normal 4 2 2 4 2 2" xfId="5834"/>
    <cellStyle name="Normal 4 2 2 4 2 2 2" xfId="21934"/>
    <cellStyle name="Normal 4 2 2 4 2 2 2 2" xfId="44521"/>
    <cellStyle name="Normal 4 2 2 4 2 2 3" xfId="12274"/>
    <cellStyle name="Normal 4 2 2 4 2 2 3 2" xfId="34861"/>
    <cellStyle name="Normal 4 2 2 4 2 2 4" xfId="28421"/>
    <cellStyle name="Normal 4 2 2 4 2 3" xfId="18714"/>
    <cellStyle name="Normal 4 2 2 4 2 3 2" xfId="41301"/>
    <cellStyle name="Normal 4 2 2 4 2 4" xfId="15494"/>
    <cellStyle name="Normal 4 2 2 4 2 4 2" xfId="38081"/>
    <cellStyle name="Normal 4 2 2 4 2 5" xfId="9054"/>
    <cellStyle name="Normal 4 2 2 4 2 5 2" xfId="31641"/>
    <cellStyle name="Normal 4 2 2 4 2 6" xfId="25201"/>
    <cellStyle name="Normal 4 2 2 4 3" xfId="4526"/>
    <cellStyle name="Normal 4 2 2 4 3 2" xfId="20626"/>
    <cellStyle name="Normal 4 2 2 4 3 2 2" xfId="43213"/>
    <cellStyle name="Normal 4 2 2 4 3 3" xfId="10966"/>
    <cellStyle name="Normal 4 2 2 4 3 3 2" xfId="33553"/>
    <cellStyle name="Normal 4 2 2 4 3 4" xfId="27113"/>
    <cellStyle name="Normal 4 2 2 4 4" xfId="17406"/>
    <cellStyle name="Normal 4 2 2 4 4 2" xfId="39993"/>
    <cellStyle name="Normal 4 2 2 4 5" xfId="14186"/>
    <cellStyle name="Normal 4 2 2 4 5 2" xfId="36773"/>
    <cellStyle name="Normal 4 2 2 4 6" xfId="7746"/>
    <cellStyle name="Normal 4 2 2 4 6 2" xfId="30333"/>
    <cellStyle name="Normal 4 2 2 4 7" xfId="23893"/>
    <cellStyle name="Normal 4 2 2 5" xfId="1682"/>
    <cellStyle name="Normal 4 2 2 5 2" xfId="4905"/>
    <cellStyle name="Normal 4 2 2 5 2 2" xfId="21005"/>
    <cellStyle name="Normal 4 2 2 5 2 2 2" xfId="43592"/>
    <cellStyle name="Normal 4 2 2 5 2 3" xfId="11345"/>
    <cellStyle name="Normal 4 2 2 5 2 3 2" xfId="33932"/>
    <cellStyle name="Normal 4 2 2 5 2 4" xfId="27492"/>
    <cellStyle name="Normal 4 2 2 5 3" xfId="17785"/>
    <cellStyle name="Normal 4 2 2 5 3 2" xfId="40372"/>
    <cellStyle name="Normal 4 2 2 5 4" xfId="14565"/>
    <cellStyle name="Normal 4 2 2 5 4 2" xfId="37152"/>
    <cellStyle name="Normal 4 2 2 5 5" xfId="8125"/>
    <cellStyle name="Normal 4 2 2 5 5 2" xfId="30712"/>
    <cellStyle name="Normal 4 2 2 5 6" xfId="24272"/>
    <cellStyle name="Normal 4 2 2 6" xfId="1918"/>
    <cellStyle name="Normal 4 2 2 6 2" xfId="5140"/>
    <cellStyle name="Normal 4 2 2 6 2 2" xfId="21240"/>
    <cellStyle name="Normal 4 2 2 6 2 2 2" xfId="43827"/>
    <cellStyle name="Normal 4 2 2 6 2 3" xfId="11580"/>
    <cellStyle name="Normal 4 2 2 6 2 3 2" xfId="34167"/>
    <cellStyle name="Normal 4 2 2 6 2 4" xfId="27727"/>
    <cellStyle name="Normal 4 2 2 6 3" xfId="18020"/>
    <cellStyle name="Normal 4 2 2 6 3 2" xfId="40607"/>
    <cellStyle name="Normal 4 2 2 6 4" xfId="14800"/>
    <cellStyle name="Normal 4 2 2 6 4 2" xfId="37387"/>
    <cellStyle name="Normal 4 2 2 6 5" xfId="8360"/>
    <cellStyle name="Normal 4 2 2 6 5 2" xfId="30947"/>
    <cellStyle name="Normal 4 2 2 6 6" xfId="24507"/>
    <cellStyle name="Normal 4 2 2 7" xfId="2945"/>
    <cellStyle name="Normal 4 2 2 7 2" xfId="6166"/>
    <cellStyle name="Normal 4 2 2 7 2 2" xfId="22266"/>
    <cellStyle name="Normal 4 2 2 7 2 2 2" xfId="44853"/>
    <cellStyle name="Normal 4 2 2 7 2 3" xfId="12606"/>
    <cellStyle name="Normal 4 2 2 7 2 3 2" xfId="35193"/>
    <cellStyle name="Normal 4 2 2 7 2 4" xfId="28753"/>
    <cellStyle name="Normal 4 2 2 7 3" xfId="19046"/>
    <cellStyle name="Normal 4 2 2 7 3 2" xfId="41633"/>
    <cellStyle name="Normal 4 2 2 7 4" xfId="15826"/>
    <cellStyle name="Normal 4 2 2 7 4 2" xfId="38413"/>
    <cellStyle name="Normal 4 2 2 7 5" xfId="9386"/>
    <cellStyle name="Normal 4 2 2 7 5 2" xfId="31973"/>
    <cellStyle name="Normal 4 2 2 7 6" xfId="25533"/>
    <cellStyle name="Normal 4 2 2 8" xfId="3236"/>
    <cellStyle name="Normal 4 2 2 8 2" xfId="6456"/>
    <cellStyle name="Normal 4 2 2 8 2 2" xfId="22556"/>
    <cellStyle name="Normal 4 2 2 8 2 2 2" xfId="45143"/>
    <cellStyle name="Normal 4 2 2 8 2 3" xfId="12896"/>
    <cellStyle name="Normal 4 2 2 8 2 3 2" xfId="35483"/>
    <cellStyle name="Normal 4 2 2 8 2 4" xfId="29043"/>
    <cellStyle name="Normal 4 2 2 8 3" xfId="19336"/>
    <cellStyle name="Normal 4 2 2 8 3 2" xfId="41923"/>
    <cellStyle name="Normal 4 2 2 8 4" xfId="16116"/>
    <cellStyle name="Normal 4 2 2 8 4 2" xfId="38703"/>
    <cellStyle name="Normal 4 2 2 8 5" xfId="9676"/>
    <cellStyle name="Normal 4 2 2 8 5 2" xfId="32263"/>
    <cellStyle name="Normal 4 2 2 8 6" xfId="25823"/>
    <cellStyle name="Normal 4 2 2 9" xfId="545"/>
    <cellStyle name="Normal 4 2 2 9 2" xfId="3832"/>
    <cellStyle name="Normal 4 2 2 9 2 2" xfId="19932"/>
    <cellStyle name="Normal 4 2 2 9 2 2 2" xfId="42519"/>
    <cellStyle name="Normal 4 2 2 9 2 3" xfId="10272"/>
    <cellStyle name="Normal 4 2 2 9 2 3 2" xfId="32859"/>
    <cellStyle name="Normal 4 2 2 9 2 4" xfId="26419"/>
    <cellStyle name="Normal 4 2 2 9 3" xfId="16712"/>
    <cellStyle name="Normal 4 2 2 9 3 2" xfId="39299"/>
    <cellStyle name="Normal 4 2 2 9 4" xfId="13492"/>
    <cellStyle name="Normal 4 2 2 9 4 2" xfId="36079"/>
    <cellStyle name="Normal 4 2 2 9 5" xfId="7052"/>
    <cellStyle name="Normal 4 2 2 9 5 2" xfId="29639"/>
    <cellStyle name="Normal 4 2 2 9 6" xfId="23199"/>
    <cellStyle name="Normal 4 2 3" xfId="312"/>
    <cellStyle name="Normal 4 2 3 10" xfId="16479"/>
    <cellStyle name="Normal 4 2 3 10 2" xfId="39066"/>
    <cellStyle name="Normal 4 2 3 11" xfId="13259"/>
    <cellStyle name="Normal 4 2 3 11 2" xfId="35846"/>
    <cellStyle name="Normal 4 2 3 12" xfId="6819"/>
    <cellStyle name="Normal 4 2 3 12 2" xfId="29406"/>
    <cellStyle name="Normal 4 2 3 13" xfId="22966"/>
    <cellStyle name="Normal 4 2 3 2" xfId="977"/>
    <cellStyle name="Normal 4 2 3 2 2" xfId="2295"/>
    <cellStyle name="Normal 4 2 3 2 2 2" xfId="5516"/>
    <cellStyle name="Normal 4 2 3 2 2 2 2" xfId="21616"/>
    <cellStyle name="Normal 4 2 3 2 2 2 2 2" xfId="44203"/>
    <cellStyle name="Normal 4 2 3 2 2 2 3" xfId="11956"/>
    <cellStyle name="Normal 4 2 3 2 2 2 3 2" xfId="34543"/>
    <cellStyle name="Normal 4 2 3 2 2 2 4" xfId="28103"/>
    <cellStyle name="Normal 4 2 3 2 2 3" xfId="18396"/>
    <cellStyle name="Normal 4 2 3 2 2 3 2" xfId="40983"/>
    <cellStyle name="Normal 4 2 3 2 2 4" xfId="15176"/>
    <cellStyle name="Normal 4 2 3 2 2 4 2" xfId="37763"/>
    <cellStyle name="Normal 4 2 3 2 2 5" xfId="8736"/>
    <cellStyle name="Normal 4 2 3 2 2 5 2" xfId="31323"/>
    <cellStyle name="Normal 4 2 3 2 2 6" xfId="24883"/>
    <cellStyle name="Normal 4 2 3 2 3" xfId="4208"/>
    <cellStyle name="Normal 4 2 3 2 3 2" xfId="20308"/>
    <cellStyle name="Normal 4 2 3 2 3 2 2" xfId="42895"/>
    <cellStyle name="Normal 4 2 3 2 3 3" xfId="10648"/>
    <cellStyle name="Normal 4 2 3 2 3 3 2" xfId="33235"/>
    <cellStyle name="Normal 4 2 3 2 3 4" xfId="26795"/>
    <cellStyle name="Normal 4 2 3 2 4" xfId="17088"/>
    <cellStyle name="Normal 4 2 3 2 4 2" xfId="39675"/>
    <cellStyle name="Normal 4 2 3 2 5" xfId="13868"/>
    <cellStyle name="Normal 4 2 3 2 5 2" xfId="36455"/>
    <cellStyle name="Normal 4 2 3 2 6" xfId="7428"/>
    <cellStyle name="Normal 4 2 3 2 6 2" xfId="30015"/>
    <cellStyle name="Normal 4 2 3 2 7" xfId="23575"/>
    <cellStyle name="Normal 4 2 3 3" xfId="1328"/>
    <cellStyle name="Normal 4 2 3 3 2" xfId="2642"/>
    <cellStyle name="Normal 4 2 3 3 2 2" xfId="5863"/>
    <cellStyle name="Normal 4 2 3 3 2 2 2" xfId="21963"/>
    <cellStyle name="Normal 4 2 3 3 2 2 2 2" xfId="44550"/>
    <cellStyle name="Normal 4 2 3 3 2 2 3" xfId="12303"/>
    <cellStyle name="Normal 4 2 3 3 2 2 3 2" xfId="34890"/>
    <cellStyle name="Normal 4 2 3 3 2 2 4" xfId="28450"/>
    <cellStyle name="Normal 4 2 3 3 2 3" xfId="18743"/>
    <cellStyle name="Normal 4 2 3 3 2 3 2" xfId="41330"/>
    <cellStyle name="Normal 4 2 3 3 2 4" xfId="15523"/>
    <cellStyle name="Normal 4 2 3 3 2 4 2" xfId="38110"/>
    <cellStyle name="Normal 4 2 3 3 2 5" xfId="9083"/>
    <cellStyle name="Normal 4 2 3 3 2 5 2" xfId="31670"/>
    <cellStyle name="Normal 4 2 3 3 2 6" xfId="25230"/>
    <cellStyle name="Normal 4 2 3 3 3" xfId="4555"/>
    <cellStyle name="Normal 4 2 3 3 3 2" xfId="20655"/>
    <cellStyle name="Normal 4 2 3 3 3 2 2" xfId="43242"/>
    <cellStyle name="Normal 4 2 3 3 3 3" xfId="10995"/>
    <cellStyle name="Normal 4 2 3 3 3 3 2" xfId="33582"/>
    <cellStyle name="Normal 4 2 3 3 3 4" xfId="27142"/>
    <cellStyle name="Normal 4 2 3 3 4" xfId="17435"/>
    <cellStyle name="Normal 4 2 3 3 4 2" xfId="40022"/>
    <cellStyle name="Normal 4 2 3 3 5" xfId="14215"/>
    <cellStyle name="Normal 4 2 3 3 5 2" xfId="36802"/>
    <cellStyle name="Normal 4 2 3 3 6" xfId="7775"/>
    <cellStyle name="Normal 4 2 3 3 6 2" xfId="30362"/>
    <cellStyle name="Normal 4 2 3 3 7" xfId="23922"/>
    <cellStyle name="Normal 4 2 3 4" xfId="1683"/>
    <cellStyle name="Normal 4 2 3 4 2" xfId="4906"/>
    <cellStyle name="Normal 4 2 3 4 2 2" xfId="21006"/>
    <cellStyle name="Normal 4 2 3 4 2 2 2" xfId="43593"/>
    <cellStyle name="Normal 4 2 3 4 2 3" xfId="11346"/>
    <cellStyle name="Normal 4 2 3 4 2 3 2" xfId="33933"/>
    <cellStyle name="Normal 4 2 3 4 2 4" xfId="27493"/>
    <cellStyle name="Normal 4 2 3 4 3" xfId="17786"/>
    <cellStyle name="Normal 4 2 3 4 3 2" xfId="40373"/>
    <cellStyle name="Normal 4 2 3 4 4" xfId="14566"/>
    <cellStyle name="Normal 4 2 3 4 4 2" xfId="37153"/>
    <cellStyle name="Normal 4 2 3 4 5" xfId="8126"/>
    <cellStyle name="Normal 4 2 3 4 5 2" xfId="30713"/>
    <cellStyle name="Normal 4 2 3 4 6" xfId="24273"/>
    <cellStyle name="Normal 4 2 3 5" xfId="1947"/>
    <cellStyle name="Normal 4 2 3 5 2" xfId="5169"/>
    <cellStyle name="Normal 4 2 3 5 2 2" xfId="21269"/>
    <cellStyle name="Normal 4 2 3 5 2 2 2" xfId="43856"/>
    <cellStyle name="Normal 4 2 3 5 2 3" xfId="11609"/>
    <cellStyle name="Normal 4 2 3 5 2 3 2" xfId="34196"/>
    <cellStyle name="Normal 4 2 3 5 2 4" xfId="27756"/>
    <cellStyle name="Normal 4 2 3 5 3" xfId="18049"/>
    <cellStyle name="Normal 4 2 3 5 3 2" xfId="40636"/>
    <cellStyle name="Normal 4 2 3 5 4" xfId="14829"/>
    <cellStyle name="Normal 4 2 3 5 4 2" xfId="37416"/>
    <cellStyle name="Normal 4 2 3 5 5" xfId="8389"/>
    <cellStyle name="Normal 4 2 3 5 5 2" xfId="30976"/>
    <cellStyle name="Normal 4 2 3 5 6" xfId="24536"/>
    <cellStyle name="Normal 4 2 3 6" xfId="3019"/>
    <cellStyle name="Normal 4 2 3 6 2" xfId="6239"/>
    <cellStyle name="Normal 4 2 3 6 2 2" xfId="22339"/>
    <cellStyle name="Normal 4 2 3 6 2 2 2" xfId="44926"/>
    <cellStyle name="Normal 4 2 3 6 2 3" xfId="12679"/>
    <cellStyle name="Normal 4 2 3 6 2 3 2" xfId="35266"/>
    <cellStyle name="Normal 4 2 3 6 2 4" xfId="28826"/>
    <cellStyle name="Normal 4 2 3 6 3" xfId="19119"/>
    <cellStyle name="Normal 4 2 3 6 3 2" xfId="41706"/>
    <cellStyle name="Normal 4 2 3 6 4" xfId="15899"/>
    <cellStyle name="Normal 4 2 3 6 4 2" xfId="38486"/>
    <cellStyle name="Normal 4 2 3 6 5" xfId="9459"/>
    <cellStyle name="Normal 4 2 3 6 5 2" xfId="32046"/>
    <cellStyle name="Normal 4 2 3 6 6" xfId="25606"/>
    <cellStyle name="Normal 4 2 3 7" xfId="3309"/>
    <cellStyle name="Normal 4 2 3 7 2" xfId="6529"/>
    <cellStyle name="Normal 4 2 3 7 2 2" xfId="22629"/>
    <cellStyle name="Normal 4 2 3 7 2 2 2" xfId="45216"/>
    <cellStyle name="Normal 4 2 3 7 2 3" xfId="12969"/>
    <cellStyle name="Normal 4 2 3 7 2 3 2" xfId="35556"/>
    <cellStyle name="Normal 4 2 3 7 2 4" xfId="29116"/>
    <cellStyle name="Normal 4 2 3 7 3" xfId="19409"/>
    <cellStyle name="Normal 4 2 3 7 3 2" xfId="41996"/>
    <cellStyle name="Normal 4 2 3 7 4" xfId="16189"/>
    <cellStyle name="Normal 4 2 3 7 4 2" xfId="38776"/>
    <cellStyle name="Normal 4 2 3 7 5" xfId="9749"/>
    <cellStyle name="Normal 4 2 3 7 5 2" xfId="32336"/>
    <cellStyle name="Normal 4 2 3 7 6" xfId="25896"/>
    <cellStyle name="Normal 4 2 3 8" xfId="592"/>
    <cellStyle name="Normal 4 2 3 8 2" xfId="3861"/>
    <cellStyle name="Normal 4 2 3 8 2 2" xfId="19961"/>
    <cellStyle name="Normal 4 2 3 8 2 2 2" xfId="42548"/>
    <cellStyle name="Normal 4 2 3 8 2 3" xfId="10301"/>
    <cellStyle name="Normal 4 2 3 8 2 3 2" xfId="32888"/>
    <cellStyle name="Normal 4 2 3 8 2 4" xfId="26448"/>
    <cellStyle name="Normal 4 2 3 8 3" xfId="16741"/>
    <cellStyle name="Normal 4 2 3 8 3 2" xfId="39328"/>
    <cellStyle name="Normal 4 2 3 8 4" xfId="13521"/>
    <cellStyle name="Normal 4 2 3 8 4 2" xfId="36108"/>
    <cellStyle name="Normal 4 2 3 8 5" xfId="7081"/>
    <cellStyle name="Normal 4 2 3 8 5 2" xfId="29668"/>
    <cellStyle name="Normal 4 2 3 8 6" xfId="23228"/>
    <cellStyle name="Normal 4 2 3 9" xfId="3599"/>
    <cellStyle name="Normal 4 2 3 9 2" xfId="19699"/>
    <cellStyle name="Normal 4 2 3 9 2 2" xfId="42286"/>
    <cellStyle name="Normal 4 2 3 9 3" xfId="10039"/>
    <cellStyle name="Normal 4 2 3 9 3 2" xfId="32626"/>
    <cellStyle name="Normal 4 2 3 9 4" xfId="26186"/>
    <cellStyle name="Normal 4 2 4" xfId="408"/>
    <cellStyle name="Normal 4 2 4 10" xfId="13355"/>
    <cellStyle name="Normal 4 2 4 10 2" xfId="35942"/>
    <cellStyle name="Normal 4 2 4 11" xfId="6915"/>
    <cellStyle name="Normal 4 2 4 11 2" xfId="29502"/>
    <cellStyle name="Normal 4 2 4 12" xfId="23062"/>
    <cellStyle name="Normal 4 2 4 2" xfId="1152"/>
    <cellStyle name="Normal 4 2 4 2 2" xfId="2466"/>
    <cellStyle name="Normal 4 2 4 2 2 2" xfId="5687"/>
    <cellStyle name="Normal 4 2 4 2 2 2 2" xfId="21787"/>
    <cellStyle name="Normal 4 2 4 2 2 2 2 2" xfId="44374"/>
    <cellStyle name="Normal 4 2 4 2 2 2 3" xfId="12127"/>
    <cellStyle name="Normal 4 2 4 2 2 2 3 2" xfId="34714"/>
    <cellStyle name="Normal 4 2 4 2 2 2 4" xfId="28274"/>
    <cellStyle name="Normal 4 2 4 2 2 3" xfId="18567"/>
    <cellStyle name="Normal 4 2 4 2 2 3 2" xfId="41154"/>
    <cellStyle name="Normal 4 2 4 2 2 4" xfId="15347"/>
    <cellStyle name="Normal 4 2 4 2 2 4 2" xfId="37934"/>
    <cellStyle name="Normal 4 2 4 2 2 5" xfId="8907"/>
    <cellStyle name="Normal 4 2 4 2 2 5 2" xfId="31494"/>
    <cellStyle name="Normal 4 2 4 2 2 6" xfId="25054"/>
    <cellStyle name="Normal 4 2 4 2 3" xfId="4379"/>
    <cellStyle name="Normal 4 2 4 2 3 2" xfId="20479"/>
    <cellStyle name="Normal 4 2 4 2 3 2 2" xfId="43066"/>
    <cellStyle name="Normal 4 2 4 2 3 3" xfId="10819"/>
    <cellStyle name="Normal 4 2 4 2 3 3 2" xfId="33406"/>
    <cellStyle name="Normal 4 2 4 2 3 4" xfId="26966"/>
    <cellStyle name="Normal 4 2 4 2 4" xfId="17259"/>
    <cellStyle name="Normal 4 2 4 2 4 2" xfId="39846"/>
    <cellStyle name="Normal 4 2 4 2 5" xfId="14039"/>
    <cellStyle name="Normal 4 2 4 2 5 2" xfId="36626"/>
    <cellStyle name="Normal 4 2 4 2 6" xfId="7599"/>
    <cellStyle name="Normal 4 2 4 2 6 2" xfId="30186"/>
    <cellStyle name="Normal 4 2 4 2 7" xfId="23746"/>
    <cellStyle name="Normal 4 2 4 3" xfId="1499"/>
    <cellStyle name="Normal 4 2 4 3 2" xfId="2813"/>
    <cellStyle name="Normal 4 2 4 3 2 2" xfId="6034"/>
    <cellStyle name="Normal 4 2 4 3 2 2 2" xfId="22134"/>
    <cellStyle name="Normal 4 2 4 3 2 2 2 2" xfId="44721"/>
    <cellStyle name="Normal 4 2 4 3 2 2 3" xfId="12474"/>
    <cellStyle name="Normal 4 2 4 3 2 2 3 2" xfId="35061"/>
    <cellStyle name="Normal 4 2 4 3 2 2 4" xfId="28621"/>
    <cellStyle name="Normal 4 2 4 3 2 3" xfId="18914"/>
    <cellStyle name="Normal 4 2 4 3 2 3 2" xfId="41501"/>
    <cellStyle name="Normal 4 2 4 3 2 4" xfId="15694"/>
    <cellStyle name="Normal 4 2 4 3 2 4 2" xfId="38281"/>
    <cellStyle name="Normal 4 2 4 3 2 5" xfId="9254"/>
    <cellStyle name="Normal 4 2 4 3 2 5 2" xfId="31841"/>
    <cellStyle name="Normal 4 2 4 3 2 6" xfId="25401"/>
    <cellStyle name="Normal 4 2 4 3 3" xfId="4726"/>
    <cellStyle name="Normal 4 2 4 3 3 2" xfId="20826"/>
    <cellStyle name="Normal 4 2 4 3 3 2 2" xfId="43413"/>
    <cellStyle name="Normal 4 2 4 3 3 3" xfId="11166"/>
    <cellStyle name="Normal 4 2 4 3 3 3 2" xfId="33753"/>
    <cellStyle name="Normal 4 2 4 3 3 4" xfId="27313"/>
    <cellStyle name="Normal 4 2 4 3 4" xfId="17606"/>
    <cellStyle name="Normal 4 2 4 3 4 2" xfId="40193"/>
    <cellStyle name="Normal 4 2 4 3 5" xfId="14386"/>
    <cellStyle name="Normal 4 2 4 3 5 2" xfId="36973"/>
    <cellStyle name="Normal 4 2 4 3 6" xfId="7946"/>
    <cellStyle name="Normal 4 2 4 3 6 2" xfId="30533"/>
    <cellStyle name="Normal 4 2 4 3 7" xfId="24093"/>
    <cellStyle name="Normal 4 2 4 4" xfId="2119"/>
    <cellStyle name="Normal 4 2 4 4 2" xfId="5340"/>
    <cellStyle name="Normal 4 2 4 4 2 2" xfId="21440"/>
    <cellStyle name="Normal 4 2 4 4 2 2 2" xfId="44027"/>
    <cellStyle name="Normal 4 2 4 4 2 3" xfId="11780"/>
    <cellStyle name="Normal 4 2 4 4 2 3 2" xfId="34367"/>
    <cellStyle name="Normal 4 2 4 4 2 4" xfId="27927"/>
    <cellStyle name="Normal 4 2 4 4 3" xfId="18220"/>
    <cellStyle name="Normal 4 2 4 4 3 2" xfId="40807"/>
    <cellStyle name="Normal 4 2 4 4 4" xfId="15000"/>
    <cellStyle name="Normal 4 2 4 4 4 2" xfId="37587"/>
    <cellStyle name="Normal 4 2 4 4 5" xfId="8560"/>
    <cellStyle name="Normal 4 2 4 4 5 2" xfId="31147"/>
    <cellStyle name="Normal 4 2 4 4 6" xfId="24707"/>
    <cellStyle name="Normal 4 2 4 5" xfId="3115"/>
    <cellStyle name="Normal 4 2 4 5 2" xfId="6335"/>
    <cellStyle name="Normal 4 2 4 5 2 2" xfId="22435"/>
    <cellStyle name="Normal 4 2 4 5 2 2 2" xfId="45022"/>
    <cellStyle name="Normal 4 2 4 5 2 3" xfId="12775"/>
    <cellStyle name="Normal 4 2 4 5 2 3 2" xfId="35362"/>
    <cellStyle name="Normal 4 2 4 5 2 4" xfId="28922"/>
    <cellStyle name="Normal 4 2 4 5 3" xfId="19215"/>
    <cellStyle name="Normal 4 2 4 5 3 2" xfId="41802"/>
    <cellStyle name="Normal 4 2 4 5 4" xfId="15995"/>
    <cellStyle name="Normal 4 2 4 5 4 2" xfId="38582"/>
    <cellStyle name="Normal 4 2 4 5 5" xfId="9555"/>
    <cellStyle name="Normal 4 2 4 5 5 2" xfId="32142"/>
    <cellStyle name="Normal 4 2 4 5 6" xfId="25702"/>
    <cellStyle name="Normal 4 2 4 6" xfId="3405"/>
    <cellStyle name="Normal 4 2 4 6 2" xfId="6625"/>
    <cellStyle name="Normal 4 2 4 6 2 2" xfId="22725"/>
    <cellStyle name="Normal 4 2 4 6 2 2 2" xfId="45312"/>
    <cellStyle name="Normal 4 2 4 6 2 3" xfId="13065"/>
    <cellStyle name="Normal 4 2 4 6 2 3 2" xfId="35652"/>
    <cellStyle name="Normal 4 2 4 6 2 4" xfId="29212"/>
    <cellStyle name="Normal 4 2 4 6 3" xfId="19505"/>
    <cellStyle name="Normal 4 2 4 6 3 2" xfId="42092"/>
    <cellStyle name="Normal 4 2 4 6 4" xfId="16285"/>
    <cellStyle name="Normal 4 2 4 6 4 2" xfId="38872"/>
    <cellStyle name="Normal 4 2 4 6 5" xfId="9845"/>
    <cellStyle name="Normal 4 2 4 6 5 2" xfId="32432"/>
    <cellStyle name="Normal 4 2 4 6 6" xfId="25992"/>
    <cellStyle name="Normal 4 2 4 7" xfId="800"/>
    <cellStyle name="Normal 4 2 4 7 2" xfId="4032"/>
    <cellStyle name="Normal 4 2 4 7 2 2" xfId="20132"/>
    <cellStyle name="Normal 4 2 4 7 2 2 2" xfId="42719"/>
    <cellStyle name="Normal 4 2 4 7 2 3" xfId="10472"/>
    <cellStyle name="Normal 4 2 4 7 2 3 2" xfId="33059"/>
    <cellStyle name="Normal 4 2 4 7 2 4" xfId="26619"/>
    <cellStyle name="Normal 4 2 4 7 3" xfId="16912"/>
    <cellStyle name="Normal 4 2 4 7 3 2" xfId="39499"/>
    <cellStyle name="Normal 4 2 4 7 4" xfId="13692"/>
    <cellStyle name="Normal 4 2 4 7 4 2" xfId="36279"/>
    <cellStyle name="Normal 4 2 4 7 5" xfId="7252"/>
    <cellStyle name="Normal 4 2 4 7 5 2" xfId="29839"/>
    <cellStyle name="Normal 4 2 4 7 6" xfId="23399"/>
    <cellStyle name="Normal 4 2 4 8" xfId="3695"/>
    <cellStyle name="Normal 4 2 4 8 2" xfId="19795"/>
    <cellStyle name="Normal 4 2 4 8 2 2" xfId="42382"/>
    <cellStyle name="Normal 4 2 4 8 3" xfId="10135"/>
    <cellStyle name="Normal 4 2 4 8 3 2" xfId="32722"/>
    <cellStyle name="Normal 4 2 4 8 4" xfId="26282"/>
    <cellStyle name="Normal 4 2 4 9" xfId="16575"/>
    <cellStyle name="Normal 4 2 4 9 2" xfId="39162"/>
    <cellStyle name="Normal 4 2 5" xfId="907"/>
    <cellStyle name="Normal 4 2 5 2" xfId="2226"/>
    <cellStyle name="Normal 4 2 5 2 2" xfId="5447"/>
    <cellStyle name="Normal 4 2 5 2 2 2" xfId="21547"/>
    <cellStyle name="Normal 4 2 5 2 2 2 2" xfId="44134"/>
    <cellStyle name="Normal 4 2 5 2 2 3" xfId="11887"/>
    <cellStyle name="Normal 4 2 5 2 2 3 2" xfId="34474"/>
    <cellStyle name="Normal 4 2 5 2 2 4" xfId="28034"/>
    <cellStyle name="Normal 4 2 5 2 3" xfId="18327"/>
    <cellStyle name="Normal 4 2 5 2 3 2" xfId="40914"/>
    <cellStyle name="Normal 4 2 5 2 4" xfId="15107"/>
    <cellStyle name="Normal 4 2 5 2 4 2" xfId="37694"/>
    <cellStyle name="Normal 4 2 5 2 5" xfId="8667"/>
    <cellStyle name="Normal 4 2 5 2 5 2" xfId="31254"/>
    <cellStyle name="Normal 4 2 5 2 6" xfId="24814"/>
    <cellStyle name="Normal 4 2 5 3" xfId="4139"/>
    <cellStyle name="Normal 4 2 5 3 2" xfId="20239"/>
    <cellStyle name="Normal 4 2 5 3 2 2" xfId="42826"/>
    <cellStyle name="Normal 4 2 5 3 3" xfId="10579"/>
    <cellStyle name="Normal 4 2 5 3 3 2" xfId="33166"/>
    <cellStyle name="Normal 4 2 5 3 4" xfId="26726"/>
    <cellStyle name="Normal 4 2 5 4" xfId="17019"/>
    <cellStyle name="Normal 4 2 5 4 2" xfId="39606"/>
    <cellStyle name="Normal 4 2 5 5" xfId="13799"/>
    <cellStyle name="Normal 4 2 5 5 2" xfId="36386"/>
    <cellStyle name="Normal 4 2 5 6" xfId="7359"/>
    <cellStyle name="Normal 4 2 5 6 2" xfId="29946"/>
    <cellStyle name="Normal 4 2 5 7" xfId="23506"/>
    <cellStyle name="Normal 4 2 6" xfId="1259"/>
    <cellStyle name="Normal 4 2 6 2" xfId="2573"/>
    <cellStyle name="Normal 4 2 6 2 2" xfId="5794"/>
    <cellStyle name="Normal 4 2 6 2 2 2" xfId="21894"/>
    <cellStyle name="Normal 4 2 6 2 2 2 2" xfId="44481"/>
    <cellStyle name="Normal 4 2 6 2 2 3" xfId="12234"/>
    <cellStyle name="Normal 4 2 6 2 2 3 2" xfId="34821"/>
    <cellStyle name="Normal 4 2 6 2 2 4" xfId="28381"/>
    <cellStyle name="Normal 4 2 6 2 3" xfId="18674"/>
    <cellStyle name="Normal 4 2 6 2 3 2" xfId="41261"/>
    <cellStyle name="Normal 4 2 6 2 4" xfId="15454"/>
    <cellStyle name="Normal 4 2 6 2 4 2" xfId="38041"/>
    <cellStyle name="Normal 4 2 6 2 5" xfId="9014"/>
    <cellStyle name="Normal 4 2 6 2 5 2" xfId="31601"/>
    <cellStyle name="Normal 4 2 6 2 6" xfId="25161"/>
    <cellStyle name="Normal 4 2 6 3" xfId="4486"/>
    <cellStyle name="Normal 4 2 6 3 2" xfId="20586"/>
    <cellStyle name="Normal 4 2 6 3 2 2" xfId="43173"/>
    <cellStyle name="Normal 4 2 6 3 3" xfId="10926"/>
    <cellStyle name="Normal 4 2 6 3 3 2" xfId="33513"/>
    <cellStyle name="Normal 4 2 6 3 4" xfId="27073"/>
    <cellStyle name="Normal 4 2 6 4" xfId="17366"/>
    <cellStyle name="Normal 4 2 6 4 2" xfId="39953"/>
    <cellStyle name="Normal 4 2 6 5" xfId="14146"/>
    <cellStyle name="Normal 4 2 6 5 2" xfId="36733"/>
    <cellStyle name="Normal 4 2 6 6" xfId="7706"/>
    <cellStyle name="Normal 4 2 6 6 2" xfId="30293"/>
    <cellStyle name="Normal 4 2 6 7" xfId="23853"/>
    <cellStyle name="Normal 4 2 7" xfId="1684"/>
    <cellStyle name="Normal 4 2 7 2" xfId="4907"/>
    <cellStyle name="Normal 4 2 7 2 2" xfId="21007"/>
    <cellStyle name="Normal 4 2 7 2 2 2" xfId="43594"/>
    <cellStyle name="Normal 4 2 7 2 3" xfId="11347"/>
    <cellStyle name="Normal 4 2 7 2 3 2" xfId="33934"/>
    <cellStyle name="Normal 4 2 7 2 4" xfId="27494"/>
    <cellStyle name="Normal 4 2 7 3" xfId="17787"/>
    <cellStyle name="Normal 4 2 7 3 2" xfId="40374"/>
    <cellStyle name="Normal 4 2 7 4" xfId="14567"/>
    <cellStyle name="Normal 4 2 7 4 2" xfId="37154"/>
    <cellStyle name="Normal 4 2 7 5" xfId="8127"/>
    <cellStyle name="Normal 4 2 7 5 2" xfId="30714"/>
    <cellStyle name="Normal 4 2 7 6" xfId="24274"/>
    <cellStyle name="Normal 4 2 8" xfId="1878"/>
    <cellStyle name="Normal 4 2 8 2" xfId="5100"/>
    <cellStyle name="Normal 4 2 8 2 2" xfId="21200"/>
    <cellStyle name="Normal 4 2 8 2 2 2" xfId="43787"/>
    <cellStyle name="Normal 4 2 8 2 3" xfId="11540"/>
    <cellStyle name="Normal 4 2 8 2 3 2" xfId="34127"/>
    <cellStyle name="Normal 4 2 8 2 4" xfId="27687"/>
    <cellStyle name="Normal 4 2 8 3" xfId="17980"/>
    <cellStyle name="Normal 4 2 8 3 2" xfId="40567"/>
    <cellStyle name="Normal 4 2 8 4" xfId="14760"/>
    <cellStyle name="Normal 4 2 8 4 2" xfId="37347"/>
    <cellStyle name="Normal 4 2 8 5" xfId="8320"/>
    <cellStyle name="Normal 4 2 8 5 2" xfId="30907"/>
    <cellStyle name="Normal 4 2 8 6" xfId="24467"/>
    <cellStyle name="Normal 4 2 9" xfId="2921"/>
    <cellStyle name="Normal 4 2 9 2" xfId="6142"/>
    <cellStyle name="Normal 4 2 9 2 2" xfId="22242"/>
    <cellStyle name="Normal 4 2 9 2 2 2" xfId="44829"/>
    <cellStyle name="Normal 4 2 9 2 3" xfId="12582"/>
    <cellStyle name="Normal 4 2 9 2 3 2" xfId="35169"/>
    <cellStyle name="Normal 4 2 9 2 4" xfId="28729"/>
    <cellStyle name="Normal 4 2 9 3" xfId="19022"/>
    <cellStyle name="Normal 4 2 9 3 2" xfId="41609"/>
    <cellStyle name="Normal 4 2 9 4" xfId="15802"/>
    <cellStyle name="Normal 4 2 9 4 2" xfId="38389"/>
    <cellStyle name="Normal 4 2 9 5" xfId="9362"/>
    <cellStyle name="Normal 4 2 9 5 2" xfId="31949"/>
    <cellStyle name="Normal 4 2 9 6" xfId="25509"/>
    <cellStyle name="Normal 4 3" xfId="1685"/>
    <cellStyle name="Normal 4 3 2" xfId="4908"/>
    <cellStyle name="Normal 4 3 2 2" xfId="21008"/>
    <cellStyle name="Normal 4 3 2 2 2" xfId="43595"/>
    <cellStyle name="Normal 4 3 2 3" xfId="11348"/>
    <cellStyle name="Normal 4 3 2 3 2" xfId="33935"/>
    <cellStyle name="Normal 4 3 2 4" xfId="27495"/>
    <cellStyle name="Normal 4 3 3" xfId="17788"/>
    <cellStyle name="Normal 4 3 3 2" xfId="40375"/>
    <cellStyle name="Normal 4 3 4" xfId="14568"/>
    <cellStyle name="Normal 4 3 4 2" xfId="37155"/>
    <cellStyle name="Normal 4 3 5" xfId="8128"/>
    <cellStyle name="Normal 4 3 5 2" xfId="30715"/>
    <cellStyle name="Normal 4 3 6" xfId="24275"/>
    <cellStyle name="Normal 5" xfId="43"/>
    <cellStyle name="Normal 5 2" xfId="193"/>
    <cellStyle name="Normal 5 3" xfId="214"/>
    <cellStyle name="Normal 5 3 10" xfId="3213"/>
    <cellStyle name="Normal 5 3 10 2" xfId="6433"/>
    <cellStyle name="Normal 5 3 10 2 2" xfId="22533"/>
    <cellStyle name="Normal 5 3 10 2 2 2" xfId="45120"/>
    <cellStyle name="Normal 5 3 10 2 3" xfId="12873"/>
    <cellStyle name="Normal 5 3 10 2 3 2" xfId="35460"/>
    <cellStyle name="Normal 5 3 10 2 4" xfId="29020"/>
    <cellStyle name="Normal 5 3 10 3" xfId="19313"/>
    <cellStyle name="Normal 5 3 10 3 2" xfId="41900"/>
    <cellStyle name="Normal 5 3 10 4" xfId="16093"/>
    <cellStyle name="Normal 5 3 10 4 2" xfId="38680"/>
    <cellStyle name="Normal 5 3 10 5" xfId="9653"/>
    <cellStyle name="Normal 5 3 10 5 2" xfId="32240"/>
    <cellStyle name="Normal 5 3 10 6" xfId="25800"/>
    <cellStyle name="Normal 5 3 11" xfId="506"/>
    <cellStyle name="Normal 5 3 11 2" xfId="3793"/>
    <cellStyle name="Normal 5 3 11 2 2" xfId="19893"/>
    <cellStyle name="Normal 5 3 11 2 2 2" xfId="42480"/>
    <cellStyle name="Normal 5 3 11 2 3" xfId="10233"/>
    <cellStyle name="Normal 5 3 11 2 3 2" xfId="32820"/>
    <cellStyle name="Normal 5 3 11 2 4" xfId="26380"/>
    <cellStyle name="Normal 5 3 11 3" xfId="16673"/>
    <cellStyle name="Normal 5 3 11 3 2" xfId="39260"/>
    <cellStyle name="Normal 5 3 11 4" xfId="13453"/>
    <cellStyle name="Normal 5 3 11 4 2" xfId="36040"/>
    <cellStyle name="Normal 5 3 11 5" xfId="7013"/>
    <cellStyle name="Normal 5 3 11 5 2" xfId="29600"/>
    <cellStyle name="Normal 5 3 11 6" xfId="23160"/>
    <cellStyle name="Normal 5 3 12" xfId="3503"/>
    <cellStyle name="Normal 5 3 12 2" xfId="19603"/>
    <cellStyle name="Normal 5 3 12 2 2" xfId="42190"/>
    <cellStyle name="Normal 5 3 12 3" xfId="9943"/>
    <cellStyle name="Normal 5 3 12 3 2" xfId="32530"/>
    <cellStyle name="Normal 5 3 12 4" xfId="26090"/>
    <cellStyle name="Normal 5 3 13" xfId="16383"/>
    <cellStyle name="Normal 5 3 13 2" xfId="38970"/>
    <cellStyle name="Normal 5 3 14" xfId="13163"/>
    <cellStyle name="Normal 5 3 14 2" xfId="35750"/>
    <cellStyle name="Normal 5 3 15" xfId="6723"/>
    <cellStyle name="Normal 5 3 15 2" xfId="29310"/>
    <cellStyle name="Normal 5 3 16" xfId="22870"/>
    <cellStyle name="Normal 5 3 2" xfId="239"/>
    <cellStyle name="Normal 5 3 2 10" xfId="3527"/>
    <cellStyle name="Normal 5 3 2 10 2" xfId="19627"/>
    <cellStyle name="Normal 5 3 2 10 2 2" xfId="42214"/>
    <cellStyle name="Normal 5 3 2 10 3" xfId="9967"/>
    <cellStyle name="Normal 5 3 2 10 3 2" xfId="32554"/>
    <cellStyle name="Normal 5 3 2 10 4" xfId="26114"/>
    <cellStyle name="Normal 5 3 2 11" xfId="16407"/>
    <cellStyle name="Normal 5 3 2 11 2" xfId="38994"/>
    <cellStyle name="Normal 5 3 2 12" xfId="13187"/>
    <cellStyle name="Normal 5 3 2 12 2" xfId="35774"/>
    <cellStyle name="Normal 5 3 2 13" xfId="6747"/>
    <cellStyle name="Normal 5 3 2 13 2" xfId="29334"/>
    <cellStyle name="Normal 5 3 2 14" xfId="22894"/>
    <cellStyle name="Normal 5 3 2 2" xfId="337"/>
    <cellStyle name="Normal 5 3 2 2 10" xfId="13284"/>
    <cellStyle name="Normal 5 3 2 2 10 2" xfId="35871"/>
    <cellStyle name="Normal 5 3 2 2 11" xfId="6844"/>
    <cellStyle name="Normal 5 3 2 2 11 2" xfId="29431"/>
    <cellStyle name="Normal 5 3 2 2 12" xfId="22991"/>
    <cellStyle name="Normal 5 3 2 2 2" xfId="1069"/>
    <cellStyle name="Normal 5 3 2 2 2 2" xfId="2383"/>
    <cellStyle name="Normal 5 3 2 2 2 2 2" xfId="5604"/>
    <cellStyle name="Normal 5 3 2 2 2 2 2 2" xfId="21704"/>
    <cellStyle name="Normal 5 3 2 2 2 2 2 2 2" xfId="44291"/>
    <cellStyle name="Normal 5 3 2 2 2 2 2 3" xfId="12044"/>
    <cellStyle name="Normal 5 3 2 2 2 2 2 3 2" xfId="34631"/>
    <cellStyle name="Normal 5 3 2 2 2 2 2 4" xfId="28191"/>
    <cellStyle name="Normal 5 3 2 2 2 2 3" xfId="18484"/>
    <cellStyle name="Normal 5 3 2 2 2 2 3 2" xfId="41071"/>
    <cellStyle name="Normal 5 3 2 2 2 2 4" xfId="15264"/>
    <cellStyle name="Normal 5 3 2 2 2 2 4 2" xfId="37851"/>
    <cellStyle name="Normal 5 3 2 2 2 2 5" xfId="8824"/>
    <cellStyle name="Normal 5 3 2 2 2 2 5 2" xfId="31411"/>
    <cellStyle name="Normal 5 3 2 2 2 2 6" xfId="24971"/>
    <cellStyle name="Normal 5 3 2 2 2 3" xfId="4296"/>
    <cellStyle name="Normal 5 3 2 2 2 3 2" xfId="20396"/>
    <cellStyle name="Normal 5 3 2 2 2 3 2 2" xfId="42983"/>
    <cellStyle name="Normal 5 3 2 2 2 3 3" xfId="10736"/>
    <cellStyle name="Normal 5 3 2 2 2 3 3 2" xfId="33323"/>
    <cellStyle name="Normal 5 3 2 2 2 3 4" xfId="26883"/>
    <cellStyle name="Normal 5 3 2 2 2 4" xfId="17176"/>
    <cellStyle name="Normal 5 3 2 2 2 4 2" xfId="39763"/>
    <cellStyle name="Normal 5 3 2 2 2 5" xfId="13956"/>
    <cellStyle name="Normal 5 3 2 2 2 5 2" xfId="36543"/>
    <cellStyle name="Normal 5 3 2 2 2 6" xfId="7516"/>
    <cellStyle name="Normal 5 3 2 2 2 6 2" xfId="30103"/>
    <cellStyle name="Normal 5 3 2 2 2 7" xfId="23663"/>
    <cellStyle name="Normal 5 3 2 2 3" xfId="1416"/>
    <cellStyle name="Normal 5 3 2 2 3 2" xfId="2730"/>
    <cellStyle name="Normal 5 3 2 2 3 2 2" xfId="5951"/>
    <cellStyle name="Normal 5 3 2 2 3 2 2 2" xfId="22051"/>
    <cellStyle name="Normal 5 3 2 2 3 2 2 2 2" xfId="44638"/>
    <cellStyle name="Normal 5 3 2 2 3 2 2 3" xfId="12391"/>
    <cellStyle name="Normal 5 3 2 2 3 2 2 3 2" xfId="34978"/>
    <cellStyle name="Normal 5 3 2 2 3 2 2 4" xfId="28538"/>
    <cellStyle name="Normal 5 3 2 2 3 2 3" xfId="18831"/>
    <cellStyle name="Normal 5 3 2 2 3 2 3 2" xfId="41418"/>
    <cellStyle name="Normal 5 3 2 2 3 2 4" xfId="15611"/>
    <cellStyle name="Normal 5 3 2 2 3 2 4 2" xfId="38198"/>
    <cellStyle name="Normal 5 3 2 2 3 2 5" xfId="9171"/>
    <cellStyle name="Normal 5 3 2 2 3 2 5 2" xfId="31758"/>
    <cellStyle name="Normal 5 3 2 2 3 2 6" xfId="25318"/>
    <cellStyle name="Normal 5 3 2 2 3 3" xfId="4643"/>
    <cellStyle name="Normal 5 3 2 2 3 3 2" xfId="20743"/>
    <cellStyle name="Normal 5 3 2 2 3 3 2 2" xfId="43330"/>
    <cellStyle name="Normal 5 3 2 2 3 3 3" xfId="11083"/>
    <cellStyle name="Normal 5 3 2 2 3 3 3 2" xfId="33670"/>
    <cellStyle name="Normal 5 3 2 2 3 3 4" xfId="27230"/>
    <cellStyle name="Normal 5 3 2 2 3 4" xfId="17523"/>
    <cellStyle name="Normal 5 3 2 2 3 4 2" xfId="40110"/>
    <cellStyle name="Normal 5 3 2 2 3 5" xfId="14303"/>
    <cellStyle name="Normal 5 3 2 2 3 5 2" xfId="36890"/>
    <cellStyle name="Normal 5 3 2 2 3 6" xfId="7863"/>
    <cellStyle name="Normal 5 3 2 2 3 6 2" xfId="30450"/>
    <cellStyle name="Normal 5 3 2 2 3 7" xfId="24010"/>
    <cellStyle name="Normal 5 3 2 2 4" xfId="2035"/>
    <cellStyle name="Normal 5 3 2 2 4 2" xfId="5257"/>
    <cellStyle name="Normal 5 3 2 2 4 2 2" xfId="21357"/>
    <cellStyle name="Normal 5 3 2 2 4 2 2 2" xfId="43944"/>
    <cellStyle name="Normal 5 3 2 2 4 2 3" xfId="11697"/>
    <cellStyle name="Normal 5 3 2 2 4 2 3 2" xfId="34284"/>
    <cellStyle name="Normal 5 3 2 2 4 2 4" xfId="27844"/>
    <cellStyle name="Normal 5 3 2 2 4 3" xfId="18137"/>
    <cellStyle name="Normal 5 3 2 2 4 3 2" xfId="40724"/>
    <cellStyle name="Normal 5 3 2 2 4 4" xfId="14917"/>
    <cellStyle name="Normal 5 3 2 2 4 4 2" xfId="37504"/>
    <cellStyle name="Normal 5 3 2 2 4 5" xfId="8477"/>
    <cellStyle name="Normal 5 3 2 2 4 5 2" xfId="31064"/>
    <cellStyle name="Normal 5 3 2 2 4 6" xfId="24624"/>
    <cellStyle name="Normal 5 3 2 2 5" xfId="3044"/>
    <cellStyle name="Normal 5 3 2 2 5 2" xfId="6264"/>
    <cellStyle name="Normal 5 3 2 2 5 2 2" xfId="22364"/>
    <cellStyle name="Normal 5 3 2 2 5 2 2 2" xfId="44951"/>
    <cellStyle name="Normal 5 3 2 2 5 2 3" xfId="12704"/>
    <cellStyle name="Normal 5 3 2 2 5 2 3 2" xfId="35291"/>
    <cellStyle name="Normal 5 3 2 2 5 2 4" xfId="28851"/>
    <cellStyle name="Normal 5 3 2 2 5 3" xfId="19144"/>
    <cellStyle name="Normal 5 3 2 2 5 3 2" xfId="41731"/>
    <cellStyle name="Normal 5 3 2 2 5 4" xfId="15924"/>
    <cellStyle name="Normal 5 3 2 2 5 4 2" xfId="38511"/>
    <cellStyle name="Normal 5 3 2 2 5 5" xfId="9484"/>
    <cellStyle name="Normal 5 3 2 2 5 5 2" xfId="32071"/>
    <cellStyle name="Normal 5 3 2 2 5 6" xfId="25631"/>
    <cellStyle name="Normal 5 3 2 2 6" xfId="3334"/>
    <cellStyle name="Normal 5 3 2 2 6 2" xfId="6554"/>
    <cellStyle name="Normal 5 3 2 2 6 2 2" xfId="22654"/>
    <cellStyle name="Normal 5 3 2 2 6 2 2 2" xfId="45241"/>
    <cellStyle name="Normal 5 3 2 2 6 2 3" xfId="12994"/>
    <cellStyle name="Normal 5 3 2 2 6 2 3 2" xfId="35581"/>
    <cellStyle name="Normal 5 3 2 2 6 2 4" xfId="29141"/>
    <cellStyle name="Normal 5 3 2 2 6 3" xfId="19434"/>
    <cellStyle name="Normal 5 3 2 2 6 3 2" xfId="42021"/>
    <cellStyle name="Normal 5 3 2 2 6 4" xfId="16214"/>
    <cellStyle name="Normal 5 3 2 2 6 4 2" xfId="38801"/>
    <cellStyle name="Normal 5 3 2 2 6 5" xfId="9774"/>
    <cellStyle name="Normal 5 3 2 2 6 5 2" xfId="32361"/>
    <cellStyle name="Normal 5 3 2 2 6 6" xfId="25921"/>
    <cellStyle name="Normal 5 3 2 2 7" xfId="705"/>
    <cellStyle name="Normal 5 3 2 2 7 2" xfId="3949"/>
    <cellStyle name="Normal 5 3 2 2 7 2 2" xfId="20049"/>
    <cellStyle name="Normal 5 3 2 2 7 2 2 2" xfId="42636"/>
    <cellStyle name="Normal 5 3 2 2 7 2 3" xfId="10389"/>
    <cellStyle name="Normal 5 3 2 2 7 2 3 2" xfId="32976"/>
    <cellStyle name="Normal 5 3 2 2 7 2 4" xfId="26536"/>
    <cellStyle name="Normal 5 3 2 2 7 3" xfId="16829"/>
    <cellStyle name="Normal 5 3 2 2 7 3 2" xfId="39416"/>
    <cellStyle name="Normal 5 3 2 2 7 4" xfId="13609"/>
    <cellStyle name="Normal 5 3 2 2 7 4 2" xfId="36196"/>
    <cellStyle name="Normal 5 3 2 2 7 5" xfId="7169"/>
    <cellStyle name="Normal 5 3 2 2 7 5 2" xfId="29756"/>
    <cellStyle name="Normal 5 3 2 2 7 6" xfId="23316"/>
    <cellStyle name="Normal 5 3 2 2 8" xfId="3624"/>
    <cellStyle name="Normal 5 3 2 2 8 2" xfId="19724"/>
    <cellStyle name="Normal 5 3 2 2 8 2 2" xfId="42311"/>
    <cellStyle name="Normal 5 3 2 2 8 3" xfId="10064"/>
    <cellStyle name="Normal 5 3 2 2 8 3 2" xfId="32651"/>
    <cellStyle name="Normal 5 3 2 2 8 4" xfId="26211"/>
    <cellStyle name="Normal 5 3 2 2 9" xfId="16504"/>
    <cellStyle name="Normal 5 3 2 2 9 2" xfId="39091"/>
    <cellStyle name="Normal 5 3 2 3" xfId="433"/>
    <cellStyle name="Normal 5 3 2 3 10" xfId="23087"/>
    <cellStyle name="Normal 5 3 2 3 2" xfId="2267"/>
    <cellStyle name="Normal 5 3 2 3 2 2" xfId="5488"/>
    <cellStyle name="Normal 5 3 2 3 2 2 2" xfId="21588"/>
    <cellStyle name="Normal 5 3 2 3 2 2 2 2" xfId="44175"/>
    <cellStyle name="Normal 5 3 2 3 2 2 3" xfId="11928"/>
    <cellStyle name="Normal 5 3 2 3 2 2 3 2" xfId="34515"/>
    <cellStyle name="Normal 5 3 2 3 2 2 4" xfId="28075"/>
    <cellStyle name="Normal 5 3 2 3 2 3" xfId="18368"/>
    <cellStyle name="Normal 5 3 2 3 2 3 2" xfId="40955"/>
    <cellStyle name="Normal 5 3 2 3 2 4" xfId="15148"/>
    <cellStyle name="Normal 5 3 2 3 2 4 2" xfId="37735"/>
    <cellStyle name="Normal 5 3 2 3 2 5" xfId="8708"/>
    <cellStyle name="Normal 5 3 2 3 2 5 2" xfId="31295"/>
    <cellStyle name="Normal 5 3 2 3 2 6" xfId="24855"/>
    <cellStyle name="Normal 5 3 2 3 3" xfId="3140"/>
    <cellStyle name="Normal 5 3 2 3 3 2" xfId="6360"/>
    <cellStyle name="Normal 5 3 2 3 3 2 2" xfId="22460"/>
    <cellStyle name="Normal 5 3 2 3 3 2 2 2" xfId="45047"/>
    <cellStyle name="Normal 5 3 2 3 3 2 3" xfId="12800"/>
    <cellStyle name="Normal 5 3 2 3 3 2 3 2" xfId="35387"/>
    <cellStyle name="Normal 5 3 2 3 3 2 4" xfId="28947"/>
    <cellStyle name="Normal 5 3 2 3 3 3" xfId="19240"/>
    <cellStyle name="Normal 5 3 2 3 3 3 2" xfId="41827"/>
    <cellStyle name="Normal 5 3 2 3 3 4" xfId="16020"/>
    <cellStyle name="Normal 5 3 2 3 3 4 2" xfId="38607"/>
    <cellStyle name="Normal 5 3 2 3 3 5" xfId="9580"/>
    <cellStyle name="Normal 5 3 2 3 3 5 2" xfId="32167"/>
    <cellStyle name="Normal 5 3 2 3 3 6" xfId="25727"/>
    <cellStyle name="Normal 5 3 2 3 4" xfId="3430"/>
    <cellStyle name="Normal 5 3 2 3 4 2" xfId="6650"/>
    <cellStyle name="Normal 5 3 2 3 4 2 2" xfId="22750"/>
    <cellStyle name="Normal 5 3 2 3 4 2 2 2" xfId="45337"/>
    <cellStyle name="Normal 5 3 2 3 4 2 3" xfId="13090"/>
    <cellStyle name="Normal 5 3 2 3 4 2 3 2" xfId="35677"/>
    <cellStyle name="Normal 5 3 2 3 4 2 4" xfId="29237"/>
    <cellStyle name="Normal 5 3 2 3 4 3" xfId="19530"/>
    <cellStyle name="Normal 5 3 2 3 4 3 2" xfId="42117"/>
    <cellStyle name="Normal 5 3 2 3 4 4" xfId="16310"/>
    <cellStyle name="Normal 5 3 2 3 4 4 2" xfId="38897"/>
    <cellStyle name="Normal 5 3 2 3 4 5" xfId="9870"/>
    <cellStyle name="Normal 5 3 2 3 4 5 2" xfId="32457"/>
    <cellStyle name="Normal 5 3 2 3 4 6" xfId="26017"/>
    <cellStyle name="Normal 5 3 2 3 5" xfId="948"/>
    <cellStyle name="Normal 5 3 2 3 5 2" xfId="4180"/>
    <cellStyle name="Normal 5 3 2 3 5 2 2" xfId="20280"/>
    <cellStyle name="Normal 5 3 2 3 5 2 2 2" xfId="42867"/>
    <cellStyle name="Normal 5 3 2 3 5 2 3" xfId="10620"/>
    <cellStyle name="Normal 5 3 2 3 5 2 3 2" xfId="33207"/>
    <cellStyle name="Normal 5 3 2 3 5 2 4" xfId="26767"/>
    <cellStyle name="Normal 5 3 2 3 5 3" xfId="17060"/>
    <cellStyle name="Normal 5 3 2 3 5 3 2" xfId="39647"/>
    <cellStyle name="Normal 5 3 2 3 5 4" xfId="13840"/>
    <cellStyle name="Normal 5 3 2 3 5 4 2" xfId="36427"/>
    <cellStyle name="Normal 5 3 2 3 5 5" xfId="7400"/>
    <cellStyle name="Normal 5 3 2 3 5 5 2" xfId="29987"/>
    <cellStyle name="Normal 5 3 2 3 5 6" xfId="23547"/>
    <cellStyle name="Normal 5 3 2 3 6" xfId="3720"/>
    <cellStyle name="Normal 5 3 2 3 6 2" xfId="19820"/>
    <cellStyle name="Normal 5 3 2 3 6 2 2" xfId="42407"/>
    <cellStyle name="Normal 5 3 2 3 6 3" xfId="10160"/>
    <cellStyle name="Normal 5 3 2 3 6 3 2" xfId="32747"/>
    <cellStyle name="Normal 5 3 2 3 6 4" xfId="26307"/>
    <cellStyle name="Normal 5 3 2 3 7" xfId="16600"/>
    <cellStyle name="Normal 5 3 2 3 7 2" xfId="39187"/>
    <cellStyle name="Normal 5 3 2 3 8" xfId="13380"/>
    <cellStyle name="Normal 5 3 2 3 8 2" xfId="35967"/>
    <cellStyle name="Normal 5 3 2 3 9" xfId="6940"/>
    <cellStyle name="Normal 5 3 2 3 9 2" xfId="29527"/>
    <cellStyle name="Normal 5 3 2 4" xfId="1300"/>
    <cellStyle name="Normal 5 3 2 4 2" xfId="2614"/>
    <cellStyle name="Normal 5 3 2 4 2 2" xfId="5835"/>
    <cellStyle name="Normal 5 3 2 4 2 2 2" xfId="21935"/>
    <cellStyle name="Normal 5 3 2 4 2 2 2 2" xfId="44522"/>
    <cellStyle name="Normal 5 3 2 4 2 2 3" xfId="12275"/>
    <cellStyle name="Normal 5 3 2 4 2 2 3 2" xfId="34862"/>
    <cellStyle name="Normal 5 3 2 4 2 2 4" xfId="28422"/>
    <cellStyle name="Normal 5 3 2 4 2 3" xfId="18715"/>
    <cellStyle name="Normal 5 3 2 4 2 3 2" xfId="41302"/>
    <cellStyle name="Normal 5 3 2 4 2 4" xfId="15495"/>
    <cellStyle name="Normal 5 3 2 4 2 4 2" xfId="38082"/>
    <cellStyle name="Normal 5 3 2 4 2 5" xfId="9055"/>
    <cellStyle name="Normal 5 3 2 4 2 5 2" xfId="31642"/>
    <cellStyle name="Normal 5 3 2 4 2 6" xfId="25202"/>
    <cellStyle name="Normal 5 3 2 4 3" xfId="4527"/>
    <cellStyle name="Normal 5 3 2 4 3 2" xfId="20627"/>
    <cellStyle name="Normal 5 3 2 4 3 2 2" xfId="43214"/>
    <cellStyle name="Normal 5 3 2 4 3 3" xfId="10967"/>
    <cellStyle name="Normal 5 3 2 4 3 3 2" xfId="33554"/>
    <cellStyle name="Normal 5 3 2 4 3 4" xfId="27114"/>
    <cellStyle name="Normal 5 3 2 4 4" xfId="17407"/>
    <cellStyle name="Normal 5 3 2 4 4 2" xfId="39994"/>
    <cellStyle name="Normal 5 3 2 4 5" xfId="14187"/>
    <cellStyle name="Normal 5 3 2 4 5 2" xfId="36774"/>
    <cellStyle name="Normal 5 3 2 4 6" xfId="7747"/>
    <cellStyle name="Normal 5 3 2 4 6 2" xfId="30334"/>
    <cellStyle name="Normal 5 3 2 4 7" xfId="23894"/>
    <cellStyle name="Normal 5 3 2 5" xfId="1686"/>
    <cellStyle name="Normal 5 3 2 5 2" xfId="4909"/>
    <cellStyle name="Normal 5 3 2 5 2 2" xfId="21009"/>
    <cellStyle name="Normal 5 3 2 5 2 2 2" xfId="43596"/>
    <cellStyle name="Normal 5 3 2 5 2 3" xfId="11349"/>
    <cellStyle name="Normal 5 3 2 5 2 3 2" xfId="33936"/>
    <cellStyle name="Normal 5 3 2 5 2 4" xfId="27496"/>
    <cellStyle name="Normal 5 3 2 5 3" xfId="17789"/>
    <cellStyle name="Normal 5 3 2 5 3 2" xfId="40376"/>
    <cellStyle name="Normal 5 3 2 5 4" xfId="14569"/>
    <cellStyle name="Normal 5 3 2 5 4 2" xfId="37156"/>
    <cellStyle name="Normal 5 3 2 5 5" xfId="8129"/>
    <cellStyle name="Normal 5 3 2 5 5 2" xfId="30716"/>
    <cellStyle name="Normal 5 3 2 5 6" xfId="24276"/>
    <cellStyle name="Normal 5 3 2 6" xfId="1919"/>
    <cellStyle name="Normal 5 3 2 6 2" xfId="5141"/>
    <cellStyle name="Normal 5 3 2 6 2 2" xfId="21241"/>
    <cellStyle name="Normal 5 3 2 6 2 2 2" xfId="43828"/>
    <cellStyle name="Normal 5 3 2 6 2 3" xfId="11581"/>
    <cellStyle name="Normal 5 3 2 6 2 3 2" xfId="34168"/>
    <cellStyle name="Normal 5 3 2 6 2 4" xfId="27728"/>
    <cellStyle name="Normal 5 3 2 6 3" xfId="18021"/>
    <cellStyle name="Normal 5 3 2 6 3 2" xfId="40608"/>
    <cellStyle name="Normal 5 3 2 6 4" xfId="14801"/>
    <cellStyle name="Normal 5 3 2 6 4 2" xfId="37388"/>
    <cellStyle name="Normal 5 3 2 6 5" xfId="8361"/>
    <cellStyle name="Normal 5 3 2 6 5 2" xfId="30948"/>
    <cellStyle name="Normal 5 3 2 6 6" xfId="24508"/>
    <cellStyle name="Normal 5 3 2 7" xfId="2946"/>
    <cellStyle name="Normal 5 3 2 7 2" xfId="6167"/>
    <cellStyle name="Normal 5 3 2 7 2 2" xfId="22267"/>
    <cellStyle name="Normal 5 3 2 7 2 2 2" xfId="44854"/>
    <cellStyle name="Normal 5 3 2 7 2 3" xfId="12607"/>
    <cellStyle name="Normal 5 3 2 7 2 3 2" xfId="35194"/>
    <cellStyle name="Normal 5 3 2 7 2 4" xfId="28754"/>
    <cellStyle name="Normal 5 3 2 7 3" xfId="19047"/>
    <cellStyle name="Normal 5 3 2 7 3 2" xfId="41634"/>
    <cellStyle name="Normal 5 3 2 7 4" xfId="15827"/>
    <cellStyle name="Normal 5 3 2 7 4 2" xfId="38414"/>
    <cellStyle name="Normal 5 3 2 7 5" xfId="9387"/>
    <cellStyle name="Normal 5 3 2 7 5 2" xfId="31974"/>
    <cellStyle name="Normal 5 3 2 7 6" xfId="25534"/>
    <cellStyle name="Normal 5 3 2 8" xfId="3237"/>
    <cellStyle name="Normal 5 3 2 8 2" xfId="6457"/>
    <cellStyle name="Normal 5 3 2 8 2 2" xfId="22557"/>
    <cellStyle name="Normal 5 3 2 8 2 2 2" xfId="45144"/>
    <cellStyle name="Normal 5 3 2 8 2 3" xfId="12897"/>
    <cellStyle name="Normal 5 3 2 8 2 3 2" xfId="35484"/>
    <cellStyle name="Normal 5 3 2 8 2 4" xfId="29044"/>
    <cellStyle name="Normal 5 3 2 8 3" xfId="19337"/>
    <cellStyle name="Normal 5 3 2 8 3 2" xfId="41924"/>
    <cellStyle name="Normal 5 3 2 8 4" xfId="16117"/>
    <cellStyle name="Normal 5 3 2 8 4 2" xfId="38704"/>
    <cellStyle name="Normal 5 3 2 8 5" xfId="9677"/>
    <cellStyle name="Normal 5 3 2 8 5 2" xfId="32264"/>
    <cellStyle name="Normal 5 3 2 8 6" xfId="25824"/>
    <cellStyle name="Normal 5 3 2 9" xfId="546"/>
    <cellStyle name="Normal 5 3 2 9 2" xfId="3833"/>
    <cellStyle name="Normal 5 3 2 9 2 2" xfId="19933"/>
    <cellStyle name="Normal 5 3 2 9 2 2 2" xfId="42520"/>
    <cellStyle name="Normal 5 3 2 9 2 3" xfId="10273"/>
    <cellStyle name="Normal 5 3 2 9 2 3 2" xfId="32860"/>
    <cellStyle name="Normal 5 3 2 9 2 4" xfId="26420"/>
    <cellStyle name="Normal 5 3 2 9 3" xfId="16713"/>
    <cellStyle name="Normal 5 3 2 9 3 2" xfId="39300"/>
    <cellStyle name="Normal 5 3 2 9 4" xfId="13493"/>
    <cellStyle name="Normal 5 3 2 9 4 2" xfId="36080"/>
    <cellStyle name="Normal 5 3 2 9 5" xfId="7053"/>
    <cellStyle name="Normal 5 3 2 9 5 2" xfId="29640"/>
    <cellStyle name="Normal 5 3 2 9 6" xfId="23200"/>
    <cellStyle name="Normal 5 3 3" xfId="313"/>
    <cellStyle name="Normal 5 3 3 10" xfId="13260"/>
    <cellStyle name="Normal 5 3 3 10 2" xfId="35847"/>
    <cellStyle name="Normal 5 3 3 11" xfId="6820"/>
    <cellStyle name="Normal 5 3 3 11 2" xfId="29407"/>
    <cellStyle name="Normal 5 3 3 12" xfId="22967"/>
    <cellStyle name="Normal 5 3 3 2" xfId="978"/>
    <cellStyle name="Normal 5 3 3 2 2" xfId="2296"/>
    <cellStyle name="Normal 5 3 3 2 2 2" xfId="5517"/>
    <cellStyle name="Normal 5 3 3 2 2 2 2" xfId="21617"/>
    <cellStyle name="Normal 5 3 3 2 2 2 2 2" xfId="44204"/>
    <cellStyle name="Normal 5 3 3 2 2 2 3" xfId="11957"/>
    <cellStyle name="Normal 5 3 3 2 2 2 3 2" xfId="34544"/>
    <cellStyle name="Normal 5 3 3 2 2 2 4" xfId="28104"/>
    <cellStyle name="Normal 5 3 3 2 2 3" xfId="18397"/>
    <cellStyle name="Normal 5 3 3 2 2 3 2" xfId="40984"/>
    <cellStyle name="Normal 5 3 3 2 2 4" xfId="15177"/>
    <cellStyle name="Normal 5 3 3 2 2 4 2" xfId="37764"/>
    <cellStyle name="Normal 5 3 3 2 2 5" xfId="8737"/>
    <cellStyle name="Normal 5 3 3 2 2 5 2" xfId="31324"/>
    <cellStyle name="Normal 5 3 3 2 2 6" xfId="24884"/>
    <cellStyle name="Normal 5 3 3 2 3" xfId="4209"/>
    <cellStyle name="Normal 5 3 3 2 3 2" xfId="20309"/>
    <cellStyle name="Normal 5 3 3 2 3 2 2" xfId="42896"/>
    <cellStyle name="Normal 5 3 3 2 3 3" xfId="10649"/>
    <cellStyle name="Normal 5 3 3 2 3 3 2" xfId="33236"/>
    <cellStyle name="Normal 5 3 3 2 3 4" xfId="26796"/>
    <cellStyle name="Normal 5 3 3 2 4" xfId="17089"/>
    <cellStyle name="Normal 5 3 3 2 4 2" xfId="39676"/>
    <cellStyle name="Normal 5 3 3 2 5" xfId="13869"/>
    <cellStyle name="Normal 5 3 3 2 5 2" xfId="36456"/>
    <cellStyle name="Normal 5 3 3 2 6" xfId="7429"/>
    <cellStyle name="Normal 5 3 3 2 6 2" xfId="30016"/>
    <cellStyle name="Normal 5 3 3 2 7" xfId="23576"/>
    <cellStyle name="Normal 5 3 3 3" xfId="1329"/>
    <cellStyle name="Normal 5 3 3 3 2" xfId="2643"/>
    <cellStyle name="Normal 5 3 3 3 2 2" xfId="5864"/>
    <cellStyle name="Normal 5 3 3 3 2 2 2" xfId="21964"/>
    <cellStyle name="Normal 5 3 3 3 2 2 2 2" xfId="44551"/>
    <cellStyle name="Normal 5 3 3 3 2 2 3" xfId="12304"/>
    <cellStyle name="Normal 5 3 3 3 2 2 3 2" xfId="34891"/>
    <cellStyle name="Normal 5 3 3 3 2 2 4" xfId="28451"/>
    <cellStyle name="Normal 5 3 3 3 2 3" xfId="18744"/>
    <cellStyle name="Normal 5 3 3 3 2 3 2" xfId="41331"/>
    <cellStyle name="Normal 5 3 3 3 2 4" xfId="15524"/>
    <cellStyle name="Normal 5 3 3 3 2 4 2" xfId="38111"/>
    <cellStyle name="Normal 5 3 3 3 2 5" xfId="9084"/>
    <cellStyle name="Normal 5 3 3 3 2 5 2" xfId="31671"/>
    <cellStyle name="Normal 5 3 3 3 2 6" xfId="25231"/>
    <cellStyle name="Normal 5 3 3 3 3" xfId="4556"/>
    <cellStyle name="Normal 5 3 3 3 3 2" xfId="20656"/>
    <cellStyle name="Normal 5 3 3 3 3 2 2" xfId="43243"/>
    <cellStyle name="Normal 5 3 3 3 3 3" xfId="10996"/>
    <cellStyle name="Normal 5 3 3 3 3 3 2" xfId="33583"/>
    <cellStyle name="Normal 5 3 3 3 3 4" xfId="27143"/>
    <cellStyle name="Normal 5 3 3 3 4" xfId="17436"/>
    <cellStyle name="Normal 5 3 3 3 4 2" xfId="40023"/>
    <cellStyle name="Normal 5 3 3 3 5" xfId="14216"/>
    <cellStyle name="Normal 5 3 3 3 5 2" xfId="36803"/>
    <cellStyle name="Normal 5 3 3 3 6" xfId="7776"/>
    <cellStyle name="Normal 5 3 3 3 6 2" xfId="30363"/>
    <cellStyle name="Normal 5 3 3 3 7" xfId="23923"/>
    <cellStyle name="Normal 5 3 3 4" xfId="1948"/>
    <cellStyle name="Normal 5 3 3 4 2" xfId="5170"/>
    <cellStyle name="Normal 5 3 3 4 2 2" xfId="21270"/>
    <cellStyle name="Normal 5 3 3 4 2 2 2" xfId="43857"/>
    <cellStyle name="Normal 5 3 3 4 2 3" xfId="11610"/>
    <cellStyle name="Normal 5 3 3 4 2 3 2" xfId="34197"/>
    <cellStyle name="Normal 5 3 3 4 2 4" xfId="27757"/>
    <cellStyle name="Normal 5 3 3 4 3" xfId="18050"/>
    <cellStyle name="Normal 5 3 3 4 3 2" xfId="40637"/>
    <cellStyle name="Normal 5 3 3 4 4" xfId="14830"/>
    <cellStyle name="Normal 5 3 3 4 4 2" xfId="37417"/>
    <cellStyle name="Normal 5 3 3 4 5" xfId="8390"/>
    <cellStyle name="Normal 5 3 3 4 5 2" xfId="30977"/>
    <cellStyle name="Normal 5 3 3 4 6" xfId="24537"/>
    <cellStyle name="Normal 5 3 3 5" xfId="3020"/>
    <cellStyle name="Normal 5 3 3 5 2" xfId="6240"/>
    <cellStyle name="Normal 5 3 3 5 2 2" xfId="22340"/>
    <cellStyle name="Normal 5 3 3 5 2 2 2" xfId="44927"/>
    <cellStyle name="Normal 5 3 3 5 2 3" xfId="12680"/>
    <cellStyle name="Normal 5 3 3 5 2 3 2" xfId="35267"/>
    <cellStyle name="Normal 5 3 3 5 2 4" xfId="28827"/>
    <cellStyle name="Normal 5 3 3 5 3" xfId="19120"/>
    <cellStyle name="Normal 5 3 3 5 3 2" xfId="41707"/>
    <cellStyle name="Normal 5 3 3 5 4" xfId="15900"/>
    <cellStyle name="Normal 5 3 3 5 4 2" xfId="38487"/>
    <cellStyle name="Normal 5 3 3 5 5" xfId="9460"/>
    <cellStyle name="Normal 5 3 3 5 5 2" xfId="32047"/>
    <cellStyle name="Normal 5 3 3 5 6" xfId="25607"/>
    <cellStyle name="Normal 5 3 3 6" xfId="3310"/>
    <cellStyle name="Normal 5 3 3 6 2" xfId="6530"/>
    <cellStyle name="Normal 5 3 3 6 2 2" xfId="22630"/>
    <cellStyle name="Normal 5 3 3 6 2 2 2" xfId="45217"/>
    <cellStyle name="Normal 5 3 3 6 2 3" xfId="12970"/>
    <cellStyle name="Normal 5 3 3 6 2 3 2" xfId="35557"/>
    <cellStyle name="Normal 5 3 3 6 2 4" xfId="29117"/>
    <cellStyle name="Normal 5 3 3 6 3" xfId="19410"/>
    <cellStyle name="Normal 5 3 3 6 3 2" xfId="41997"/>
    <cellStyle name="Normal 5 3 3 6 4" xfId="16190"/>
    <cellStyle name="Normal 5 3 3 6 4 2" xfId="38777"/>
    <cellStyle name="Normal 5 3 3 6 5" xfId="9750"/>
    <cellStyle name="Normal 5 3 3 6 5 2" xfId="32337"/>
    <cellStyle name="Normal 5 3 3 6 6" xfId="25897"/>
    <cellStyle name="Normal 5 3 3 7" xfId="593"/>
    <cellStyle name="Normal 5 3 3 7 2" xfId="3862"/>
    <cellStyle name="Normal 5 3 3 7 2 2" xfId="19962"/>
    <cellStyle name="Normal 5 3 3 7 2 2 2" xfId="42549"/>
    <cellStyle name="Normal 5 3 3 7 2 3" xfId="10302"/>
    <cellStyle name="Normal 5 3 3 7 2 3 2" xfId="32889"/>
    <cellStyle name="Normal 5 3 3 7 2 4" xfId="26449"/>
    <cellStyle name="Normal 5 3 3 7 3" xfId="16742"/>
    <cellStyle name="Normal 5 3 3 7 3 2" xfId="39329"/>
    <cellStyle name="Normal 5 3 3 7 4" xfId="13522"/>
    <cellStyle name="Normal 5 3 3 7 4 2" xfId="36109"/>
    <cellStyle name="Normal 5 3 3 7 5" xfId="7082"/>
    <cellStyle name="Normal 5 3 3 7 5 2" xfId="29669"/>
    <cellStyle name="Normal 5 3 3 7 6" xfId="23229"/>
    <cellStyle name="Normal 5 3 3 8" xfId="3600"/>
    <cellStyle name="Normal 5 3 3 8 2" xfId="19700"/>
    <cellStyle name="Normal 5 3 3 8 2 2" xfId="42287"/>
    <cellStyle name="Normal 5 3 3 8 3" xfId="10040"/>
    <cellStyle name="Normal 5 3 3 8 3 2" xfId="32627"/>
    <cellStyle name="Normal 5 3 3 8 4" xfId="26187"/>
    <cellStyle name="Normal 5 3 3 9" xfId="16480"/>
    <cellStyle name="Normal 5 3 3 9 2" xfId="39067"/>
    <cellStyle name="Normal 5 3 4" xfId="409"/>
    <cellStyle name="Normal 5 3 4 10" xfId="13356"/>
    <cellStyle name="Normal 5 3 4 10 2" xfId="35943"/>
    <cellStyle name="Normal 5 3 4 11" xfId="6916"/>
    <cellStyle name="Normal 5 3 4 11 2" xfId="29503"/>
    <cellStyle name="Normal 5 3 4 12" xfId="23063"/>
    <cellStyle name="Normal 5 3 4 2" xfId="1153"/>
    <cellStyle name="Normal 5 3 4 2 2" xfId="2467"/>
    <cellStyle name="Normal 5 3 4 2 2 2" xfId="5688"/>
    <cellStyle name="Normal 5 3 4 2 2 2 2" xfId="21788"/>
    <cellStyle name="Normal 5 3 4 2 2 2 2 2" xfId="44375"/>
    <cellStyle name="Normal 5 3 4 2 2 2 3" xfId="12128"/>
    <cellStyle name="Normal 5 3 4 2 2 2 3 2" xfId="34715"/>
    <cellStyle name="Normal 5 3 4 2 2 2 4" xfId="28275"/>
    <cellStyle name="Normal 5 3 4 2 2 3" xfId="18568"/>
    <cellStyle name="Normal 5 3 4 2 2 3 2" xfId="41155"/>
    <cellStyle name="Normal 5 3 4 2 2 4" xfId="15348"/>
    <cellStyle name="Normal 5 3 4 2 2 4 2" xfId="37935"/>
    <cellStyle name="Normal 5 3 4 2 2 5" xfId="8908"/>
    <cellStyle name="Normal 5 3 4 2 2 5 2" xfId="31495"/>
    <cellStyle name="Normal 5 3 4 2 2 6" xfId="25055"/>
    <cellStyle name="Normal 5 3 4 2 3" xfId="4380"/>
    <cellStyle name="Normal 5 3 4 2 3 2" xfId="20480"/>
    <cellStyle name="Normal 5 3 4 2 3 2 2" xfId="43067"/>
    <cellStyle name="Normal 5 3 4 2 3 3" xfId="10820"/>
    <cellStyle name="Normal 5 3 4 2 3 3 2" xfId="33407"/>
    <cellStyle name="Normal 5 3 4 2 3 4" xfId="26967"/>
    <cellStyle name="Normal 5 3 4 2 4" xfId="17260"/>
    <cellStyle name="Normal 5 3 4 2 4 2" xfId="39847"/>
    <cellStyle name="Normal 5 3 4 2 5" xfId="14040"/>
    <cellStyle name="Normal 5 3 4 2 5 2" xfId="36627"/>
    <cellStyle name="Normal 5 3 4 2 6" xfId="7600"/>
    <cellStyle name="Normal 5 3 4 2 6 2" xfId="30187"/>
    <cellStyle name="Normal 5 3 4 2 7" xfId="23747"/>
    <cellStyle name="Normal 5 3 4 3" xfId="1500"/>
    <cellStyle name="Normal 5 3 4 3 2" xfId="2814"/>
    <cellStyle name="Normal 5 3 4 3 2 2" xfId="6035"/>
    <cellStyle name="Normal 5 3 4 3 2 2 2" xfId="22135"/>
    <cellStyle name="Normal 5 3 4 3 2 2 2 2" xfId="44722"/>
    <cellStyle name="Normal 5 3 4 3 2 2 3" xfId="12475"/>
    <cellStyle name="Normal 5 3 4 3 2 2 3 2" xfId="35062"/>
    <cellStyle name="Normal 5 3 4 3 2 2 4" xfId="28622"/>
    <cellStyle name="Normal 5 3 4 3 2 3" xfId="18915"/>
    <cellStyle name="Normal 5 3 4 3 2 3 2" xfId="41502"/>
    <cellStyle name="Normal 5 3 4 3 2 4" xfId="15695"/>
    <cellStyle name="Normal 5 3 4 3 2 4 2" xfId="38282"/>
    <cellStyle name="Normal 5 3 4 3 2 5" xfId="9255"/>
    <cellStyle name="Normal 5 3 4 3 2 5 2" xfId="31842"/>
    <cellStyle name="Normal 5 3 4 3 2 6" xfId="25402"/>
    <cellStyle name="Normal 5 3 4 3 3" xfId="4727"/>
    <cellStyle name="Normal 5 3 4 3 3 2" xfId="20827"/>
    <cellStyle name="Normal 5 3 4 3 3 2 2" xfId="43414"/>
    <cellStyle name="Normal 5 3 4 3 3 3" xfId="11167"/>
    <cellStyle name="Normal 5 3 4 3 3 3 2" xfId="33754"/>
    <cellStyle name="Normal 5 3 4 3 3 4" xfId="27314"/>
    <cellStyle name="Normal 5 3 4 3 4" xfId="17607"/>
    <cellStyle name="Normal 5 3 4 3 4 2" xfId="40194"/>
    <cellStyle name="Normal 5 3 4 3 5" xfId="14387"/>
    <cellStyle name="Normal 5 3 4 3 5 2" xfId="36974"/>
    <cellStyle name="Normal 5 3 4 3 6" xfId="7947"/>
    <cellStyle name="Normal 5 3 4 3 6 2" xfId="30534"/>
    <cellStyle name="Normal 5 3 4 3 7" xfId="24094"/>
    <cellStyle name="Normal 5 3 4 4" xfId="2120"/>
    <cellStyle name="Normal 5 3 4 4 2" xfId="5341"/>
    <cellStyle name="Normal 5 3 4 4 2 2" xfId="21441"/>
    <cellStyle name="Normal 5 3 4 4 2 2 2" xfId="44028"/>
    <cellStyle name="Normal 5 3 4 4 2 3" xfId="11781"/>
    <cellStyle name="Normal 5 3 4 4 2 3 2" xfId="34368"/>
    <cellStyle name="Normal 5 3 4 4 2 4" xfId="27928"/>
    <cellStyle name="Normal 5 3 4 4 3" xfId="18221"/>
    <cellStyle name="Normal 5 3 4 4 3 2" xfId="40808"/>
    <cellStyle name="Normal 5 3 4 4 4" xfId="15001"/>
    <cellStyle name="Normal 5 3 4 4 4 2" xfId="37588"/>
    <cellStyle name="Normal 5 3 4 4 5" xfId="8561"/>
    <cellStyle name="Normal 5 3 4 4 5 2" xfId="31148"/>
    <cellStyle name="Normal 5 3 4 4 6" xfId="24708"/>
    <cellStyle name="Normal 5 3 4 5" xfId="3116"/>
    <cellStyle name="Normal 5 3 4 5 2" xfId="6336"/>
    <cellStyle name="Normal 5 3 4 5 2 2" xfId="22436"/>
    <cellStyle name="Normal 5 3 4 5 2 2 2" xfId="45023"/>
    <cellStyle name="Normal 5 3 4 5 2 3" xfId="12776"/>
    <cellStyle name="Normal 5 3 4 5 2 3 2" xfId="35363"/>
    <cellStyle name="Normal 5 3 4 5 2 4" xfId="28923"/>
    <cellStyle name="Normal 5 3 4 5 3" xfId="19216"/>
    <cellStyle name="Normal 5 3 4 5 3 2" xfId="41803"/>
    <cellStyle name="Normal 5 3 4 5 4" xfId="15996"/>
    <cellStyle name="Normal 5 3 4 5 4 2" xfId="38583"/>
    <cellStyle name="Normal 5 3 4 5 5" xfId="9556"/>
    <cellStyle name="Normal 5 3 4 5 5 2" xfId="32143"/>
    <cellStyle name="Normal 5 3 4 5 6" xfId="25703"/>
    <cellStyle name="Normal 5 3 4 6" xfId="3406"/>
    <cellStyle name="Normal 5 3 4 6 2" xfId="6626"/>
    <cellStyle name="Normal 5 3 4 6 2 2" xfId="22726"/>
    <cellStyle name="Normal 5 3 4 6 2 2 2" xfId="45313"/>
    <cellStyle name="Normal 5 3 4 6 2 3" xfId="13066"/>
    <cellStyle name="Normal 5 3 4 6 2 3 2" xfId="35653"/>
    <cellStyle name="Normal 5 3 4 6 2 4" xfId="29213"/>
    <cellStyle name="Normal 5 3 4 6 3" xfId="19506"/>
    <cellStyle name="Normal 5 3 4 6 3 2" xfId="42093"/>
    <cellStyle name="Normal 5 3 4 6 4" xfId="16286"/>
    <cellStyle name="Normal 5 3 4 6 4 2" xfId="38873"/>
    <cellStyle name="Normal 5 3 4 6 5" xfId="9846"/>
    <cellStyle name="Normal 5 3 4 6 5 2" xfId="32433"/>
    <cellStyle name="Normal 5 3 4 6 6" xfId="25993"/>
    <cellStyle name="Normal 5 3 4 7" xfId="801"/>
    <cellStyle name="Normal 5 3 4 7 2" xfId="4033"/>
    <cellStyle name="Normal 5 3 4 7 2 2" xfId="20133"/>
    <cellStyle name="Normal 5 3 4 7 2 2 2" xfId="42720"/>
    <cellStyle name="Normal 5 3 4 7 2 3" xfId="10473"/>
    <cellStyle name="Normal 5 3 4 7 2 3 2" xfId="33060"/>
    <cellStyle name="Normal 5 3 4 7 2 4" xfId="26620"/>
    <cellStyle name="Normal 5 3 4 7 3" xfId="16913"/>
    <cellStyle name="Normal 5 3 4 7 3 2" xfId="39500"/>
    <cellStyle name="Normal 5 3 4 7 4" xfId="13693"/>
    <cellStyle name="Normal 5 3 4 7 4 2" xfId="36280"/>
    <cellStyle name="Normal 5 3 4 7 5" xfId="7253"/>
    <cellStyle name="Normal 5 3 4 7 5 2" xfId="29840"/>
    <cellStyle name="Normal 5 3 4 7 6" xfId="23400"/>
    <cellStyle name="Normal 5 3 4 8" xfId="3696"/>
    <cellStyle name="Normal 5 3 4 8 2" xfId="19796"/>
    <cellStyle name="Normal 5 3 4 8 2 2" xfId="42383"/>
    <cellStyle name="Normal 5 3 4 8 3" xfId="10136"/>
    <cellStyle name="Normal 5 3 4 8 3 2" xfId="32723"/>
    <cellStyle name="Normal 5 3 4 8 4" xfId="26283"/>
    <cellStyle name="Normal 5 3 4 9" xfId="16576"/>
    <cellStyle name="Normal 5 3 4 9 2" xfId="39163"/>
    <cellStyle name="Normal 5 3 5" xfId="908"/>
    <cellStyle name="Normal 5 3 5 2" xfId="2227"/>
    <cellStyle name="Normal 5 3 5 2 2" xfId="5448"/>
    <cellStyle name="Normal 5 3 5 2 2 2" xfId="21548"/>
    <cellStyle name="Normal 5 3 5 2 2 2 2" xfId="44135"/>
    <cellStyle name="Normal 5 3 5 2 2 3" xfId="11888"/>
    <cellStyle name="Normal 5 3 5 2 2 3 2" xfId="34475"/>
    <cellStyle name="Normal 5 3 5 2 2 4" xfId="28035"/>
    <cellStyle name="Normal 5 3 5 2 3" xfId="18328"/>
    <cellStyle name="Normal 5 3 5 2 3 2" xfId="40915"/>
    <cellStyle name="Normal 5 3 5 2 4" xfId="15108"/>
    <cellStyle name="Normal 5 3 5 2 4 2" xfId="37695"/>
    <cellStyle name="Normal 5 3 5 2 5" xfId="8668"/>
    <cellStyle name="Normal 5 3 5 2 5 2" xfId="31255"/>
    <cellStyle name="Normal 5 3 5 2 6" xfId="24815"/>
    <cellStyle name="Normal 5 3 5 3" xfId="4140"/>
    <cellStyle name="Normal 5 3 5 3 2" xfId="20240"/>
    <cellStyle name="Normal 5 3 5 3 2 2" xfId="42827"/>
    <cellStyle name="Normal 5 3 5 3 3" xfId="10580"/>
    <cellStyle name="Normal 5 3 5 3 3 2" xfId="33167"/>
    <cellStyle name="Normal 5 3 5 3 4" xfId="26727"/>
    <cellStyle name="Normal 5 3 5 4" xfId="17020"/>
    <cellStyle name="Normal 5 3 5 4 2" xfId="39607"/>
    <cellStyle name="Normal 5 3 5 5" xfId="13800"/>
    <cellStyle name="Normal 5 3 5 5 2" xfId="36387"/>
    <cellStyle name="Normal 5 3 5 6" xfId="7360"/>
    <cellStyle name="Normal 5 3 5 6 2" xfId="29947"/>
    <cellStyle name="Normal 5 3 5 7" xfId="23507"/>
    <cellStyle name="Normal 5 3 6" xfId="1260"/>
    <cellStyle name="Normal 5 3 6 2" xfId="2574"/>
    <cellStyle name="Normal 5 3 6 2 2" xfId="5795"/>
    <cellStyle name="Normal 5 3 6 2 2 2" xfId="21895"/>
    <cellStyle name="Normal 5 3 6 2 2 2 2" xfId="44482"/>
    <cellStyle name="Normal 5 3 6 2 2 3" xfId="12235"/>
    <cellStyle name="Normal 5 3 6 2 2 3 2" xfId="34822"/>
    <cellStyle name="Normal 5 3 6 2 2 4" xfId="28382"/>
    <cellStyle name="Normal 5 3 6 2 3" xfId="18675"/>
    <cellStyle name="Normal 5 3 6 2 3 2" xfId="41262"/>
    <cellStyle name="Normal 5 3 6 2 4" xfId="15455"/>
    <cellStyle name="Normal 5 3 6 2 4 2" xfId="38042"/>
    <cellStyle name="Normal 5 3 6 2 5" xfId="9015"/>
    <cellStyle name="Normal 5 3 6 2 5 2" xfId="31602"/>
    <cellStyle name="Normal 5 3 6 2 6" xfId="25162"/>
    <cellStyle name="Normal 5 3 6 3" xfId="4487"/>
    <cellStyle name="Normal 5 3 6 3 2" xfId="20587"/>
    <cellStyle name="Normal 5 3 6 3 2 2" xfId="43174"/>
    <cellStyle name="Normal 5 3 6 3 3" xfId="10927"/>
    <cellStyle name="Normal 5 3 6 3 3 2" xfId="33514"/>
    <cellStyle name="Normal 5 3 6 3 4" xfId="27074"/>
    <cellStyle name="Normal 5 3 6 4" xfId="17367"/>
    <cellStyle name="Normal 5 3 6 4 2" xfId="39954"/>
    <cellStyle name="Normal 5 3 6 5" xfId="14147"/>
    <cellStyle name="Normal 5 3 6 5 2" xfId="36734"/>
    <cellStyle name="Normal 5 3 6 6" xfId="7707"/>
    <cellStyle name="Normal 5 3 6 6 2" xfId="30294"/>
    <cellStyle name="Normal 5 3 6 7" xfId="23854"/>
    <cellStyle name="Normal 5 3 7" xfId="1687"/>
    <cellStyle name="Normal 5 3 7 2" xfId="4910"/>
    <cellStyle name="Normal 5 3 7 2 2" xfId="21010"/>
    <cellStyle name="Normal 5 3 7 2 2 2" xfId="43597"/>
    <cellStyle name="Normal 5 3 7 2 3" xfId="11350"/>
    <cellStyle name="Normal 5 3 7 2 3 2" xfId="33937"/>
    <cellStyle name="Normal 5 3 7 2 4" xfId="27497"/>
    <cellStyle name="Normal 5 3 7 3" xfId="17790"/>
    <cellStyle name="Normal 5 3 7 3 2" xfId="40377"/>
    <cellStyle name="Normal 5 3 7 4" xfId="14570"/>
    <cellStyle name="Normal 5 3 7 4 2" xfId="37157"/>
    <cellStyle name="Normal 5 3 7 5" xfId="8130"/>
    <cellStyle name="Normal 5 3 7 5 2" xfId="30717"/>
    <cellStyle name="Normal 5 3 7 6" xfId="24277"/>
    <cellStyle name="Normal 5 3 8" xfId="1879"/>
    <cellStyle name="Normal 5 3 8 2" xfId="5101"/>
    <cellStyle name="Normal 5 3 8 2 2" xfId="21201"/>
    <cellStyle name="Normal 5 3 8 2 2 2" xfId="43788"/>
    <cellStyle name="Normal 5 3 8 2 3" xfId="11541"/>
    <cellStyle name="Normal 5 3 8 2 3 2" xfId="34128"/>
    <cellStyle name="Normal 5 3 8 2 4" xfId="27688"/>
    <cellStyle name="Normal 5 3 8 3" xfId="17981"/>
    <cellStyle name="Normal 5 3 8 3 2" xfId="40568"/>
    <cellStyle name="Normal 5 3 8 4" xfId="14761"/>
    <cellStyle name="Normal 5 3 8 4 2" xfId="37348"/>
    <cellStyle name="Normal 5 3 8 5" xfId="8321"/>
    <cellStyle name="Normal 5 3 8 5 2" xfId="30908"/>
    <cellStyle name="Normal 5 3 8 6" xfId="24468"/>
    <cellStyle name="Normal 5 3 9" xfId="2922"/>
    <cellStyle name="Normal 5 3 9 2" xfId="6143"/>
    <cellStyle name="Normal 5 3 9 2 2" xfId="22243"/>
    <cellStyle name="Normal 5 3 9 2 2 2" xfId="44830"/>
    <cellStyle name="Normal 5 3 9 2 3" xfId="12583"/>
    <cellStyle name="Normal 5 3 9 2 3 2" xfId="35170"/>
    <cellStyle name="Normal 5 3 9 2 4" xfId="28730"/>
    <cellStyle name="Normal 5 3 9 3" xfId="19023"/>
    <cellStyle name="Normal 5 3 9 3 2" xfId="41610"/>
    <cellStyle name="Normal 5 3 9 4" xfId="15803"/>
    <cellStyle name="Normal 5 3 9 4 2" xfId="38390"/>
    <cellStyle name="Normal 5 3 9 5" xfId="9363"/>
    <cellStyle name="Normal 5 3 9 5 2" xfId="31950"/>
    <cellStyle name="Normal 5 3 9 6" xfId="25510"/>
    <cellStyle name="Normal 5 4" xfId="216"/>
    <cellStyle name="Normal 6" xfId="44"/>
    <cellStyle name="Normal 6 2" xfId="215"/>
    <cellStyle name="Normal 6 2 10" xfId="3214"/>
    <cellStyle name="Normal 6 2 10 2" xfId="6434"/>
    <cellStyle name="Normal 6 2 10 2 2" xfId="22534"/>
    <cellStyle name="Normal 6 2 10 2 2 2" xfId="45121"/>
    <cellStyle name="Normal 6 2 10 2 3" xfId="12874"/>
    <cellStyle name="Normal 6 2 10 2 3 2" xfId="35461"/>
    <cellStyle name="Normal 6 2 10 2 4" xfId="29021"/>
    <cellStyle name="Normal 6 2 10 3" xfId="19314"/>
    <cellStyle name="Normal 6 2 10 3 2" xfId="41901"/>
    <cellStyle name="Normal 6 2 10 4" xfId="16094"/>
    <cellStyle name="Normal 6 2 10 4 2" xfId="38681"/>
    <cellStyle name="Normal 6 2 10 5" xfId="9654"/>
    <cellStyle name="Normal 6 2 10 5 2" xfId="32241"/>
    <cellStyle name="Normal 6 2 10 6" xfId="25801"/>
    <cellStyle name="Normal 6 2 11" xfId="507"/>
    <cellStyle name="Normal 6 2 11 2" xfId="3794"/>
    <cellStyle name="Normal 6 2 11 2 2" xfId="19894"/>
    <cellStyle name="Normal 6 2 11 2 2 2" xfId="42481"/>
    <cellStyle name="Normal 6 2 11 2 3" xfId="10234"/>
    <cellStyle name="Normal 6 2 11 2 3 2" xfId="32821"/>
    <cellStyle name="Normal 6 2 11 2 4" xfId="26381"/>
    <cellStyle name="Normal 6 2 11 3" xfId="16674"/>
    <cellStyle name="Normal 6 2 11 3 2" xfId="39261"/>
    <cellStyle name="Normal 6 2 11 4" xfId="13454"/>
    <cellStyle name="Normal 6 2 11 4 2" xfId="36041"/>
    <cellStyle name="Normal 6 2 11 5" xfId="7014"/>
    <cellStyle name="Normal 6 2 11 5 2" xfId="29601"/>
    <cellStyle name="Normal 6 2 11 6" xfId="23161"/>
    <cellStyle name="Normal 6 2 12" xfId="3504"/>
    <cellStyle name="Normal 6 2 12 2" xfId="19604"/>
    <cellStyle name="Normal 6 2 12 2 2" xfId="42191"/>
    <cellStyle name="Normal 6 2 12 3" xfId="9944"/>
    <cellStyle name="Normal 6 2 12 3 2" xfId="32531"/>
    <cellStyle name="Normal 6 2 12 4" xfId="26091"/>
    <cellStyle name="Normal 6 2 13" xfId="16384"/>
    <cellStyle name="Normal 6 2 13 2" xfId="38971"/>
    <cellStyle name="Normal 6 2 14" xfId="13164"/>
    <cellStyle name="Normal 6 2 14 2" xfId="35751"/>
    <cellStyle name="Normal 6 2 15" xfId="6724"/>
    <cellStyle name="Normal 6 2 15 2" xfId="29311"/>
    <cellStyle name="Normal 6 2 16" xfId="22871"/>
    <cellStyle name="Normal 6 2 2" xfId="240"/>
    <cellStyle name="Normal 6 2 2 10" xfId="3528"/>
    <cellStyle name="Normal 6 2 2 10 2" xfId="19628"/>
    <cellStyle name="Normal 6 2 2 10 2 2" xfId="42215"/>
    <cellStyle name="Normal 6 2 2 10 3" xfId="9968"/>
    <cellStyle name="Normal 6 2 2 10 3 2" xfId="32555"/>
    <cellStyle name="Normal 6 2 2 10 4" xfId="26115"/>
    <cellStyle name="Normal 6 2 2 11" xfId="16408"/>
    <cellStyle name="Normal 6 2 2 11 2" xfId="38995"/>
    <cellStyle name="Normal 6 2 2 12" xfId="13188"/>
    <cellStyle name="Normal 6 2 2 12 2" xfId="35775"/>
    <cellStyle name="Normal 6 2 2 13" xfId="6748"/>
    <cellStyle name="Normal 6 2 2 13 2" xfId="29335"/>
    <cellStyle name="Normal 6 2 2 14" xfId="22895"/>
    <cellStyle name="Normal 6 2 2 2" xfId="338"/>
    <cellStyle name="Normal 6 2 2 2 10" xfId="13285"/>
    <cellStyle name="Normal 6 2 2 2 10 2" xfId="35872"/>
    <cellStyle name="Normal 6 2 2 2 11" xfId="6845"/>
    <cellStyle name="Normal 6 2 2 2 11 2" xfId="29432"/>
    <cellStyle name="Normal 6 2 2 2 12" xfId="22992"/>
    <cellStyle name="Normal 6 2 2 2 2" xfId="1070"/>
    <cellStyle name="Normal 6 2 2 2 2 2" xfId="2384"/>
    <cellStyle name="Normal 6 2 2 2 2 2 2" xfId="5605"/>
    <cellStyle name="Normal 6 2 2 2 2 2 2 2" xfId="21705"/>
    <cellStyle name="Normal 6 2 2 2 2 2 2 2 2" xfId="44292"/>
    <cellStyle name="Normal 6 2 2 2 2 2 2 3" xfId="12045"/>
    <cellStyle name="Normal 6 2 2 2 2 2 2 3 2" xfId="34632"/>
    <cellStyle name="Normal 6 2 2 2 2 2 2 4" xfId="28192"/>
    <cellStyle name="Normal 6 2 2 2 2 2 3" xfId="18485"/>
    <cellStyle name="Normal 6 2 2 2 2 2 3 2" xfId="41072"/>
    <cellStyle name="Normal 6 2 2 2 2 2 4" xfId="15265"/>
    <cellStyle name="Normal 6 2 2 2 2 2 4 2" xfId="37852"/>
    <cellStyle name="Normal 6 2 2 2 2 2 5" xfId="8825"/>
    <cellStyle name="Normal 6 2 2 2 2 2 5 2" xfId="31412"/>
    <cellStyle name="Normal 6 2 2 2 2 2 6" xfId="24972"/>
    <cellStyle name="Normal 6 2 2 2 2 3" xfId="4297"/>
    <cellStyle name="Normal 6 2 2 2 2 3 2" xfId="20397"/>
    <cellStyle name="Normal 6 2 2 2 2 3 2 2" xfId="42984"/>
    <cellStyle name="Normal 6 2 2 2 2 3 3" xfId="10737"/>
    <cellStyle name="Normal 6 2 2 2 2 3 3 2" xfId="33324"/>
    <cellStyle name="Normal 6 2 2 2 2 3 4" xfId="26884"/>
    <cellStyle name="Normal 6 2 2 2 2 4" xfId="17177"/>
    <cellStyle name="Normal 6 2 2 2 2 4 2" xfId="39764"/>
    <cellStyle name="Normal 6 2 2 2 2 5" xfId="13957"/>
    <cellStyle name="Normal 6 2 2 2 2 5 2" xfId="36544"/>
    <cellStyle name="Normal 6 2 2 2 2 6" xfId="7517"/>
    <cellStyle name="Normal 6 2 2 2 2 6 2" xfId="30104"/>
    <cellStyle name="Normal 6 2 2 2 2 7" xfId="23664"/>
    <cellStyle name="Normal 6 2 2 2 3" xfId="1417"/>
    <cellStyle name="Normal 6 2 2 2 3 2" xfId="2731"/>
    <cellStyle name="Normal 6 2 2 2 3 2 2" xfId="5952"/>
    <cellStyle name="Normal 6 2 2 2 3 2 2 2" xfId="22052"/>
    <cellStyle name="Normal 6 2 2 2 3 2 2 2 2" xfId="44639"/>
    <cellStyle name="Normal 6 2 2 2 3 2 2 3" xfId="12392"/>
    <cellStyle name="Normal 6 2 2 2 3 2 2 3 2" xfId="34979"/>
    <cellStyle name="Normal 6 2 2 2 3 2 2 4" xfId="28539"/>
    <cellStyle name="Normal 6 2 2 2 3 2 3" xfId="18832"/>
    <cellStyle name="Normal 6 2 2 2 3 2 3 2" xfId="41419"/>
    <cellStyle name="Normal 6 2 2 2 3 2 4" xfId="15612"/>
    <cellStyle name="Normal 6 2 2 2 3 2 4 2" xfId="38199"/>
    <cellStyle name="Normal 6 2 2 2 3 2 5" xfId="9172"/>
    <cellStyle name="Normal 6 2 2 2 3 2 5 2" xfId="31759"/>
    <cellStyle name="Normal 6 2 2 2 3 2 6" xfId="25319"/>
    <cellStyle name="Normal 6 2 2 2 3 3" xfId="4644"/>
    <cellStyle name="Normal 6 2 2 2 3 3 2" xfId="20744"/>
    <cellStyle name="Normal 6 2 2 2 3 3 2 2" xfId="43331"/>
    <cellStyle name="Normal 6 2 2 2 3 3 3" xfId="11084"/>
    <cellStyle name="Normal 6 2 2 2 3 3 3 2" xfId="33671"/>
    <cellStyle name="Normal 6 2 2 2 3 3 4" xfId="27231"/>
    <cellStyle name="Normal 6 2 2 2 3 4" xfId="17524"/>
    <cellStyle name="Normal 6 2 2 2 3 4 2" xfId="40111"/>
    <cellStyle name="Normal 6 2 2 2 3 5" xfId="14304"/>
    <cellStyle name="Normal 6 2 2 2 3 5 2" xfId="36891"/>
    <cellStyle name="Normal 6 2 2 2 3 6" xfId="7864"/>
    <cellStyle name="Normal 6 2 2 2 3 6 2" xfId="30451"/>
    <cellStyle name="Normal 6 2 2 2 3 7" xfId="24011"/>
    <cellStyle name="Normal 6 2 2 2 4" xfId="2036"/>
    <cellStyle name="Normal 6 2 2 2 4 2" xfId="5258"/>
    <cellStyle name="Normal 6 2 2 2 4 2 2" xfId="21358"/>
    <cellStyle name="Normal 6 2 2 2 4 2 2 2" xfId="43945"/>
    <cellStyle name="Normal 6 2 2 2 4 2 3" xfId="11698"/>
    <cellStyle name="Normal 6 2 2 2 4 2 3 2" xfId="34285"/>
    <cellStyle name="Normal 6 2 2 2 4 2 4" xfId="27845"/>
    <cellStyle name="Normal 6 2 2 2 4 3" xfId="18138"/>
    <cellStyle name="Normal 6 2 2 2 4 3 2" xfId="40725"/>
    <cellStyle name="Normal 6 2 2 2 4 4" xfId="14918"/>
    <cellStyle name="Normal 6 2 2 2 4 4 2" xfId="37505"/>
    <cellStyle name="Normal 6 2 2 2 4 5" xfId="8478"/>
    <cellStyle name="Normal 6 2 2 2 4 5 2" xfId="31065"/>
    <cellStyle name="Normal 6 2 2 2 4 6" xfId="24625"/>
    <cellStyle name="Normal 6 2 2 2 5" xfId="3045"/>
    <cellStyle name="Normal 6 2 2 2 5 2" xfId="6265"/>
    <cellStyle name="Normal 6 2 2 2 5 2 2" xfId="22365"/>
    <cellStyle name="Normal 6 2 2 2 5 2 2 2" xfId="44952"/>
    <cellStyle name="Normal 6 2 2 2 5 2 3" xfId="12705"/>
    <cellStyle name="Normal 6 2 2 2 5 2 3 2" xfId="35292"/>
    <cellStyle name="Normal 6 2 2 2 5 2 4" xfId="28852"/>
    <cellStyle name="Normal 6 2 2 2 5 3" xfId="19145"/>
    <cellStyle name="Normal 6 2 2 2 5 3 2" xfId="41732"/>
    <cellStyle name="Normal 6 2 2 2 5 4" xfId="15925"/>
    <cellStyle name="Normal 6 2 2 2 5 4 2" xfId="38512"/>
    <cellStyle name="Normal 6 2 2 2 5 5" xfId="9485"/>
    <cellStyle name="Normal 6 2 2 2 5 5 2" xfId="32072"/>
    <cellStyle name="Normal 6 2 2 2 5 6" xfId="25632"/>
    <cellStyle name="Normal 6 2 2 2 6" xfId="3335"/>
    <cellStyle name="Normal 6 2 2 2 6 2" xfId="6555"/>
    <cellStyle name="Normal 6 2 2 2 6 2 2" xfId="22655"/>
    <cellStyle name="Normal 6 2 2 2 6 2 2 2" xfId="45242"/>
    <cellStyle name="Normal 6 2 2 2 6 2 3" xfId="12995"/>
    <cellStyle name="Normal 6 2 2 2 6 2 3 2" xfId="35582"/>
    <cellStyle name="Normal 6 2 2 2 6 2 4" xfId="29142"/>
    <cellStyle name="Normal 6 2 2 2 6 3" xfId="19435"/>
    <cellStyle name="Normal 6 2 2 2 6 3 2" xfId="42022"/>
    <cellStyle name="Normal 6 2 2 2 6 4" xfId="16215"/>
    <cellStyle name="Normal 6 2 2 2 6 4 2" xfId="38802"/>
    <cellStyle name="Normal 6 2 2 2 6 5" xfId="9775"/>
    <cellStyle name="Normal 6 2 2 2 6 5 2" xfId="32362"/>
    <cellStyle name="Normal 6 2 2 2 6 6" xfId="25922"/>
    <cellStyle name="Normal 6 2 2 2 7" xfId="706"/>
    <cellStyle name="Normal 6 2 2 2 7 2" xfId="3950"/>
    <cellStyle name="Normal 6 2 2 2 7 2 2" xfId="20050"/>
    <cellStyle name="Normal 6 2 2 2 7 2 2 2" xfId="42637"/>
    <cellStyle name="Normal 6 2 2 2 7 2 3" xfId="10390"/>
    <cellStyle name="Normal 6 2 2 2 7 2 3 2" xfId="32977"/>
    <cellStyle name="Normal 6 2 2 2 7 2 4" xfId="26537"/>
    <cellStyle name="Normal 6 2 2 2 7 3" xfId="16830"/>
    <cellStyle name="Normal 6 2 2 2 7 3 2" xfId="39417"/>
    <cellStyle name="Normal 6 2 2 2 7 4" xfId="13610"/>
    <cellStyle name="Normal 6 2 2 2 7 4 2" xfId="36197"/>
    <cellStyle name="Normal 6 2 2 2 7 5" xfId="7170"/>
    <cellStyle name="Normal 6 2 2 2 7 5 2" xfId="29757"/>
    <cellStyle name="Normal 6 2 2 2 7 6" xfId="23317"/>
    <cellStyle name="Normal 6 2 2 2 8" xfId="3625"/>
    <cellStyle name="Normal 6 2 2 2 8 2" xfId="19725"/>
    <cellStyle name="Normal 6 2 2 2 8 2 2" xfId="42312"/>
    <cellStyle name="Normal 6 2 2 2 8 3" xfId="10065"/>
    <cellStyle name="Normal 6 2 2 2 8 3 2" xfId="32652"/>
    <cellStyle name="Normal 6 2 2 2 8 4" xfId="26212"/>
    <cellStyle name="Normal 6 2 2 2 9" xfId="16505"/>
    <cellStyle name="Normal 6 2 2 2 9 2" xfId="39092"/>
    <cellStyle name="Normal 6 2 2 3" xfId="434"/>
    <cellStyle name="Normal 6 2 2 3 10" xfId="23088"/>
    <cellStyle name="Normal 6 2 2 3 2" xfId="2268"/>
    <cellStyle name="Normal 6 2 2 3 2 2" xfId="5489"/>
    <cellStyle name="Normal 6 2 2 3 2 2 2" xfId="21589"/>
    <cellStyle name="Normal 6 2 2 3 2 2 2 2" xfId="44176"/>
    <cellStyle name="Normal 6 2 2 3 2 2 3" xfId="11929"/>
    <cellStyle name="Normal 6 2 2 3 2 2 3 2" xfId="34516"/>
    <cellStyle name="Normal 6 2 2 3 2 2 4" xfId="28076"/>
    <cellStyle name="Normal 6 2 2 3 2 3" xfId="18369"/>
    <cellStyle name="Normal 6 2 2 3 2 3 2" xfId="40956"/>
    <cellStyle name="Normal 6 2 2 3 2 4" xfId="15149"/>
    <cellStyle name="Normal 6 2 2 3 2 4 2" xfId="37736"/>
    <cellStyle name="Normal 6 2 2 3 2 5" xfId="8709"/>
    <cellStyle name="Normal 6 2 2 3 2 5 2" xfId="31296"/>
    <cellStyle name="Normal 6 2 2 3 2 6" xfId="24856"/>
    <cellStyle name="Normal 6 2 2 3 3" xfId="3141"/>
    <cellStyle name="Normal 6 2 2 3 3 2" xfId="6361"/>
    <cellStyle name="Normal 6 2 2 3 3 2 2" xfId="22461"/>
    <cellStyle name="Normal 6 2 2 3 3 2 2 2" xfId="45048"/>
    <cellStyle name="Normal 6 2 2 3 3 2 3" xfId="12801"/>
    <cellStyle name="Normal 6 2 2 3 3 2 3 2" xfId="35388"/>
    <cellStyle name="Normal 6 2 2 3 3 2 4" xfId="28948"/>
    <cellStyle name="Normal 6 2 2 3 3 3" xfId="19241"/>
    <cellStyle name="Normal 6 2 2 3 3 3 2" xfId="41828"/>
    <cellStyle name="Normal 6 2 2 3 3 4" xfId="16021"/>
    <cellStyle name="Normal 6 2 2 3 3 4 2" xfId="38608"/>
    <cellStyle name="Normal 6 2 2 3 3 5" xfId="9581"/>
    <cellStyle name="Normal 6 2 2 3 3 5 2" xfId="32168"/>
    <cellStyle name="Normal 6 2 2 3 3 6" xfId="25728"/>
    <cellStyle name="Normal 6 2 2 3 4" xfId="3431"/>
    <cellStyle name="Normal 6 2 2 3 4 2" xfId="6651"/>
    <cellStyle name="Normal 6 2 2 3 4 2 2" xfId="22751"/>
    <cellStyle name="Normal 6 2 2 3 4 2 2 2" xfId="45338"/>
    <cellStyle name="Normal 6 2 2 3 4 2 3" xfId="13091"/>
    <cellStyle name="Normal 6 2 2 3 4 2 3 2" xfId="35678"/>
    <cellStyle name="Normal 6 2 2 3 4 2 4" xfId="29238"/>
    <cellStyle name="Normal 6 2 2 3 4 3" xfId="19531"/>
    <cellStyle name="Normal 6 2 2 3 4 3 2" xfId="42118"/>
    <cellStyle name="Normal 6 2 2 3 4 4" xfId="16311"/>
    <cellStyle name="Normal 6 2 2 3 4 4 2" xfId="38898"/>
    <cellStyle name="Normal 6 2 2 3 4 5" xfId="9871"/>
    <cellStyle name="Normal 6 2 2 3 4 5 2" xfId="32458"/>
    <cellStyle name="Normal 6 2 2 3 4 6" xfId="26018"/>
    <cellStyle name="Normal 6 2 2 3 5" xfId="949"/>
    <cellStyle name="Normal 6 2 2 3 5 2" xfId="4181"/>
    <cellStyle name="Normal 6 2 2 3 5 2 2" xfId="20281"/>
    <cellStyle name="Normal 6 2 2 3 5 2 2 2" xfId="42868"/>
    <cellStyle name="Normal 6 2 2 3 5 2 3" xfId="10621"/>
    <cellStyle name="Normal 6 2 2 3 5 2 3 2" xfId="33208"/>
    <cellStyle name="Normal 6 2 2 3 5 2 4" xfId="26768"/>
    <cellStyle name="Normal 6 2 2 3 5 3" xfId="17061"/>
    <cellStyle name="Normal 6 2 2 3 5 3 2" xfId="39648"/>
    <cellStyle name="Normal 6 2 2 3 5 4" xfId="13841"/>
    <cellStyle name="Normal 6 2 2 3 5 4 2" xfId="36428"/>
    <cellStyle name="Normal 6 2 2 3 5 5" xfId="7401"/>
    <cellStyle name="Normal 6 2 2 3 5 5 2" xfId="29988"/>
    <cellStyle name="Normal 6 2 2 3 5 6" xfId="23548"/>
    <cellStyle name="Normal 6 2 2 3 6" xfId="3721"/>
    <cellStyle name="Normal 6 2 2 3 6 2" xfId="19821"/>
    <cellStyle name="Normal 6 2 2 3 6 2 2" xfId="42408"/>
    <cellStyle name="Normal 6 2 2 3 6 3" xfId="10161"/>
    <cellStyle name="Normal 6 2 2 3 6 3 2" xfId="32748"/>
    <cellStyle name="Normal 6 2 2 3 6 4" xfId="26308"/>
    <cellStyle name="Normal 6 2 2 3 7" xfId="16601"/>
    <cellStyle name="Normal 6 2 2 3 7 2" xfId="39188"/>
    <cellStyle name="Normal 6 2 2 3 8" xfId="13381"/>
    <cellStyle name="Normal 6 2 2 3 8 2" xfId="35968"/>
    <cellStyle name="Normal 6 2 2 3 9" xfId="6941"/>
    <cellStyle name="Normal 6 2 2 3 9 2" xfId="29528"/>
    <cellStyle name="Normal 6 2 2 4" xfId="1301"/>
    <cellStyle name="Normal 6 2 2 4 2" xfId="2615"/>
    <cellStyle name="Normal 6 2 2 4 2 2" xfId="5836"/>
    <cellStyle name="Normal 6 2 2 4 2 2 2" xfId="21936"/>
    <cellStyle name="Normal 6 2 2 4 2 2 2 2" xfId="44523"/>
    <cellStyle name="Normal 6 2 2 4 2 2 3" xfId="12276"/>
    <cellStyle name="Normal 6 2 2 4 2 2 3 2" xfId="34863"/>
    <cellStyle name="Normal 6 2 2 4 2 2 4" xfId="28423"/>
    <cellStyle name="Normal 6 2 2 4 2 3" xfId="18716"/>
    <cellStyle name="Normal 6 2 2 4 2 3 2" xfId="41303"/>
    <cellStyle name="Normal 6 2 2 4 2 4" xfId="15496"/>
    <cellStyle name="Normal 6 2 2 4 2 4 2" xfId="38083"/>
    <cellStyle name="Normal 6 2 2 4 2 5" xfId="9056"/>
    <cellStyle name="Normal 6 2 2 4 2 5 2" xfId="31643"/>
    <cellStyle name="Normal 6 2 2 4 2 6" xfId="25203"/>
    <cellStyle name="Normal 6 2 2 4 3" xfId="4528"/>
    <cellStyle name="Normal 6 2 2 4 3 2" xfId="20628"/>
    <cellStyle name="Normal 6 2 2 4 3 2 2" xfId="43215"/>
    <cellStyle name="Normal 6 2 2 4 3 3" xfId="10968"/>
    <cellStyle name="Normal 6 2 2 4 3 3 2" xfId="33555"/>
    <cellStyle name="Normal 6 2 2 4 3 4" xfId="27115"/>
    <cellStyle name="Normal 6 2 2 4 4" xfId="17408"/>
    <cellStyle name="Normal 6 2 2 4 4 2" xfId="39995"/>
    <cellStyle name="Normal 6 2 2 4 5" xfId="14188"/>
    <cellStyle name="Normal 6 2 2 4 5 2" xfId="36775"/>
    <cellStyle name="Normal 6 2 2 4 6" xfId="7748"/>
    <cellStyle name="Normal 6 2 2 4 6 2" xfId="30335"/>
    <cellStyle name="Normal 6 2 2 4 7" xfId="23895"/>
    <cellStyle name="Normal 6 2 2 5" xfId="1688"/>
    <cellStyle name="Normal 6 2 2 5 2" xfId="4911"/>
    <cellStyle name="Normal 6 2 2 5 2 2" xfId="21011"/>
    <cellStyle name="Normal 6 2 2 5 2 2 2" xfId="43598"/>
    <cellStyle name="Normal 6 2 2 5 2 3" xfId="11351"/>
    <cellStyle name="Normal 6 2 2 5 2 3 2" xfId="33938"/>
    <cellStyle name="Normal 6 2 2 5 2 4" xfId="27498"/>
    <cellStyle name="Normal 6 2 2 5 3" xfId="17791"/>
    <cellStyle name="Normal 6 2 2 5 3 2" xfId="40378"/>
    <cellStyle name="Normal 6 2 2 5 4" xfId="14571"/>
    <cellStyle name="Normal 6 2 2 5 4 2" xfId="37158"/>
    <cellStyle name="Normal 6 2 2 5 5" xfId="8131"/>
    <cellStyle name="Normal 6 2 2 5 5 2" xfId="30718"/>
    <cellStyle name="Normal 6 2 2 5 6" xfId="24278"/>
    <cellStyle name="Normal 6 2 2 6" xfId="1920"/>
    <cellStyle name="Normal 6 2 2 6 2" xfId="5142"/>
    <cellStyle name="Normal 6 2 2 6 2 2" xfId="21242"/>
    <cellStyle name="Normal 6 2 2 6 2 2 2" xfId="43829"/>
    <cellStyle name="Normal 6 2 2 6 2 3" xfId="11582"/>
    <cellStyle name="Normal 6 2 2 6 2 3 2" xfId="34169"/>
    <cellStyle name="Normal 6 2 2 6 2 4" xfId="27729"/>
    <cellStyle name="Normal 6 2 2 6 3" xfId="18022"/>
    <cellStyle name="Normal 6 2 2 6 3 2" xfId="40609"/>
    <cellStyle name="Normal 6 2 2 6 4" xfId="14802"/>
    <cellStyle name="Normal 6 2 2 6 4 2" xfId="37389"/>
    <cellStyle name="Normal 6 2 2 6 5" xfId="8362"/>
    <cellStyle name="Normal 6 2 2 6 5 2" xfId="30949"/>
    <cellStyle name="Normal 6 2 2 6 6" xfId="24509"/>
    <cellStyle name="Normal 6 2 2 7" xfId="2947"/>
    <cellStyle name="Normal 6 2 2 7 2" xfId="6168"/>
    <cellStyle name="Normal 6 2 2 7 2 2" xfId="22268"/>
    <cellStyle name="Normal 6 2 2 7 2 2 2" xfId="44855"/>
    <cellStyle name="Normal 6 2 2 7 2 3" xfId="12608"/>
    <cellStyle name="Normal 6 2 2 7 2 3 2" xfId="35195"/>
    <cellStyle name="Normal 6 2 2 7 2 4" xfId="28755"/>
    <cellStyle name="Normal 6 2 2 7 3" xfId="19048"/>
    <cellStyle name="Normal 6 2 2 7 3 2" xfId="41635"/>
    <cellStyle name="Normal 6 2 2 7 4" xfId="15828"/>
    <cellStyle name="Normal 6 2 2 7 4 2" xfId="38415"/>
    <cellStyle name="Normal 6 2 2 7 5" xfId="9388"/>
    <cellStyle name="Normal 6 2 2 7 5 2" xfId="31975"/>
    <cellStyle name="Normal 6 2 2 7 6" xfId="25535"/>
    <cellStyle name="Normal 6 2 2 8" xfId="3238"/>
    <cellStyle name="Normal 6 2 2 8 2" xfId="6458"/>
    <cellStyle name="Normal 6 2 2 8 2 2" xfId="22558"/>
    <cellStyle name="Normal 6 2 2 8 2 2 2" xfId="45145"/>
    <cellStyle name="Normal 6 2 2 8 2 3" xfId="12898"/>
    <cellStyle name="Normal 6 2 2 8 2 3 2" xfId="35485"/>
    <cellStyle name="Normal 6 2 2 8 2 4" xfId="29045"/>
    <cellStyle name="Normal 6 2 2 8 3" xfId="19338"/>
    <cellStyle name="Normal 6 2 2 8 3 2" xfId="41925"/>
    <cellStyle name="Normal 6 2 2 8 4" xfId="16118"/>
    <cellStyle name="Normal 6 2 2 8 4 2" xfId="38705"/>
    <cellStyle name="Normal 6 2 2 8 5" xfId="9678"/>
    <cellStyle name="Normal 6 2 2 8 5 2" xfId="32265"/>
    <cellStyle name="Normal 6 2 2 8 6" xfId="25825"/>
    <cellStyle name="Normal 6 2 2 9" xfId="547"/>
    <cellStyle name="Normal 6 2 2 9 2" xfId="3834"/>
    <cellStyle name="Normal 6 2 2 9 2 2" xfId="19934"/>
    <cellStyle name="Normal 6 2 2 9 2 2 2" xfId="42521"/>
    <cellStyle name="Normal 6 2 2 9 2 3" xfId="10274"/>
    <cellStyle name="Normal 6 2 2 9 2 3 2" xfId="32861"/>
    <cellStyle name="Normal 6 2 2 9 2 4" xfId="26421"/>
    <cellStyle name="Normal 6 2 2 9 3" xfId="16714"/>
    <cellStyle name="Normal 6 2 2 9 3 2" xfId="39301"/>
    <cellStyle name="Normal 6 2 2 9 4" xfId="13494"/>
    <cellStyle name="Normal 6 2 2 9 4 2" xfId="36081"/>
    <cellStyle name="Normal 6 2 2 9 5" xfId="7054"/>
    <cellStyle name="Normal 6 2 2 9 5 2" xfId="29641"/>
    <cellStyle name="Normal 6 2 2 9 6" xfId="23201"/>
    <cellStyle name="Normal 6 2 3" xfId="314"/>
    <cellStyle name="Normal 6 2 3 10" xfId="13261"/>
    <cellStyle name="Normal 6 2 3 10 2" xfId="35848"/>
    <cellStyle name="Normal 6 2 3 11" xfId="6821"/>
    <cellStyle name="Normal 6 2 3 11 2" xfId="29408"/>
    <cellStyle name="Normal 6 2 3 12" xfId="22968"/>
    <cellStyle name="Normal 6 2 3 2" xfId="979"/>
    <cellStyle name="Normal 6 2 3 2 2" xfId="2297"/>
    <cellStyle name="Normal 6 2 3 2 2 2" xfId="5518"/>
    <cellStyle name="Normal 6 2 3 2 2 2 2" xfId="21618"/>
    <cellStyle name="Normal 6 2 3 2 2 2 2 2" xfId="44205"/>
    <cellStyle name="Normal 6 2 3 2 2 2 3" xfId="11958"/>
    <cellStyle name="Normal 6 2 3 2 2 2 3 2" xfId="34545"/>
    <cellStyle name="Normal 6 2 3 2 2 2 4" xfId="28105"/>
    <cellStyle name="Normal 6 2 3 2 2 3" xfId="18398"/>
    <cellStyle name="Normal 6 2 3 2 2 3 2" xfId="40985"/>
    <cellStyle name="Normal 6 2 3 2 2 4" xfId="15178"/>
    <cellStyle name="Normal 6 2 3 2 2 4 2" xfId="37765"/>
    <cellStyle name="Normal 6 2 3 2 2 5" xfId="8738"/>
    <cellStyle name="Normal 6 2 3 2 2 5 2" xfId="31325"/>
    <cellStyle name="Normal 6 2 3 2 2 6" xfId="24885"/>
    <cellStyle name="Normal 6 2 3 2 3" xfId="4210"/>
    <cellStyle name="Normal 6 2 3 2 3 2" xfId="20310"/>
    <cellStyle name="Normal 6 2 3 2 3 2 2" xfId="42897"/>
    <cellStyle name="Normal 6 2 3 2 3 3" xfId="10650"/>
    <cellStyle name="Normal 6 2 3 2 3 3 2" xfId="33237"/>
    <cellStyle name="Normal 6 2 3 2 3 4" xfId="26797"/>
    <cellStyle name="Normal 6 2 3 2 4" xfId="17090"/>
    <cellStyle name="Normal 6 2 3 2 4 2" xfId="39677"/>
    <cellStyle name="Normal 6 2 3 2 5" xfId="13870"/>
    <cellStyle name="Normal 6 2 3 2 5 2" xfId="36457"/>
    <cellStyle name="Normal 6 2 3 2 6" xfId="7430"/>
    <cellStyle name="Normal 6 2 3 2 6 2" xfId="30017"/>
    <cellStyle name="Normal 6 2 3 2 7" xfId="23577"/>
    <cellStyle name="Normal 6 2 3 3" xfId="1330"/>
    <cellStyle name="Normal 6 2 3 3 2" xfId="2644"/>
    <cellStyle name="Normal 6 2 3 3 2 2" xfId="5865"/>
    <cellStyle name="Normal 6 2 3 3 2 2 2" xfId="21965"/>
    <cellStyle name="Normal 6 2 3 3 2 2 2 2" xfId="44552"/>
    <cellStyle name="Normal 6 2 3 3 2 2 3" xfId="12305"/>
    <cellStyle name="Normal 6 2 3 3 2 2 3 2" xfId="34892"/>
    <cellStyle name="Normal 6 2 3 3 2 2 4" xfId="28452"/>
    <cellStyle name="Normal 6 2 3 3 2 3" xfId="18745"/>
    <cellStyle name="Normal 6 2 3 3 2 3 2" xfId="41332"/>
    <cellStyle name="Normal 6 2 3 3 2 4" xfId="15525"/>
    <cellStyle name="Normal 6 2 3 3 2 4 2" xfId="38112"/>
    <cellStyle name="Normal 6 2 3 3 2 5" xfId="9085"/>
    <cellStyle name="Normal 6 2 3 3 2 5 2" xfId="31672"/>
    <cellStyle name="Normal 6 2 3 3 2 6" xfId="25232"/>
    <cellStyle name="Normal 6 2 3 3 3" xfId="4557"/>
    <cellStyle name="Normal 6 2 3 3 3 2" xfId="20657"/>
    <cellStyle name="Normal 6 2 3 3 3 2 2" xfId="43244"/>
    <cellStyle name="Normal 6 2 3 3 3 3" xfId="10997"/>
    <cellStyle name="Normal 6 2 3 3 3 3 2" xfId="33584"/>
    <cellStyle name="Normal 6 2 3 3 3 4" xfId="27144"/>
    <cellStyle name="Normal 6 2 3 3 4" xfId="17437"/>
    <cellStyle name="Normal 6 2 3 3 4 2" xfId="40024"/>
    <cellStyle name="Normal 6 2 3 3 5" xfId="14217"/>
    <cellStyle name="Normal 6 2 3 3 5 2" xfId="36804"/>
    <cellStyle name="Normal 6 2 3 3 6" xfId="7777"/>
    <cellStyle name="Normal 6 2 3 3 6 2" xfId="30364"/>
    <cellStyle name="Normal 6 2 3 3 7" xfId="23924"/>
    <cellStyle name="Normal 6 2 3 4" xfId="1949"/>
    <cellStyle name="Normal 6 2 3 4 2" xfId="5171"/>
    <cellStyle name="Normal 6 2 3 4 2 2" xfId="21271"/>
    <cellStyle name="Normal 6 2 3 4 2 2 2" xfId="43858"/>
    <cellStyle name="Normal 6 2 3 4 2 3" xfId="11611"/>
    <cellStyle name="Normal 6 2 3 4 2 3 2" xfId="34198"/>
    <cellStyle name="Normal 6 2 3 4 2 4" xfId="27758"/>
    <cellStyle name="Normal 6 2 3 4 3" xfId="18051"/>
    <cellStyle name="Normal 6 2 3 4 3 2" xfId="40638"/>
    <cellStyle name="Normal 6 2 3 4 4" xfId="14831"/>
    <cellStyle name="Normal 6 2 3 4 4 2" xfId="37418"/>
    <cellStyle name="Normal 6 2 3 4 5" xfId="8391"/>
    <cellStyle name="Normal 6 2 3 4 5 2" xfId="30978"/>
    <cellStyle name="Normal 6 2 3 4 6" xfId="24538"/>
    <cellStyle name="Normal 6 2 3 5" xfId="3021"/>
    <cellStyle name="Normal 6 2 3 5 2" xfId="6241"/>
    <cellStyle name="Normal 6 2 3 5 2 2" xfId="22341"/>
    <cellStyle name="Normal 6 2 3 5 2 2 2" xfId="44928"/>
    <cellStyle name="Normal 6 2 3 5 2 3" xfId="12681"/>
    <cellStyle name="Normal 6 2 3 5 2 3 2" xfId="35268"/>
    <cellStyle name="Normal 6 2 3 5 2 4" xfId="28828"/>
    <cellStyle name="Normal 6 2 3 5 3" xfId="19121"/>
    <cellStyle name="Normal 6 2 3 5 3 2" xfId="41708"/>
    <cellStyle name="Normal 6 2 3 5 4" xfId="15901"/>
    <cellStyle name="Normal 6 2 3 5 4 2" xfId="38488"/>
    <cellStyle name="Normal 6 2 3 5 5" xfId="9461"/>
    <cellStyle name="Normal 6 2 3 5 5 2" xfId="32048"/>
    <cellStyle name="Normal 6 2 3 5 6" xfId="25608"/>
    <cellStyle name="Normal 6 2 3 6" xfId="3311"/>
    <cellStyle name="Normal 6 2 3 6 2" xfId="6531"/>
    <cellStyle name="Normal 6 2 3 6 2 2" xfId="22631"/>
    <cellStyle name="Normal 6 2 3 6 2 2 2" xfId="45218"/>
    <cellStyle name="Normal 6 2 3 6 2 3" xfId="12971"/>
    <cellStyle name="Normal 6 2 3 6 2 3 2" xfId="35558"/>
    <cellStyle name="Normal 6 2 3 6 2 4" xfId="29118"/>
    <cellStyle name="Normal 6 2 3 6 3" xfId="19411"/>
    <cellStyle name="Normal 6 2 3 6 3 2" xfId="41998"/>
    <cellStyle name="Normal 6 2 3 6 4" xfId="16191"/>
    <cellStyle name="Normal 6 2 3 6 4 2" xfId="38778"/>
    <cellStyle name="Normal 6 2 3 6 5" xfId="9751"/>
    <cellStyle name="Normal 6 2 3 6 5 2" xfId="32338"/>
    <cellStyle name="Normal 6 2 3 6 6" xfId="25898"/>
    <cellStyle name="Normal 6 2 3 7" xfId="594"/>
    <cellStyle name="Normal 6 2 3 7 2" xfId="3863"/>
    <cellStyle name="Normal 6 2 3 7 2 2" xfId="19963"/>
    <cellStyle name="Normal 6 2 3 7 2 2 2" xfId="42550"/>
    <cellStyle name="Normal 6 2 3 7 2 3" xfId="10303"/>
    <cellStyle name="Normal 6 2 3 7 2 3 2" xfId="32890"/>
    <cellStyle name="Normal 6 2 3 7 2 4" xfId="26450"/>
    <cellStyle name="Normal 6 2 3 7 3" xfId="16743"/>
    <cellStyle name="Normal 6 2 3 7 3 2" xfId="39330"/>
    <cellStyle name="Normal 6 2 3 7 4" xfId="13523"/>
    <cellStyle name="Normal 6 2 3 7 4 2" xfId="36110"/>
    <cellStyle name="Normal 6 2 3 7 5" xfId="7083"/>
    <cellStyle name="Normal 6 2 3 7 5 2" xfId="29670"/>
    <cellStyle name="Normal 6 2 3 7 6" xfId="23230"/>
    <cellStyle name="Normal 6 2 3 8" xfId="3601"/>
    <cellStyle name="Normal 6 2 3 8 2" xfId="19701"/>
    <cellStyle name="Normal 6 2 3 8 2 2" xfId="42288"/>
    <cellStyle name="Normal 6 2 3 8 3" xfId="10041"/>
    <cellStyle name="Normal 6 2 3 8 3 2" xfId="32628"/>
    <cellStyle name="Normal 6 2 3 8 4" xfId="26188"/>
    <cellStyle name="Normal 6 2 3 9" xfId="16481"/>
    <cellStyle name="Normal 6 2 3 9 2" xfId="39068"/>
    <cellStyle name="Normal 6 2 4" xfId="410"/>
    <cellStyle name="Normal 6 2 4 10" xfId="13357"/>
    <cellStyle name="Normal 6 2 4 10 2" xfId="35944"/>
    <cellStyle name="Normal 6 2 4 11" xfId="6917"/>
    <cellStyle name="Normal 6 2 4 11 2" xfId="29504"/>
    <cellStyle name="Normal 6 2 4 12" xfId="23064"/>
    <cellStyle name="Normal 6 2 4 2" xfId="1154"/>
    <cellStyle name="Normal 6 2 4 2 2" xfId="2468"/>
    <cellStyle name="Normal 6 2 4 2 2 2" xfId="5689"/>
    <cellStyle name="Normal 6 2 4 2 2 2 2" xfId="21789"/>
    <cellStyle name="Normal 6 2 4 2 2 2 2 2" xfId="44376"/>
    <cellStyle name="Normal 6 2 4 2 2 2 3" xfId="12129"/>
    <cellStyle name="Normal 6 2 4 2 2 2 3 2" xfId="34716"/>
    <cellStyle name="Normal 6 2 4 2 2 2 4" xfId="28276"/>
    <cellStyle name="Normal 6 2 4 2 2 3" xfId="18569"/>
    <cellStyle name="Normal 6 2 4 2 2 3 2" xfId="41156"/>
    <cellStyle name="Normal 6 2 4 2 2 4" xfId="15349"/>
    <cellStyle name="Normal 6 2 4 2 2 4 2" xfId="37936"/>
    <cellStyle name="Normal 6 2 4 2 2 5" xfId="8909"/>
    <cellStyle name="Normal 6 2 4 2 2 5 2" xfId="31496"/>
    <cellStyle name="Normal 6 2 4 2 2 6" xfId="25056"/>
    <cellStyle name="Normal 6 2 4 2 3" xfId="4381"/>
    <cellStyle name="Normal 6 2 4 2 3 2" xfId="20481"/>
    <cellStyle name="Normal 6 2 4 2 3 2 2" xfId="43068"/>
    <cellStyle name="Normal 6 2 4 2 3 3" xfId="10821"/>
    <cellStyle name="Normal 6 2 4 2 3 3 2" xfId="33408"/>
    <cellStyle name="Normal 6 2 4 2 3 4" xfId="26968"/>
    <cellStyle name="Normal 6 2 4 2 4" xfId="17261"/>
    <cellStyle name="Normal 6 2 4 2 4 2" xfId="39848"/>
    <cellStyle name="Normal 6 2 4 2 5" xfId="14041"/>
    <cellStyle name="Normal 6 2 4 2 5 2" xfId="36628"/>
    <cellStyle name="Normal 6 2 4 2 6" xfId="7601"/>
    <cellStyle name="Normal 6 2 4 2 6 2" xfId="30188"/>
    <cellStyle name="Normal 6 2 4 2 7" xfId="23748"/>
    <cellStyle name="Normal 6 2 4 3" xfId="1501"/>
    <cellStyle name="Normal 6 2 4 3 2" xfId="2815"/>
    <cellStyle name="Normal 6 2 4 3 2 2" xfId="6036"/>
    <cellStyle name="Normal 6 2 4 3 2 2 2" xfId="22136"/>
    <cellStyle name="Normal 6 2 4 3 2 2 2 2" xfId="44723"/>
    <cellStyle name="Normal 6 2 4 3 2 2 3" xfId="12476"/>
    <cellStyle name="Normal 6 2 4 3 2 2 3 2" xfId="35063"/>
    <cellStyle name="Normal 6 2 4 3 2 2 4" xfId="28623"/>
    <cellStyle name="Normal 6 2 4 3 2 3" xfId="18916"/>
    <cellStyle name="Normal 6 2 4 3 2 3 2" xfId="41503"/>
    <cellStyle name="Normal 6 2 4 3 2 4" xfId="15696"/>
    <cellStyle name="Normal 6 2 4 3 2 4 2" xfId="38283"/>
    <cellStyle name="Normal 6 2 4 3 2 5" xfId="9256"/>
    <cellStyle name="Normal 6 2 4 3 2 5 2" xfId="31843"/>
    <cellStyle name="Normal 6 2 4 3 2 6" xfId="25403"/>
    <cellStyle name="Normal 6 2 4 3 3" xfId="4728"/>
    <cellStyle name="Normal 6 2 4 3 3 2" xfId="20828"/>
    <cellStyle name="Normal 6 2 4 3 3 2 2" xfId="43415"/>
    <cellStyle name="Normal 6 2 4 3 3 3" xfId="11168"/>
    <cellStyle name="Normal 6 2 4 3 3 3 2" xfId="33755"/>
    <cellStyle name="Normal 6 2 4 3 3 4" xfId="27315"/>
    <cellStyle name="Normal 6 2 4 3 4" xfId="17608"/>
    <cellStyle name="Normal 6 2 4 3 4 2" xfId="40195"/>
    <cellStyle name="Normal 6 2 4 3 5" xfId="14388"/>
    <cellStyle name="Normal 6 2 4 3 5 2" xfId="36975"/>
    <cellStyle name="Normal 6 2 4 3 6" xfId="7948"/>
    <cellStyle name="Normal 6 2 4 3 6 2" xfId="30535"/>
    <cellStyle name="Normal 6 2 4 3 7" xfId="24095"/>
    <cellStyle name="Normal 6 2 4 4" xfId="2121"/>
    <cellStyle name="Normal 6 2 4 4 2" xfId="5342"/>
    <cellStyle name="Normal 6 2 4 4 2 2" xfId="21442"/>
    <cellStyle name="Normal 6 2 4 4 2 2 2" xfId="44029"/>
    <cellStyle name="Normal 6 2 4 4 2 3" xfId="11782"/>
    <cellStyle name="Normal 6 2 4 4 2 3 2" xfId="34369"/>
    <cellStyle name="Normal 6 2 4 4 2 4" xfId="27929"/>
    <cellStyle name="Normal 6 2 4 4 3" xfId="18222"/>
    <cellStyle name="Normal 6 2 4 4 3 2" xfId="40809"/>
    <cellStyle name="Normal 6 2 4 4 4" xfId="15002"/>
    <cellStyle name="Normal 6 2 4 4 4 2" xfId="37589"/>
    <cellStyle name="Normal 6 2 4 4 5" xfId="8562"/>
    <cellStyle name="Normal 6 2 4 4 5 2" xfId="31149"/>
    <cellStyle name="Normal 6 2 4 4 6" xfId="24709"/>
    <cellStyle name="Normal 6 2 4 5" xfId="3117"/>
    <cellStyle name="Normal 6 2 4 5 2" xfId="6337"/>
    <cellStyle name="Normal 6 2 4 5 2 2" xfId="22437"/>
    <cellStyle name="Normal 6 2 4 5 2 2 2" xfId="45024"/>
    <cellStyle name="Normal 6 2 4 5 2 3" xfId="12777"/>
    <cellStyle name="Normal 6 2 4 5 2 3 2" xfId="35364"/>
    <cellStyle name="Normal 6 2 4 5 2 4" xfId="28924"/>
    <cellStyle name="Normal 6 2 4 5 3" xfId="19217"/>
    <cellStyle name="Normal 6 2 4 5 3 2" xfId="41804"/>
    <cellStyle name="Normal 6 2 4 5 4" xfId="15997"/>
    <cellStyle name="Normal 6 2 4 5 4 2" xfId="38584"/>
    <cellStyle name="Normal 6 2 4 5 5" xfId="9557"/>
    <cellStyle name="Normal 6 2 4 5 5 2" xfId="32144"/>
    <cellStyle name="Normal 6 2 4 5 6" xfId="25704"/>
    <cellStyle name="Normal 6 2 4 6" xfId="3407"/>
    <cellStyle name="Normal 6 2 4 6 2" xfId="6627"/>
    <cellStyle name="Normal 6 2 4 6 2 2" xfId="22727"/>
    <cellStyle name="Normal 6 2 4 6 2 2 2" xfId="45314"/>
    <cellStyle name="Normal 6 2 4 6 2 3" xfId="13067"/>
    <cellStyle name="Normal 6 2 4 6 2 3 2" xfId="35654"/>
    <cellStyle name="Normal 6 2 4 6 2 4" xfId="29214"/>
    <cellStyle name="Normal 6 2 4 6 3" xfId="19507"/>
    <cellStyle name="Normal 6 2 4 6 3 2" xfId="42094"/>
    <cellStyle name="Normal 6 2 4 6 4" xfId="16287"/>
    <cellStyle name="Normal 6 2 4 6 4 2" xfId="38874"/>
    <cellStyle name="Normal 6 2 4 6 5" xfId="9847"/>
    <cellStyle name="Normal 6 2 4 6 5 2" xfId="32434"/>
    <cellStyle name="Normal 6 2 4 6 6" xfId="25994"/>
    <cellStyle name="Normal 6 2 4 7" xfId="802"/>
    <cellStyle name="Normal 6 2 4 7 2" xfId="4034"/>
    <cellStyle name="Normal 6 2 4 7 2 2" xfId="20134"/>
    <cellStyle name="Normal 6 2 4 7 2 2 2" xfId="42721"/>
    <cellStyle name="Normal 6 2 4 7 2 3" xfId="10474"/>
    <cellStyle name="Normal 6 2 4 7 2 3 2" xfId="33061"/>
    <cellStyle name="Normal 6 2 4 7 2 4" xfId="26621"/>
    <cellStyle name="Normal 6 2 4 7 3" xfId="16914"/>
    <cellStyle name="Normal 6 2 4 7 3 2" xfId="39501"/>
    <cellStyle name="Normal 6 2 4 7 4" xfId="13694"/>
    <cellStyle name="Normal 6 2 4 7 4 2" xfId="36281"/>
    <cellStyle name="Normal 6 2 4 7 5" xfId="7254"/>
    <cellStyle name="Normal 6 2 4 7 5 2" xfId="29841"/>
    <cellStyle name="Normal 6 2 4 7 6" xfId="23401"/>
    <cellStyle name="Normal 6 2 4 8" xfId="3697"/>
    <cellStyle name="Normal 6 2 4 8 2" xfId="19797"/>
    <cellStyle name="Normal 6 2 4 8 2 2" xfId="42384"/>
    <cellStyle name="Normal 6 2 4 8 3" xfId="10137"/>
    <cellStyle name="Normal 6 2 4 8 3 2" xfId="32724"/>
    <cellStyle name="Normal 6 2 4 8 4" xfId="26284"/>
    <cellStyle name="Normal 6 2 4 9" xfId="16577"/>
    <cellStyle name="Normal 6 2 4 9 2" xfId="39164"/>
    <cellStyle name="Normal 6 2 5" xfId="909"/>
    <cellStyle name="Normal 6 2 5 2" xfId="2228"/>
    <cellStyle name="Normal 6 2 5 2 2" xfId="5449"/>
    <cellStyle name="Normal 6 2 5 2 2 2" xfId="21549"/>
    <cellStyle name="Normal 6 2 5 2 2 2 2" xfId="44136"/>
    <cellStyle name="Normal 6 2 5 2 2 3" xfId="11889"/>
    <cellStyle name="Normal 6 2 5 2 2 3 2" xfId="34476"/>
    <cellStyle name="Normal 6 2 5 2 2 4" xfId="28036"/>
    <cellStyle name="Normal 6 2 5 2 3" xfId="18329"/>
    <cellStyle name="Normal 6 2 5 2 3 2" xfId="40916"/>
    <cellStyle name="Normal 6 2 5 2 4" xfId="15109"/>
    <cellStyle name="Normal 6 2 5 2 4 2" xfId="37696"/>
    <cellStyle name="Normal 6 2 5 2 5" xfId="8669"/>
    <cellStyle name="Normal 6 2 5 2 5 2" xfId="31256"/>
    <cellStyle name="Normal 6 2 5 2 6" xfId="24816"/>
    <cellStyle name="Normal 6 2 5 3" xfId="4141"/>
    <cellStyle name="Normal 6 2 5 3 2" xfId="20241"/>
    <cellStyle name="Normal 6 2 5 3 2 2" xfId="42828"/>
    <cellStyle name="Normal 6 2 5 3 3" xfId="10581"/>
    <cellStyle name="Normal 6 2 5 3 3 2" xfId="33168"/>
    <cellStyle name="Normal 6 2 5 3 4" xfId="26728"/>
    <cellStyle name="Normal 6 2 5 4" xfId="17021"/>
    <cellStyle name="Normal 6 2 5 4 2" xfId="39608"/>
    <cellStyle name="Normal 6 2 5 5" xfId="13801"/>
    <cellStyle name="Normal 6 2 5 5 2" xfId="36388"/>
    <cellStyle name="Normal 6 2 5 6" xfId="7361"/>
    <cellStyle name="Normal 6 2 5 6 2" xfId="29948"/>
    <cellStyle name="Normal 6 2 5 7" xfId="23508"/>
    <cellStyle name="Normal 6 2 6" xfId="1261"/>
    <cellStyle name="Normal 6 2 6 2" xfId="2575"/>
    <cellStyle name="Normal 6 2 6 2 2" xfId="5796"/>
    <cellStyle name="Normal 6 2 6 2 2 2" xfId="21896"/>
    <cellStyle name="Normal 6 2 6 2 2 2 2" xfId="44483"/>
    <cellStyle name="Normal 6 2 6 2 2 3" xfId="12236"/>
    <cellStyle name="Normal 6 2 6 2 2 3 2" xfId="34823"/>
    <cellStyle name="Normal 6 2 6 2 2 4" xfId="28383"/>
    <cellStyle name="Normal 6 2 6 2 3" xfId="18676"/>
    <cellStyle name="Normal 6 2 6 2 3 2" xfId="41263"/>
    <cellStyle name="Normal 6 2 6 2 4" xfId="15456"/>
    <cellStyle name="Normal 6 2 6 2 4 2" xfId="38043"/>
    <cellStyle name="Normal 6 2 6 2 5" xfId="9016"/>
    <cellStyle name="Normal 6 2 6 2 5 2" xfId="31603"/>
    <cellStyle name="Normal 6 2 6 2 6" xfId="25163"/>
    <cellStyle name="Normal 6 2 6 3" xfId="4488"/>
    <cellStyle name="Normal 6 2 6 3 2" xfId="20588"/>
    <cellStyle name="Normal 6 2 6 3 2 2" xfId="43175"/>
    <cellStyle name="Normal 6 2 6 3 3" xfId="10928"/>
    <cellStyle name="Normal 6 2 6 3 3 2" xfId="33515"/>
    <cellStyle name="Normal 6 2 6 3 4" xfId="27075"/>
    <cellStyle name="Normal 6 2 6 4" xfId="17368"/>
    <cellStyle name="Normal 6 2 6 4 2" xfId="39955"/>
    <cellStyle name="Normal 6 2 6 5" xfId="14148"/>
    <cellStyle name="Normal 6 2 6 5 2" xfId="36735"/>
    <cellStyle name="Normal 6 2 6 6" xfId="7708"/>
    <cellStyle name="Normal 6 2 6 6 2" xfId="30295"/>
    <cellStyle name="Normal 6 2 6 7" xfId="23855"/>
    <cellStyle name="Normal 6 2 7" xfId="1689"/>
    <cellStyle name="Normal 6 2 7 2" xfId="4912"/>
    <cellStyle name="Normal 6 2 7 2 2" xfId="21012"/>
    <cellStyle name="Normal 6 2 7 2 2 2" xfId="43599"/>
    <cellStyle name="Normal 6 2 7 2 3" xfId="11352"/>
    <cellStyle name="Normal 6 2 7 2 3 2" xfId="33939"/>
    <cellStyle name="Normal 6 2 7 2 4" xfId="27499"/>
    <cellStyle name="Normal 6 2 7 3" xfId="17792"/>
    <cellStyle name="Normal 6 2 7 3 2" xfId="40379"/>
    <cellStyle name="Normal 6 2 7 4" xfId="14572"/>
    <cellStyle name="Normal 6 2 7 4 2" xfId="37159"/>
    <cellStyle name="Normal 6 2 7 5" xfId="8132"/>
    <cellStyle name="Normal 6 2 7 5 2" xfId="30719"/>
    <cellStyle name="Normal 6 2 7 6" xfId="24279"/>
    <cellStyle name="Normal 6 2 8" xfId="1880"/>
    <cellStyle name="Normal 6 2 8 2" xfId="5102"/>
    <cellStyle name="Normal 6 2 8 2 2" xfId="21202"/>
    <cellStyle name="Normal 6 2 8 2 2 2" xfId="43789"/>
    <cellStyle name="Normal 6 2 8 2 3" xfId="11542"/>
    <cellStyle name="Normal 6 2 8 2 3 2" xfId="34129"/>
    <cellStyle name="Normal 6 2 8 2 4" xfId="27689"/>
    <cellStyle name="Normal 6 2 8 3" xfId="17982"/>
    <cellStyle name="Normal 6 2 8 3 2" xfId="40569"/>
    <cellStyle name="Normal 6 2 8 4" xfId="14762"/>
    <cellStyle name="Normal 6 2 8 4 2" xfId="37349"/>
    <cellStyle name="Normal 6 2 8 5" xfId="8322"/>
    <cellStyle name="Normal 6 2 8 5 2" xfId="30909"/>
    <cellStyle name="Normal 6 2 8 6" xfId="24469"/>
    <cellStyle name="Normal 6 2 9" xfId="2923"/>
    <cellStyle name="Normal 6 2 9 2" xfId="6144"/>
    <cellStyle name="Normal 6 2 9 2 2" xfId="22244"/>
    <cellStyle name="Normal 6 2 9 2 2 2" xfId="44831"/>
    <cellStyle name="Normal 6 2 9 2 3" xfId="12584"/>
    <cellStyle name="Normal 6 2 9 2 3 2" xfId="35171"/>
    <cellStyle name="Normal 6 2 9 2 4" xfId="28731"/>
    <cellStyle name="Normal 6 2 9 3" xfId="19024"/>
    <cellStyle name="Normal 6 2 9 3 2" xfId="41611"/>
    <cellStyle name="Normal 6 2 9 4" xfId="15804"/>
    <cellStyle name="Normal 6 2 9 4 2" xfId="38391"/>
    <cellStyle name="Normal 6 2 9 5" xfId="9364"/>
    <cellStyle name="Normal 6 2 9 5 2" xfId="31951"/>
    <cellStyle name="Normal 6 2 9 6" xfId="25511"/>
    <cellStyle name="Normal 7" xfId="89"/>
    <cellStyle name="Normal 7 10" xfId="1190"/>
    <cellStyle name="Normal 7 10 2" xfId="2504"/>
    <cellStyle name="Normal 7 10 2 2" xfId="5725"/>
    <cellStyle name="Normal 7 10 2 2 2" xfId="21825"/>
    <cellStyle name="Normal 7 10 2 2 2 2" xfId="44412"/>
    <cellStyle name="Normal 7 10 2 2 3" xfId="12165"/>
    <cellStyle name="Normal 7 10 2 2 3 2" xfId="34752"/>
    <cellStyle name="Normal 7 10 2 2 4" xfId="28312"/>
    <cellStyle name="Normal 7 10 2 3" xfId="18605"/>
    <cellStyle name="Normal 7 10 2 3 2" xfId="41192"/>
    <cellStyle name="Normal 7 10 2 4" xfId="15385"/>
    <cellStyle name="Normal 7 10 2 4 2" xfId="37972"/>
    <cellStyle name="Normal 7 10 2 5" xfId="8945"/>
    <cellStyle name="Normal 7 10 2 5 2" xfId="31532"/>
    <cellStyle name="Normal 7 10 2 6" xfId="25092"/>
    <cellStyle name="Normal 7 10 3" xfId="4417"/>
    <cellStyle name="Normal 7 10 3 2" xfId="20517"/>
    <cellStyle name="Normal 7 10 3 2 2" xfId="43104"/>
    <cellStyle name="Normal 7 10 3 3" xfId="10857"/>
    <cellStyle name="Normal 7 10 3 3 2" xfId="33444"/>
    <cellStyle name="Normal 7 10 3 4" xfId="27004"/>
    <cellStyle name="Normal 7 10 4" xfId="17297"/>
    <cellStyle name="Normal 7 10 4 2" xfId="39884"/>
    <cellStyle name="Normal 7 10 5" xfId="14077"/>
    <cellStyle name="Normal 7 10 5 2" xfId="36664"/>
    <cellStyle name="Normal 7 10 6" xfId="7637"/>
    <cellStyle name="Normal 7 10 6 2" xfId="30224"/>
    <cellStyle name="Normal 7 10 7" xfId="23784"/>
    <cellStyle name="Normal 7 11" xfId="1690"/>
    <cellStyle name="Normal 7 11 2" xfId="4913"/>
    <cellStyle name="Normal 7 11 2 2" xfId="21013"/>
    <cellStyle name="Normal 7 11 2 2 2" xfId="43600"/>
    <cellStyle name="Normal 7 11 2 3" xfId="11353"/>
    <cellStyle name="Normal 7 11 2 3 2" xfId="33940"/>
    <cellStyle name="Normal 7 11 2 4" xfId="27500"/>
    <cellStyle name="Normal 7 11 3" xfId="17793"/>
    <cellStyle name="Normal 7 11 3 2" xfId="40380"/>
    <cellStyle name="Normal 7 11 4" xfId="14573"/>
    <cellStyle name="Normal 7 11 4 2" xfId="37160"/>
    <cellStyle name="Normal 7 11 5" xfId="8133"/>
    <cellStyle name="Normal 7 11 5 2" xfId="30720"/>
    <cellStyle name="Normal 7 11 6" xfId="24280"/>
    <cellStyle name="Normal 7 12" xfId="1809"/>
    <cellStyle name="Normal 7 12 2" xfId="5031"/>
    <cellStyle name="Normal 7 12 2 2" xfId="21131"/>
    <cellStyle name="Normal 7 12 2 2 2" xfId="43718"/>
    <cellStyle name="Normal 7 12 2 3" xfId="11471"/>
    <cellStyle name="Normal 7 12 2 3 2" xfId="34058"/>
    <cellStyle name="Normal 7 12 2 4" xfId="27618"/>
    <cellStyle name="Normal 7 12 3" xfId="17911"/>
    <cellStyle name="Normal 7 12 3 2" xfId="40498"/>
    <cellStyle name="Normal 7 12 4" xfId="14691"/>
    <cellStyle name="Normal 7 12 4 2" xfId="37278"/>
    <cellStyle name="Normal 7 12 5" xfId="8251"/>
    <cellStyle name="Normal 7 12 5 2" xfId="30838"/>
    <cellStyle name="Normal 7 12 6" xfId="24398"/>
    <cellStyle name="Normal 7 13" xfId="2852"/>
    <cellStyle name="Normal 7 13 2" xfId="6073"/>
    <cellStyle name="Normal 7 13 2 2" xfId="22173"/>
    <cellStyle name="Normal 7 13 2 2 2" xfId="44760"/>
    <cellStyle name="Normal 7 13 2 3" xfId="12513"/>
    <cellStyle name="Normal 7 13 2 3 2" xfId="35100"/>
    <cellStyle name="Normal 7 13 2 4" xfId="28660"/>
    <cellStyle name="Normal 7 13 3" xfId="18953"/>
    <cellStyle name="Normal 7 13 3 2" xfId="41540"/>
    <cellStyle name="Normal 7 13 4" xfId="15733"/>
    <cellStyle name="Normal 7 13 4 2" xfId="38320"/>
    <cellStyle name="Normal 7 13 5" xfId="9293"/>
    <cellStyle name="Normal 7 13 5 2" xfId="31880"/>
    <cellStyle name="Normal 7 13 6" xfId="25440"/>
    <cellStyle name="Normal 7 14" xfId="3143"/>
    <cellStyle name="Normal 7 14 2" xfId="6363"/>
    <cellStyle name="Normal 7 14 2 2" xfId="22463"/>
    <cellStyle name="Normal 7 14 2 2 2" xfId="45050"/>
    <cellStyle name="Normal 7 14 2 3" xfId="12803"/>
    <cellStyle name="Normal 7 14 2 3 2" xfId="35390"/>
    <cellStyle name="Normal 7 14 2 4" xfId="28950"/>
    <cellStyle name="Normal 7 14 3" xfId="19243"/>
    <cellStyle name="Normal 7 14 3 2" xfId="41830"/>
    <cellStyle name="Normal 7 14 4" xfId="16023"/>
    <cellStyle name="Normal 7 14 4 2" xfId="38610"/>
    <cellStyle name="Normal 7 14 5" xfId="9583"/>
    <cellStyle name="Normal 7 14 5 2" xfId="32170"/>
    <cellStyle name="Normal 7 14 6" xfId="25730"/>
    <cellStyle name="Normal 7 15" xfId="436"/>
    <cellStyle name="Normal 7 15 2" xfId="3723"/>
    <cellStyle name="Normal 7 15 2 2" xfId="19823"/>
    <cellStyle name="Normal 7 15 2 2 2" xfId="42410"/>
    <cellStyle name="Normal 7 15 2 3" xfId="10163"/>
    <cellStyle name="Normal 7 15 2 3 2" xfId="32750"/>
    <cellStyle name="Normal 7 15 2 4" xfId="26310"/>
    <cellStyle name="Normal 7 15 3" xfId="16603"/>
    <cellStyle name="Normal 7 15 3 2" xfId="39190"/>
    <cellStyle name="Normal 7 15 4" xfId="13383"/>
    <cellStyle name="Normal 7 15 4 2" xfId="35970"/>
    <cellStyle name="Normal 7 15 5" xfId="6943"/>
    <cellStyle name="Normal 7 15 5 2" xfId="29530"/>
    <cellStyle name="Normal 7 15 6" xfId="23090"/>
    <cellStyle name="Normal 7 16" xfId="3433"/>
    <cellStyle name="Normal 7 16 2" xfId="19533"/>
    <cellStyle name="Normal 7 16 2 2" xfId="42120"/>
    <cellStyle name="Normal 7 16 3" xfId="9873"/>
    <cellStyle name="Normal 7 16 3 2" xfId="32460"/>
    <cellStyle name="Normal 7 16 4" xfId="26020"/>
    <cellStyle name="Normal 7 17" xfId="16313"/>
    <cellStyle name="Normal 7 17 2" xfId="38900"/>
    <cellStyle name="Normal 7 18" xfId="13093"/>
    <cellStyle name="Normal 7 18 2" xfId="35680"/>
    <cellStyle name="Normal 7 19" xfId="6653"/>
    <cellStyle name="Normal 7 19 2" xfId="29240"/>
    <cellStyle name="Normal 7 2" xfId="98"/>
    <cellStyle name="Normal 7 2 10" xfId="1691"/>
    <cellStyle name="Normal 7 2 10 2" xfId="4914"/>
    <cellStyle name="Normal 7 2 10 2 2" xfId="21014"/>
    <cellStyle name="Normal 7 2 10 2 2 2" xfId="43601"/>
    <cellStyle name="Normal 7 2 10 2 3" xfId="11354"/>
    <cellStyle name="Normal 7 2 10 2 3 2" xfId="33941"/>
    <cellStyle name="Normal 7 2 10 2 4" xfId="27501"/>
    <cellStyle name="Normal 7 2 10 3" xfId="17794"/>
    <cellStyle name="Normal 7 2 10 3 2" xfId="40381"/>
    <cellStyle name="Normal 7 2 10 4" xfId="14574"/>
    <cellStyle name="Normal 7 2 10 4 2" xfId="37161"/>
    <cellStyle name="Normal 7 2 10 5" xfId="8134"/>
    <cellStyle name="Normal 7 2 10 5 2" xfId="30721"/>
    <cellStyle name="Normal 7 2 10 6" xfId="24281"/>
    <cellStyle name="Normal 7 2 11" xfId="1814"/>
    <cellStyle name="Normal 7 2 11 2" xfId="5036"/>
    <cellStyle name="Normal 7 2 11 2 2" xfId="21136"/>
    <cellStyle name="Normal 7 2 11 2 2 2" xfId="43723"/>
    <cellStyle name="Normal 7 2 11 2 3" xfId="11476"/>
    <cellStyle name="Normal 7 2 11 2 3 2" xfId="34063"/>
    <cellStyle name="Normal 7 2 11 2 4" xfId="27623"/>
    <cellStyle name="Normal 7 2 11 3" xfId="17916"/>
    <cellStyle name="Normal 7 2 11 3 2" xfId="40503"/>
    <cellStyle name="Normal 7 2 11 4" xfId="14696"/>
    <cellStyle name="Normal 7 2 11 4 2" xfId="37283"/>
    <cellStyle name="Normal 7 2 11 5" xfId="8256"/>
    <cellStyle name="Normal 7 2 11 5 2" xfId="30843"/>
    <cellStyle name="Normal 7 2 11 6" xfId="24403"/>
    <cellStyle name="Normal 7 2 12" xfId="2857"/>
    <cellStyle name="Normal 7 2 12 2" xfId="6078"/>
    <cellStyle name="Normal 7 2 12 2 2" xfId="22178"/>
    <cellStyle name="Normal 7 2 12 2 2 2" xfId="44765"/>
    <cellStyle name="Normal 7 2 12 2 3" xfId="12518"/>
    <cellStyle name="Normal 7 2 12 2 3 2" xfId="35105"/>
    <cellStyle name="Normal 7 2 12 2 4" xfId="28665"/>
    <cellStyle name="Normal 7 2 12 3" xfId="18958"/>
    <cellStyle name="Normal 7 2 12 3 2" xfId="41545"/>
    <cellStyle name="Normal 7 2 12 4" xfId="15738"/>
    <cellStyle name="Normal 7 2 12 4 2" xfId="38325"/>
    <cellStyle name="Normal 7 2 12 5" xfId="9298"/>
    <cellStyle name="Normal 7 2 12 5 2" xfId="31885"/>
    <cellStyle name="Normal 7 2 12 6" xfId="25445"/>
    <cellStyle name="Normal 7 2 13" xfId="3148"/>
    <cellStyle name="Normal 7 2 13 2" xfId="6368"/>
    <cellStyle name="Normal 7 2 13 2 2" xfId="22468"/>
    <cellStyle name="Normal 7 2 13 2 2 2" xfId="45055"/>
    <cellStyle name="Normal 7 2 13 2 3" xfId="12808"/>
    <cellStyle name="Normal 7 2 13 2 3 2" xfId="35395"/>
    <cellStyle name="Normal 7 2 13 2 4" xfId="28955"/>
    <cellStyle name="Normal 7 2 13 3" xfId="19248"/>
    <cellStyle name="Normal 7 2 13 3 2" xfId="41835"/>
    <cellStyle name="Normal 7 2 13 4" xfId="16028"/>
    <cellStyle name="Normal 7 2 13 4 2" xfId="38615"/>
    <cellStyle name="Normal 7 2 13 5" xfId="9588"/>
    <cellStyle name="Normal 7 2 13 5 2" xfId="32175"/>
    <cellStyle name="Normal 7 2 13 6" xfId="25735"/>
    <cellStyle name="Normal 7 2 14" xfId="441"/>
    <cellStyle name="Normal 7 2 14 2" xfId="3728"/>
    <cellStyle name="Normal 7 2 14 2 2" xfId="19828"/>
    <cellStyle name="Normal 7 2 14 2 2 2" xfId="42415"/>
    <cellStyle name="Normal 7 2 14 2 3" xfId="10168"/>
    <cellStyle name="Normal 7 2 14 2 3 2" xfId="32755"/>
    <cellStyle name="Normal 7 2 14 2 4" xfId="26315"/>
    <cellStyle name="Normal 7 2 14 3" xfId="16608"/>
    <cellStyle name="Normal 7 2 14 3 2" xfId="39195"/>
    <cellStyle name="Normal 7 2 14 4" xfId="13388"/>
    <cellStyle name="Normal 7 2 14 4 2" xfId="35975"/>
    <cellStyle name="Normal 7 2 14 5" xfId="6948"/>
    <cellStyle name="Normal 7 2 14 5 2" xfId="29535"/>
    <cellStyle name="Normal 7 2 14 6" xfId="23095"/>
    <cellStyle name="Normal 7 2 15" xfId="3438"/>
    <cellStyle name="Normal 7 2 15 2" xfId="19538"/>
    <cellStyle name="Normal 7 2 15 2 2" xfId="42125"/>
    <cellStyle name="Normal 7 2 15 3" xfId="9878"/>
    <cellStyle name="Normal 7 2 15 3 2" xfId="32465"/>
    <cellStyle name="Normal 7 2 15 4" xfId="26025"/>
    <cellStyle name="Normal 7 2 16" xfId="16318"/>
    <cellStyle name="Normal 7 2 16 2" xfId="38905"/>
    <cellStyle name="Normal 7 2 17" xfId="13098"/>
    <cellStyle name="Normal 7 2 17 2" xfId="35685"/>
    <cellStyle name="Normal 7 2 18" xfId="6658"/>
    <cellStyle name="Normal 7 2 18 2" xfId="29245"/>
    <cellStyle name="Normal 7 2 19" xfId="22805"/>
    <cellStyle name="Normal 7 2 2" xfId="117"/>
    <cellStyle name="Normal 7 2 2 10" xfId="2873"/>
    <cellStyle name="Normal 7 2 2 10 2" xfId="6094"/>
    <cellStyle name="Normal 7 2 2 10 2 2" xfId="22194"/>
    <cellStyle name="Normal 7 2 2 10 2 2 2" xfId="44781"/>
    <cellStyle name="Normal 7 2 2 10 2 3" xfId="12534"/>
    <cellStyle name="Normal 7 2 2 10 2 3 2" xfId="35121"/>
    <cellStyle name="Normal 7 2 2 10 2 4" xfId="28681"/>
    <cellStyle name="Normal 7 2 2 10 3" xfId="18974"/>
    <cellStyle name="Normal 7 2 2 10 3 2" xfId="41561"/>
    <cellStyle name="Normal 7 2 2 10 4" xfId="15754"/>
    <cellStyle name="Normal 7 2 2 10 4 2" xfId="38341"/>
    <cellStyle name="Normal 7 2 2 10 5" xfId="9314"/>
    <cellStyle name="Normal 7 2 2 10 5 2" xfId="31901"/>
    <cellStyle name="Normal 7 2 2 10 6" xfId="25461"/>
    <cellStyle name="Normal 7 2 2 11" xfId="3164"/>
    <cellStyle name="Normal 7 2 2 11 2" xfId="6384"/>
    <cellStyle name="Normal 7 2 2 11 2 2" xfId="22484"/>
    <cellStyle name="Normal 7 2 2 11 2 2 2" xfId="45071"/>
    <cellStyle name="Normal 7 2 2 11 2 3" xfId="12824"/>
    <cellStyle name="Normal 7 2 2 11 2 3 2" xfId="35411"/>
    <cellStyle name="Normal 7 2 2 11 2 4" xfId="28971"/>
    <cellStyle name="Normal 7 2 2 11 3" xfId="19264"/>
    <cellStyle name="Normal 7 2 2 11 3 2" xfId="41851"/>
    <cellStyle name="Normal 7 2 2 11 4" xfId="16044"/>
    <cellStyle name="Normal 7 2 2 11 4 2" xfId="38631"/>
    <cellStyle name="Normal 7 2 2 11 5" xfId="9604"/>
    <cellStyle name="Normal 7 2 2 11 5 2" xfId="32191"/>
    <cellStyle name="Normal 7 2 2 11 6" xfId="25751"/>
    <cellStyle name="Normal 7 2 2 12" xfId="457"/>
    <cellStyle name="Normal 7 2 2 12 2" xfId="3744"/>
    <cellStyle name="Normal 7 2 2 12 2 2" xfId="19844"/>
    <cellStyle name="Normal 7 2 2 12 2 2 2" xfId="42431"/>
    <cellStyle name="Normal 7 2 2 12 2 3" xfId="10184"/>
    <cellStyle name="Normal 7 2 2 12 2 3 2" xfId="32771"/>
    <cellStyle name="Normal 7 2 2 12 2 4" xfId="26331"/>
    <cellStyle name="Normal 7 2 2 12 3" xfId="16624"/>
    <cellStyle name="Normal 7 2 2 12 3 2" xfId="39211"/>
    <cellStyle name="Normal 7 2 2 12 4" xfId="13404"/>
    <cellStyle name="Normal 7 2 2 12 4 2" xfId="35991"/>
    <cellStyle name="Normal 7 2 2 12 5" xfId="6964"/>
    <cellStyle name="Normal 7 2 2 12 5 2" xfId="29551"/>
    <cellStyle name="Normal 7 2 2 12 6" xfId="23111"/>
    <cellStyle name="Normal 7 2 2 13" xfId="3454"/>
    <cellStyle name="Normal 7 2 2 13 2" xfId="19554"/>
    <cellStyle name="Normal 7 2 2 13 2 2" xfId="42141"/>
    <cellStyle name="Normal 7 2 2 13 3" xfId="9894"/>
    <cellStyle name="Normal 7 2 2 13 3 2" xfId="32481"/>
    <cellStyle name="Normal 7 2 2 13 4" xfId="26041"/>
    <cellStyle name="Normal 7 2 2 14" xfId="16334"/>
    <cellStyle name="Normal 7 2 2 14 2" xfId="38921"/>
    <cellStyle name="Normal 7 2 2 15" xfId="13114"/>
    <cellStyle name="Normal 7 2 2 15 2" xfId="35701"/>
    <cellStyle name="Normal 7 2 2 16" xfId="6674"/>
    <cellStyle name="Normal 7 2 2 16 2" xfId="29261"/>
    <cellStyle name="Normal 7 2 2 17" xfId="22821"/>
    <cellStyle name="Normal 7 2 2 2" xfId="202"/>
    <cellStyle name="Normal 7 2 2 2 10" xfId="494"/>
    <cellStyle name="Normal 7 2 2 2 10 2" xfId="3781"/>
    <cellStyle name="Normal 7 2 2 2 10 2 2" xfId="19881"/>
    <cellStyle name="Normal 7 2 2 2 10 2 2 2" xfId="42468"/>
    <cellStyle name="Normal 7 2 2 2 10 2 3" xfId="10221"/>
    <cellStyle name="Normal 7 2 2 2 10 2 3 2" xfId="32808"/>
    <cellStyle name="Normal 7 2 2 2 10 2 4" xfId="26368"/>
    <cellStyle name="Normal 7 2 2 2 10 3" xfId="16661"/>
    <cellStyle name="Normal 7 2 2 2 10 3 2" xfId="39248"/>
    <cellStyle name="Normal 7 2 2 2 10 4" xfId="13441"/>
    <cellStyle name="Normal 7 2 2 2 10 4 2" xfId="36028"/>
    <cellStyle name="Normal 7 2 2 2 10 5" xfId="7001"/>
    <cellStyle name="Normal 7 2 2 2 10 5 2" xfId="29588"/>
    <cellStyle name="Normal 7 2 2 2 10 6" xfId="23148"/>
    <cellStyle name="Normal 7 2 2 2 11" xfId="3491"/>
    <cellStyle name="Normal 7 2 2 2 11 2" xfId="19591"/>
    <cellStyle name="Normal 7 2 2 2 11 2 2" xfId="42178"/>
    <cellStyle name="Normal 7 2 2 2 11 3" xfId="9931"/>
    <cellStyle name="Normal 7 2 2 2 11 3 2" xfId="32518"/>
    <cellStyle name="Normal 7 2 2 2 11 4" xfId="26078"/>
    <cellStyle name="Normal 7 2 2 2 12" xfId="16371"/>
    <cellStyle name="Normal 7 2 2 2 12 2" xfId="38958"/>
    <cellStyle name="Normal 7 2 2 2 13" xfId="13151"/>
    <cellStyle name="Normal 7 2 2 2 13 2" xfId="35738"/>
    <cellStyle name="Normal 7 2 2 2 14" xfId="6711"/>
    <cellStyle name="Normal 7 2 2 2 14 2" xfId="29298"/>
    <cellStyle name="Normal 7 2 2 2 15" xfId="22858"/>
    <cellStyle name="Normal 7 2 2 2 2" xfId="301"/>
    <cellStyle name="Normal 7 2 2 2 2 10" xfId="16468"/>
    <cellStyle name="Normal 7 2 2 2 2 10 2" xfId="39055"/>
    <cellStyle name="Normal 7 2 2 2 2 11" xfId="13248"/>
    <cellStyle name="Normal 7 2 2 2 2 11 2" xfId="35835"/>
    <cellStyle name="Normal 7 2 2 2 2 12" xfId="6808"/>
    <cellStyle name="Normal 7 2 2 2 2 12 2" xfId="29395"/>
    <cellStyle name="Normal 7 2 2 2 2 13" xfId="22955"/>
    <cellStyle name="Normal 7 2 2 2 2 2" xfId="1020"/>
    <cellStyle name="Normal 7 2 2 2 2 2 2" xfId="2334"/>
    <cellStyle name="Normal 7 2 2 2 2 2 2 2" xfId="5555"/>
    <cellStyle name="Normal 7 2 2 2 2 2 2 2 2" xfId="21655"/>
    <cellStyle name="Normal 7 2 2 2 2 2 2 2 2 2" xfId="44242"/>
    <cellStyle name="Normal 7 2 2 2 2 2 2 2 3" xfId="11995"/>
    <cellStyle name="Normal 7 2 2 2 2 2 2 2 3 2" xfId="34582"/>
    <cellStyle name="Normal 7 2 2 2 2 2 2 2 4" xfId="28142"/>
    <cellStyle name="Normal 7 2 2 2 2 2 2 3" xfId="18435"/>
    <cellStyle name="Normal 7 2 2 2 2 2 2 3 2" xfId="41022"/>
    <cellStyle name="Normal 7 2 2 2 2 2 2 4" xfId="15215"/>
    <cellStyle name="Normal 7 2 2 2 2 2 2 4 2" xfId="37802"/>
    <cellStyle name="Normal 7 2 2 2 2 2 2 5" xfId="8775"/>
    <cellStyle name="Normal 7 2 2 2 2 2 2 5 2" xfId="31362"/>
    <cellStyle name="Normal 7 2 2 2 2 2 2 6" xfId="24922"/>
    <cellStyle name="Normal 7 2 2 2 2 2 3" xfId="4247"/>
    <cellStyle name="Normal 7 2 2 2 2 2 3 2" xfId="20347"/>
    <cellStyle name="Normal 7 2 2 2 2 2 3 2 2" xfId="42934"/>
    <cellStyle name="Normal 7 2 2 2 2 2 3 3" xfId="10687"/>
    <cellStyle name="Normal 7 2 2 2 2 2 3 3 2" xfId="33274"/>
    <cellStyle name="Normal 7 2 2 2 2 2 3 4" xfId="26834"/>
    <cellStyle name="Normal 7 2 2 2 2 2 4" xfId="17127"/>
    <cellStyle name="Normal 7 2 2 2 2 2 4 2" xfId="39714"/>
    <cellStyle name="Normal 7 2 2 2 2 2 5" xfId="13907"/>
    <cellStyle name="Normal 7 2 2 2 2 2 5 2" xfId="36494"/>
    <cellStyle name="Normal 7 2 2 2 2 2 6" xfId="7467"/>
    <cellStyle name="Normal 7 2 2 2 2 2 6 2" xfId="30054"/>
    <cellStyle name="Normal 7 2 2 2 2 2 7" xfId="23614"/>
    <cellStyle name="Normal 7 2 2 2 2 3" xfId="1367"/>
    <cellStyle name="Normal 7 2 2 2 2 3 2" xfId="2681"/>
    <cellStyle name="Normal 7 2 2 2 2 3 2 2" xfId="5902"/>
    <cellStyle name="Normal 7 2 2 2 2 3 2 2 2" xfId="22002"/>
    <cellStyle name="Normal 7 2 2 2 2 3 2 2 2 2" xfId="44589"/>
    <cellStyle name="Normal 7 2 2 2 2 3 2 2 3" xfId="12342"/>
    <cellStyle name="Normal 7 2 2 2 2 3 2 2 3 2" xfId="34929"/>
    <cellStyle name="Normal 7 2 2 2 2 3 2 2 4" xfId="28489"/>
    <cellStyle name="Normal 7 2 2 2 2 3 2 3" xfId="18782"/>
    <cellStyle name="Normal 7 2 2 2 2 3 2 3 2" xfId="41369"/>
    <cellStyle name="Normal 7 2 2 2 2 3 2 4" xfId="15562"/>
    <cellStyle name="Normal 7 2 2 2 2 3 2 4 2" xfId="38149"/>
    <cellStyle name="Normal 7 2 2 2 2 3 2 5" xfId="9122"/>
    <cellStyle name="Normal 7 2 2 2 2 3 2 5 2" xfId="31709"/>
    <cellStyle name="Normal 7 2 2 2 2 3 2 6" xfId="25269"/>
    <cellStyle name="Normal 7 2 2 2 2 3 3" xfId="4594"/>
    <cellStyle name="Normal 7 2 2 2 2 3 3 2" xfId="20694"/>
    <cellStyle name="Normal 7 2 2 2 2 3 3 2 2" xfId="43281"/>
    <cellStyle name="Normal 7 2 2 2 2 3 3 3" xfId="11034"/>
    <cellStyle name="Normal 7 2 2 2 2 3 3 3 2" xfId="33621"/>
    <cellStyle name="Normal 7 2 2 2 2 3 3 4" xfId="27181"/>
    <cellStyle name="Normal 7 2 2 2 2 3 4" xfId="17474"/>
    <cellStyle name="Normal 7 2 2 2 2 3 4 2" xfId="40061"/>
    <cellStyle name="Normal 7 2 2 2 2 3 5" xfId="14254"/>
    <cellStyle name="Normal 7 2 2 2 2 3 5 2" xfId="36841"/>
    <cellStyle name="Normal 7 2 2 2 2 3 6" xfId="7814"/>
    <cellStyle name="Normal 7 2 2 2 2 3 6 2" xfId="30401"/>
    <cellStyle name="Normal 7 2 2 2 2 3 7" xfId="23961"/>
    <cellStyle name="Normal 7 2 2 2 2 4" xfId="1692"/>
    <cellStyle name="Normal 7 2 2 2 2 4 2" xfId="4915"/>
    <cellStyle name="Normal 7 2 2 2 2 4 2 2" xfId="21015"/>
    <cellStyle name="Normal 7 2 2 2 2 4 2 2 2" xfId="43602"/>
    <cellStyle name="Normal 7 2 2 2 2 4 2 3" xfId="11355"/>
    <cellStyle name="Normal 7 2 2 2 2 4 2 3 2" xfId="33942"/>
    <cellStyle name="Normal 7 2 2 2 2 4 2 4" xfId="27502"/>
    <cellStyle name="Normal 7 2 2 2 2 4 3" xfId="17795"/>
    <cellStyle name="Normal 7 2 2 2 2 4 3 2" xfId="40382"/>
    <cellStyle name="Normal 7 2 2 2 2 4 4" xfId="14575"/>
    <cellStyle name="Normal 7 2 2 2 2 4 4 2" xfId="37162"/>
    <cellStyle name="Normal 7 2 2 2 2 4 5" xfId="8135"/>
    <cellStyle name="Normal 7 2 2 2 2 4 5 2" xfId="30722"/>
    <cellStyle name="Normal 7 2 2 2 2 4 6" xfId="24282"/>
    <cellStyle name="Normal 7 2 2 2 2 5" xfId="1986"/>
    <cellStyle name="Normal 7 2 2 2 2 5 2" xfId="5208"/>
    <cellStyle name="Normal 7 2 2 2 2 5 2 2" xfId="21308"/>
    <cellStyle name="Normal 7 2 2 2 2 5 2 2 2" xfId="43895"/>
    <cellStyle name="Normal 7 2 2 2 2 5 2 3" xfId="11648"/>
    <cellStyle name="Normal 7 2 2 2 2 5 2 3 2" xfId="34235"/>
    <cellStyle name="Normal 7 2 2 2 2 5 2 4" xfId="27795"/>
    <cellStyle name="Normal 7 2 2 2 2 5 3" xfId="18088"/>
    <cellStyle name="Normal 7 2 2 2 2 5 3 2" xfId="40675"/>
    <cellStyle name="Normal 7 2 2 2 2 5 4" xfId="14868"/>
    <cellStyle name="Normal 7 2 2 2 2 5 4 2" xfId="37455"/>
    <cellStyle name="Normal 7 2 2 2 2 5 5" xfId="8428"/>
    <cellStyle name="Normal 7 2 2 2 2 5 5 2" xfId="31015"/>
    <cellStyle name="Normal 7 2 2 2 2 5 6" xfId="24575"/>
    <cellStyle name="Normal 7 2 2 2 2 6" xfId="3008"/>
    <cellStyle name="Normal 7 2 2 2 2 6 2" xfId="6228"/>
    <cellStyle name="Normal 7 2 2 2 2 6 2 2" xfId="22328"/>
    <cellStyle name="Normal 7 2 2 2 2 6 2 2 2" xfId="44915"/>
    <cellStyle name="Normal 7 2 2 2 2 6 2 3" xfId="12668"/>
    <cellStyle name="Normal 7 2 2 2 2 6 2 3 2" xfId="35255"/>
    <cellStyle name="Normal 7 2 2 2 2 6 2 4" xfId="28815"/>
    <cellStyle name="Normal 7 2 2 2 2 6 3" xfId="19108"/>
    <cellStyle name="Normal 7 2 2 2 2 6 3 2" xfId="41695"/>
    <cellStyle name="Normal 7 2 2 2 2 6 4" xfId="15888"/>
    <cellStyle name="Normal 7 2 2 2 2 6 4 2" xfId="38475"/>
    <cellStyle name="Normal 7 2 2 2 2 6 5" xfId="9448"/>
    <cellStyle name="Normal 7 2 2 2 2 6 5 2" xfId="32035"/>
    <cellStyle name="Normal 7 2 2 2 2 6 6" xfId="25595"/>
    <cellStyle name="Normal 7 2 2 2 2 7" xfId="3298"/>
    <cellStyle name="Normal 7 2 2 2 2 7 2" xfId="6518"/>
    <cellStyle name="Normal 7 2 2 2 2 7 2 2" xfId="22618"/>
    <cellStyle name="Normal 7 2 2 2 2 7 2 2 2" xfId="45205"/>
    <cellStyle name="Normal 7 2 2 2 2 7 2 3" xfId="12958"/>
    <cellStyle name="Normal 7 2 2 2 2 7 2 3 2" xfId="35545"/>
    <cellStyle name="Normal 7 2 2 2 2 7 2 4" xfId="29105"/>
    <cellStyle name="Normal 7 2 2 2 2 7 3" xfId="19398"/>
    <cellStyle name="Normal 7 2 2 2 2 7 3 2" xfId="41985"/>
    <cellStyle name="Normal 7 2 2 2 2 7 4" xfId="16178"/>
    <cellStyle name="Normal 7 2 2 2 2 7 4 2" xfId="38765"/>
    <cellStyle name="Normal 7 2 2 2 2 7 5" xfId="9738"/>
    <cellStyle name="Normal 7 2 2 2 2 7 5 2" xfId="32325"/>
    <cellStyle name="Normal 7 2 2 2 2 7 6" xfId="25885"/>
    <cellStyle name="Normal 7 2 2 2 2 8" xfId="656"/>
    <cellStyle name="Normal 7 2 2 2 2 8 2" xfId="3900"/>
    <cellStyle name="Normal 7 2 2 2 2 8 2 2" xfId="20000"/>
    <cellStyle name="Normal 7 2 2 2 2 8 2 2 2" xfId="42587"/>
    <cellStyle name="Normal 7 2 2 2 2 8 2 3" xfId="10340"/>
    <cellStyle name="Normal 7 2 2 2 2 8 2 3 2" xfId="32927"/>
    <cellStyle name="Normal 7 2 2 2 2 8 2 4" xfId="26487"/>
    <cellStyle name="Normal 7 2 2 2 2 8 3" xfId="16780"/>
    <cellStyle name="Normal 7 2 2 2 2 8 3 2" xfId="39367"/>
    <cellStyle name="Normal 7 2 2 2 2 8 4" xfId="13560"/>
    <cellStyle name="Normal 7 2 2 2 2 8 4 2" xfId="36147"/>
    <cellStyle name="Normal 7 2 2 2 2 8 5" xfId="7120"/>
    <cellStyle name="Normal 7 2 2 2 2 8 5 2" xfId="29707"/>
    <cellStyle name="Normal 7 2 2 2 2 8 6" xfId="23267"/>
    <cellStyle name="Normal 7 2 2 2 2 9" xfId="3588"/>
    <cellStyle name="Normal 7 2 2 2 2 9 2" xfId="19688"/>
    <cellStyle name="Normal 7 2 2 2 2 9 2 2" xfId="42275"/>
    <cellStyle name="Normal 7 2 2 2 2 9 3" xfId="10028"/>
    <cellStyle name="Normal 7 2 2 2 2 9 3 2" xfId="32615"/>
    <cellStyle name="Normal 7 2 2 2 2 9 4" xfId="26175"/>
    <cellStyle name="Normal 7 2 2 2 3" xfId="397"/>
    <cellStyle name="Normal 7 2 2 2 3 10" xfId="16564"/>
    <cellStyle name="Normal 7 2 2 2 3 10 2" xfId="39151"/>
    <cellStyle name="Normal 7 2 2 2 3 11" xfId="13344"/>
    <cellStyle name="Normal 7 2 2 2 3 11 2" xfId="35931"/>
    <cellStyle name="Normal 7 2 2 2 3 12" xfId="6904"/>
    <cellStyle name="Normal 7 2 2 2 3 12 2" xfId="29491"/>
    <cellStyle name="Normal 7 2 2 2 3 13" xfId="23051"/>
    <cellStyle name="Normal 7 2 2 2 3 2" xfId="1179"/>
    <cellStyle name="Normal 7 2 2 2 3 2 2" xfId="2493"/>
    <cellStyle name="Normal 7 2 2 2 3 2 2 2" xfId="5714"/>
    <cellStyle name="Normal 7 2 2 2 3 2 2 2 2" xfId="21814"/>
    <cellStyle name="Normal 7 2 2 2 3 2 2 2 2 2" xfId="44401"/>
    <cellStyle name="Normal 7 2 2 2 3 2 2 2 3" xfId="12154"/>
    <cellStyle name="Normal 7 2 2 2 3 2 2 2 3 2" xfId="34741"/>
    <cellStyle name="Normal 7 2 2 2 3 2 2 2 4" xfId="28301"/>
    <cellStyle name="Normal 7 2 2 2 3 2 2 3" xfId="18594"/>
    <cellStyle name="Normal 7 2 2 2 3 2 2 3 2" xfId="41181"/>
    <cellStyle name="Normal 7 2 2 2 3 2 2 4" xfId="15374"/>
    <cellStyle name="Normal 7 2 2 2 3 2 2 4 2" xfId="37961"/>
    <cellStyle name="Normal 7 2 2 2 3 2 2 5" xfId="8934"/>
    <cellStyle name="Normal 7 2 2 2 3 2 2 5 2" xfId="31521"/>
    <cellStyle name="Normal 7 2 2 2 3 2 2 6" xfId="25081"/>
    <cellStyle name="Normal 7 2 2 2 3 2 3" xfId="4406"/>
    <cellStyle name="Normal 7 2 2 2 3 2 3 2" xfId="20506"/>
    <cellStyle name="Normal 7 2 2 2 3 2 3 2 2" xfId="43093"/>
    <cellStyle name="Normal 7 2 2 2 3 2 3 3" xfId="10846"/>
    <cellStyle name="Normal 7 2 2 2 3 2 3 3 2" xfId="33433"/>
    <cellStyle name="Normal 7 2 2 2 3 2 3 4" xfId="26993"/>
    <cellStyle name="Normal 7 2 2 2 3 2 4" xfId="17286"/>
    <cellStyle name="Normal 7 2 2 2 3 2 4 2" xfId="39873"/>
    <cellStyle name="Normal 7 2 2 2 3 2 5" xfId="14066"/>
    <cellStyle name="Normal 7 2 2 2 3 2 5 2" xfId="36653"/>
    <cellStyle name="Normal 7 2 2 2 3 2 6" xfId="7626"/>
    <cellStyle name="Normal 7 2 2 2 3 2 6 2" xfId="30213"/>
    <cellStyle name="Normal 7 2 2 2 3 2 7" xfId="23773"/>
    <cellStyle name="Normal 7 2 2 2 3 3" xfId="1526"/>
    <cellStyle name="Normal 7 2 2 2 3 3 2" xfId="2840"/>
    <cellStyle name="Normal 7 2 2 2 3 3 2 2" xfId="6061"/>
    <cellStyle name="Normal 7 2 2 2 3 3 2 2 2" xfId="22161"/>
    <cellStyle name="Normal 7 2 2 2 3 3 2 2 2 2" xfId="44748"/>
    <cellStyle name="Normal 7 2 2 2 3 3 2 2 3" xfId="12501"/>
    <cellStyle name="Normal 7 2 2 2 3 3 2 2 3 2" xfId="35088"/>
    <cellStyle name="Normal 7 2 2 2 3 3 2 2 4" xfId="28648"/>
    <cellStyle name="Normal 7 2 2 2 3 3 2 3" xfId="18941"/>
    <cellStyle name="Normal 7 2 2 2 3 3 2 3 2" xfId="41528"/>
    <cellStyle name="Normal 7 2 2 2 3 3 2 4" xfId="15721"/>
    <cellStyle name="Normal 7 2 2 2 3 3 2 4 2" xfId="38308"/>
    <cellStyle name="Normal 7 2 2 2 3 3 2 5" xfId="9281"/>
    <cellStyle name="Normal 7 2 2 2 3 3 2 5 2" xfId="31868"/>
    <cellStyle name="Normal 7 2 2 2 3 3 2 6" xfId="25428"/>
    <cellStyle name="Normal 7 2 2 2 3 3 3" xfId="4753"/>
    <cellStyle name="Normal 7 2 2 2 3 3 3 2" xfId="20853"/>
    <cellStyle name="Normal 7 2 2 2 3 3 3 2 2" xfId="43440"/>
    <cellStyle name="Normal 7 2 2 2 3 3 3 3" xfId="11193"/>
    <cellStyle name="Normal 7 2 2 2 3 3 3 3 2" xfId="33780"/>
    <cellStyle name="Normal 7 2 2 2 3 3 3 4" xfId="27340"/>
    <cellStyle name="Normal 7 2 2 2 3 3 4" xfId="17633"/>
    <cellStyle name="Normal 7 2 2 2 3 3 4 2" xfId="40220"/>
    <cellStyle name="Normal 7 2 2 2 3 3 5" xfId="14413"/>
    <cellStyle name="Normal 7 2 2 2 3 3 5 2" xfId="37000"/>
    <cellStyle name="Normal 7 2 2 2 3 3 6" xfId="7973"/>
    <cellStyle name="Normal 7 2 2 2 3 3 6 2" xfId="30560"/>
    <cellStyle name="Normal 7 2 2 2 3 3 7" xfId="24120"/>
    <cellStyle name="Normal 7 2 2 2 3 4" xfId="1693"/>
    <cellStyle name="Normal 7 2 2 2 3 4 2" xfId="4916"/>
    <cellStyle name="Normal 7 2 2 2 3 4 2 2" xfId="21016"/>
    <cellStyle name="Normal 7 2 2 2 3 4 2 2 2" xfId="43603"/>
    <cellStyle name="Normal 7 2 2 2 3 4 2 3" xfId="11356"/>
    <cellStyle name="Normal 7 2 2 2 3 4 2 3 2" xfId="33943"/>
    <cellStyle name="Normal 7 2 2 2 3 4 2 4" xfId="27503"/>
    <cellStyle name="Normal 7 2 2 2 3 4 3" xfId="17796"/>
    <cellStyle name="Normal 7 2 2 2 3 4 3 2" xfId="40383"/>
    <cellStyle name="Normal 7 2 2 2 3 4 4" xfId="14576"/>
    <cellStyle name="Normal 7 2 2 2 3 4 4 2" xfId="37163"/>
    <cellStyle name="Normal 7 2 2 2 3 4 5" xfId="8136"/>
    <cellStyle name="Normal 7 2 2 2 3 4 5 2" xfId="30723"/>
    <cellStyle name="Normal 7 2 2 2 3 4 6" xfId="24283"/>
    <cellStyle name="Normal 7 2 2 2 3 5" xfId="2146"/>
    <cellStyle name="Normal 7 2 2 2 3 5 2" xfId="5367"/>
    <cellStyle name="Normal 7 2 2 2 3 5 2 2" xfId="21467"/>
    <cellStyle name="Normal 7 2 2 2 3 5 2 2 2" xfId="44054"/>
    <cellStyle name="Normal 7 2 2 2 3 5 2 3" xfId="11807"/>
    <cellStyle name="Normal 7 2 2 2 3 5 2 3 2" xfId="34394"/>
    <cellStyle name="Normal 7 2 2 2 3 5 2 4" xfId="27954"/>
    <cellStyle name="Normal 7 2 2 2 3 5 3" xfId="18247"/>
    <cellStyle name="Normal 7 2 2 2 3 5 3 2" xfId="40834"/>
    <cellStyle name="Normal 7 2 2 2 3 5 4" xfId="15027"/>
    <cellStyle name="Normal 7 2 2 2 3 5 4 2" xfId="37614"/>
    <cellStyle name="Normal 7 2 2 2 3 5 5" xfId="8587"/>
    <cellStyle name="Normal 7 2 2 2 3 5 5 2" xfId="31174"/>
    <cellStyle name="Normal 7 2 2 2 3 5 6" xfId="24734"/>
    <cellStyle name="Normal 7 2 2 2 3 6" xfId="3104"/>
    <cellStyle name="Normal 7 2 2 2 3 6 2" xfId="6324"/>
    <cellStyle name="Normal 7 2 2 2 3 6 2 2" xfId="22424"/>
    <cellStyle name="Normal 7 2 2 2 3 6 2 2 2" xfId="45011"/>
    <cellStyle name="Normal 7 2 2 2 3 6 2 3" xfId="12764"/>
    <cellStyle name="Normal 7 2 2 2 3 6 2 3 2" xfId="35351"/>
    <cellStyle name="Normal 7 2 2 2 3 6 2 4" xfId="28911"/>
    <cellStyle name="Normal 7 2 2 2 3 6 3" xfId="19204"/>
    <cellStyle name="Normal 7 2 2 2 3 6 3 2" xfId="41791"/>
    <cellStyle name="Normal 7 2 2 2 3 6 4" xfId="15984"/>
    <cellStyle name="Normal 7 2 2 2 3 6 4 2" xfId="38571"/>
    <cellStyle name="Normal 7 2 2 2 3 6 5" xfId="9544"/>
    <cellStyle name="Normal 7 2 2 2 3 6 5 2" xfId="32131"/>
    <cellStyle name="Normal 7 2 2 2 3 6 6" xfId="25691"/>
    <cellStyle name="Normal 7 2 2 2 3 7" xfId="3394"/>
    <cellStyle name="Normal 7 2 2 2 3 7 2" xfId="6614"/>
    <cellStyle name="Normal 7 2 2 2 3 7 2 2" xfId="22714"/>
    <cellStyle name="Normal 7 2 2 2 3 7 2 2 2" xfId="45301"/>
    <cellStyle name="Normal 7 2 2 2 3 7 2 3" xfId="13054"/>
    <cellStyle name="Normal 7 2 2 2 3 7 2 3 2" xfId="35641"/>
    <cellStyle name="Normal 7 2 2 2 3 7 2 4" xfId="29201"/>
    <cellStyle name="Normal 7 2 2 2 3 7 3" xfId="19494"/>
    <cellStyle name="Normal 7 2 2 2 3 7 3 2" xfId="42081"/>
    <cellStyle name="Normal 7 2 2 2 3 7 4" xfId="16274"/>
    <cellStyle name="Normal 7 2 2 2 3 7 4 2" xfId="38861"/>
    <cellStyle name="Normal 7 2 2 2 3 7 5" xfId="9834"/>
    <cellStyle name="Normal 7 2 2 2 3 7 5 2" xfId="32421"/>
    <cellStyle name="Normal 7 2 2 2 3 7 6" xfId="25981"/>
    <cellStyle name="Normal 7 2 2 2 3 8" xfId="827"/>
    <cellStyle name="Normal 7 2 2 2 3 8 2" xfId="4059"/>
    <cellStyle name="Normal 7 2 2 2 3 8 2 2" xfId="20159"/>
    <cellStyle name="Normal 7 2 2 2 3 8 2 2 2" xfId="42746"/>
    <cellStyle name="Normal 7 2 2 2 3 8 2 3" xfId="10499"/>
    <cellStyle name="Normal 7 2 2 2 3 8 2 3 2" xfId="33086"/>
    <cellStyle name="Normal 7 2 2 2 3 8 2 4" xfId="26646"/>
    <cellStyle name="Normal 7 2 2 2 3 8 3" xfId="16939"/>
    <cellStyle name="Normal 7 2 2 2 3 8 3 2" xfId="39526"/>
    <cellStyle name="Normal 7 2 2 2 3 8 4" xfId="13719"/>
    <cellStyle name="Normal 7 2 2 2 3 8 4 2" xfId="36306"/>
    <cellStyle name="Normal 7 2 2 2 3 8 5" xfId="7279"/>
    <cellStyle name="Normal 7 2 2 2 3 8 5 2" xfId="29866"/>
    <cellStyle name="Normal 7 2 2 2 3 8 6" xfId="23426"/>
    <cellStyle name="Normal 7 2 2 2 3 9" xfId="3684"/>
    <cellStyle name="Normal 7 2 2 2 3 9 2" xfId="19784"/>
    <cellStyle name="Normal 7 2 2 2 3 9 2 2" xfId="42371"/>
    <cellStyle name="Normal 7 2 2 2 3 9 3" xfId="10124"/>
    <cellStyle name="Normal 7 2 2 2 3 9 3 2" xfId="32711"/>
    <cellStyle name="Normal 7 2 2 2 3 9 4" xfId="26271"/>
    <cellStyle name="Normal 7 2 2 2 4" xfId="896"/>
    <cellStyle name="Normal 7 2 2 2 4 2" xfId="2215"/>
    <cellStyle name="Normal 7 2 2 2 4 2 2" xfId="5436"/>
    <cellStyle name="Normal 7 2 2 2 4 2 2 2" xfId="21536"/>
    <cellStyle name="Normal 7 2 2 2 4 2 2 2 2" xfId="44123"/>
    <cellStyle name="Normal 7 2 2 2 4 2 2 3" xfId="11876"/>
    <cellStyle name="Normal 7 2 2 2 4 2 2 3 2" xfId="34463"/>
    <cellStyle name="Normal 7 2 2 2 4 2 2 4" xfId="28023"/>
    <cellStyle name="Normal 7 2 2 2 4 2 3" xfId="18316"/>
    <cellStyle name="Normal 7 2 2 2 4 2 3 2" xfId="40903"/>
    <cellStyle name="Normal 7 2 2 2 4 2 4" xfId="15096"/>
    <cellStyle name="Normal 7 2 2 2 4 2 4 2" xfId="37683"/>
    <cellStyle name="Normal 7 2 2 2 4 2 5" xfId="8656"/>
    <cellStyle name="Normal 7 2 2 2 4 2 5 2" xfId="31243"/>
    <cellStyle name="Normal 7 2 2 2 4 2 6" xfId="24803"/>
    <cellStyle name="Normal 7 2 2 2 4 3" xfId="4128"/>
    <cellStyle name="Normal 7 2 2 2 4 3 2" xfId="20228"/>
    <cellStyle name="Normal 7 2 2 2 4 3 2 2" xfId="42815"/>
    <cellStyle name="Normal 7 2 2 2 4 3 3" xfId="10568"/>
    <cellStyle name="Normal 7 2 2 2 4 3 3 2" xfId="33155"/>
    <cellStyle name="Normal 7 2 2 2 4 3 4" xfId="26715"/>
    <cellStyle name="Normal 7 2 2 2 4 4" xfId="17008"/>
    <cellStyle name="Normal 7 2 2 2 4 4 2" xfId="39595"/>
    <cellStyle name="Normal 7 2 2 2 4 5" xfId="13788"/>
    <cellStyle name="Normal 7 2 2 2 4 5 2" xfId="36375"/>
    <cellStyle name="Normal 7 2 2 2 4 6" xfId="7348"/>
    <cellStyle name="Normal 7 2 2 2 4 6 2" xfId="29935"/>
    <cellStyle name="Normal 7 2 2 2 4 7" xfId="23495"/>
    <cellStyle name="Normal 7 2 2 2 5" xfId="1248"/>
    <cellStyle name="Normal 7 2 2 2 5 2" xfId="2562"/>
    <cellStyle name="Normal 7 2 2 2 5 2 2" xfId="5783"/>
    <cellStyle name="Normal 7 2 2 2 5 2 2 2" xfId="21883"/>
    <cellStyle name="Normal 7 2 2 2 5 2 2 2 2" xfId="44470"/>
    <cellStyle name="Normal 7 2 2 2 5 2 2 3" xfId="12223"/>
    <cellStyle name="Normal 7 2 2 2 5 2 2 3 2" xfId="34810"/>
    <cellStyle name="Normal 7 2 2 2 5 2 2 4" xfId="28370"/>
    <cellStyle name="Normal 7 2 2 2 5 2 3" xfId="18663"/>
    <cellStyle name="Normal 7 2 2 2 5 2 3 2" xfId="41250"/>
    <cellStyle name="Normal 7 2 2 2 5 2 4" xfId="15443"/>
    <cellStyle name="Normal 7 2 2 2 5 2 4 2" xfId="38030"/>
    <cellStyle name="Normal 7 2 2 2 5 2 5" xfId="9003"/>
    <cellStyle name="Normal 7 2 2 2 5 2 5 2" xfId="31590"/>
    <cellStyle name="Normal 7 2 2 2 5 2 6" xfId="25150"/>
    <cellStyle name="Normal 7 2 2 2 5 3" xfId="4475"/>
    <cellStyle name="Normal 7 2 2 2 5 3 2" xfId="20575"/>
    <cellStyle name="Normal 7 2 2 2 5 3 2 2" xfId="43162"/>
    <cellStyle name="Normal 7 2 2 2 5 3 3" xfId="10915"/>
    <cellStyle name="Normal 7 2 2 2 5 3 3 2" xfId="33502"/>
    <cellStyle name="Normal 7 2 2 2 5 3 4" xfId="27062"/>
    <cellStyle name="Normal 7 2 2 2 5 4" xfId="17355"/>
    <cellStyle name="Normal 7 2 2 2 5 4 2" xfId="39942"/>
    <cellStyle name="Normal 7 2 2 2 5 5" xfId="14135"/>
    <cellStyle name="Normal 7 2 2 2 5 5 2" xfId="36722"/>
    <cellStyle name="Normal 7 2 2 2 5 6" xfId="7695"/>
    <cellStyle name="Normal 7 2 2 2 5 6 2" xfId="30282"/>
    <cellStyle name="Normal 7 2 2 2 5 7" xfId="23842"/>
    <cellStyle name="Normal 7 2 2 2 6" xfId="1694"/>
    <cellStyle name="Normal 7 2 2 2 6 2" xfId="4917"/>
    <cellStyle name="Normal 7 2 2 2 6 2 2" xfId="21017"/>
    <cellStyle name="Normal 7 2 2 2 6 2 2 2" xfId="43604"/>
    <cellStyle name="Normal 7 2 2 2 6 2 3" xfId="11357"/>
    <cellStyle name="Normal 7 2 2 2 6 2 3 2" xfId="33944"/>
    <cellStyle name="Normal 7 2 2 2 6 2 4" xfId="27504"/>
    <cellStyle name="Normal 7 2 2 2 6 3" xfId="17797"/>
    <cellStyle name="Normal 7 2 2 2 6 3 2" xfId="40384"/>
    <cellStyle name="Normal 7 2 2 2 6 4" xfId="14577"/>
    <cellStyle name="Normal 7 2 2 2 6 4 2" xfId="37164"/>
    <cellStyle name="Normal 7 2 2 2 6 5" xfId="8137"/>
    <cellStyle name="Normal 7 2 2 2 6 5 2" xfId="30724"/>
    <cellStyle name="Normal 7 2 2 2 6 6" xfId="24284"/>
    <cellStyle name="Normal 7 2 2 2 7" xfId="1867"/>
    <cellStyle name="Normal 7 2 2 2 7 2" xfId="5089"/>
    <cellStyle name="Normal 7 2 2 2 7 2 2" xfId="21189"/>
    <cellStyle name="Normal 7 2 2 2 7 2 2 2" xfId="43776"/>
    <cellStyle name="Normal 7 2 2 2 7 2 3" xfId="11529"/>
    <cellStyle name="Normal 7 2 2 2 7 2 3 2" xfId="34116"/>
    <cellStyle name="Normal 7 2 2 2 7 2 4" xfId="27676"/>
    <cellStyle name="Normal 7 2 2 2 7 3" xfId="17969"/>
    <cellStyle name="Normal 7 2 2 2 7 3 2" xfId="40556"/>
    <cellStyle name="Normal 7 2 2 2 7 4" xfId="14749"/>
    <cellStyle name="Normal 7 2 2 2 7 4 2" xfId="37336"/>
    <cellStyle name="Normal 7 2 2 2 7 5" xfId="8309"/>
    <cellStyle name="Normal 7 2 2 2 7 5 2" xfId="30896"/>
    <cellStyle name="Normal 7 2 2 2 7 6" xfId="24456"/>
    <cellStyle name="Normal 7 2 2 2 8" xfId="2910"/>
    <cellStyle name="Normal 7 2 2 2 8 2" xfId="6131"/>
    <cellStyle name="Normal 7 2 2 2 8 2 2" xfId="22231"/>
    <cellStyle name="Normal 7 2 2 2 8 2 2 2" xfId="44818"/>
    <cellStyle name="Normal 7 2 2 2 8 2 3" xfId="12571"/>
    <cellStyle name="Normal 7 2 2 2 8 2 3 2" xfId="35158"/>
    <cellStyle name="Normal 7 2 2 2 8 2 4" xfId="28718"/>
    <cellStyle name="Normal 7 2 2 2 8 3" xfId="19011"/>
    <cellStyle name="Normal 7 2 2 2 8 3 2" xfId="41598"/>
    <cellStyle name="Normal 7 2 2 2 8 4" xfId="15791"/>
    <cellStyle name="Normal 7 2 2 2 8 4 2" xfId="38378"/>
    <cellStyle name="Normal 7 2 2 2 8 5" xfId="9351"/>
    <cellStyle name="Normal 7 2 2 2 8 5 2" xfId="31938"/>
    <cellStyle name="Normal 7 2 2 2 8 6" xfId="25498"/>
    <cellStyle name="Normal 7 2 2 2 9" xfId="3201"/>
    <cellStyle name="Normal 7 2 2 2 9 2" xfId="6421"/>
    <cellStyle name="Normal 7 2 2 2 9 2 2" xfId="22521"/>
    <cellStyle name="Normal 7 2 2 2 9 2 2 2" xfId="45108"/>
    <cellStyle name="Normal 7 2 2 2 9 2 3" xfId="12861"/>
    <cellStyle name="Normal 7 2 2 2 9 2 3 2" xfId="35448"/>
    <cellStyle name="Normal 7 2 2 2 9 2 4" xfId="29008"/>
    <cellStyle name="Normal 7 2 2 2 9 3" xfId="19301"/>
    <cellStyle name="Normal 7 2 2 2 9 3 2" xfId="41888"/>
    <cellStyle name="Normal 7 2 2 2 9 4" xfId="16081"/>
    <cellStyle name="Normal 7 2 2 2 9 4 2" xfId="38668"/>
    <cellStyle name="Normal 7 2 2 2 9 5" xfId="9641"/>
    <cellStyle name="Normal 7 2 2 2 9 5 2" xfId="32228"/>
    <cellStyle name="Normal 7 2 2 2 9 6" xfId="25788"/>
    <cellStyle name="Normal 7 2 2 3" xfId="260"/>
    <cellStyle name="Normal 7 2 2 3 10" xfId="3547"/>
    <cellStyle name="Normal 7 2 2 3 10 2" xfId="19647"/>
    <cellStyle name="Normal 7 2 2 3 10 2 2" xfId="42234"/>
    <cellStyle name="Normal 7 2 2 3 10 3" xfId="9987"/>
    <cellStyle name="Normal 7 2 2 3 10 3 2" xfId="32574"/>
    <cellStyle name="Normal 7 2 2 3 10 4" xfId="26134"/>
    <cellStyle name="Normal 7 2 2 3 11" xfId="16427"/>
    <cellStyle name="Normal 7 2 2 3 11 2" xfId="39014"/>
    <cellStyle name="Normal 7 2 2 3 12" xfId="13207"/>
    <cellStyle name="Normal 7 2 2 3 12 2" xfId="35794"/>
    <cellStyle name="Normal 7 2 2 3 13" xfId="6767"/>
    <cellStyle name="Normal 7 2 2 3 13 2" xfId="29354"/>
    <cellStyle name="Normal 7 2 2 3 14" xfId="22914"/>
    <cellStyle name="Normal 7 2 2 3 2" xfId="693"/>
    <cellStyle name="Normal 7 2 2 3 2 10" xfId="23304"/>
    <cellStyle name="Normal 7 2 2 3 2 2" xfId="1057"/>
    <cellStyle name="Normal 7 2 2 3 2 2 2" xfId="2371"/>
    <cellStyle name="Normal 7 2 2 3 2 2 2 2" xfId="5592"/>
    <cellStyle name="Normal 7 2 2 3 2 2 2 2 2" xfId="21692"/>
    <cellStyle name="Normal 7 2 2 3 2 2 2 2 2 2" xfId="44279"/>
    <cellStyle name="Normal 7 2 2 3 2 2 2 2 3" xfId="12032"/>
    <cellStyle name="Normal 7 2 2 3 2 2 2 2 3 2" xfId="34619"/>
    <cellStyle name="Normal 7 2 2 3 2 2 2 2 4" xfId="28179"/>
    <cellStyle name="Normal 7 2 2 3 2 2 2 3" xfId="18472"/>
    <cellStyle name="Normal 7 2 2 3 2 2 2 3 2" xfId="41059"/>
    <cellStyle name="Normal 7 2 2 3 2 2 2 4" xfId="15252"/>
    <cellStyle name="Normal 7 2 2 3 2 2 2 4 2" xfId="37839"/>
    <cellStyle name="Normal 7 2 2 3 2 2 2 5" xfId="8812"/>
    <cellStyle name="Normal 7 2 2 3 2 2 2 5 2" xfId="31399"/>
    <cellStyle name="Normal 7 2 2 3 2 2 2 6" xfId="24959"/>
    <cellStyle name="Normal 7 2 2 3 2 2 3" xfId="4284"/>
    <cellStyle name="Normal 7 2 2 3 2 2 3 2" xfId="20384"/>
    <cellStyle name="Normal 7 2 2 3 2 2 3 2 2" xfId="42971"/>
    <cellStyle name="Normal 7 2 2 3 2 2 3 3" xfId="10724"/>
    <cellStyle name="Normal 7 2 2 3 2 2 3 3 2" xfId="33311"/>
    <cellStyle name="Normal 7 2 2 3 2 2 3 4" xfId="26871"/>
    <cellStyle name="Normal 7 2 2 3 2 2 4" xfId="17164"/>
    <cellStyle name="Normal 7 2 2 3 2 2 4 2" xfId="39751"/>
    <cellStyle name="Normal 7 2 2 3 2 2 5" xfId="13944"/>
    <cellStyle name="Normal 7 2 2 3 2 2 5 2" xfId="36531"/>
    <cellStyle name="Normal 7 2 2 3 2 2 6" xfId="7504"/>
    <cellStyle name="Normal 7 2 2 3 2 2 6 2" xfId="30091"/>
    <cellStyle name="Normal 7 2 2 3 2 2 7" xfId="23651"/>
    <cellStyle name="Normal 7 2 2 3 2 3" xfId="1404"/>
    <cellStyle name="Normal 7 2 2 3 2 3 2" xfId="2718"/>
    <cellStyle name="Normal 7 2 2 3 2 3 2 2" xfId="5939"/>
    <cellStyle name="Normal 7 2 2 3 2 3 2 2 2" xfId="22039"/>
    <cellStyle name="Normal 7 2 2 3 2 3 2 2 2 2" xfId="44626"/>
    <cellStyle name="Normal 7 2 2 3 2 3 2 2 3" xfId="12379"/>
    <cellStyle name="Normal 7 2 2 3 2 3 2 2 3 2" xfId="34966"/>
    <cellStyle name="Normal 7 2 2 3 2 3 2 2 4" xfId="28526"/>
    <cellStyle name="Normal 7 2 2 3 2 3 2 3" xfId="18819"/>
    <cellStyle name="Normal 7 2 2 3 2 3 2 3 2" xfId="41406"/>
    <cellStyle name="Normal 7 2 2 3 2 3 2 4" xfId="15599"/>
    <cellStyle name="Normal 7 2 2 3 2 3 2 4 2" xfId="38186"/>
    <cellStyle name="Normal 7 2 2 3 2 3 2 5" xfId="9159"/>
    <cellStyle name="Normal 7 2 2 3 2 3 2 5 2" xfId="31746"/>
    <cellStyle name="Normal 7 2 2 3 2 3 2 6" xfId="25306"/>
    <cellStyle name="Normal 7 2 2 3 2 3 3" xfId="4631"/>
    <cellStyle name="Normal 7 2 2 3 2 3 3 2" xfId="20731"/>
    <cellStyle name="Normal 7 2 2 3 2 3 3 2 2" xfId="43318"/>
    <cellStyle name="Normal 7 2 2 3 2 3 3 3" xfId="11071"/>
    <cellStyle name="Normal 7 2 2 3 2 3 3 3 2" xfId="33658"/>
    <cellStyle name="Normal 7 2 2 3 2 3 3 4" xfId="27218"/>
    <cellStyle name="Normal 7 2 2 3 2 3 4" xfId="17511"/>
    <cellStyle name="Normal 7 2 2 3 2 3 4 2" xfId="40098"/>
    <cellStyle name="Normal 7 2 2 3 2 3 5" xfId="14291"/>
    <cellStyle name="Normal 7 2 2 3 2 3 5 2" xfId="36878"/>
    <cellStyle name="Normal 7 2 2 3 2 3 6" xfId="7851"/>
    <cellStyle name="Normal 7 2 2 3 2 3 6 2" xfId="30438"/>
    <cellStyle name="Normal 7 2 2 3 2 3 7" xfId="23998"/>
    <cellStyle name="Normal 7 2 2 3 2 4" xfId="1695"/>
    <cellStyle name="Normal 7 2 2 3 2 4 2" xfId="4918"/>
    <cellStyle name="Normal 7 2 2 3 2 4 2 2" xfId="21018"/>
    <cellStyle name="Normal 7 2 2 3 2 4 2 2 2" xfId="43605"/>
    <cellStyle name="Normal 7 2 2 3 2 4 2 3" xfId="11358"/>
    <cellStyle name="Normal 7 2 2 3 2 4 2 3 2" xfId="33945"/>
    <cellStyle name="Normal 7 2 2 3 2 4 2 4" xfId="27505"/>
    <cellStyle name="Normal 7 2 2 3 2 4 3" xfId="17798"/>
    <cellStyle name="Normal 7 2 2 3 2 4 3 2" xfId="40385"/>
    <cellStyle name="Normal 7 2 2 3 2 4 4" xfId="14578"/>
    <cellStyle name="Normal 7 2 2 3 2 4 4 2" xfId="37165"/>
    <cellStyle name="Normal 7 2 2 3 2 4 5" xfId="8138"/>
    <cellStyle name="Normal 7 2 2 3 2 4 5 2" xfId="30725"/>
    <cellStyle name="Normal 7 2 2 3 2 4 6" xfId="24285"/>
    <cellStyle name="Normal 7 2 2 3 2 5" xfId="2023"/>
    <cellStyle name="Normal 7 2 2 3 2 5 2" xfId="5245"/>
    <cellStyle name="Normal 7 2 2 3 2 5 2 2" xfId="21345"/>
    <cellStyle name="Normal 7 2 2 3 2 5 2 2 2" xfId="43932"/>
    <cellStyle name="Normal 7 2 2 3 2 5 2 3" xfId="11685"/>
    <cellStyle name="Normal 7 2 2 3 2 5 2 3 2" xfId="34272"/>
    <cellStyle name="Normal 7 2 2 3 2 5 2 4" xfId="27832"/>
    <cellStyle name="Normal 7 2 2 3 2 5 3" xfId="18125"/>
    <cellStyle name="Normal 7 2 2 3 2 5 3 2" xfId="40712"/>
    <cellStyle name="Normal 7 2 2 3 2 5 4" xfId="14905"/>
    <cellStyle name="Normal 7 2 2 3 2 5 4 2" xfId="37492"/>
    <cellStyle name="Normal 7 2 2 3 2 5 5" xfId="8465"/>
    <cellStyle name="Normal 7 2 2 3 2 5 5 2" xfId="31052"/>
    <cellStyle name="Normal 7 2 2 3 2 5 6" xfId="24612"/>
    <cellStyle name="Normal 7 2 2 3 2 6" xfId="3937"/>
    <cellStyle name="Normal 7 2 2 3 2 6 2" xfId="20037"/>
    <cellStyle name="Normal 7 2 2 3 2 6 2 2" xfId="42624"/>
    <cellStyle name="Normal 7 2 2 3 2 6 3" xfId="10377"/>
    <cellStyle name="Normal 7 2 2 3 2 6 3 2" xfId="32964"/>
    <cellStyle name="Normal 7 2 2 3 2 6 4" xfId="26524"/>
    <cellStyle name="Normal 7 2 2 3 2 7" xfId="16817"/>
    <cellStyle name="Normal 7 2 2 3 2 7 2" xfId="39404"/>
    <cellStyle name="Normal 7 2 2 3 2 8" xfId="13597"/>
    <cellStyle name="Normal 7 2 2 3 2 8 2" xfId="36184"/>
    <cellStyle name="Normal 7 2 2 3 2 9" xfId="7157"/>
    <cellStyle name="Normal 7 2 2 3 2 9 2" xfId="29744"/>
    <cellStyle name="Normal 7 2 2 3 3" xfId="936"/>
    <cellStyle name="Normal 7 2 2 3 3 2" xfId="2255"/>
    <cellStyle name="Normal 7 2 2 3 3 2 2" xfId="5476"/>
    <cellStyle name="Normal 7 2 2 3 3 2 2 2" xfId="21576"/>
    <cellStyle name="Normal 7 2 2 3 3 2 2 2 2" xfId="44163"/>
    <cellStyle name="Normal 7 2 2 3 3 2 2 3" xfId="11916"/>
    <cellStyle name="Normal 7 2 2 3 3 2 2 3 2" xfId="34503"/>
    <cellStyle name="Normal 7 2 2 3 3 2 2 4" xfId="28063"/>
    <cellStyle name="Normal 7 2 2 3 3 2 3" xfId="18356"/>
    <cellStyle name="Normal 7 2 2 3 3 2 3 2" xfId="40943"/>
    <cellStyle name="Normal 7 2 2 3 3 2 4" xfId="15136"/>
    <cellStyle name="Normal 7 2 2 3 3 2 4 2" xfId="37723"/>
    <cellStyle name="Normal 7 2 2 3 3 2 5" xfId="8696"/>
    <cellStyle name="Normal 7 2 2 3 3 2 5 2" xfId="31283"/>
    <cellStyle name="Normal 7 2 2 3 3 2 6" xfId="24843"/>
    <cellStyle name="Normal 7 2 2 3 3 3" xfId="4168"/>
    <cellStyle name="Normal 7 2 2 3 3 3 2" xfId="20268"/>
    <cellStyle name="Normal 7 2 2 3 3 3 2 2" xfId="42855"/>
    <cellStyle name="Normal 7 2 2 3 3 3 3" xfId="10608"/>
    <cellStyle name="Normal 7 2 2 3 3 3 3 2" xfId="33195"/>
    <cellStyle name="Normal 7 2 2 3 3 3 4" xfId="26755"/>
    <cellStyle name="Normal 7 2 2 3 3 4" xfId="17048"/>
    <cellStyle name="Normal 7 2 2 3 3 4 2" xfId="39635"/>
    <cellStyle name="Normal 7 2 2 3 3 5" xfId="13828"/>
    <cellStyle name="Normal 7 2 2 3 3 5 2" xfId="36415"/>
    <cellStyle name="Normal 7 2 2 3 3 6" xfId="7388"/>
    <cellStyle name="Normal 7 2 2 3 3 6 2" xfId="29975"/>
    <cellStyle name="Normal 7 2 2 3 3 7" xfId="23535"/>
    <cellStyle name="Normal 7 2 2 3 4" xfId="1288"/>
    <cellStyle name="Normal 7 2 2 3 4 2" xfId="2602"/>
    <cellStyle name="Normal 7 2 2 3 4 2 2" xfId="5823"/>
    <cellStyle name="Normal 7 2 2 3 4 2 2 2" xfId="21923"/>
    <cellStyle name="Normal 7 2 2 3 4 2 2 2 2" xfId="44510"/>
    <cellStyle name="Normal 7 2 2 3 4 2 2 3" xfId="12263"/>
    <cellStyle name="Normal 7 2 2 3 4 2 2 3 2" xfId="34850"/>
    <cellStyle name="Normal 7 2 2 3 4 2 2 4" xfId="28410"/>
    <cellStyle name="Normal 7 2 2 3 4 2 3" xfId="18703"/>
    <cellStyle name="Normal 7 2 2 3 4 2 3 2" xfId="41290"/>
    <cellStyle name="Normal 7 2 2 3 4 2 4" xfId="15483"/>
    <cellStyle name="Normal 7 2 2 3 4 2 4 2" xfId="38070"/>
    <cellStyle name="Normal 7 2 2 3 4 2 5" xfId="9043"/>
    <cellStyle name="Normal 7 2 2 3 4 2 5 2" xfId="31630"/>
    <cellStyle name="Normal 7 2 2 3 4 2 6" xfId="25190"/>
    <cellStyle name="Normal 7 2 2 3 4 3" xfId="4515"/>
    <cellStyle name="Normal 7 2 2 3 4 3 2" xfId="20615"/>
    <cellStyle name="Normal 7 2 2 3 4 3 2 2" xfId="43202"/>
    <cellStyle name="Normal 7 2 2 3 4 3 3" xfId="10955"/>
    <cellStyle name="Normal 7 2 2 3 4 3 3 2" xfId="33542"/>
    <cellStyle name="Normal 7 2 2 3 4 3 4" xfId="27102"/>
    <cellStyle name="Normal 7 2 2 3 4 4" xfId="17395"/>
    <cellStyle name="Normal 7 2 2 3 4 4 2" xfId="39982"/>
    <cellStyle name="Normal 7 2 2 3 4 5" xfId="14175"/>
    <cellStyle name="Normal 7 2 2 3 4 5 2" xfId="36762"/>
    <cellStyle name="Normal 7 2 2 3 4 6" xfId="7735"/>
    <cellStyle name="Normal 7 2 2 3 4 6 2" xfId="30322"/>
    <cellStyle name="Normal 7 2 2 3 4 7" xfId="23882"/>
    <cellStyle name="Normal 7 2 2 3 5" xfId="1696"/>
    <cellStyle name="Normal 7 2 2 3 5 2" xfId="4919"/>
    <cellStyle name="Normal 7 2 2 3 5 2 2" xfId="21019"/>
    <cellStyle name="Normal 7 2 2 3 5 2 2 2" xfId="43606"/>
    <cellStyle name="Normal 7 2 2 3 5 2 3" xfId="11359"/>
    <cellStyle name="Normal 7 2 2 3 5 2 3 2" xfId="33946"/>
    <cellStyle name="Normal 7 2 2 3 5 2 4" xfId="27506"/>
    <cellStyle name="Normal 7 2 2 3 5 3" xfId="17799"/>
    <cellStyle name="Normal 7 2 2 3 5 3 2" xfId="40386"/>
    <cellStyle name="Normal 7 2 2 3 5 4" xfId="14579"/>
    <cellStyle name="Normal 7 2 2 3 5 4 2" xfId="37166"/>
    <cellStyle name="Normal 7 2 2 3 5 5" xfId="8139"/>
    <cellStyle name="Normal 7 2 2 3 5 5 2" xfId="30726"/>
    <cellStyle name="Normal 7 2 2 3 5 6" xfId="24286"/>
    <cellStyle name="Normal 7 2 2 3 6" xfId="1907"/>
    <cellStyle name="Normal 7 2 2 3 6 2" xfId="5129"/>
    <cellStyle name="Normal 7 2 2 3 6 2 2" xfId="21229"/>
    <cellStyle name="Normal 7 2 2 3 6 2 2 2" xfId="43816"/>
    <cellStyle name="Normal 7 2 2 3 6 2 3" xfId="11569"/>
    <cellStyle name="Normal 7 2 2 3 6 2 3 2" xfId="34156"/>
    <cellStyle name="Normal 7 2 2 3 6 2 4" xfId="27716"/>
    <cellStyle name="Normal 7 2 2 3 6 3" xfId="18009"/>
    <cellStyle name="Normal 7 2 2 3 6 3 2" xfId="40596"/>
    <cellStyle name="Normal 7 2 2 3 6 4" xfId="14789"/>
    <cellStyle name="Normal 7 2 2 3 6 4 2" xfId="37376"/>
    <cellStyle name="Normal 7 2 2 3 6 5" xfId="8349"/>
    <cellStyle name="Normal 7 2 2 3 6 5 2" xfId="30936"/>
    <cellStyle name="Normal 7 2 2 3 6 6" xfId="24496"/>
    <cellStyle name="Normal 7 2 2 3 7" xfId="2967"/>
    <cellStyle name="Normal 7 2 2 3 7 2" xfId="6187"/>
    <cellStyle name="Normal 7 2 2 3 7 2 2" xfId="22287"/>
    <cellStyle name="Normal 7 2 2 3 7 2 2 2" xfId="44874"/>
    <cellStyle name="Normal 7 2 2 3 7 2 3" xfId="12627"/>
    <cellStyle name="Normal 7 2 2 3 7 2 3 2" xfId="35214"/>
    <cellStyle name="Normal 7 2 2 3 7 2 4" xfId="28774"/>
    <cellStyle name="Normal 7 2 2 3 7 3" xfId="19067"/>
    <cellStyle name="Normal 7 2 2 3 7 3 2" xfId="41654"/>
    <cellStyle name="Normal 7 2 2 3 7 4" xfId="15847"/>
    <cellStyle name="Normal 7 2 2 3 7 4 2" xfId="38434"/>
    <cellStyle name="Normal 7 2 2 3 7 5" xfId="9407"/>
    <cellStyle name="Normal 7 2 2 3 7 5 2" xfId="31994"/>
    <cellStyle name="Normal 7 2 2 3 7 6" xfId="25554"/>
    <cellStyle name="Normal 7 2 2 3 8" xfId="3257"/>
    <cellStyle name="Normal 7 2 2 3 8 2" xfId="6477"/>
    <cellStyle name="Normal 7 2 2 3 8 2 2" xfId="22577"/>
    <cellStyle name="Normal 7 2 2 3 8 2 2 2" xfId="45164"/>
    <cellStyle name="Normal 7 2 2 3 8 2 3" xfId="12917"/>
    <cellStyle name="Normal 7 2 2 3 8 2 3 2" xfId="35504"/>
    <cellStyle name="Normal 7 2 2 3 8 2 4" xfId="29064"/>
    <cellStyle name="Normal 7 2 2 3 8 3" xfId="19357"/>
    <cellStyle name="Normal 7 2 2 3 8 3 2" xfId="41944"/>
    <cellStyle name="Normal 7 2 2 3 8 4" xfId="16137"/>
    <cellStyle name="Normal 7 2 2 3 8 4 2" xfId="38724"/>
    <cellStyle name="Normal 7 2 2 3 8 5" xfId="9697"/>
    <cellStyle name="Normal 7 2 2 3 8 5 2" xfId="32284"/>
    <cellStyle name="Normal 7 2 2 3 8 6" xfId="25844"/>
    <cellStyle name="Normal 7 2 2 3 9" xfId="534"/>
    <cellStyle name="Normal 7 2 2 3 9 2" xfId="3821"/>
    <cellStyle name="Normal 7 2 2 3 9 2 2" xfId="19921"/>
    <cellStyle name="Normal 7 2 2 3 9 2 2 2" xfId="42508"/>
    <cellStyle name="Normal 7 2 2 3 9 2 3" xfId="10261"/>
    <cellStyle name="Normal 7 2 2 3 9 2 3 2" xfId="32848"/>
    <cellStyle name="Normal 7 2 2 3 9 2 4" xfId="26408"/>
    <cellStyle name="Normal 7 2 2 3 9 3" xfId="16701"/>
    <cellStyle name="Normal 7 2 2 3 9 3 2" xfId="39288"/>
    <cellStyle name="Normal 7 2 2 3 9 4" xfId="13481"/>
    <cellStyle name="Normal 7 2 2 3 9 4 2" xfId="36068"/>
    <cellStyle name="Normal 7 2 2 3 9 5" xfId="7041"/>
    <cellStyle name="Normal 7 2 2 3 9 5 2" xfId="29628"/>
    <cellStyle name="Normal 7 2 2 3 9 6" xfId="23188"/>
    <cellStyle name="Normal 7 2 2 4" xfId="360"/>
    <cellStyle name="Normal 7 2 2 4 10" xfId="16527"/>
    <cellStyle name="Normal 7 2 2 4 10 2" xfId="39114"/>
    <cellStyle name="Normal 7 2 2 4 11" xfId="13307"/>
    <cellStyle name="Normal 7 2 2 4 11 2" xfId="35894"/>
    <cellStyle name="Normal 7 2 2 4 12" xfId="6867"/>
    <cellStyle name="Normal 7 2 2 4 12 2" xfId="29454"/>
    <cellStyle name="Normal 7 2 2 4 13" xfId="23014"/>
    <cellStyle name="Normal 7 2 2 4 2" xfId="955"/>
    <cellStyle name="Normal 7 2 2 4 2 2" xfId="2274"/>
    <cellStyle name="Normal 7 2 2 4 2 2 2" xfId="5495"/>
    <cellStyle name="Normal 7 2 2 4 2 2 2 2" xfId="21595"/>
    <cellStyle name="Normal 7 2 2 4 2 2 2 2 2" xfId="44182"/>
    <cellStyle name="Normal 7 2 2 4 2 2 2 3" xfId="11935"/>
    <cellStyle name="Normal 7 2 2 4 2 2 2 3 2" xfId="34522"/>
    <cellStyle name="Normal 7 2 2 4 2 2 2 4" xfId="28082"/>
    <cellStyle name="Normal 7 2 2 4 2 2 3" xfId="18375"/>
    <cellStyle name="Normal 7 2 2 4 2 2 3 2" xfId="40962"/>
    <cellStyle name="Normal 7 2 2 4 2 2 4" xfId="15155"/>
    <cellStyle name="Normal 7 2 2 4 2 2 4 2" xfId="37742"/>
    <cellStyle name="Normal 7 2 2 4 2 2 5" xfId="8715"/>
    <cellStyle name="Normal 7 2 2 4 2 2 5 2" xfId="31302"/>
    <cellStyle name="Normal 7 2 2 4 2 2 6" xfId="24862"/>
    <cellStyle name="Normal 7 2 2 4 2 3" xfId="4187"/>
    <cellStyle name="Normal 7 2 2 4 2 3 2" xfId="20287"/>
    <cellStyle name="Normal 7 2 2 4 2 3 2 2" xfId="42874"/>
    <cellStyle name="Normal 7 2 2 4 2 3 3" xfId="10627"/>
    <cellStyle name="Normal 7 2 2 4 2 3 3 2" xfId="33214"/>
    <cellStyle name="Normal 7 2 2 4 2 3 4" xfId="26774"/>
    <cellStyle name="Normal 7 2 2 4 2 4" xfId="17067"/>
    <cellStyle name="Normal 7 2 2 4 2 4 2" xfId="39654"/>
    <cellStyle name="Normal 7 2 2 4 2 5" xfId="13847"/>
    <cellStyle name="Normal 7 2 2 4 2 5 2" xfId="36434"/>
    <cellStyle name="Normal 7 2 2 4 2 6" xfId="7407"/>
    <cellStyle name="Normal 7 2 2 4 2 6 2" xfId="29994"/>
    <cellStyle name="Normal 7 2 2 4 2 7" xfId="23554"/>
    <cellStyle name="Normal 7 2 2 4 3" xfId="1307"/>
    <cellStyle name="Normal 7 2 2 4 3 2" xfId="2621"/>
    <cellStyle name="Normal 7 2 2 4 3 2 2" xfId="5842"/>
    <cellStyle name="Normal 7 2 2 4 3 2 2 2" xfId="21942"/>
    <cellStyle name="Normal 7 2 2 4 3 2 2 2 2" xfId="44529"/>
    <cellStyle name="Normal 7 2 2 4 3 2 2 3" xfId="12282"/>
    <cellStyle name="Normal 7 2 2 4 3 2 2 3 2" xfId="34869"/>
    <cellStyle name="Normal 7 2 2 4 3 2 2 4" xfId="28429"/>
    <cellStyle name="Normal 7 2 2 4 3 2 3" xfId="18722"/>
    <cellStyle name="Normal 7 2 2 4 3 2 3 2" xfId="41309"/>
    <cellStyle name="Normal 7 2 2 4 3 2 4" xfId="15502"/>
    <cellStyle name="Normal 7 2 2 4 3 2 4 2" xfId="38089"/>
    <cellStyle name="Normal 7 2 2 4 3 2 5" xfId="9062"/>
    <cellStyle name="Normal 7 2 2 4 3 2 5 2" xfId="31649"/>
    <cellStyle name="Normal 7 2 2 4 3 2 6" xfId="25209"/>
    <cellStyle name="Normal 7 2 2 4 3 3" xfId="4534"/>
    <cellStyle name="Normal 7 2 2 4 3 3 2" xfId="20634"/>
    <cellStyle name="Normal 7 2 2 4 3 3 2 2" xfId="43221"/>
    <cellStyle name="Normal 7 2 2 4 3 3 3" xfId="10974"/>
    <cellStyle name="Normal 7 2 2 4 3 3 3 2" xfId="33561"/>
    <cellStyle name="Normal 7 2 2 4 3 3 4" xfId="27121"/>
    <cellStyle name="Normal 7 2 2 4 3 4" xfId="17414"/>
    <cellStyle name="Normal 7 2 2 4 3 4 2" xfId="40001"/>
    <cellStyle name="Normal 7 2 2 4 3 5" xfId="14194"/>
    <cellStyle name="Normal 7 2 2 4 3 5 2" xfId="36781"/>
    <cellStyle name="Normal 7 2 2 4 3 6" xfId="7754"/>
    <cellStyle name="Normal 7 2 2 4 3 6 2" xfId="30341"/>
    <cellStyle name="Normal 7 2 2 4 3 7" xfId="23901"/>
    <cellStyle name="Normal 7 2 2 4 4" xfId="1697"/>
    <cellStyle name="Normal 7 2 2 4 4 2" xfId="4920"/>
    <cellStyle name="Normal 7 2 2 4 4 2 2" xfId="21020"/>
    <cellStyle name="Normal 7 2 2 4 4 2 2 2" xfId="43607"/>
    <cellStyle name="Normal 7 2 2 4 4 2 3" xfId="11360"/>
    <cellStyle name="Normal 7 2 2 4 4 2 3 2" xfId="33947"/>
    <cellStyle name="Normal 7 2 2 4 4 2 4" xfId="27507"/>
    <cellStyle name="Normal 7 2 2 4 4 3" xfId="17800"/>
    <cellStyle name="Normal 7 2 2 4 4 3 2" xfId="40387"/>
    <cellStyle name="Normal 7 2 2 4 4 4" xfId="14580"/>
    <cellStyle name="Normal 7 2 2 4 4 4 2" xfId="37167"/>
    <cellStyle name="Normal 7 2 2 4 4 5" xfId="8140"/>
    <cellStyle name="Normal 7 2 2 4 4 5 2" xfId="30727"/>
    <cellStyle name="Normal 7 2 2 4 4 6" xfId="24287"/>
    <cellStyle name="Normal 7 2 2 4 5" xfId="1926"/>
    <cellStyle name="Normal 7 2 2 4 5 2" xfId="5148"/>
    <cellStyle name="Normal 7 2 2 4 5 2 2" xfId="21248"/>
    <cellStyle name="Normal 7 2 2 4 5 2 2 2" xfId="43835"/>
    <cellStyle name="Normal 7 2 2 4 5 2 3" xfId="11588"/>
    <cellStyle name="Normal 7 2 2 4 5 2 3 2" xfId="34175"/>
    <cellStyle name="Normal 7 2 2 4 5 2 4" xfId="27735"/>
    <cellStyle name="Normal 7 2 2 4 5 3" xfId="18028"/>
    <cellStyle name="Normal 7 2 2 4 5 3 2" xfId="40615"/>
    <cellStyle name="Normal 7 2 2 4 5 4" xfId="14808"/>
    <cellStyle name="Normal 7 2 2 4 5 4 2" xfId="37395"/>
    <cellStyle name="Normal 7 2 2 4 5 5" xfId="8368"/>
    <cellStyle name="Normal 7 2 2 4 5 5 2" xfId="30955"/>
    <cellStyle name="Normal 7 2 2 4 5 6" xfId="24515"/>
    <cellStyle name="Normal 7 2 2 4 6" xfId="3067"/>
    <cellStyle name="Normal 7 2 2 4 6 2" xfId="6287"/>
    <cellStyle name="Normal 7 2 2 4 6 2 2" xfId="22387"/>
    <cellStyle name="Normal 7 2 2 4 6 2 2 2" xfId="44974"/>
    <cellStyle name="Normal 7 2 2 4 6 2 3" xfId="12727"/>
    <cellStyle name="Normal 7 2 2 4 6 2 3 2" xfId="35314"/>
    <cellStyle name="Normal 7 2 2 4 6 2 4" xfId="28874"/>
    <cellStyle name="Normal 7 2 2 4 6 3" xfId="19167"/>
    <cellStyle name="Normal 7 2 2 4 6 3 2" xfId="41754"/>
    <cellStyle name="Normal 7 2 2 4 6 4" xfId="15947"/>
    <cellStyle name="Normal 7 2 2 4 6 4 2" xfId="38534"/>
    <cellStyle name="Normal 7 2 2 4 6 5" xfId="9507"/>
    <cellStyle name="Normal 7 2 2 4 6 5 2" xfId="32094"/>
    <cellStyle name="Normal 7 2 2 4 6 6" xfId="25654"/>
    <cellStyle name="Normal 7 2 2 4 7" xfId="3357"/>
    <cellStyle name="Normal 7 2 2 4 7 2" xfId="6577"/>
    <cellStyle name="Normal 7 2 2 4 7 2 2" xfId="22677"/>
    <cellStyle name="Normal 7 2 2 4 7 2 2 2" xfId="45264"/>
    <cellStyle name="Normal 7 2 2 4 7 2 3" xfId="13017"/>
    <cellStyle name="Normal 7 2 2 4 7 2 3 2" xfId="35604"/>
    <cellStyle name="Normal 7 2 2 4 7 2 4" xfId="29164"/>
    <cellStyle name="Normal 7 2 2 4 7 3" xfId="19457"/>
    <cellStyle name="Normal 7 2 2 4 7 3 2" xfId="42044"/>
    <cellStyle name="Normal 7 2 2 4 7 4" xfId="16237"/>
    <cellStyle name="Normal 7 2 2 4 7 4 2" xfId="38824"/>
    <cellStyle name="Normal 7 2 2 4 7 5" xfId="9797"/>
    <cellStyle name="Normal 7 2 2 4 7 5 2" xfId="32384"/>
    <cellStyle name="Normal 7 2 2 4 7 6" xfId="25944"/>
    <cellStyle name="Normal 7 2 2 4 8" xfId="556"/>
    <cellStyle name="Normal 7 2 2 4 8 2" xfId="3840"/>
    <cellStyle name="Normal 7 2 2 4 8 2 2" xfId="19940"/>
    <cellStyle name="Normal 7 2 2 4 8 2 2 2" xfId="42527"/>
    <cellStyle name="Normal 7 2 2 4 8 2 3" xfId="10280"/>
    <cellStyle name="Normal 7 2 2 4 8 2 3 2" xfId="32867"/>
    <cellStyle name="Normal 7 2 2 4 8 2 4" xfId="26427"/>
    <cellStyle name="Normal 7 2 2 4 8 3" xfId="16720"/>
    <cellStyle name="Normal 7 2 2 4 8 3 2" xfId="39307"/>
    <cellStyle name="Normal 7 2 2 4 8 4" xfId="13500"/>
    <cellStyle name="Normal 7 2 2 4 8 4 2" xfId="36087"/>
    <cellStyle name="Normal 7 2 2 4 8 5" xfId="7060"/>
    <cellStyle name="Normal 7 2 2 4 8 5 2" xfId="29647"/>
    <cellStyle name="Normal 7 2 2 4 8 6" xfId="23207"/>
    <cellStyle name="Normal 7 2 2 4 9" xfId="3647"/>
    <cellStyle name="Normal 7 2 2 4 9 2" xfId="19747"/>
    <cellStyle name="Normal 7 2 2 4 9 2 2" xfId="42334"/>
    <cellStyle name="Normal 7 2 2 4 9 3" xfId="10087"/>
    <cellStyle name="Normal 7 2 2 4 9 3 2" xfId="32674"/>
    <cellStyle name="Normal 7 2 2 4 9 4" xfId="26234"/>
    <cellStyle name="Normal 7 2 2 5" xfId="789"/>
    <cellStyle name="Normal 7 2 2 5 2" xfId="1141"/>
    <cellStyle name="Normal 7 2 2 5 2 2" xfId="2455"/>
    <cellStyle name="Normal 7 2 2 5 2 2 2" xfId="5676"/>
    <cellStyle name="Normal 7 2 2 5 2 2 2 2" xfId="21776"/>
    <cellStyle name="Normal 7 2 2 5 2 2 2 2 2" xfId="44363"/>
    <cellStyle name="Normal 7 2 2 5 2 2 2 3" xfId="12116"/>
    <cellStyle name="Normal 7 2 2 5 2 2 2 3 2" xfId="34703"/>
    <cellStyle name="Normal 7 2 2 5 2 2 2 4" xfId="28263"/>
    <cellStyle name="Normal 7 2 2 5 2 2 3" xfId="18556"/>
    <cellStyle name="Normal 7 2 2 5 2 2 3 2" xfId="41143"/>
    <cellStyle name="Normal 7 2 2 5 2 2 4" xfId="15336"/>
    <cellStyle name="Normal 7 2 2 5 2 2 4 2" xfId="37923"/>
    <cellStyle name="Normal 7 2 2 5 2 2 5" xfId="8896"/>
    <cellStyle name="Normal 7 2 2 5 2 2 5 2" xfId="31483"/>
    <cellStyle name="Normal 7 2 2 5 2 2 6" xfId="25043"/>
    <cellStyle name="Normal 7 2 2 5 2 3" xfId="4368"/>
    <cellStyle name="Normal 7 2 2 5 2 3 2" xfId="20468"/>
    <cellStyle name="Normal 7 2 2 5 2 3 2 2" xfId="43055"/>
    <cellStyle name="Normal 7 2 2 5 2 3 3" xfId="10808"/>
    <cellStyle name="Normal 7 2 2 5 2 3 3 2" xfId="33395"/>
    <cellStyle name="Normal 7 2 2 5 2 3 4" xfId="26955"/>
    <cellStyle name="Normal 7 2 2 5 2 4" xfId="17248"/>
    <cellStyle name="Normal 7 2 2 5 2 4 2" xfId="39835"/>
    <cellStyle name="Normal 7 2 2 5 2 5" xfId="14028"/>
    <cellStyle name="Normal 7 2 2 5 2 5 2" xfId="36615"/>
    <cellStyle name="Normal 7 2 2 5 2 6" xfId="7588"/>
    <cellStyle name="Normal 7 2 2 5 2 6 2" xfId="30175"/>
    <cellStyle name="Normal 7 2 2 5 2 7" xfId="23735"/>
    <cellStyle name="Normal 7 2 2 5 3" xfId="1488"/>
    <cellStyle name="Normal 7 2 2 5 3 2" xfId="2802"/>
    <cellStyle name="Normal 7 2 2 5 3 2 2" xfId="6023"/>
    <cellStyle name="Normal 7 2 2 5 3 2 2 2" xfId="22123"/>
    <cellStyle name="Normal 7 2 2 5 3 2 2 2 2" xfId="44710"/>
    <cellStyle name="Normal 7 2 2 5 3 2 2 3" xfId="12463"/>
    <cellStyle name="Normal 7 2 2 5 3 2 2 3 2" xfId="35050"/>
    <cellStyle name="Normal 7 2 2 5 3 2 2 4" xfId="28610"/>
    <cellStyle name="Normal 7 2 2 5 3 2 3" xfId="18903"/>
    <cellStyle name="Normal 7 2 2 5 3 2 3 2" xfId="41490"/>
    <cellStyle name="Normal 7 2 2 5 3 2 4" xfId="15683"/>
    <cellStyle name="Normal 7 2 2 5 3 2 4 2" xfId="38270"/>
    <cellStyle name="Normal 7 2 2 5 3 2 5" xfId="9243"/>
    <cellStyle name="Normal 7 2 2 5 3 2 5 2" xfId="31830"/>
    <cellStyle name="Normal 7 2 2 5 3 2 6" xfId="25390"/>
    <cellStyle name="Normal 7 2 2 5 3 3" xfId="4715"/>
    <cellStyle name="Normal 7 2 2 5 3 3 2" xfId="20815"/>
    <cellStyle name="Normal 7 2 2 5 3 3 2 2" xfId="43402"/>
    <cellStyle name="Normal 7 2 2 5 3 3 3" xfId="11155"/>
    <cellStyle name="Normal 7 2 2 5 3 3 3 2" xfId="33742"/>
    <cellStyle name="Normal 7 2 2 5 3 3 4" xfId="27302"/>
    <cellStyle name="Normal 7 2 2 5 3 4" xfId="17595"/>
    <cellStyle name="Normal 7 2 2 5 3 4 2" xfId="40182"/>
    <cellStyle name="Normal 7 2 2 5 3 5" xfId="14375"/>
    <cellStyle name="Normal 7 2 2 5 3 5 2" xfId="36962"/>
    <cellStyle name="Normal 7 2 2 5 3 6" xfId="7935"/>
    <cellStyle name="Normal 7 2 2 5 3 6 2" xfId="30522"/>
    <cellStyle name="Normal 7 2 2 5 3 7" xfId="24082"/>
    <cellStyle name="Normal 7 2 2 5 4" xfId="2108"/>
    <cellStyle name="Normal 7 2 2 5 4 2" xfId="5329"/>
    <cellStyle name="Normal 7 2 2 5 4 2 2" xfId="21429"/>
    <cellStyle name="Normal 7 2 2 5 4 2 2 2" xfId="44016"/>
    <cellStyle name="Normal 7 2 2 5 4 2 3" xfId="11769"/>
    <cellStyle name="Normal 7 2 2 5 4 2 3 2" xfId="34356"/>
    <cellStyle name="Normal 7 2 2 5 4 2 4" xfId="27916"/>
    <cellStyle name="Normal 7 2 2 5 4 3" xfId="18209"/>
    <cellStyle name="Normal 7 2 2 5 4 3 2" xfId="40796"/>
    <cellStyle name="Normal 7 2 2 5 4 4" xfId="14989"/>
    <cellStyle name="Normal 7 2 2 5 4 4 2" xfId="37576"/>
    <cellStyle name="Normal 7 2 2 5 4 5" xfId="8549"/>
    <cellStyle name="Normal 7 2 2 5 4 5 2" xfId="31136"/>
    <cellStyle name="Normal 7 2 2 5 4 6" xfId="24696"/>
    <cellStyle name="Normal 7 2 2 5 5" xfId="4021"/>
    <cellStyle name="Normal 7 2 2 5 5 2" xfId="20121"/>
    <cellStyle name="Normal 7 2 2 5 5 2 2" xfId="42708"/>
    <cellStyle name="Normal 7 2 2 5 5 3" xfId="10461"/>
    <cellStyle name="Normal 7 2 2 5 5 3 2" xfId="33048"/>
    <cellStyle name="Normal 7 2 2 5 5 4" xfId="26608"/>
    <cellStyle name="Normal 7 2 2 5 6" xfId="16901"/>
    <cellStyle name="Normal 7 2 2 5 6 2" xfId="39488"/>
    <cellStyle name="Normal 7 2 2 5 7" xfId="13681"/>
    <cellStyle name="Normal 7 2 2 5 7 2" xfId="36268"/>
    <cellStyle name="Normal 7 2 2 5 8" xfId="7241"/>
    <cellStyle name="Normal 7 2 2 5 8 2" xfId="29828"/>
    <cellStyle name="Normal 7 2 2 5 9" xfId="23388"/>
    <cellStyle name="Normal 7 2 2 6" xfId="859"/>
    <cellStyle name="Normal 7 2 2 6 2" xfId="2178"/>
    <cellStyle name="Normal 7 2 2 6 2 2" xfId="5399"/>
    <cellStyle name="Normal 7 2 2 6 2 2 2" xfId="21499"/>
    <cellStyle name="Normal 7 2 2 6 2 2 2 2" xfId="44086"/>
    <cellStyle name="Normal 7 2 2 6 2 2 3" xfId="11839"/>
    <cellStyle name="Normal 7 2 2 6 2 2 3 2" xfId="34426"/>
    <cellStyle name="Normal 7 2 2 6 2 2 4" xfId="27986"/>
    <cellStyle name="Normal 7 2 2 6 2 3" xfId="18279"/>
    <cellStyle name="Normal 7 2 2 6 2 3 2" xfId="40866"/>
    <cellStyle name="Normal 7 2 2 6 2 4" xfId="15059"/>
    <cellStyle name="Normal 7 2 2 6 2 4 2" xfId="37646"/>
    <cellStyle name="Normal 7 2 2 6 2 5" xfId="8619"/>
    <cellStyle name="Normal 7 2 2 6 2 5 2" xfId="31206"/>
    <cellStyle name="Normal 7 2 2 6 2 6" xfId="24766"/>
    <cellStyle name="Normal 7 2 2 6 3" xfId="4091"/>
    <cellStyle name="Normal 7 2 2 6 3 2" xfId="20191"/>
    <cellStyle name="Normal 7 2 2 6 3 2 2" xfId="42778"/>
    <cellStyle name="Normal 7 2 2 6 3 3" xfId="10531"/>
    <cellStyle name="Normal 7 2 2 6 3 3 2" xfId="33118"/>
    <cellStyle name="Normal 7 2 2 6 3 4" xfId="26678"/>
    <cellStyle name="Normal 7 2 2 6 4" xfId="16971"/>
    <cellStyle name="Normal 7 2 2 6 4 2" xfId="39558"/>
    <cellStyle name="Normal 7 2 2 6 5" xfId="13751"/>
    <cellStyle name="Normal 7 2 2 6 5 2" xfId="36338"/>
    <cellStyle name="Normal 7 2 2 6 6" xfId="7311"/>
    <cellStyle name="Normal 7 2 2 6 6 2" xfId="29898"/>
    <cellStyle name="Normal 7 2 2 6 7" xfId="23458"/>
    <cellStyle name="Normal 7 2 2 7" xfId="1211"/>
    <cellStyle name="Normal 7 2 2 7 2" xfId="2525"/>
    <cellStyle name="Normal 7 2 2 7 2 2" xfId="5746"/>
    <cellStyle name="Normal 7 2 2 7 2 2 2" xfId="21846"/>
    <cellStyle name="Normal 7 2 2 7 2 2 2 2" xfId="44433"/>
    <cellStyle name="Normal 7 2 2 7 2 2 3" xfId="12186"/>
    <cellStyle name="Normal 7 2 2 7 2 2 3 2" xfId="34773"/>
    <cellStyle name="Normal 7 2 2 7 2 2 4" xfId="28333"/>
    <cellStyle name="Normal 7 2 2 7 2 3" xfId="18626"/>
    <cellStyle name="Normal 7 2 2 7 2 3 2" xfId="41213"/>
    <cellStyle name="Normal 7 2 2 7 2 4" xfId="15406"/>
    <cellStyle name="Normal 7 2 2 7 2 4 2" xfId="37993"/>
    <cellStyle name="Normal 7 2 2 7 2 5" xfId="8966"/>
    <cellStyle name="Normal 7 2 2 7 2 5 2" xfId="31553"/>
    <cellStyle name="Normal 7 2 2 7 2 6" xfId="25113"/>
    <cellStyle name="Normal 7 2 2 7 3" xfId="4438"/>
    <cellStyle name="Normal 7 2 2 7 3 2" xfId="20538"/>
    <cellStyle name="Normal 7 2 2 7 3 2 2" xfId="43125"/>
    <cellStyle name="Normal 7 2 2 7 3 3" xfId="10878"/>
    <cellStyle name="Normal 7 2 2 7 3 3 2" xfId="33465"/>
    <cellStyle name="Normal 7 2 2 7 3 4" xfId="27025"/>
    <cellStyle name="Normal 7 2 2 7 4" xfId="17318"/>
    <cellStyle name="Normal 7 2 2 7 4 2" xfId="39905"/>
    <cellStyle name="Normal 7 2 2 7 5" xfId="14098"/>
    <cellStyle name="Normal 7 2 2 7 5 2" xfId="36685"/>
    <cellStyle name="Normal 7 2 2 7 6" xfId="7658"/>
    <cellStyle name="Normal 7 2 2 7 6 2" xfId="30245"/>
    <cellStyle name="Normal 7 2 2 7 7" xfId="23805"/>
    <cellStyle name="Normal 7 2 2 8" xfId="1698"/>
    <cellStyle name="Normal 7 2 2 8 2" xfId="4921"/>
    <cellStyle name="Normal 7 2 2 8 2 2" xfId="21021"/>
    <cellStyle name="Normal 7 2 2 8 2 2 2" xfId="43608"/>
    <cellStyle name="Normal 7 2 2 8 2 3" xfId="11361"/>
    <cellStyle name="Normal 7 2 2 8 2 3 2" xfId="33948"/>
    <cellStyle name="Normal 7 2 2 8 2 4" xfId="27508"/>
    <cellStyle name="Normal 7 2 2 8 3" xfId="17801"/>
    <cellStyle name="Normal 7 2 2 8 3 2" xfId="40388"/>
    <cellStyle name="Normal 7 2 2 8 4" xfId="14581"/>
    <cellStyle name="Normal 7 2 2 8 4 2" xfId="37168"/>
    <cellStyle name="Normal 7 2 2 8 5" xfId="8141"/>
    <cellStyle name="Normal 7 2 2 8 5 2" xfId="30728"/>
    <cellStyle name="Normal 7 2 2 8 6" xfId="24288"/>
    <cellStyle name="Normal 7 2 2 9" xfId="1830"/>
    <cellStyle name="Normal 7 2 2 9 2" xfId="5052"/>
    <cellStyle name="Normal 7 2 2 9 2 2" xfId="21152"/>
    <cellStyle name="Normal 7 2 2 9 2 2 2" xfId="43739"/>
    <cellStyle name="Normal 7 2 2 9 2 3" xfId="11492"/>
    <cellStyle name="Normal 7 2 2 9 2 3 2" xfId="34079"/>
    <cellStyle name="Normal 7 2 2 9 2 4" xfId="27639"/>
    <cellStyle name="Normal 7 2 2 9 3" xfId="17932"/>
    <cellStyle name="Normal 7 2 2 9 3 2" xfId="40519"/>
    <cellStyle name="Normal 7 2 2 9 4" xfId="14712"/>
    <cellStyle name="Normal 7 2 2 9 4 2" xfId="37299"/>
    <cellStyle name="Normal 7 2 2 9 5" xfId="8272"/>
    <cellStyle name="Normal 7 2 2 9 5 2" xfId="30859"/>
    <cellStyle name="Normal 7 2 2 9 6" xfId="24419"/>
    <cellStyle name="Normal 7 2 3" xfId="136"/>
    <cellStyle name="Normal 7 2 3 10" xfId="474"/>
    <cellStyle name="Normal 7 2 3 10 2" xfId="3761"/>
    <cellStyle name="Normal 7 2 3 10 2 2" xfId="19861"/>
    <cellStyle name="Normal 7 2 3 10 2 2 2" xfId="42448"/>
    <cellStyle name="Normal 7 2 3 10 2 3" xfId="10201"/>
    <cellStyle name="Normal 7 2 3 10 2 3 2" xfId="32788"/>
    <cellStyle name="Normal 7 2 3 10 2 4" xfId="26348"/>
    <cellStyle name="Normal 7 2 3 10 3" xfId="16641"/>
    <cellStyle name="Normal 7 2 3 10 3 2" xfId="39228"/>
    <cellStyle name="Normal 7 2 3 10 4" xfId="13421"/>
    <cellStyle name="Normal 7 2 3 10 4 2" xfId="36008"/>
    <cellStyle name="Normal 7 2 3 10 5" xfId="6981"/>
    <cellStyle name="Normal 7 2 3 10 5 2" xfId="29568"/>
    <cellStyle name="Normal 7 2 3 10 6" xfId="23128"/>
    <cellStyle name="Normal 7 2 3 11" xfId="3471"/>
    <cellStyle name="Normal 7 2 3 11 2" xfId="19571"/>
    <cellStyle name="Normal 7 2 3 11 2 2" xfId="42158"/>
    <cellStyle name="Normal 7 2 3 11 3" xfId="9911"/>
    <cellStyle name="Normal 7 2 3 11 3 2" xfId="32498"/>
    <cellStyle name="Normal 7 2 3 11 4" xfId="26058"/>
    <cellStyle name="Normal 7 2 3 12" xfId="16351"/>
    <cellStyle name="Normal 7 2 3 12 2" xfId="38938"/>
    <cellStyle name="Normal 7 2 3 13" xfId="13131"/>
    <cellStyle name="Normal 7 2 3 13 2" xfId="35718"/>
    <cellStyle name="Normal 7 2 3 14" xfId="6691"/>
    <cellStyle name="Normal 7 2 3 14 2" xfId="29278"/>
    <cellStyle name="Normal 7 2 3 15" xfId="22838"/>
    <cellStyle name="Normal 7 2 3 2" xfId="282"/>
    <cellStyle name="Normal 7 2 3 2 10" xfId="16449"/>
    <cellStyle name="Normal 7 2 3 2 10 2" xfId="39036"/>
    <cellStyle name="Normal 7 2 3 2 11" xfId="13229"/>
    <cellStyle name="Normal 7 2 3 2 11 2" xfId="35816"/>
    <cellStyle name="Normal 7 2 3 2 12" xfId="6789"/>
    <cellStyle name="Normal 7 2 3 2 12 2" xfId="29376"/>
    <cellStyle name="Normal 7 2 3 2 13" xfId="22936"/>
    <cellStyle name="Normal 7 2 3 2 2" xfId="1000"/>
    <cellStyle name="Normal 7 2 3 2 2 2" xfId="2314"/>
    <cellStyle name="Normal 7 2 3 2 2 2 2" xfId="5535"/>
    <cellStyle name="Normal 7 2 3 2 2 2 2 2" xfId="21635"/>
    <cellStyle name="Normal 7 2 3 2 2 2 2 2 2" xfId="44222"/>
    <cellStyle name="Normal 7 2 3 2 2 2 2 3" xfId="11975"/>
    <cellStyle name="Normal 7 2 3 2 2 2 2 3 2" xfId="34562"/>
    <cellStyle name="Normal 7 2 3 2 2 2 2 4" xfId="28122"/>
    <cellStyle name="Normal 7 2 3 2 2 2 3" xfId="18415"/>
    <cellStyle name="Normal 7 2 3 2 2 2 3 2" xfId="41002"/>
    <cellStyle name="Normal 7 2 3 2 2 2 4" xfId="15195"/>
    <cellStyle name="Normal 7 2 3 2 2 2 4 2" xfId="37782"/>
    <cellStyle name="Normal 7 2 3 2 2 2 5" xfId="8755"/>
    <cellStyle name="Normal 7 2 3 2 2 2 5 2" xfId="31342"/>
    <cellStyle name="Normal 7 2 3 2 2 2 6" xfId="24902"/>
    <cellStyle name="Normal 7 2 3 2 2 3" xfId="4227"/>
    <cellStyle name="Normal 7 2 3 2 2 3 2" xfId="20327"/>
    <cellStyle name="Normal 7 2 3 2 2 3 2 2" xfId="42914"/>
    <cellStyle name="Normal 7 2 3 2 2 3 3" xfId="10667"/>
    <cellStyle name="Normal 7 2 3 2 2 3 3 2" xfId="33254"/>
    <cellStyle name="Normal 7 2 3 2 2 3 4" xfId="26814"/>
    <cellStyle name="Normal 7 2 3 2 2 4" xfId="17107"/>
    <cellStyle name="Normal 7 2 3 2 2 4 2" xfId="39694"/>
    <cellStyle name="Normal 7 2 3 2 2 5" xfId="13887"/>
    <cellStyle name="Normal 7 2 3 2 2 5 2" xfId="36474"/>
    <cellStyle name="Normal 7 2 3 2 2 6" xfId="7447"/>
    <cellStyle name="Normal 7 2 3 2 2 6 2" xfId="30034"/>
    <cellStyle name="Normal 7 2 3 2 2 7" xfId="23594"/>
    <cellStyle name="Normal 7 2 3 2 3" xfId="1347"/>
    <cellStyle name="Normal 7 2 3 2 3 2" xfId="2661"/>
    <cellStyle name="Normal 7 2 3 2 3 2 2" xfId="5882"/>
    <cellStyle name="Normal 7 2 3 2 3 2 2 2" xfId="21982"/>
    <cellStyle name="Normal 7 2 3 2 3 2 2 2 2" xfId="44569"/>
    <cellStyle name="Normal 7 2 3 2 3 2 2 3" xfId="12322"/>
    <cellStyle name="Normal 7 2 3 2 3 2 2 3 2" xfId="34909"/>
    <cellStyle name="Normal 7 2 3 2 3 2 2 4" xfId="28469"/>
    <cellStyle name="Normal 7 2 3 2 3 2 3" xfId="18762"/>
    <cellStyle name="Normal 7 2 3 2 3 2 3 2" xfId="41349"/>
    <cellStyle name="Normal 7 2 3 2 3 2 4" xfId="15542"/>
    <cellStyle name="Normal 7 2 3 2 3 2 4 2" xfId="38129"/>
    <cellStyle name="Normal 7 2 3 2 3 2 5" xfId="9102"/>
    <cellStyle name="Normal 7 2 3 2 3 2 5 2" xfId="31689"/>
    <cellStyle name="Normal 7 2 3 2 3 2 6" xfId="25249"/>
    <cellStyle name="Normal 7 2 3 2 3 3" xfId="4574"/>
    <cellStyle name="Normal 7 2 3 2 3 3 2" xfId="20674"/>
    <cellStyle name="Normal 7 2 3 2 3 3 2 2" xfId="43261"/>
    <cellStyle name="Normal 7 2 3 2 3 3 3" xfId="11014"/>
    <cellStyle name="Normal 7 2 3 2 3 3 3 2" xfId="33601"/>
    <cellStyle name="Normal 7 2 3 2 3 3 4" xfId="27161"/>
    <cellStyle name="Normal 7 2 3 2 3 4" xfId="17454"/>
    <cellStyle name="Normal 7 2 3 2 3 4 2" xfId="40041"/>
    <cellStyle name="Normal 7 2 3 2 3 5" xfId="14234"/>
    <cellStyle name="Normal 7 2 3 2 3 5 2" xfId="36821"/>
    <cellStyle name="Normal 7 2 3 2 3 6" xfId="7794"/>
    <cellStyle name="Normal 7 2 3 2 3 6 2" xfId="30381"/>
    <cellStyle name="Normal 7 2 3 2 3 7" xfId="23941"/>
    <cellStyle name="Normal 7 2 3 2 4" xfId="1699"/>
    <cellStyle name="Normal 7 2 3 2 4 2" xfId="4922"/>
    <cellStyle name="Normal 7 2 3 2 4 2 2" xfId="21022"/>
    <cellStyle name="Normal 7 2 3 2 4 2 2 2" xfId="43609"/>
    <cellStyle name="Normal 7 2 3 2 4 2 3" xfId="11362"/>
    <cellStyle name="Normal 7 2 3 2 4 2 3 2" xfId="33949"/>
    <cellStyle name="Normal 7 2 3 2 4 2 4" xfId="27509"/>
    <cellStyle name="Normal 7 2 3 2 4 3" xfId="17802"/>
    <cellStyle name="Normal 7 2 3 2 4 3 2" xfId="40389"/>
    <cellStyle name="Normal 7 2 3 2 4 4" xfId="14582"/>
    <cellStyle name="Normal 7 2 3 2 4 4 2" xfId="37169"/>
    <cellStyle name="Normal 7 2 3 2 4 5" xfId="8142"/>
    <cellStyle name="Normal 7 2 3 2 4 5 2" xfId="30729"/>
    <cellStyle name="Normal 7 2 3 2 4 6" xfId="24289"/>
    <cellStyle name="Normal 7 2 3 2 5" xfId="1966"/>
    <cellStyle name="Normal 7 2 3 2 5 2" xfId="5188"/>
    <cellStyle name="Normal 7 2 3 2 5 2 2" xfId="21288"/>
    <cellStyle name="Normal 7 2 3 2 5 2 2 2" xfId="43875"/>
    <cellStyle name="Normal 7 2 3 2 5 2 3" xfId="11628"/>
    <cellStyle name="Normal 7 2 3 2 5 2 3 2" xfId="34215"/>
    <cellStyle name="Normal 7 2 3 2 5 2 4" xfId="27775"/>
    <cellStyle name="Normal 7 2 3 2 5 3" xfId="18068"/>
    <cellStyle name="Normal 7 2 3 2 5 3 2" xfId="40655"/>
    <cellStyle name="Normal 7 2 3 2 5 4" xfId="14848"/>
    <cellStyle name="Normal 7 2 3 2 5 4 2" xfId="37435"/>
    <cellStyle name="Normal 7 2 3 2 5 5" xfId="8408"/>
    <cellStyle name="Normal 7 2 3 2 5 5 2" xfId="30995"/>
    <cellStyle name="Normal 7 2 3 2 5 6" xfId="24555"/>
    <cellStyle name="Normal 7 2 3 2 6" xfId="2989"/>
    <cellStyle name="Normal 7 2 3 2 6 2" xfId="6209"/>
    <cellStyle name="Normal 7 2 3 2 6 2 2" xfId="22309"/>
    <cellStyle name="Normal 7 2 3 2 6 2 2 2" xfId="44896"/>
    <cellStyle name="Normal 7 2 3 2 6 2 3" xfId="12649"/>
    <cellStyle name="Normal 7 2 3 2 6 2 3 2" xfId="35236"/>
    <cellStyle name="Normal 7 2 3 2 6 2 4" xfId="28796"/>
    <cellStyle name="Normal 7 2 3 2 6 3" xfId="19089"/>
    <cellStyle name="Normal 7 2 3 2 6 3 2" xfId="41676"/>
    <cellStyle name="Normal 7 2 3 2 6 4" xfId="15869"/>
    <cellStyle name="Normal 7 2 3 2 6 4 2" xfId="38456"/>
    <cellStyle name="Normal 7 2 3 2 6 5" xfId="9429"/>
    <cellStyle name="Normal 7 2 3 2 6 5 2" xfId="32016"/>
    <cellStyle name="Normal 7 2 3 2 6 6" xfId="25576"/>
    <cellStyle name="Normal 7 2 3 2 7" xfId="3279"/>
    <cellStyle name="Normal 7 2 3 2 7 2" xfId="6499"/>
    <cellStyle name="Normal 7 2 3 2 7 2 2" xfId="22599"/>
    <cellStyle name="Normal 7 2 3 2 7 2 2 2" xfId="45186"/>
    <cellStyle name="Normal 7 2 3 2 7 2 3" xfId="12939"/>
    <cellStyle name="Normal 7 2 3 2 7 2 3 2" xfId="35526"/>
    <cellStyle name="Normal 7 2 3 2 7 2 4" xfId="29086"/>
    <cellStyle name="Normal 7 2 3 2 7 3" xfId="19379"/>
    <cellStyle name="Normal 7 2 3 2 7 3 2" xfId="41966"/>
    <cellStyle name="Normal 7 2 3 2 7 4" xfId="16159"/>
    <cellStyle name="Normal 7 2 3 2 7 4 2" xfId="38746"/>
    <cellStyle name="Normal 7 2 3 2 7 5" xfId="9719"/>
    <cellStyle name="Normal 7 2 3 2 7 5 2" xfId="32306"/>
    <cellStyle name="Normal 7 2 3 2 7 6" xfId="25866"/>
    <cellStyle name="Normal 7 2 3 2 8" xfId="636"/>
    <cellStyle name="Normal 7 2 3 2 8 2" xfId="3880"/>
    <cellStyle name="Normal 7 2 3 2 8 2 2" xfId="19980"/>
    <cellStyle name="Normal 7 2 3 2 8 2 2 2" xfId="42567"/>
    <cellStyle name="Normal 7 2 3 2 8 2 3" xfId="10320"/>
    <cellStyle name="Normal 7 2 3 2 8 2 3 2" xfId="32907"/>
    <cellStyle name="Normal 7 2 3 2 8 2 4" xfId="26467"/>
    <cellStyle name="Normal 7 2 3 2 8 3" xfId="16760"/>
    <cellStyle name="Normal 7 2 3 2 8 3 2" xfId="39347"/>
    <cellStyle name="Normal 7 2 3 2 8 4" xfId="13540"/>
    <cellStyle name="Normal 7 2 3 2 8 4 2" xfId="36127"/>
    <cellStyle name="Normal 7 2 3 2 8 5" xfId="7100"/>
    <cellStyle name="Normal 7 2 3 2 8 5 2" xfId="29687"/>
    <cellStyle name="Normal 7 2 3 2 8 6" xfId="23247"/>
    <cellStyle name="Normal 7 2 3 2 9" xfId="3569"/>
    <cellStyle name="Normal 7 2 3 2 9 2" xfId="19669"/>
    <cellStyle name="Normal 7 2 3 2 9 2 2" xfId="42256"/>
    <cellStyle name="Normal 7 2 3 2 9 3" xfId="10009"/>
    <cellStyle name="Normal 7 2 3 2 9 3 2" xfId="32596"/>
    <cellStyle name="Normal 7 2 3 2 9 4" xfId="26156"/>
    <cellStyle name="Normal 7 2 3 3" xfId="377"/>
    <cellStyle name="Normal 7 2 3 3 10" xfId="16544"/>
    <cellStyle name="Normal 7 2 3 3 10 2" xfId="39131"/>
    <cellStyle name="Normal 7 2 3 3 11" xfId="13324"/>
    <cellStyle name="Normal 7 2 3 3 11 2" xfId="35911"/>
    <cellStyle name="Normal 7 2 3 3 12" xfId="6884"/>
    <cellStyle name="Normal 7 2 3 3 12 2" xfId="29471"/>
    <cellStyle name="Normal 7 2 3 3 13" xfId="23031"/>
    <cellStyle name="Normal 7 2 3 3 2" xfId="1161"/>
    <cellStyle name="Normal 7 2 3 3 2 2" xfId="2475"/>
    <cellStyle name="Normal 7 2 3 3 2 2 2" xfId="5696"/>
    <cellStyle name="Normal 7 2 3 3 2 2 2 2" xfId="21796"/>
    <cellStyle name="Normal 7 2 3 3 2 2 2 2 2" xfId="44383"/>
    <cellStyle name="Normal 7 2 3 3 2 2 2 3" xfId="12136"/>
    <cellStyle name="Normal 7 2 3 3 2 2 2 3 2" xfId="34723"/>
    <cellStyle name="Normal 7 2 3 3 2 2 2 4" xfId="28283"/>
    <cellStyle name="Normal 7 2 3 3 2 2 3" xfId="18576"/>
    <cellStyle name="Normal 7 2 3 3 2 2 3 2" xfId="41163"/>
    <cellStyle name="Normal 7 2 3 3 2 2 4" xfId="15356"/>
    <cellStyle name="Normal 7 2 3 3 2 2 4 2" xfId="37943"/>
    <cellStyle name="Normal 7 2 3 3 2 2 5" xfId="8916"/>
    <cellStyle name="Normal 7 2 3 3 2 2 5 2" xfId="31503"/>
    <cellStyle name="Normal 7 2 3 3 2 2 6" xfId="25063"/>
    <cellStyle name="Normal 7 2 3 3 2 3" xfId="4388"/>
    <cellStyle name="Normal 7 2 3 3 2 3 2" xfId="20488"/>
    <cellStyle name="Normal 7 2 3 3 2 3 2 2" xfId="43075"/>
    <cellStyle name="Normal 7 2 3 3 2 3 3" xfId="10828"/>
    <cellStyle name="Normal 7 2 3 3 2 3 3 2" xfId="33415"/>
    <cellStyle name="Normal 7 2 3 3 2 3 4" xfId="26975"/>
    <cellStyle name="Normal 7 2 3 3 2 4" xfId="17268"/>
    <cellStyle name="Normal 7 2 3 3 2 4 2" xfId="39855"/>
    <cellStyle name="Normal 7 2 3 3 2 5" xfId="14048"/>
    <cellStyle name="Normal 7 2 3 3 2 5 2" xfId="36635"/>
    <cellStyle name="Normal 7 2 3 3 2 6" xfId="7608"/>
    <cellStyle name="Normal 7 2 3 3 2 6 2" xfId="30195"/>
    <cellStyle name="Normal 7 2 3 3 2 7" xfId="23755"/>
    <cellStyle name="Normal 7 2 3 3 3" xfId="1508"/>
    <cellStyle name="Normal 7 2 3 3 3 2" xfId="2822"/>
    <cellStyle name="Normal 7 2 3 3 3 2 2" xfId="6043"/>
    <cellStyle name="Normal 7 2 3 3 3 2 2 2" xfId="22143"/>
    <cellStyle name="Normal 7 2 3 3 3 2 2 2 2" xfId="44730"/>
    <cellStyle name="Normal 7 2 3 3 3 2 2 3" xfId="12483"/>
    <cellStyle name="Normal 7 2 3 3 3 2 2 3 2" xfId="35070"/>
    <cellStyle name="Normal 7 2 3 3 3 2 2 4" xfId="28630"/>
    <cellStyle name="Normal 7 2 3 3 3 2 3" xfId="18923"/>
    <cellStyle name="Normal 7 2 3 3 3 2 3 2" xfId="41510"/>
    <cellStyle name="Normal 7 2 3 3 3 2 4" xfId="15703"/>
    <cellStyle name="Normal 7 2 3 3 3 2 4 2" xfId="38290"/>
    <cellStyle name="Normal 7 2 3 3 3 2 5" xfId="9263"/>
    <cellStyle name="Normal 7 2 3 3 3 2 5 2" xfId="31850"/>
    <cellStyle name="Normal 7 2 3 3 3 2 6" xfId="25410"/>
    <cellStyle name="Normal 7 2 3 3 3 3" xfId="4735"/>
    <cellStyle name="Normal 7 2 3 3 3 3 2" xfId="20835"/>
    <cellStyle name="Normal 7 2 3 3 3 3 2 2" xfId="43422"/>
    <cellStyle name="Normal 7 2 3 3 3 3 3" xfId="11175"/>
    <cellStyle name="Normal 7 2 3 3 3 3 3 2" xfId="33762"/>
    <cellStyle name="Normal 7 2 3 3 3 3 4" xfId="27322"/>
    <cellStyle name="Normal 7 2 3 3 3 4" xfId="17615"/>
    <cellStyle name="Normal 7 2 3 3 3 4 2" xfId="40202"/>
    <cellStyle name="Normal 7 2 3 3 3 5" xfId="14395"/>
    <cellStyle name="Normal 7 2 3 3 3 5 2" xfId="36982"/>
    <cellStyle name="Normal 7 2 3 3 3 6" xfId="7955"/>
    <cellStyle name="Normal 7 2 3 3 3 6 2" xfId="30542"/>
    <cellStyle name="Normal 7 2 3 3 3 7" xfId="24102"/>
    <cellStyle name="Normal 7 2 3 3 4" xfId="1700"/>
    <cellStyle name="Normal 7 2 3 3 4 2" xfId="4923"/>
    <cellStyle name="Normal 7 2 3 3 4 2 2" xfId="21023"/>
    <cellStyle name="Normal 7 2 3 3 4 2 2 2" xfId="43610"/>
    <cellStyle name="Normal 7 2 3 3 4 2 3" xfId="11363"/>
    <cellStyle name="Normal 7 2 3 3 4 2 3 2" xfId="33950"/>
    <cellStyle name="Normal 7 2 3 3 4 2 4" xfId="27510"/>
    <cellStyle name="Normal 7 2 3 3 4 3" xfId="17803"/>
    <cellStyle name="Normal 7 2 3 3 4 3 2" xfId="40390"/>
    <cellStyle name="Normal 7 2 3 3 4 4" xfId="14583"/>
    <cellStyle name="Normal 7 2 3 3 4 4 2" xfId="37170"/>
    <cellStyle name="Normal 7 2 3 3 4 5" xfId="8143"/>
    <cellStyle name="Normal 7 2 3 3 4 5 2" xfId="30730"/>
    <cellStyle name="Normal 7 2 3 3 4 6" xfId="24290"/>
    <cellStyle name="Normal 7 2 3 3 5" xfId="2128"/>
    <cellStyle name="Normal 7 2 3 3 5 2" xfId="5349"/>
    <cellStyle name="Normal 7 2 3 3 5 2 2" xfId="21449"/>
    <cellStyle name="Normal 7 2 3 3 5 2 2 2" xfId="44036"/>
    <cellStyle name="Normal 7 2 3 3 5 2 3" xfId="11789"/>
    <cellStyle name="Normal 7 2 3 3 5 2 3 2" xfId="34376"/>
    <cellStyle name="Normal 7 2 3 3 5 2 4" xfId="27936"/>
    <cellStyle name="Normal 7 2 3 3 5 3" xfId="18229"/>
    <cellStyle name="Normal 7 2 3 3 5 3 2" xfId="40816"/>
    <cellStyle name="Normal 7 2 3 3 5 4" xfId="15009"/>
    <cellStyle name="Normal 7 2 3 3 5 4 2" xfId="37596"/>
    <cellStyle name="Normal 7 2 3 3 5 5" xfId="8569"/>
    <cellStyle name="Normal 7 2 3 3 5 5 2" xfId="31156"/>
    <cellStyle name="Normal 7 2 3 3 5 6" xfId="24716"/>
    <cellStyle name="Normal 7 2 3 3 6" xfId="3084"/>
    <cellStyle name="Normal 7 2 3 3 6 2" xfId="6304"/>
    <cellStyle name="Normal 7 2 3 3 6 2 2" xfId="22404"/>
    <cellStyle name="Normal 7 2 3 3 6 2 2 2" xfId="44991"/>
    <cellStyle name="Normal 7 2 3 3 6 2 3" xfId="12744"/>
    <cellStyle name="Normal 7 2 3 3 6 2 3 2" xfId="35331"/>
    <cellStyle name="Normal 7 2 3 3 6 2 4" xfId="28891"/>
    <cellStyle name="Normal 7 2 3 3 6 3" xfId="19184"/>
    <cellStyle name="Normal 7 2 3 3 6 3 2" xfId="41771"/>
    <cellStyle name="Normal 7 2 3 3 6 4" xfId="15964"/>
    <cellStyle name="Normal 7 2 3 3 6 4 2" xfId="38551"/>
    <cellStyle name="Normal 7 2 3 3 6 5" xfId="9524"/>
    <cellStyle name="Normal 7 2 3 3 6 5 2" xfId="32111"/>
    <cellStyle name="Normal 7 2 3 3 6 6" xfId="25671"/>
    <cellStyle name="Normal 7 2 3 3 7" xfId="3374"/>
    <cellStyle name="Normal 7 2 3 3 7 2" xfId="6594"/>
    <cellStyle name="Normal 7 2 3 3 7 2 2" xfId="22694"/>
    <cellStyle name="Normal 7 2 3 3 7 2 2 2" xfId="45281"/>
    <cellStyle name="Normal 7 2 3 3 7 2 3" xfId="13034"/>
    <cellStyle name="Normal 7 2 3 3 7 2 3 2" xfId="35621"/>
    <cellStyle name="Normal 7 2 3 3 7 2 4" xfId="29181"/>
    <cellStyle name="Normal 7 2 3 3 7 3" xfId="19474"/>
    <cellStyle name="Normal 7 2 3 3 7 3 2" xfId="42061"/>
    <cellStyle name="Normal 7 2 3 3 7 4" xfId="16254"/>
    <cellStyle name="Normal 7 2 3 3 7 4 2" xfId="38841"/>
    <cellStyle name="Normal 7 2 3 3 7 5" xfId="9814"/>
    <cellStyle name="Normal 7 2 3 3 7 5 2" xfId="32401"/>
    <cellStyle name="Normal 7 2 3 3 7 6" xfId="25961"/>
    <cellStyle name="Normal 7 2 3 3 8" xfId="809"/>
    <cellStyle name="Normal 7 2 3 3 8 2" xfId="4041"/>
    <cellStyle name="Normal 7 2 3 3 8 2 2" xfId="20141"/>
    <cellStyle name="Normal 7 2 3 3 8 2 2 2" xfId="42728"/>
    <cellStyle name="Normal 7 2 3 3 8 2 3" xfId="10481"/>
    <cellStyle name="Normal 7 2 3 3 8 2 3 2" xfId="33068"/>
    <cellStyle name="Normal 7 2 3 3 8 2 4" xfId="26628"/>
    <cellStyle name="Normal 7 2 3 3 8 3" xfId="16921"/>
    <cellStyle name="Normal 7 2 3 3 8 3 2" xfId="39508"/>
    <cellStyle name="Normal 7 2 3 3 8 4" xfId="13701"/>
    <cellStyle name="Normal 7 2 3 3 8 4 2" xfId="36288"/>
    <cellStyle name="Normal 7 2 3 3 8 5" xfId="7261"/>
    <cellStyle name="Normal 7 2 3 3 8 5 2" xfId="29848"/>
    <cellStyle name="Normal 7 2 3 3 8 6" xfId="23408"/>
    <cellStyle name="Normal 7 2 3 3 9" xfId="3664"/>
    <cellStyle name="Normal 7 2 3 3 9 2" xfId="19764"/>
    <cellStyle name="Normal 7 2 3 3 9 2 2" xfId="42351"/>
    <cellStyle name="Normal 7 2 3 3 9 3" xfId="10104"/>
    <cellStyle name="Normal 7 2 3 3 9 3 2" xfId="32691"/>
    <cellStyle name="Normal 7 2 3 3 9 4" xfId="26251"/>
    <cellStyle name="Normal 7 2 3 4" xfId="876"/>
    <cellStyle name="Normal 7 2 3 4 2" xfId="2195"/>
    <cellStyle name="Normal 7 2 3 4 2 2" xfId="5416"/>
    <cellStyle name="Normal 7 2 3 4 2 2 2" xfId="21516"/>
    <cellStyle name="Normal 7 2 3 4 2 2 2 2" xfId="44103"/>
    <cellStyle name="Normal 7 2 3 4 2 2 3" xfId="11856"/>
    <cellStyle name="Normal 7 2 3 4 2 2 3 2" xfId="34443"/>
    <cellStyle name="Normal 7 2 3 4 2 2 4" xfId="28003"/>
    <cellStyle name="Normal 7 2 3 4 2 3" xfId="18296"/>
    <cellStyle name="Normal 7 2 3 4 2 3 2" xfId="40883"/>
    <cellStyle name="Normal 7 2 3 4 2 4" xfId="15076"/>
    <cellStyle name="Normal 7 2 3 4 2 4 2" xfId="37663"/>
    <cellStyle name="Normal 7 2 3 4 2 5" xfId="8636"/>
    <cellStyle name="Normal 7 2 3 4 2 5 2" xfId="31223"/>
    <cellStyle name="Normal 7 2 3 4 2 6" xfId="24783"/>
    <cellStyle name="Normal 7 2 3 4 3" xfId="4108"/>
    <cellStyle name="Normal 7 2 3 4 3 2" xfId="20208"/>
    <cellStyle name="Normal 7 2 3 4 3 2 2" xfId="42795"/>
    <cellStyle name="Normal 7 2 3 4 3 3" xfId="10548"/>
    <cellStyle name="Normal 7 2 3 4 3 3 2" xfId="33135"/>
    <cellStyle name="Normal 7 2 3 4 3 4" xfId="26695"/>
    <cellStyle name="Normal 7 2 3 4 4" xfId="16988"/>
    <cellStyle name="Normal 7 2 3 4 4 2" xfId="39575"/>
    <cellStyle name="Normal 7 2 3 4 5" xfId="13768"/>
    <cellStyle name="Normal 7 2 3 4 5 2" xfId="36355"/>
    <cellStyle name="Normal 7 2 3 4 6" xfId="7328"/>
    <cellStyle name="Normal 7 2 3 4 6 2" xfId="29915"/>
    <cellStyle name="Normal 7 2 3 4 7" xfId="23475"/>
    <cellStyle name="Normal 7 2 3 5" xfId="1228"/>
    <cellStyle name="Normal 7 2 3 5 2" xfId="2542"/>
    <cellStyle name="Normal 7 2 3 5 2 2" xfId="5763"/>
    <cellStyle name="Normal 7 2 3 5 2 2 2" xfId="21863"/>
    <cellStyle name="Normal 7 2 3 5 2 2 2 2" xfId="44450"/>
    <cellStyle name="Normal 7 2 3 5 2 2 3" xfId="12203"/>
    <cellStyle name="Normal 7 2 3 5 2 2 3 2" xfId="34790"/>
    <cellStyle name="Normal 7 2 3 5 2 2 4" xfId="28350"/>
    <cellStyle name="Normal 7 2 3 5 2 3" xfId="18643"/>
    <cellStyle name="Normal 7 2 3 5 2 3 2" xfId="41230"/>
    <cellStyle name="Normal 7 2 3 5 2 4" xfId="15423"/>
    <cellStyle name="Normal 7 2 3 5 2 4 2" xfId="38010"/>
    <cellStyle name="Normal 7 2 3 5 2 5" xfId="8983"/>
    <cellStyle name="Normal 7 2 3 5 2 5 2" xfId="31570"/>
    <cellStyle name="Normal 7 2 3 5 2 6" xfId="25130"/>
    <cellStyle name="Normal 7 2 3 5 3" xfId="4455"/>
    <cellStyle name="Normal 7 2 3 5 3 2" xfId="20555"/>
    <cellStyle name="Normal 7 2 3 5 3 2 2" xfId="43142"/>
    <cellStyle name="Normal 7 2 3 5 3 3" xfId="10895"/>
    <cellStyle name="Normal 7 2 3 5 3 3 2" xfId="33482"/>
    <cellStyle name="Normal 7 2 3 5 3 4" xfId="27042"/>
    <cellStyle name="Normal 7 2 3 5 4" xfId="17335"/>
    <cellStyle name="Normal 7 2 3 5 4 2" xfId="39922"/>
    <cellStyle name="Normal 7 2 3 5 5" xfId="14115"/>
    <cellStyle name="Normal 7 2 3 5 5 2" xfId="36702"/>
    <cellStyle name="Normal 7 2 3 5 6" xfId="7675"/>
    <cellStyle name="Normal 7 2 3 5 6 2" xfId="30262"/>
    <cellStyle name="Normal 7 2 3 5 7" xfId="23822"/>
    <cellStyle name="Normal 7 2 3 6" xfId="1701"/>
    <cellStyle name="Normal 7 2 3 6 2" xfId="4924"/>
    <cellStyle name="Normal 7 2 3 6 2 2" xfId="21024"/>
    <cellStyle name="Normal 7 2 3 6 2 2 2" xfId="43611"/>
    <cellStyle name="Normal 7 2 3 6 2 3" xfId="11364"/>
    <cellStyle name="Normal 7 2 3 6 2 3 2" xfId="33951"/>
    <cellStyle name="Normal 7 2 3 6 2 4" xfId="27511"/>
    <cellStyle name="Normal 7 2 3 6 3" xfId="17804"/>
    <cellStyle name="Normal 7 2 3 6 3 2" xfId="40391"/>
    <cellStyle name="Normal 7 2 3 6 4" xfId="14584"/>
    <cellStyle name="Normal 7 2 3 6 4 2" xfId="37171"/>
    <cellStyle name="Normal 7 2 3 6 5" xfId="8144"/>
    <cellStyle name="Normal 7 2 3 6 5 2" xfId="30731"/>
    <cellStyle name="Normal 7 2 3 6 6" xfId="24291"/>
    <cellStyle name="Normal 7 2 3 7" xfId="1847"/>
    <cellStyle name="Normal 7 2 3 7 2" xfId="5069"/>
    <cellStyle name="Normal 7 2 3 7 2 2" xfId="21169"/>
    <cellStyle name="Normal 7 2 3 7 2 2 2" xfId="43756"/>
    <cellStyle name="Normal 7 2 3 7 2 3" xfId="11509"/>
    <cellStyle name="Normal 7 2 3 7 2 3 2" xfId="34096"/>
    <cellStyle name="Normal 7 2 3 7 2 4" xfId="27656"/>
    <cellStyle name="Normal 7 2 3 7 3" xfId="17949"/>
    <cellStyle name="Normal 7 2 3 7 3 2" xfId="40536"/>
    <cellStyle name="Normal 7 2 3 7 4" xfId="14729"/>
    <cellStyle name="Normal 7 2 3 7 4 2" xfId="37316"/>
    <cellStyle name="Normal 7 2 3 7 5" xfId="8289"/>
    <cellStyle name="Normal 7 2 3 7 5 2" xfId="30876"/>
    <cellStyle name="Normal 7 2 3 7 6" xfId="24436"/>
    <cellStyle name="Normal 7 2 3 8" xfId="2890"/>
    <cellStyle name="Normal 7 2 3 8 2" xfId="6111"/>
    <cellStyle name="Normal 7 2 3 8 2 2" xfId="22211"/>
    <cellStyle name="Normal 7 2 3 8 2 2 2" xfId="44798"/>
    <cellStyle name="Normal 7 2 3 8 2 3" xfId="12551"/>
    <cellStyle name="Normal 7 2 3 8 2 3 2" xfId="35138"/>
    <cellStyle name="Normal 7 2 3 8 2 4" xfId="28698"/>
    <cellStyle name="Normal 7 2 3 8 3" xfId="18991"/>
    <cellStyle name="Normal 7 2 3 8 3 2" xfId="41578"/>
    <cellStyle name="Normal 7 2 3 8 4" xfId="15771"/>
    <cellStyle name="Normal 7 2 3 8 4 2" xfId="38358"/>
    <cellStyle name="Normal 7 2 3 8 5" xfId="9331"/>
    <cellStyle name="Normal 7 2 3 8 5 2" xfId="31918"/>
    <cellStyle name="Normal 7 2 3 8 6" xfId="25478"/>
    <cellStyle name="Normal 7 2 3 9" xfId="3181"/>
    <cellStyle name="Normal 7 2 3 9 2" xfId="6401"/>
    <cellStyle name="Normal 7 2 3 9 2 2" xfId="22501"/>
    <cellStyle name="Normal 7 2 3 9 2 2 2" xfId="45088"/>
    <cellStyle name="Normal 7 2 3 9 2 3" xfId="12841"/>
    <cellStyle name="Normal 7 2 3 9 2 3 2" xfId="35428"/>
    <cellStyle name="Normal 7 2 3 9 2 4" xfId="28988"/>
    <cellStyle name="Normal 7 2 3 9 3" xfId="19281"/>
    <cellStyle name="Normal 7 2 3 9 3 2" xfId="41868"/>
    <cellStyle name="Normal 7 2 3 9 4" xfId="16061"/>
    <cellStyle name="Normal 7 2 3 9 4 2" xfId="38648"/>
    <cellStyle name="Normal 7 2 3 9 5" xfId="9621"/>
    <cellStyle name="Normal 7 2 3 9 5 2" xfId="32208"/>
    <cellStyle name="Normal 7 2 3 9 6" xfId="25768"/>
    <cellStyle name="Normal 7 2 4" xfId="227"/>
    <cellStyle name="Normal 7 2 4 10" xfId="514"/>
    <cellStyle name="Normal 7 2 4 10 2" xfId="3801"/>
    <cellStyle name="Normal 7 2 4 10 2 2" xfId="19901"/>
    <cellStyle name="Normal 7 2 4 10 2 2 2" xfId="42488"/>
    <cellStyle name="Normal 7 2 4 10 2 3" xfId="10241"/>
    <cellStyle name="Normal 7 2 4 10 2 3 2" xfId="32828"/>
    <cellStyle name="Normal 7 2 4 10 2 4" xfId="26388"/>
    <cellStyle name="Normal 7 2 4 10 3" xfId="16681"/>
    <cellStyle name="Normal 7 2 4 10 3 2" xfId="39268"/>
    <cellStyle name="Normal 7 2 4 10 4" xfId="13461"/>
    <cellStyle name="Normal 7 2 4 10 4 2" xfId="36048"/>
    <cellStyle name="Normal 7 2 4 10 5" xfId="7021"/>
    <cellStyle name="Normal 7 2 4 10 5 2" xfId="29608"/>
    <cellStyle name="Normal 7 2 4 10 6" xfId="23168"/>
    <cellStyle name="Normal 7 2 4 11" xfId="3515"/>
    <cellStyle name="Normal 7 2 4 11 2" xfId="19615"/>
    <cellStyle name="Normal 7 2 4 11 2 2" xfId="42202"/>
    <cellStyle name="Normal 7 2 4 11 3" xfId="9955"/>
    <cellStyle name="Normal 7 2 4 11 3 2" xfId="32542"/>
    <cellStyle name="Normal 7 2 4 11 4" xfId="26102"/>
    <cellStyle name="Normal 7 2 4 12" xfId="16395"/>
    <cellStyle name="Normal 7 2 4 12 2" xfId="38982"/>
    <cellStyle name="Normal 7 2 4 13" xfId="13175"/>
    <cellStyle name="Normal 7 2 4 13 2" xfId="35762"/>
    <cellStyle name="Normal 7 2 4 14" xfId="6735"/>
    <cellStyle name="Normal 7 2 4 14 2" xfId="29322"/>
    <cellStyle name="Normal 7 2 4 15" xfId="22882"/>
    <cellStyle name="Normal 7 2 4 2" xfId="325"/>
    <cellStyle name="Normal 7 2 4 2 10" xfId="16492"/>
    <cellStyle name="Normal 7 2 4 2 10 2" xfId="39079"/>
    <cellStyle name="Normal 7 2 4 2 11" xfId="13272"/>
    <cellStyle name="Normal 7 2 4 2 11 2" xfId="35859"/>
    <cellStyle name="Normal 7 2 4 2 12" xfId="6832"/>
    <cellStyle name="Normal 7 2 4 2 12 2" xfId="29419"/>
    <cellStyle name="Normal 7 2 4 2 13" xfId="22979"/>
    <cellStyle name="Normal 7 2 4 2 2" xfId="1037"/>
    <cellStyle name="Normal 7 2 4 2 2 2" xfId="2351"/>
    <cellStyle name="Normal 7 2 4 2 2 2 2" xfId="5572"/>
    <cellStyle name="Normal 7 2 4 2 2 2 2 2" xfId="21672"/>
    <cellStyle name="Normal 7 2 4 2 2 2 2 2 2" xfId="44259"/>
    <cellStyle name="Normal 7 2 4 2 2 2 2 3" xfId="12012"/>
    <cellStyle name="Normal 7 2 4 2 2 2 2 3 2" xfId="34599"/>
    <cellStyle name="Normal 7 2 4 2 2 2 2 4" xfId="28159"/>
    <cellStyle name="Normal 7 2 4 2 2 2 3" xfId="18452"/>
    <cellStyle name="Normal 7 2 4 2 2 2 3 2" xfId="41039"/>
    <cellStyle name="Normal 7 2 4 2 2 2 4" xfId="15232"/>
    <cellStyle name="Normal 7 2 4 2 2 2 4 2" xfId="37819"/>
    <cellStyle name="Normal 7 2 4 2 2 2 5" xfId="8792"/>
    <cellStyle name="Normal 7 2 4 2 2 2 5 2" xfId="31379"/>
    <cellStyle name="Normal 7 2 4 2 2 2 6" xfId="24939"/>
    <cellStyle name="Normal 7 2 4 2 2 3" xfId="4264"/>
    <cellStyle name="Normal 7 2 4 2 2 3 2" xfId="20364"/>
    <cellStyle name="Normal 7 2 4 2 2 3 2 2" xfId="42951"/>
    <cellStyle name="Normal 7 2 4 2 2 3 3" xfId="10704"/>
    <cellStyle name="Normal 7 2 4 2 2 3 3 2" xfId="33291"/>
    <cellStyle name="Normal 7 2 4 2 2 3 4" xfId="26851"/>
    <cellStyle name="Normal 7 2 4 2 2 4" xfId="17144"/>
    <cellStyle name="Normal 7 2 4 2 2 4 2" xfId="39731"/>
    <cellStyle name="Normal 7 2 4 2 2 5" xfId="13924"/>
    <cellStyle name="Normal 7 2 4 2 2 5 2" xfId="36511"/>
    <cellStyle name="Normal 7 2 4 2 2 6" xfId="7484"/>
    <cellStyle name="Normal 7 2 4 2 2 6 2" xfId="30071"/>
    <cellStyle name="Normal 7 2 4 2 2 7" xfId="23631"/>
    <cellStyle name="Normal 7 2 4 2 3" xfId="1384"/>
    <cellStyle name="Normal 7 2 4 2 3 2" xfId="2698"/>
    <cellStyle name="Normal 7 2 4 2 3 2 2" xfId="5919"/>
    <cellStyle name="Normal 7 2 4 2 3 2 2 2" xfId="22019"/>
    <cellStyle name="Normal 7 2 4 2 3 2 2 2 2" xfId="44606"/>
    <cellStyle name="Normal 7 2 4 2 3 2 2 3" xfId="12359"/>
    <cellStyle name="Normal 7 2 4 2 3 2 2 3 2" xfId="34946"/>
    <cellStyle name="Normal 7 2 4 2 3 2 2 4" xfId="28506"/>
    <cellStyle name="Normal 7 2 4 2 3 2 3" xfId="18799"/>
    <cellStyle name="Normal 7 2 4 2 3 2 3 2" xfId="41386"/>
    <cellStyle name="Normal 7 2 4 2 3 2 4" xfId="15579"/>
    <cellStyle name="Normal 7 2 4 2 3 2 4 2" xfId="38166"/>
    <cellStyle name="Normal 7 2 4 2 3 2 5" xfId="9139"/>
    <cellStyle name="Normal 7 2 4 2 3 2 5 2" xfId="31726"/>
    <cellStyle name="Normal 7 2 4 2 3 2 6" xfId="25286"/>
    <cellStyle name="Normal 7 2 4 2 3 3" xfId="4611"/>
    <cellStyle name="Normal 7 2 4 2 3 3 2" xfId="20711"/>
    <cellStyle name="Normal 7 2 4 2 3 3 2 2" xfId="43298"/>
    <cellStyle name="Normal 7 2 4 2 3 3 3" xfId="11051"/>
    <cellStyle name="Normal 7 2 4 2 3 3 3 2" xfId="33638"/>
    <cellStyle name="Normal 7 2 4 2 3 3 4" xfId="27198"/>
    <cellStyle name="Normal 7 2 4 2 3 4" xfId="17491"/>
    <cellStyle name="Normal 7 2 4 2 3 4 2" xfId="40078"/>
    <cellStyle name="Normal 7 2 4 2 3 5" xfId="14271"/>
    <cellStyle name="Normal 7 2 4 2 3 5 2" xfId="36858"/>
    <cellStyle name="Normal 7 2 4 2 3 6" xfId="7831"/>
    <cellStyle name="Normal 7 2 4 2 3 6 2" xfId="30418"/>
    <cellStyle name="Normal 7 2 4 2 3 7" xfId="23978"/>
    <cellStyle name="Normal 7 2 4 2 4" xfId="1702"/>
    <cellStyle name="Normal 7 2 4 2 4 2" xfId="4925"/>
    <cellStyle name="Normal 7 2 4 2 4 2 2" xfId="21025"/>
    <cellStyle name="Normal 7 2 4 2 4 2 2 2" xfId="43612"/>
    <cellStyle name="Normal 7 2 4 2 4 2 3" xfId="11365"/>
    <cellStyle name="Normal 7 2 4 2 4 2 3 2" xfId="33952"/>
    <cellStyle name="Normal 7 2 4 2 4 2 4" xfId="27512"/>
    <cellStyle name="Normal 7 2 4 2 4 3" xfId="17805"/>
    <cellStyle name="Normal 7 2 4 2 4 3 2" xfId="40392"/>
    <cellStyle name="Normal 7 2 4 2 4 4" xfId="14585"/>
    <cellStyle name="Normal 7 2 4 2 4 4 2" xfId="37172"/>
    <cellStyle name="Normal 7 2 4 2 4 5" xfId="8145"/>
    <cellStyle name="Normal 7 2 4 2 4 5 2" xfId="30732"/>
    <cellStyle name="Normal 7 2 4 2 4 6" xfId="24292"/>
    <cellStyle name="Normal 7 2 4 2 5" xfId="2003"/>
    <cellStyle name="Normal 7 2 4 2 5 2" xfId="5225"/>
    <cellStyle name="Normal 7 2 4 2 5 2 2" xfId="21325"/>
    <cellStyle name="Normal 7 2 4 2 5 2 2 2" xfId="43912"/>
    <cellStyle name="Normal 7 2 4 2 5 2 3" xfId="11665"/>
    <cellStyle name="Normal 7 2 4 2 5 2 3 2" xfId="34252"/>
    <cellStyle name="Normal 7 2 4 2 5 2 4" xfId="27812"/>
    <cellStyle name="Normal 7 2 4 2 5 3" xfId="18105"/>
    <cellStyle name="Normal 7 2 4 2 5 3 2" xfId="40692"/>
    <cellStyle name="Normal 7 2 4 2 5 4" xfId="14885"/>
    <cellStyle name="Normal 7 2 4 2 5 4 2" xfId="37472"/>
    <cellStyle name="Normal 7 2 4 2 5 5" xfId="8445"/>
    <cellStyle name="Normal 7 2 4 2 5 5 2" xfId="31032"/>
    <cellStyle name="Normal 7 2 4 2 5 6" xfId="24592"/>
    <cellStyle name="Normal 7 2 4 2 6" xfId="3032"/>
    <cellStyle name="Normal 7 2 4 2 6 2" xfId="6252"/>
    <cellStyle name="Normal 7 2 4 2 6 2 2" xfId="22352"/>
    <cellStyle name="Normal 7 2 4 2 6 2 2 2" xfId="44939"/>
    <cellStyle name="Normal 7 2 4 2 6 2 3" xfId="12692"/>
    <cellStyle name="Normal 7 2 4 2 6 2 3 2" xfId="35279"/>
    <cellStyle name="Normal 7 2 4 2 6 2 4" xfId="28839"/>
    <cellStyle name="Normal 7 2 4 2 6 3" xfId="19132"/>
    <cellStyle name="Normal 7 2 4 2 6 3 2" xfId="41719"/>
    <cellStyle name="Normal 7 2 4 2 6 4" xfId="15912"/>
    <cellStyle name="Normal 7 2 4 2 6 4 2" xfId="38499"/>
    <cellStyle name="Normal 7 2 4 2 6 5" xfId="9472"/>
    <cellStyle name="Normal 7 2 4 2 6 5 2" xfId="32059"/>
    <cellStyle name="Normal 7 2 4 2 6 6" xfId="25619"/>
    <cellStyle name="Normal 7 2 4 2 7" xfId="3322"/>
    <cellStyle name="Normal 7 2 4 2 7 2" xfId="6542"/>
    <cellStyle name="Normal 7 2 4 2 7 2 2" xfId="22642"/>
    <cellStyle name="Normal 7 2 4 2 7 2 2 2" xfId="45229"/>
    <cellStyle name="Normal 7 2 4 2 7 2 3" xfId="12982"/>
    <cellStyle name="Normal 7 2 4 2 7 2 3 2" xfId="35569"/>
    <cellStyle name="Normal 7 2 4 2 7 2 4" xfId="29129"/>
    <cellStyle name="Normal 7 2 4 2 7 3" xfId="19422"/>
    <cellStyle name="Normal 7 2 4 2 7 3 2" xfId="42009"/>
    <cellStyle name="Normal 7 2 4 2 7 4" xfId="16202"/>
    <cellStyle name="Normal 7 2 4 2 7 4 2" xfId="38789"/>
    <cellStyle name="Normal 7 2 4 2 7 5" xfId="9762"/>
    <cellStyle name="Normal 7 2 4 2 7 5 2" xfId="32349"/>
    <cellStyle name="Normal 7 2 4 2 7 6" xfId="25909"/>
    <cellStyle name="Normal 7 2 4 2 8" xfId="673"/>
    <cellStyle name="Normal 7 2 4 2 8 2" xfId="3917"/>
    <cellStyle name="Normal 7 2 4 2 8 2 2" xfId="20017"/>
    <cellStyle name="Normal 7 2 4 2 8 2 2 2" xfId="42604"/>
    <cellStyle name="Normal 7 2 4 2 8 2 3" xfId="10357"/>
    <cellStyle name="Normal 7 2 4 2 8 2 3 2" xfId="32944"/>
    <cellStyle name="Normal 7 2 4 2 8 2 4" xfId="26504"/>
    <cellStyle name="Normal 7 2 4 2 8 3" xfId="16797"/>
    <cellStyle name="Normal 7 2 4 2 8 3 2" xfId="39384"/>
    <cellStyle name="Normal 7 2 4 2 8 4" xfId="13577"/>
    <cellStyle name="Normal 7 2 4 2 8 4 2" xfId="36164"/>
    <cellStyle name="Normal 7 2 4 2 8 5" xfId="7137"/>
    <cellStyle name="Normal 7 2 4 2 8 5 2" xfId="29724"/>
    <cellStyle name="Normal 7 2 4 2 8 6" xfId="23284"/>
    <cellStyle name="Normal 7 2 4 2 9" xfId="3612"/>
    <cellStyle name="Normal 7 2 4 2 9 2" xfId="19712"/>
    <cellStyle name="Normal 7 2 4 2 9 2 2" xfId="42299"/>
    <cellStyle name="Normal 7 2 4 2 9 3" xfId="10052"/>
    <cellStyle name="Normal 7 2 4 2 9 3 2" xfId="32639"/>
    <cellStyle name="Normal 7 2 4 2 9 4" xfId="26199"/>
    <cellStyle name="Normal 7 2 4 3" xfId="421"/>
    <cellStyle name="Normal 7 2 4 3 10" xfId="16588"/>
    <cellStyle name="Normal 7 2 4 3 10 2" xfId="39175"/>
    <cellStyle name="Normal 7 2 4 3 11" xfId="13368"/>
    <cellStyle name="Normal 7 2 4 3 11 2" xfId="35955"/>
    <cellStyle name="Normal 7 2 4 3 12" xfId="6928"/>
    <cellStyle name="Normal 7 2 4 3 12 2" xfId="29515"/>
    <cellStyle name="Normal 7 2 4 3 13" xfId="23075"/>
    <cellStyle name="Normal 7 2 4 3 2" xfId="1121"/>
    <cellStyle name="Normal 7 2 4 3 2 2" xfId="2435"/>
    <cellStyle name="Normal 7 2 4 3 2 2 2" xfId="5656"/>
    <cellStyle name="Normal 7 2 4 3 2 2 2 2" xfId="21756"/>
    <cellStyle name="Normal 7 2 4 3 2 2 2 2 2" xfId="44343"/>
    <cellStyle name="Normal 7 2 4 3 2 2 2 3" xfId="12096"/>
    <cellStyle name="Normal 7 2 4 3 2 2 2 3 2" xfId="34683"/>
    <cellStyle name="Normal 7 2 4 3 2 2 2 4" xfId="28243"/>
    <cellStyle name="Normal 7 2 4 3 2 2 3" xfId="18536"/>
    <cellStyle name="Normal 7 2 4 3 2 2 3 2" xfId="41123"/>
    <cellStyle name="Normal 7 2 4 3 2 2 4" xfId="15316"/>
    <cellStyle name="Normal 7 2 4 3 2 2 4 2" xfId="37903"/>
    <cellStyle name="Normal 7 2 4 3 2 2 5" xfId="8876"/>
    <cellStyle name="Normal 7 2 4 3 2 2 5 2" xfId="31463"/>
    <cellStyle name="Normal 7 2 4 3 2 2 6" xfId="25023"/>
    <cellStyle name="Normal 7 2 4 3 2 3" xfId="4348"/>
    <cellStyle name="Normal 7 2 4 3 2 3 2" xfId="20448"/>
    <cellStyle name="Normal 7 2 4 3 2 3 2 2" xfId="43035"/>
    <cellStyle name="Normal 7 2 4 3 2 3 3" xfId="10788"/>
    <cellStyle name="Normal 7 2 4 3 2 3 3 2" xfId="33375"/>
    <cellStyle name="Normal 7 2 4 3 2 3 4" xfId="26935"/>
    <cellStyle name="Normal 7 2 4 3 2 4" xfId="17228"/>
    <cellStyle name="Normal 7 2 4 3 2 4 2" xfId="39815"/>
    <cellStyle name="Normal 7 2 4 3 2 5" xfId="14008"/>
    <cellStyle name="Normal 7 2 4 3 2 5 2" xfId="36595"/>
    <cellStyle name="Normal 7 2 4 3 2 6" xfId="7568"/>
    <cellStyle name="Normal 7 2 4 3 2 6 2" xfId="30155"/>
    <cellStyle name="Normal 7 2 4 3 2 7" xfId="23715"/>
    <cellStyle name="Normal 7 2 4 3 3" xfId="1468"/>
    <cellStyle name="Normal 7 2 4 3 3 2" xfId="2782"/>
    <cellStyle name="Normal 7 2 4 3 3 2 2" xfId="6003"/>
    <cellStyle name="Normal 7 2 4 3 3 2 2 2" xfId="22103"/>
    <cellStyle name="Normal 7 2 4 3 3 2 2 2 2" xfId="44690"/>
    <cellStyle name="Normal 7 2 4 3 3 2 2 3" xfId="12443"/>
    <cellStyle name="Normal 7 2 4 3 3 2 2 3 2" xfId="35030"/>
    <cellStyle name="Normal 7 2 4 3 3 2 2 4" xfId="28590"/>
    <cellStyle name="Normal 7 2 4 3 3 2 3" xfId="18883"/>
    <cellStyle name="Normal 7 2 4 3 3 2 3 2" xfId="41470"/>
    <cellStyle name="Normal 7 2 4 3 3 2 4" xfId="15663"/>
    <cellStyle name="Normal 7 2 4 3 3 2 4 2" xfId="38250"/>
    <cellStyle name="Normal 7 2 4 3 3 2 5" xfId="9223"/>
    <cellStyle name="Normal 7 2 4 3 3 2 5 2" xfId="31810"/>
    <cellStyle name="Normal 7 2 4 3 3 2 6" xfId="25370"/>
    <cellStyle name="Normal 7 2 4 3 3 3" xfId="4695"/>
    <cellStyle name="Normal 7 2 4 3 3 3 2" xfId="20795"/>
    <cellStyle name="Normal 7 2 4 3 3 3 2 2" xfId="43382"/>
    <cellStyle name="Normal 7 2 4 3 3 3 3" xfId="11135"/>
    <cellStyle name="Normal 7 2 4 3 3 3 3 2" xfId="33722"/>
    <cellStyle name="Normal 7 2 4 3 3 3 4" xfId="27282"/>
    <cellStyle name="Normal 7 2 4 3 3 4" xfId="17575"/>
    <cellStyle name="Normal 7 2 4 3 3 4 2" xfId="40162"/>
    <cellStyle name="Normal 7 2 4 3 3 5" xfId="14355"/>
    <cellStyle name="Normal 7 2 4 3 3 5 2" xfId="36942"/>
    <cellStyle name="Normal 7 2 4 3 3 6" xfId="7915"/>
    <cellStyle name="Normal 7 2 4 3 3 6 2" xfId="30502"/>
    <cellStyle name="Normal 7 2 4 3 3 7" xfId="24062"/>
    <cellStyle name="Normal 7 2 4 3 4" xfId="1703"/>
    <cellStyle name="Normal 7 2 4 3 4 2" xfId="4926"/>
    <cellStyle name="Normal 7 2 4 3 4 2 2" xfId="21026"/>
    <cellStyle name="Normal 7 2 4 3 4 2 2 2" xfId="43613"/>
    <cellStyle name="Normal 7 2 4 3 4 2 3" xfId="11366"/>
    <cellStyle name="Normal 7 2 4 3 4 2 3 2" xfId="33953"/>
    <cellStyle name="Normal 7 2 4 3 4 2 4" xfId="27513"/>
    <cellStyle name="Normal 7 2 4 3 4 3" xfId="17806"/>
    <cellStyle name="Normal 7 2 4 3 4 3 2" xfId="40393"/>
    <cellStyle name="Normal 7 2 4 3 4 4" xfId="14586"/>
    <cellStyle name="Normal 7 2 4 3 4 4 2" xfId="37173"/>
    <cellStyle name="Normal 7 2 4 3 4 5" xfId="8146"/>
    <cellStyle name="Normal 7 2 4 3 4 5 2" xfId="30733"/>
    <cellStyle name="Normal 7 2 4 3 4 6" xfId="24293"/>
    <cellStyle name="Normal 7 2 4 3 5" xfId="2088"/>
    <cellStyle name="Normal 7 2 4 3 5 2" xfId="5309"/>
    <cellStyle name="Normal 7 2 4 3 5 2 2" xfId="21409"/>
    <cellStyle name="Normal 7 2 4 3 5 2 2 2" xfId="43996"/>
    <cellStyle name="Normal 7 2 4 3 5 2 3" xfId="11749"/>
    <cellStyle name="Normal 7 2 4 3 5 2 3 2" xfId="34336"/>
    <cellStyle name="Normal 7 2 4 3 5 2 4" xfId="27896"/>
    <cellStyle name="Normal 7 2 4 3 5 3" xfId="18189"/>
    <cellStyle name="Normal 7 2 4 3 5 3 2" xfId="40776"/>
    <cellStyle name="Normal 7 2 4 3 5 4" xfId="14969"/>
    <cellStyle name="Normal 7 2 4 3 5 4 2" xfId="37556"/>
    <cellStyle name="Normal 7 2 4 3 5 5" xfId="8529"/>
    <cellStyle name="Normal 7 2 4 3 5 5 2" xfId="31116"/>
    <cellStyle name="Normal 7 2 4 3 5 6" xfId="24676"/>
    <cellStyle name="Normal 7 2 4 3 6" xfId="3128"/>
    <cellStyle name="Normal 7 2 4 3 6 2" xfId="6348"/>
    <cellStyle name="Normal 7 2 4 3 6 2 2" xfId="22448"/>
    <cellStyle name="Normal 7 2 4 3 6 2 2 2" xfId="45035"/>
    <cellStyle name="Normal 7 2 4 3 6 2 3" xfId="12788"/>
    <cellStyle name="Normal 7 2 4 3 6 2 3 2" xfId="35375"/>
    <cellStyle name="Normal 7 2 4 3 6 2 4" xfId="28935"/>
    <cellStyle name="Normal 7 2 4 3 6 3" xfId="19228"/>
    <cellStyle name="Normal 7 2 4 3 6 3 2" xfId="41815"/>
    <cellStyle name="Normal 7 2 4 3 6 4" xfId="16008"/>
    <cellStyle name="Normal 7 2 4 3 6 4 2" xfId="38595"/>
    <cellStyle name="Normal 7 2 4 3 6 5" xfId="9568"/>
    <cellStyle name="Normal 7 2 4 3 6 5 2" xfId="32155"/>
    <cellStyle name="Normal 7 2 4 3 6 6" xfId="25715"/>
    <cellStyle name="Normal 7 2 4 3 7" xfId="3418"/>
    <cellStyle name="Normal 7 2 4 3 7 2" xfId="6638"/>
    <cellStyle name="Normal 7 2 4 3 7 2 2" xfId="22738"/>
    <cellStyle name="Normal 7 2 4 3 7 2 2 2" xfId="45325"/>
    <cellStyle name="Normal 7 2 4 3 7 2 3" xfId="13078"/>
    <cellStyle name="Normal 7 2 4 3 7 2 3 2" xfId="35665"/>
    <cellStyle name="Normal 7 2 4 3 7 2 4" xfId="29225"/>
    <cellStyle name="Normal 7 2 4 3 7 3" xfId="19518"/>
    <cellStyle name="Normal 7 2 4 3 7 3 2" xfId="42105"/>
    <cellStyle name="Normal 7 2 4 3 7 4" xfId="16298"/>
    <cellStyle name="Normal 7 2 4 3 7 4 2" xfId="38885"/>
    <cellStyle name="Normal 7 2 4 3 7 5" xfId="9858"/>
    <cellStyle name="Normal 7 2 4 3 7 5 2" xfId="32445"/>
    <cellStyle name="Normal 7 2 4 3 7 6" xfId="26005"/>
    <cellStyle name="Normal 7 2 4 3 8" xfId="769"/>
    <cellStyle name="Normal 7 2 4 3 8 2" xfId="4001"/>
    <cellStyle name="Normal 7 2 4 3 8 2 2" xfId="20101"/>
    <cellStyle name="Normal 7 2 4 3 8 2 2 2" xfId="42688"/>
    <cellStyle name="Normal 7 2 4 3 8 2 3" xfId="10441"/>
    <cellStyle name="Normal 7 2 4 3 8 2 3 2" xfId="33028"/>
    <cellStyle name="Normal 7 2 4 3 8 2 4" xfId="26588"/>
    <cellStyle name="Normal 7 2 4 3 8 3" xfId="16881"/>
    <cellStyle name="Normal 7 2 4 3 8 3 2" xfId="39468"/>
    <cellStyle name="Normal 7 2 4 3 8 4" xfId="13661"/>
    <cellStyle name="Normal 7 2 4 3 8 4 2" xfId="36248"/>
    <cellStyle name="Normal 7 2 4 3 8 5" xfId="7221"/>
    <cellStyle name="Normal 7 2 4 3 8 5 2" xfId="29808"/>
    <cellStyle name="Normal 7 2 4 3 8 6" xfId="23368"/>
    <cellStyle name="Normal 7 2 4 3 9" xfId="3708"/>
    <cellStyle name="Normal 7 2 4 3 9 2" xfId="19808"/>
    <cellStyle name="Normal 7 2 4 3 9 2 2" xfId="42395"/>
    <cellStyle name="Normal 7 2 4 3 9 3" xfId="10148"/>
    <cellStyle name="Normal 7 2 4 3 9 3 2" xfId="32735"/>
    <cellStyle name="Normal 7 2 4 3 9 4" xfId="26295"/>
    <cellStyle name="Normal 7 2 4 4" xfId="916"/>
    <cellStyle name="Normal 7 2 4 4 2" xfId="2235"/>
    <cellStyle name="Normal 7 2 4 4 2 2" xfId="5456"/>
    <cellStyle name="Normal 7 2 4 4 2 2 2" xfId="21556"/>
    <cellStyle name="Normal 7 2 4 4 2 2 2 2" xfId="44143"/>
    <cellStyle name="Normal 7 2 4 4 2 2 3" xfId="11896"/>
    <cellStyle name="Normal 7 2 4 4 2 2 3 2" xfId="34483"/>
    <cellStyle name="Normal 7 2 4 4 2 2 4" xfId="28043"/>
    <cellStyle name="Normal 7 2 4 4 2 3" xfId="18336"/>
    <cellStyle name="Normal 7 2 4 4 2 3 2" xfId="40923"/>
    <cellStyle name="Normal 7 2 4 4 2 4" xfId="15116"/>
    <cellStyle name="Normal 7 2 4 4 2 4 2" xfId="37703"/>
    <cellStyle name="Normal 7 2 4 4 2 5" xfId="8676"/>
    <cellStyle name="Normal 7 2 4 4 2 5 2" xfId="31263"/>
    <cellStyle name="Normal 7 2 4 4 2 6" xfId="24823"/>
    <cellStyle name="Normal 7 2 4 4 3" xfId="4148"/>
    <cellStyle name="Normal 7 2 4 4 3 2" xfId="20248"/>
    <cellStyle name="Normal 7 2 4 4 3 2 2" xfId="42835"/>
    <cellStyle name="Normal 7 2 4 4 3 3" xfId="10588"/>
    <cellStyle name="Normal 7 2 4 4 3 3 2" xfId="33175"/>
    <cellStyle name="Normal 7 2 4 4 3 4" xfId="26735"/>
    <cellStyle name="Normal 7 2 4 4 4" xfId="17028"/>
    <cellStyle name="Normal 7 2 4 4 4 2" xfId="39615"/>
    <cellStyle name="Normal 7 2 4 4 5" xfId="13808"/>
    <cellStyle name="Normal 7 2 4 4 5 2" xfId="36395"/>
    <cellStyle name="Normal 7 2 4 4 6" xfId="7368"/>
    <cellStyle name="Normal 7 2 4 4 6 2" xfId="29955"/>
    <cellStyle name="Normal 7 2 4 4 7" xfId="23515"/>
    <cellStyle name="Normal 7 2 4 5" xfId="1268"/>
    <cellStyle name="Normal 7 2 4 5 2" xfId="2582"/>
    <cellStyle name="Normal 7 2 4 5 2 2" xfId="5803"/>
    <cellStyle name="Normal 7 2 4 5 2 2 2" xfId="21903"/>
    <cellStyle name="Normal 7 2 4 5 2 2 2 2" xfId="44490"/>
    <cellStyle name="Normal 7 2 4 5 2 2 3" xfId="12243"/>
    <cellStyle name="Normal 7 2 4 5 2 2 3 2" xfId="34830"/>
    <cellStyle name="Normal 7 2 4 5 2 2 4" xfId="28390"/>
    <cellStyle name="Normal 7 2 4 5 2 3" xfId="18683"/>
    <cellStyle name="Normal 7 2 4 5 2 3 2" xfId="41270"/>
    <cellStyle name="Normal 7 2 4 5 2 4" xfId="15463"/>
    <cellStyle name="Normal 7 2 4 5 2 4 2" xfId="38050"/>
    <cellStyle name="Normal 7 2 4 5 2 5" xfId="9023"/>
    <cellStyle name="Normal 7 2 4 5 2 5 2" xfId="31610"/>
    <cellStyle name="Normal 7 2 4 5 2 6" xfId="25170"/>
    <cellStyle name="Normal 7 2 4 5 3" xfId="4495"/>
    <cellStyle name="Normal 7 2 4 5 3 2" xfId="20595"/>
    <cellStyle name="Normal 7 2 4 5 3 2 2" xfId="43182"/>
    <cellStyle name="Normal 7 2 4 5 3 3" xfId="10935"/>
    <cellStyle name="Normal 7 2 4 5 3 3 2" xfId="33522"/>
    <cellStyle name="Normal 7 2 4 5 3 4" xfId="27082"/>
    <cellStyle name="Normal 7 2 4 5 4" xfId="17375"/>
    <cellStyle name="Normal 7 2 4 5 4 2" xfId="39962"/>
    <cellStyle name="Normal 7 2 4 5 5" xfId="14155"/>
    <cellStyle name="Normal 7 2 4 5 5 2" xfId="36742"/>
    <cellStyle name="Normal 7 2 4 5 6" xfId="7715"/>
    <cellStyle name="Normal 7 2 4 5 6 2" xfId="30302"/>
    <cellStyle name="Normal 7 2 4 5 7" xfId="23862"/>
    <cellStyle name="Normal 7 2 4 6" xfId="1704"/>
    <cellStyle name="Normal 7 2 4 6 2" xfId="4927"/>
    <cellStyle name="Normal 7 2 4 6 2 2" xfId="21027"/>
    <cellStyle name="Normal 7 2 4 6 2 2 2" xfId="43614"/>
    <cellStyle name="Normal 7 2 4 6 2 3" xfId="11367"/>
    <cellStyle name="Normal 7 2 4 6 2 3 2" xfId="33954"/>
    <cellStyle name="Normal 7 2 4 6 2 4" xfId="27514"/>
    <cellStyle name="Normal 7 2 4 6 3" xfId="17807"/>
    <cellStyle name="Normal 7 2 4 6 3 2" xfId="40394"/>
    <cellStyle name="Normal 7 2 4 6 4" xfId="14587"/>
    <cellStyle name="Normal 7 2 4 6 4 2" xfId="37174"/>
    <cellStyle name="Normal 7 2 4 6 5" xfId="8147"/>
    <cellStyle name="Normal 7 2 4 6 5 2" xfId="30734"/>
    <cellStyle name="Normal 7 2 4 6 6" xfId="24294"/>
    <cellStyle name="Normal 7 2 4 7" xfId="1887"/>
    <cellStyle name="Normal 7 2 4 7 2" xfId="5109"/>
    <cellStyle name="Normal 7 2 4 7 2 2" xfId="21209"/>
    <cellStyle name="Normal 7 2 4 7 2 2 2" xfId="43796"/>
    <cellStyle name="Normal 7 2 4 7 2 3" xfId="11549"/>
    <cellStyle name="Normal 7 2 4 7 2 3 2" xfId="34136"/>
    <cellStyle name="Normal 7 2 4 7 2 4" xfId="27696"/>
    <cellStyle name="Normal 7 2 4 7 3" xfId="17989"/>
    <cellStyle name="Normal 7 2 4 7 3 2" xfId="40576"/>
    <cellStyle name="Normal 7 2 4 7 4" xfId="14769"/>
    <cellStyle name="Normal 7 2 4 7 4 2" xfId="37356"/>
    <cellStyle name="Normal 7 2 4 7 5" xfId="8329"/>
    <cellStyle name="Normal 7 2 4 7 5 2" xfId="30916"/>
    <cellStyle name="Normal 7 2 4 7 6" xfId="24476"/>
    <cellStyle name="Normal 7 2 4 8" xfId="2934"/>
    <cellStyle name="Normal 7 2 4 8 2" xfId="6155"/>
    <cellStyle name="Normal 7 2 4 8 2 2" xfId="22255"/>
    <cellStyle name="Normal 7 2 4 8 2 2 2" xfId="44842"/>
    <cellStyle name="Normal 7 2 4 8 2 3" xfId="12595"/>
    <cellStyle name="Normal 7 2 4 8 2 3 2" xfId="35182"/>
    <cellStyle name="Normal 7 2 4 8 2 4" xfId="28742"/>
    <cellStyle name="Normal 7 2 4 8 3" xfId="19035"/>
    <cellStyle name="Normal 7 2 4 8 3 2" xfId="41622"/>
    <cellStyle name="Normal 7 2 4 8 4" xfId="15815"/>
    <cellStyle name="Normal 7 2 4 8 4 2" xfId="38402"/>
    <cellStyle name="Normal 7 2 4 8 5" xfId="9375"/>
    <cellStyle name="Normal 7 2 4 8 5 2" xfId="31962"/>
    <cellStyle name="Normal 7 2 4 8 6" xfId="25522"/>
    <cellStyle name="Normal 7 2 4 9" xfId="3225"/>
    <cellStyle name="Normal 7 2 4 9 2" xfId="6445"/>
    <cellStyle name="Normal 7 2 4 9 2 2" xfId="22545"/>
    <cellStyle name="Normal 7 2 4 9 2 2 2" xfId="45132"/>
    <cellStyle name="Normal 7 2 4 9 2 3" xfId="12885"/>
    <cellStyle name="Normal 7 2 4 9 2 3 2" xfId="35472"/>
    <cellStyle name="Normal 7 2 4 9 2 4" xfId="29032"/>
    <cellStyle name="Normal 7 2 4 9 3" xfId="19325"/>
    <cellStyle name="Normal 7 2 4 9 3 2" xfId="41912"/>
    <cellStyle name="Normal 7 2 4 9 4" xfId="16105"/>
    <cellStyle name="Normal 7 2 4 9 4 2" xfId="38692"/>
    <cellStyle name="Normal 7 2 4 9 5" xfId="9665"/>
    <cellStyle name="Normal 7 2 4 9 5 2" xfId="32252"/>
    <cellStyle name="Normal 7 2 4 9 6" xfId="25812"/>
    <cellStyle name="Normal 7 2 5" xfId="250"/>
    <cellStyle name="Normal 7 2 5 10" xfId="16418"/>
    <cellStyle name="Normal 7 2 5 10 2" xfId="39005"/>
    <cellStyle name="Normal 7 2 5 11" xfId="13198"/>
    <cellStyle name="Normal 7 2 5 11 2" xfId="35785"/>
    <cellStyle name="Normal 7 2 5 12" xfId="6758"/>
    <cellStyle name="Normal 7 2 5 12 2" xfId="29345"/>
    <cellStyle name="Normal 7 2 5 13" xfId="22905"/>
    <cellStyle name="Normal 7 2 5 2" xfId="966"/>
    <cellStyle name="Normal 7 2 5 2 2" xfId="1705"/>
    <cellStyle name="Normal 7 2 5 2 2 2" xfId="4928"/>
    <cellStyle name="Normal 7 2 5 2 2 2 2" xfId="21028"/>
    <cellStyle name="Normal 7 2 5 2 2 2 2 2" xfId="43615"/>
    <cellStyle name="Normal 7 2 5 2 2 2 3" xfId="11368"/>
    <cellStyle name="Normal 7 2 5 2 2 2 3 2" xfId="33955"/>
    <cellStyle name="Normal 7 2 5 2 2 2 4" xfId="27515"/>
    <cellStyle name="Normal 7 2 5 2 2 3" xfId="17808"/>
    <cellStyle name="Normal 7 2 5 2 2 3 2" xfId="40395"/>
    <cellStyle name="Normal 7 2 5 2 2 4" xfId="14588"/>
    <cellStyle name="Normal 7 2 5 2 2 4 2" xfId="37175"/>
    <cellStyle name="Normal 7 2 5 2 2 5" xfId="8148"/>
    <cellStyle name="Normal 7 2 5 2 2 5 2" xfId="30735"/>
    <cellStyle name="Normal 7 2 5 2 2 6" xfId="24295"/>
    <cellStyle name="Normal 7 2 5 2 3" xfId="2284"/>
    <cellStyle name="Normal 7 2 5 2 3 2" xfId="5505"/>
    <cellStyle name="Normal 7 2 5 2 3 2 2" xfId="21605"/>
    <cellStyle name="Normal 7 2 5 2 3 2 2 2" xfId="44192"/>
    <cellStyle name="Normal 7 2 5 2 3 2 3" xfId="11945"/>
    <cellStyle name="Normal 7 2 5 2 3 2 3 2" xfId="34532"/>
    <cellStyle name="Normal 7 2 5 2 3 2 4" xfId="28092"/>
    <cellStyle name="Normal 7 2 5 2 3 3" xfId="18385"/>
    <cellStyle name="Normal 7 2 5 2 3 3 2" xfId="40972"/>
    <cellStyle name="Normal 7 2 5 2 3 4" xfId="15165"/>
    <cellStyle name="Normal 7 2 5 2 3 4 2" xfId="37752"/>
    <cellStyle name="Normal 7 2 5 2 3 5" xfId="8725"/>
    <cellStyle name="Normal 7 2 5 2 3 5 2" xfId="31312"/>
    <cellStyle name="Normal 7 2 5 2 3 6" xfId="24872"/>
    <cellStyle name="Normal 7 2 5 2 4" xfId="4197"/>
    <cellStyle name="Normal 7 2 5 2 4 2" xfId="20297"/>
    <cellStyle name="Normal 7 2 5 2 4 2 2" xfId="42884"/>
    <cellStyle name="Normal 7 2 5 2 4 3" xfId="10637"/>
    <cellStyle name="Normal 7 2 5 2 4 3 2" xfId="33224"/>
    <cellStyle name="Normal 7 2 5 2 4 4" xfId="26784"/>
    <cellStyle name="Normal 7 2 5 2 5" xfId="17077"/>
    <cellStyle name="Normal 7 2 5 2 5 2" xfId="39664"/>
    <cellStyle name="Normal 7 2 5 2 6" xfId="13857"/>
    <cellStyle name="Normal 7 2 5 2 6 2" xfId="36444"/>
    <cellStyle name="Normal 7 2 5 2 7" xfId="7417"/>
    <cellStyle name="Normal 7 2 5 2 7 2" xfId="30004"/>
    <cellStyle name="Normal 7 2 5 2 8" xfId="23564"/>
    <cellStyle name="Normal 7 2 5 3" xfId="1317"/>
    <cellStyle name="Normal 7 2 5 3 2" xfId="2631"/>
    <cellStyle name="Normal 7 2 5 3 2 2" xfId="5852"/>
    <cellStyle name="Normal 7 2 5 3 2 2 2" xfId="21952"/>
    <cellStyle name="Normal 7 2 5 3 2 2 2 2" xfId="44539"/>
    <cellStyle name="Normal 7 2 5 3 2 2 3" xfId="12292"/>
    <cellStyle name="Normal 7 2 5 3 2 2 3 2" xfId="34879"/>
    <cellStyle name="Normal 7 2 5 3 2 2 4" xfId="28439"/>
    <cellStyle name="Normal 7 2 5 3 2 3" xfId="18732"/>
    <cellStyle name="Normal 7 2 5 3 2 3 2" xfId="41319"/>
    <cellStyle name="Normal 7 2 5 3 2 4" xfId="15512"/>
    <cellStyle name="Normal 7 2 5 3 2 4 2" xfId="38099"/>
    <cellStyle name="Normal 7 2 5 3 2 5" xfId="9072"/>
    <cellStyle name="Normal 7 2 5 3 2 5 2" xfId="31659"/>
    <cellStyle name="Normal 7 2 5 3 2 6" xfId="25219"/>
    <cellStyle name="Normal 7 2 5 3 3" xfId="4544"/>
    <cellStyle name="Normal 7 2 5 3 3 2" xfId="20644"/>
    <cellStyle name="Normal 7 2 5 3 3 2 2" xfId="43231"/>
    <cellStyle name="Normal 7 2 5 3 3 3" xfId="10984"/>
    <cellStyle name="Normal 7 2 5 3 3 3 2" xfId="33571"/>
    <cellStyle name="Normal 7 2 5 3 3 4" xfId="27131"/>
    <cellStyle name="Normal 7 2 5 3 4" xfId="17424"/>
    <cellStyle name="Normal 7 2 5 3 4 2" xfId="40011"/>
    <cellStyle name="Normal 7 2 5 3 5" xfId="14204"/>
    <cellStyle name="Normal 7 2 5 3 5 2" xfId="36791"/>
    <cellStyle name="Normal 7 2 5 3 6" xfId="7764"/>
    <cellStyle name="Normal 7 2 5 3 6 2" xfId="30351"/>
    <cellStyle name="Normal 7 2 5 3 7" xfId="23911"/>
    <cellStyle name="Normal 7 2 5 4" xfId="1706"/>
    <cellStyle name="Normal 7 2 5 4 2" xfId="4929"/>
    <cellStyle name="Normal 7 2 5 4 2 2" xfId="21029"/>
    <cellStyle name="Normal 7 2 5 4 2 2 2" xfId="43616"/>
    <cellStyle name="Normal 7 2 5 4 2 3" xfId="11369"/>
    <cellStyle name="Normal 7 2 5 4 2 3 2" xfId="33956"/>
    <cellStyle name="Normal 7 2 5 4 2 4" xfId="27516"/>
    <cellStyle name="Normal 7 2 5 4 3" xfId="17809"/>
    <cellStyle name="Normal 7 2 5 4 3 2" xfId="40396"/>
    <cellStyle name="Normal 7 2 5 4 4" xfId="14589"/>
    <cellStyle name="Normal 7 2 5 4 4 2" xfId="37176"/>
    <cellStyle name="Normal 7 2 5 4 5" xfId="8149"/>
    <cellStyle name="Normal 7 2 5 4 5 2" xfId="30736"/>
    <cellStyle name="Normal 7 2 5 4 6" xfId="24296"/>
    <cellStyle name="Normal 7 2 5 5" xfId="1936"/>
    <cellStyle name="Normal 7 2 5 5 2" xfId="5158"/>
    <cellStyle name="Normal 7 2 5 5 2 2" xfId="21258"/>
    <cellStyle name="Normal 7 2 5 5 2 2 2" xfId="43845"/>
    <cellStyle name="Normal 7 2 5 5 2 3" xfId="11598"/>
    <cellStyle name="Normal 7 2 5 5 2 3 2" xfId="34185"/>
    <cellStyle name="Normal 7 2 5 5 2 4" xfId="27745"/>
    <cellStyle name="Normal 7 2 5 5 3" xfId="18038"/>
    <cellStyle name="Normal 7 2 5 5 3 2" xfId="40625"/>
    <cellStyle name="Normal 7 2 5 5 4" xfId="14818"/>
    <cellStyle name="Normal 7 2 5 5 4 2" xfId="37405"/>
    <cellStyle name="Normal 7 2 5 5 5" xfId="8378"/>
    <cellStyle name="Normal 7 2 5 5 5 2" xfId="30965"/>
    <cellStyle name="Normal 7 2 5 5 6" xfId="24525"/>
    <cellStyle name="Normal 7 2 5 6" xfId="2957"/>
    <cellStyle name="Normal 7 2 5 6 2" xfId="6178"/>
    <cellStyle name="Normal 7 2 5 6 2 2" xfId="22278"/>
    <cellStyle name="Normal 7 2 5 6 2 2 2" xfId="44865"/>
    <cellStyle name="Normal 7 2 5 6 2 3" xfId="12618"/>
    <cellStyle name="Normal 7 2 5 6 2 3 2" xfId="35205"/>
    <cellStyle name="Normal 7 2 5 6 2 4" xfId="28765"/>
    <cellStyle name="Normal 7 2 5 6 3" xfId="19058"/>
    <cellStyle name="Normal 7 2 5 6 3 2" xfId="41645"/>
    <cellStyle name="Normal 7 2 5 6 4" xfId="15838"/>
    <cellStyle name="Normal 7 2 5 6 4 2" xfId="38425"/>
    <cellStyle name="Normal 7 2 5 6 5" xfId="9398"/>
    <cellStyle name="Normal 7 2 5 6 5 2" xfId="31985"/>
    <cellStyle name="Normal 7 2 5 6 6" xfId="25545"/>
    <cellStyle name="Normal 7 2 5 7" xfId="3248"/>
    <cellStyle name="Normal 7 2 5 7 2" xfId="6468"/>
    <cellStyle name="Normal 7 2 5 7 2 2" xfId="22568"/>
    <cellStyle name="Normal 7 2 5 7 2 2 2" xfId="45155"/>
    <cellStyle name="Normal 7 2 5 7 2 3" xfId="12908"/>
    <cellStyle name="Normal 7 2 5 7 2 3 2" xfId="35495"/>
    <cellStyle name="Normal 7 2 5 7 2 4" xfId="29055"/>
    <cellStyle name="Normal 7 2 5 7 3" xfId="19348"/>
    <cellStyle name="Normal 7 2 5 7 3 2" xfId="41935"/>
    <cellStyle name="Normal 7 2 5 7 4" xfId="16128"/>
    <cellStyle name="Normal 7 2 5 7 4 2" xfId="38715"/>
    <cellStyle name="Normal 7 2 5 7 5" xfId="9688"/>
    <cellStyle name="Normal 7 2 5 7 5 2" xfId="32275"/>
    <cellStyle name="Normal 7 2 5 7 6" xfId="25835"/>
    <cellStyle name="Normal 7 2 5 8" xfId="580"/>
    <cellStyle name="Normal 7 2 5 8 2" xfId="3850"/>
    <cellStyle name="Normal 7 2 5 8 2 2" xfId="19950"/>
    <cellStyle name="Normal 7 2 5 8 2 2 2" xfId="42537"/>
    <cellStyle name="Normal 7 2 5 8 2 3" xfId="10290"/>
    <cellStyle name="Normal 7 2 5 8 2 3 2" xfId="32877"/>
    <cellStyle name="Normal 7 2 5 8 2 4" xfId="26437"/>
    <cellStyle name="Normal 7 2 5 8 3" xfId="16730"/>
    <cellStyle name="Normal 7 2 5 8 3 2" xfId="39317"/>
    <cellStyle name="Normal 7 2 5 8 4" xfId="13510"/>
    <cellStyle name="Normal 7 2 5 8 4 2" xfId="36097"/>
    <cellStyle name="Normal 7 2 5 8 5" xfId="7070"/>
    <cellStyle name="Normal 7 2 5 8 5 2" xfId="29657"/>
    <cellStyle name="Normal 7 2 5 8 6" xfId="23217"/>
    <cellStyle name="Normal 7 2 5 9" xfId="3538"/>
    <cellStyle name="Normal 7 2 5 9 2" xfId="19638"/>
    <cellStyle name="Normal 7 2 5 9 2 2" xfId="42225"/>
    <cellStyle name="Normal 7 2 5 9 3" xfId="9978"/>
    <cellStyle name="Normal 7 2 5 9 3 2" xfId="32565"/>
    <cellStyle name="Normal 7 2 5 9 4" xfId="26125"/>
    <cellStyle name="Normal 7 2 6" xfId="344"/>
    <cellStyle name="Normal 7 2 6 10" xfId="16511"/>
    <cellStyle name="Normal 7 2 6 10 2" xfId="39098"/>
    <cellStyle name="Normal 7 2 6 11" xfId="13291"/>
    <cellStyle name="Normal 7 2 6 11 2" xfId="35878"/>
    <cellStyle name="Normal 7 2 6 12" xfId="6851"/>
    <cellStyle name="Normal 7 2 6 12 2" xfId="29438"/>
    <cellStyle name="Normal 7 2 6 13" xfId="22998"/>
    <cellStyle name="Normal 7 2 6 2" xfId="1082"/>
    <cellStyle name="Normal 7 2 6 2 2" xfId="2396"/>
    <cellStyle name="Normal 7 2 6 2 2 2" xfId="5617"/>
    <cellStyle name="Normal 7 2 6 2 2 2 2" xfId="21717"/>
    <cellStyle name="Normal 7 2 6 2 2 2 2 2" xfId="44304"/>
    <cellStyle name="Normal 7 2 6 2 2 2 3" xfId="12057"/>
    <cellStyle name="Normal 7 2 6 2 2 2 3 2" xfId="34644"/>
    <cellStyle name="Normal 7 2 6 2 2 2 4" xfId="28204"/>
    <cellStyle name="Normal 7 2 6 2 2 3" xfId="18497"/>
    <cellStyle name="Normal 7 2 6 2 2 3 2" xfId="41084"/>
    <cellStyle name="Normal 7 2 6 2 2 4" xfId="15277"/>
    <cellStyle name="Normal 7 2 6 2 2 4 2" xfId="37864"/>
    <cellStyle name="Normal 7 2 6 2 2 5" xfId="8837"/>
    <cellStyle name="Normal 7 2 6 2 2 5 2" xfId="31424"/>
    <cellStyle name="Normal 7 2 6 2 2 6" xfId="24984"/>
    <cellStyle name="Normal 7 2 6 2 3" xfId="4309"/>
    <cellStyle name="Normal 7 2 6 2 3 2" xfId="20409"/>
    <cellStyle name="Normal 7 2 6 2 3 2 2" xfId="42996"/>
    <cellStyle name="Normal 7 2 6 2 3 3" xfId="10749"/>
    <cellStyle name="Normal 7 2 6 2 3 3 2" xfId="33336"/>
    <cellStyle name="Normal 7 2 6 2 3 4" xfId="26896"/>
    <cellStyle name="Normal 7 2 6 2 4" xfId="17189"/>
    <cellStyle name="Normal 7 2 6 2 4 2" xfId="39776"/>
    <cellStyle name="Normal 7 2 6 2 5" xfId="13969"/>
    <cellStyle name="Normal 7 2 6 2 5 2" xfId="36556"/>
    <cellStyle name="Normal 7 2 6 2 6" xfId="7529"/>
    <cellStyle name="Normal 7 2 6 2 6 2" xfId="30116"/>
    <cellStyle name="Normal 7 2 6 2 7" xfId="23676"/>
    <cellStyle name="Normal 7 2 6 3" xfId="1429"/>
    <cellStyle name="Normal 7 2 6 3 2" xfId="2743"/>
    <cellStyle name="Normal 7 2 6 3 2 2" xfId="5964"/>
    <cellStyle name="Normal 7 2 6 3 2 2 2" xfId="22064"/>
    <cellStyle name="Normal 7 2 6 3 2 2 2 2" xfId="44651"/>
    <cellStyle name="Normal 7 2 6 3 2 2 3" xfId="12404"/>
    <cellStyle name="Normal 7 2 6 3 2 2 3 2" xfId="34991"/>
    <cellStyle name="Normal 7 2 6 3 2 2 4" xfId="28551"/>
    <cellStyle name="Normal 7 2 6 3 2 3" xfId="18844"/>
    <cellStyle name="Normal 7 2 6 3 2 3 2" xfId="41431"/>
    <cellStyle name="Normal 7 2 6 3 2 4" xfId="15624"/>
    <cellStyle name="Normal 7 2 6 3 2 4 2" xfId="38211"/>
    <cellStyle name="Normal 7 2 6 3 2 5" xfId="9184"/>
    <cellStyle name="Normal 7 2 6 3 2 5 2" xfId="31771"/>
    <cellStyle name="Normal 7 2 6 3 2 6" xfId="25331"/>
    <cellStyle name="Normal 7 2 6 3 3" xfId="4656"/>
    <cellStyle name="Normal 7 2 6 3 3 2" xfId="20756"/>
    <cellStyle name="Normal 7 2 6 3 3 2 2" xfId="43343"/>
    <cellStyle name="Normal 7 2 6 3 3 3" xfId="11096"/>
    <cellStyle name="Normal 7 2 6 3 3 3 2" xfId="33683"/>
    <cellStyle name="Normal 7 2 6 3 3 4" xfId="27243"/>
    <cellStyle name="Normal 7 2 6 3 4" xfId="17536"/>
    <cellStyle name="Normal 7 2 6 3 4 2" xfId="40123"/>
    <cellStyle name="Normal 7 2 6 3 5" xfId="14316"/>
    <cellStyle name="Normal 7 2 6 3 5 2" xfId="36903"/>
    <cellStyle name="Normal 7 2 6 3 6" xfId="7876"/>
    <cellStyle name="Normal 7 2 6 3 6 2" xfId="30463"/>
    <cellStyle name="Normal 7 2 6 3 7" xfId="24023"/>
    <cellStyle name="Normal 7 2 6 4" xfId="1707"/>
    <cellStyle name="Normal 7 2 6 4 2" xfId="4930"/>
    <cellStyle name="Normal 7 2 6 4 2 2" xfId="21030"/>
    <cellStyle name="Normal 7 2 6 4 2 2 2" xfId="43617"/>
    <cellStyle name="Normal 7 2 6 4 2 3" xfId="11370"/>
    <cellStyle name="Normal 7 2 6 4 2 3 2" xfId="33957"/>
    <cellStyle name="Normal 7 2 6 4 2 4" xfId="27517"/>
    <cellStyle name="Normal 7 2 6 4 3" xfId="17810"/>
    <cellStyle name="Normal 7 2 6 4 3 2" xfId="40397"/>
    <cellStyle name="Normal 7 2 6 4 4" xfId="14590"/>
    <cellStyle name="Normal 7 2 6 4 4 2" xfId="37177"/>
    <cellStyle name="Normal 7 2 6 4 5" xfId="8150"/>
    <cellStyle name="Normal 7 2 6 4 5 2" xfId="30737"/>
    <cellStyle name="Normal 7 2 6 4 6" xfId="24297"/>
    <cellStyle name="Normal 7 2 6 5" xfId="2049"/>
    <cellStyle name="Normal 7 2 6 5 2" xfId="5270"/>
    <cellStyle name="Normal 7 2 6 5 2 2" xfId="21370"/>
    <cellStyle name="Normal 7 2 6 5 2 2 2" xfId="43957"/>
    <cellStyle name="Normal 7 2 6 5 2 3" xfId="11710"/>
    <cellStyle name="Normal 7 2 6 5 2 3 2" xfId="34297"/>
    <cellStyle name="Normal 7 2 6 5 2 4" xfId="27857"/>
    <cellStyle name="Normal 7 2 6 5 3" xfId="18150"/>
    <cellStyle name="Normal 7 2 6 5 3 2" xfId="40737"/>
    <cellStyle name="Normal 7 2 6 5 4" xfId="14930"/>
    <cellStyle name="Normal 7 2 6 5 4 2" xfId="37517"/>
    <cellStyle name="Normal 7 2 6 5 5" xfId="8490"/>
    <cellStyle name="Normal 7 2 6 5 5 2" xfId="31077"/>
    <cellStyle name="Normal 7 2 6 5 6" xfId="24637"/>
    <cellStyle name="Normal 7 2 6 6" xfId="3051"/>
    <cellStyle name="Normal 7 2 6 6 2" xfId="6271"/>
    <cellStyle name="Normal 7 2 6 6 2 2" xfId="22371"/>
    <cellStyle name="Normal 7 2 6 6 2 2 2" xfId="44958"/>
    <cellStyle name="Normal 7 2 6 6 2 3" xfId="12711"/>
    <cellStyle name="Normal 7 2 6 6 2 3 2" xfId="35298"/>
    <cellStyle name="Normal 7 2 6 6 2 4" xfId="28858"/>
    <cellStyle name="Normal 7 2 6 6 3" xfId="19151"/>
    <cellStyle name="Normal 7 2 6 6 3 2" xfId="41738"/>
    <cellStyle name="Normal 7 2 6 6 4" xfId="15931"/>
    <cellStyle name="Normal 7 2 6 6 4 2" xfId="38518"/>
    <cellStyle name="Normal 7 2 6 6 5" xfId="9491"/>
    <cellStyle name="Normal 7 2 6 6 5 2" xfId="32078"/>
    <cellStyle name="Normal 7 2 6 6 6" xfId="25638"/>
    <cellStyle name="Normal 7 2 6 7" xfId="3341"/>
    <cellStyle name="Normal 7 2 6 7 2" xfId="6561"/>
    <cellStyle name="Normal 7 2 6 7 2 2" xfId="22661"/>
    <cellStyle name="Normal 7 2 6 7 2 2 2" xfId="45248"/>
    <cellStyle name="Normal 7 2 6 7 2 3" xfId="13001"/>
    <cellStyle name="Normal 7 2 6 7 2 3 2" xfId="35588"/>
    <cellStyle name="Normal 7 2 6 7 2 4" xfId="29148"/>
    <cellStyle name="Normal 7 2 6 7 3" xfId="19441"/>
    <cellStyle name="Normal 7 2 6 7 3 2" xfId="42028"/>
    <cellStyle name="Normal 7 2 6 7 4" xfId="16221"/>
    <cellStyle name="Normal 7 2 6 7 4 2" xfId="38808"/>
    <cellStyle name="Normal 7 2 6 7 5" xfId="9781"/>
    <cellStyle name="Normal 7 2 6 7 5 2" xfId="32368"/>
    <cellStyle name="Normal 7 2 6 7 6" xfId="25928"/>
    <cellStyle name="Normal 7 2 6 8" xfId="730"/>
    <cellStyle name="Normal 7 2 6 8 2" xfId="3962"/>
    <cellStyle name="Normal 7 2 6 8 2 2" xfId="20062"/>
    <cellStyle name="Normal 7 2 6 8 2 2 2" xfId="42649"/>
    <cellStyle name="Normal 7 2 6 8 2 3" xfId="10402"/>
    <cellStyle name="Normal 7 2 6 8 2 3 2" xfId="32989"/>
    <cellStyle name="Normal 7 2 6 8 2 4" xfId="26549"/>
    <cellStyle name="Normal 7 2 6 8 3" xfId="16842"/>
    <cellStyle name="Normal 7 2 6 8 3 2" xfId="39429"/>
    <cellStyle name="Normal 7 2 6 8 4" xfId="13622"/>
    <cellStyle name="Normal 7 2 6 8 4 2" xfId="36209"/>
    <cellStyle name="Normal 7 2 6 8 5" xfId="7182"/>
    <cellStyle name="Normal 7 2 6 8 5 2" xfId="29769"/>
    <cellStyle name="Normal 7 2 6 8 6" xfId="23329"/>
    <cellStyle name="Normal 7 2 6 9" xfId="3631"/>
    <cellStyle name="Normal 7 2 6 9 2" xfId="19731"/>
    <cellStyle name="Normal 7 2 6 9 2 2" xfId="42318"/>
    <cellStyle name="Normal 7 2 6 9 3" xfId="10071"/>
    <cellStyle name="Normal 7 2 6 9 3 2" xfId="32658"/>
    <cellStyle name="Normal 7 2 6 9 4" xfId="26218"/>
    <cellStyle name="Normal 7 2 7" xfId="749"/>
    <cellStyle name="Normal 7 2 7 10" xfId="23348"/>
    <cellStyle name="Normal 7 2 7 2" xfId="1101"/>
    <cellStyle name="Normal 7 2 7 2 2" xfId="2415"/>
    <cellStyle name="Normal 7 2 7 2 2 2" xfId="5636"/>
    <cellStyle name="Normal 7 2 7 2 2 2 2" xfId="21736"/>
    <cellStyle name="Normal 7 2 7 2 2 2 2 2" xfId="44323"/>
    <cellStyle name="Normal 7 2 7 2 2 2 3" xfId="12076"/>
    <cellStyle name="Normal 7 2 7 2 2 2 3 2" xfId="34663"/>
    <cellStyle name="Normal 7 2 7 2 2 2 4" xfId="28223"/>
    <cellStyle name="Normal 7 2 7 2 2 3" xfId="18516"/>
    <cellStyle name="Normal 7 2 7 2 2 3 2" xfId="41103"/>
    <cellStyle name="Normal 7 2 7 2 2 4" xfId="15296"/>
    <cellStyle name="Normal 7 2 7 2 2 4 2" xfId="37883"/>
    <cellStyle name="Normal 7 2 7 2 2 5" xfId="8856"/>
    <cellStyle name="Normal 7 2 7 2 2 5 2" xfId="31443"/>
    <cellStyle name="Normal 7 2 7 2 2 6" xfId="25003"/>
    <cellStyle name="Normal 7 2 7 2 3" xfId="4328"/>
    <cellStyle name="Normal 7 2 7 2 3 2" xfId="20428"/>
    <cellStyle name="Normal 7 2 7 2 3 2 2" xfId="43015"/>
    <cellStyle name="Normal 7 2 7 2 3 3" xfId="10768"/>
    <cellStyle name="Normal 7 2 7 2 3 3 2" xfId="33355"/>
    <cellStyle name="Normal 7 2 7 2 3 4" xfId="26915"/>
    <cellStyle name="Normal 7 2 7 2 4" xfId="17208"/>
    <cellStyle name="Normal 7 2 7 2 4 2" xfId="39795"/>
    <cellStyle name="Normal 7 2 7 2 5" xfId="13988"/>
    <cellStyle name="Normal 7 2 7 2 5 2" xfId="36575"/>
    <cellStyle name="Normal 7 2 7 2 6" xfId="7548"/>
    <cellStyle name="Normal 7 2 7 2 6 2" xfId="30135"/>
    <cellStyle name="Normal 7 2 7 2 7" xfId="23695"/>
    <cellStyle name="Normal 7 2 7 3" xfId="1448"/>
    <cellStyle name="Normal 7 2 7 3 2" xfId="2762"/>
    <cellStyle name="Normal 7 2 7 3 2 2" xfId="5983"/>
    <cellStyle name="Normal 7 2 7 3 2 2 2" xfId="22083"/>
    <cellStyle name="Normal 7 2 7 3 2 2 2 2" xfId="44670"/>
    <cellStyle name="Normal 7 2 7 3 2 2 3" xfId="12423"/>
    <cellStyle name="Normal 7 2 7 3 2 2 3 2" xfId="35010"/>
    <cellStyle name="Normal 7 2 7 3 2 2 4" xfId="28570"/>
    <cellStyle name="Normal 7 2 7 3 2 3" xfId="18863"/>
    <cellStyle name="Normal 7 2 7 3 2 3 2" xfId="41450"/>
    <cellStyle name="Normal 7 2 7 3 2 4" xfId="15643"/>
    <cellStyle name="Normal 7 2 7 3 2 4 2" xfId="38230"/>
    <cellStyle name="Normal 7 2 7 3 2 5" xfId="9203"/>
    <cellStyle name="Normal 7 2 7 3 2 5 2" xfId="31790"/>
    <cellStyle name="Normal 7 2 7 3 2 6" xfId="25350"/>
    <cellStyle name="Normal 7 2 7 3 3" xfId="4675"/>
    <cellStyle name="Normal 7 2 7 3 3 2" xfId="20775"/>
    <cellStyle name="Normal 7 2 7 3 3 2 2" xfId="43362"/>
    <cellStyle name="Normal 7 2 7 3 3 3" xfId="11115"/>
    <cellStyle name="Normal 7 2 7 3 3 3 2" xfId="33702"/>
    <cellStyle name="Normal 7 2 7 3 3 4" xfId="27262"/>
    <cellStyle name="Normal 7 2 7 3 4" xfId="17555"/>
    <cellStyle name="Normal 7 2 7 3 4 2" xfId="40142"/>
    <cellStyle name="Normal 7 2 7 3 5" xfId="14335"/>
    <cellStyle name="Normal 7 2 7 3 5 2" xfId="36922"/>
    <cellStyle name="Normal 7 2 7 3 6" xfId="7895"/>
    <cellStyle name="Normal 7 2 7 3 6 2" xfId="30482"/>
    <cellStyle name="Normal 7 2 7 3 7" xfId="24042"/>
    <cellStyle name="Normal 7 2 7 4" xfId="1708"/>
    <cellStyle name="Normal 7 2 7 4 2" xfId="4931"/>
    <cellStyle name="Normal 7 2 7 4 2 2" xfId="21031"/>
    <cellStyle name="Normal 7 2 7 4 2 2 2" xfId="43618"/>
    <cellStyle name="Normal 7 2 7 4 2 3" xfId="11371"/>
    <cellStyle name="Normal 7 2 7 4 2 3 2" xfId="33958"/>
    <cellStyle name="Normal 7 2 7 4 2 4" xfId="27518"/>
    <cellStyle name="Normal 7 2 7 4 3" xfId="17811"/>
    <cellStyle name="Normal 7 2 7 4 3 2" xfId="40398"/>
    <cellStyle name="Normal 7 2 7 4 4" xfId="14591"/>
    <cellStyle name="Normal 7 2 7 4 4 2" xfId="37178"/>
    <cellStyle name="Normal 7 2 7 4 5" xfId="8151"/>
    <cellStyle name="Normal 7 2 7 4 5 2" xfId="30738"/>
    <cellStyle name="Normal 7 2 7 4 6" xfId="24298"/>
    <cellStyle name="Normal 7 2 7 5" xfId="2068"/>
    <cellStyle name="Normal 7 2 7 5 2" xfId="5289"/>
    <cellStyle name="Normal 7 2 7 5 2 2" xfId="21389"/>
    <cellStyle name="Normal 7 2 7 5 2 2 2" xfId="43976"/>
    <cellStyle name="Normal 7 2 7 5 2 3" xfId="11729"/>
    <cellStyle name="Normal 7 2 7 5 2 3 2" xfId="34316"/>
    <cellStyle name="Normal 7 2 7 5 2 4" xfId="27876"/>
    <cellStyle name="Normal 7 2 7 5 3" xfId="18169"/>
    <cellStyle name="Normal 7 2 7 5 3 2" xfId="40756"/>
    <cellStyle name="Normal 7 2 7 5 4" xfId="14949"/>
    <cellStyle name="Normal 7 2 7 5 4 2" xfId="37536"/>
    <cellStyle name="Normal 7 2 7 5 5" xfId="8509"/>
    <cellStyle name="Normal 7 2 7 5 5 2" xfId="31096"/>
    <cellStyle name="Normal 7 2 7 5 6" xfId="24656"/>
    <cellStyle name="Normal 7 2 7 6" xfId="3981"/>
    <cellStyle name="Normal 7 2 7 6 2" xfId="20081"/>
    <cellStyle name="Normal 7 2 7 6 2 2" xfId="42668"/>
    <cellStyle name="Normal 7 2 7 6 3" xfId="10421"/>
    <cellStyle name="Normal 7 2 7 6 3 2" xfId="33008"/>
    <cellStyle name="Normal 7 2 7 6 4" xfId="26568"/>
    <cellStyle name="Normal 7 2 7 7" xfId="16861"/>
    <cellStyle name="Normal 7 2 7 7 2" xfId="39448"/>
    <cellStyle name="Normal 7 2 7 8" xfId="13641"/>
    <cellStyle name="Normal 7 2 7 8 2" xfId="36228"/>
    <cellStyle name="Normal 7 2 7 9" xfId="7201"/>
    <cellStyle name="Normal 7 2 7 9 2" xfId="29788"/>
    <cellStyle name="Normal 7 2 8" xfId="843"/>
    <cellStyle name="Normal 7 2 8 2" xfId="2162"/>
    <cellStyle name="Normal 7 2 8 2 2" xfId="5383"/>
    <cellStyle name="Normal 7 2 8 2 2 2" xfId="21483"/>
    <cellStyle name="Normal 7 2 8 2 2 2 2" xfId="44070"/>
    <cellStyle name="Normal 7 2 8 2 2 3" xfId="11823"/>
    <cellStyle name="Normal 7 2 8 2 2 3 2" xfId="34410"/>
    <cellStyle name="Normal 7 2 8 2 2 4" xfId="27970"/>
    <cellStyle name="Normal 7 2 8 2 3" xfId="18263"/>
    <cellStyle name="Normal 7 2 8 2 3 2" xfId="40850"/>
    <cellStyle name="Normal 7 2 8 2 4" xfId="15043"/>
    <cellStyle name="Normal 7 2 8 2 4 2" xfId="37630"/>
    <cellStyle name="Normal 7 2 8 2 5" xfId="8603"/>
    <cellStyle name="Normal 7 2 8 2 5 2" xfId="31190"/>
    <cellStyle name="Normal 7 2 8 2 6" xfId="24750"/>
    <cellStyle name="Normal 7 2 8 3" xfId="4075"/>
    <cellStyle name="Normal 7 2 8 3 2" xfId="20175"/>
    <cellStyle name="Normal 7 2 8 3 2 2" xfId="42762"/>
    <cellStyle name="Normal 7 2 8 3 3" xfId="10515"/>
    <cellStyle name="Normal 7 2 8 3 3 2" xfId="33102"/>
    <cellStyle name="Normal 7 2 8 3 4" xfId="26662"/>
    <cellStyle name="Normal 7 2 8 4" xfId="16955"/>
    <cellStyle name="Normal 7 2 8 4 2" xfId="39542"/>
    <cellStyle name="Normal 7 2 8 5" xfId="13735"/>
    <cellStyle name="Normal 7 2 8 5 2" xfId="36322"/>
    <cellStyle name="Normal 7 2 8 6" xfId="7295"/>
    <cellStyle name="Normal 7 2 8 6 2" xfId="29882"/>
    <cellStyle name="Normal 7 2 8 7" xfId="23442"/>
    <cellStyle name="Normal 7 2 9" xfId="1195"/>
    <cellStyle name="Normal 7 2 9 2" xfId="2509"/>
    <cellStyle name="Normal 7 2 9 2 2" xfId="5730"/>
    <cellStyle name="Normal 7 2 9 2 2 2" xfId="21830"/>
    <cellStyle name="Normal 7 2 9 2 2 2 2" xfId="44417"/>
    <cellStyle name="Normal 7 2 9 2 2 3" xfId="12170"/>
    <cellStyle name="Normal 7 2 9 2 2 3 2" xfId="34757"/>
    <cellStyle name="Normal 7 2 9 2 2 4" xfId="28317"/>
    <cellStyle name="Normal 7 2 9 2 3" xfId="18610"/>
    <cellStyle name="Normal 7 2 9 2 3 2" xfId="41197"/>
    <cellStyle name="Normal 7 2 9 2 4" xfId="15390"/>
    <cellStyle name="Normal 7 2 9 2 4 2" xfId="37977"/>
    <cellStyle name="Normal 7 2 9 2 5" xfId="8950"/>
    <cellStyle name="Normal 7 2 9 2 5 2" xfId="31537"/>
    <cellStyle name="Normal 7 2 9 2 6" xfId="25097"/>
    <cellStyle name="Normal 7 2 9 3" xfId="4422"/>
    <cellStyle name="Normal 7 2 9 3 2" xfId="20522"/>
    <cellStyle name="Normal 7 2 9 3 2 2" xfId="43109"/>
    <cellStyle name="Normal 7 2 9 3 3" xfId="10862"/>
    <cellStyle name="Normal 7 2 9 3 3 2" xfId="33449"/>
    <cellStyle name="Normal 7 2 9 3 4" xfId="27009"/>
    <cellStyle name="Normal 7 2 9 4" xfId="17302"/>
    <cellStyle name="Normal 7 2 9 4 2" xfId="39889"/>
    <cellStyle name="Normal 7 2 9 5" xfId="14082"/>
    <cellStyle name="Normal 7 2 9 5 2" xfId="36669"/>
    <cellStyle name="Normal 7 2 9 6" xfId="7642"/>
    <cellStyle name="Normal 7 2 9 6 2" xfId="30229"/>
    <cellStyle name="Normal 7 2 9 7" xfId="23789"/>
    <cellStyle name="Normal 7 20" xfId="22800"/>
    <cellStyle name="Normal 7 3" xfId="112"/>
    <cellStyle name="Normal 7 3 10" xfId="2868"/>
    <cellStyle name="Normal 7 3 10 2" xfId="6089"/>
    <cellStyle name="Normal 7 3 10 2 2" xfId="22189"/>
    <cellStyle name="Normal 7 3 10 2 2 2" xfId="44776"/>
    <cellStyle name="Normal 7 3 10 2 3" xfId="12529"/>
    <cellStyle name="Normal 7 3 10 2 3 2" xfId="35116"/>
    <cellStyle name="Normal 7 3 10 2 4" xfId="28676"/>
    <cellStyle name="Normal 7 3 10 3" xfId="18969"/>
    <cellStyle name="Normal 7 3 10 3 2" xfId="41556"/>
    <cellStyle name="Normal 7 3 10 4" xfId="15749"/>
    <cellStyle name="Normal 7 3 10 4 2" xfId="38336"/>
    <cellStyle name="Normal 7 3 10 5" xfId="9309"/>
    <cellStyle name="Normal 7 3 10 5 2" xfId="31896"/>
    <cellStyle name="Normal 7 3 10 6" xfId="25456"/>
    <cellStyle name="Normal 7 3 11" xfId="3159"/>
    <cellStyle name="Normal 7 3 11 2" xfId="6379"/>
    <cellStyle name="Normal 7 3 11 2 2" xfId="22479"/>
    <cellStyle name="Normal 7 3 11 2 2 2" xfId="45066"/>
    <cellStyle name="Normal 7 3 11 2 3" xfId="12819"/>
    <cellStyle name="Normal 7 3 11 2 3 2" xfId="35406"/>
    <cellStyle name="Normal 7 3 11 2 4" xfId="28966"/>
    <cellStyle name="Normal 7 3 11 3" xfId="19259"/>
    <cellStyle name="Normal 7 3 11 3 2" xfId="41846"/>
    <cellStyle name="Normal 7 3 11 4" xfId="16039"/>
    <cellStyle name="Normal 7 3 11 4 2" xfId="38626"/>
    <cellStyle name="Normal 7 3 11 5" xfId="9599"/>
    <cellStyle name="Normal 7 3 11 5 2" xfId="32186"/>
    <cellStyle name="Normal 7 3 11 6" xfId="25746"/>
    <cellStyle name="Normal 7 3 12" xfId="452"/>
    <cellStyle name="Normal 7 3 12 2" xfId="3739"/>
    <cellStyle name="Normal 7 3 12 2 2" xfId="19839"/>
    <cellStyle name="Normal 7 3 12 2 2 2" xfId="42426"/>
    <cellStyle name="Normal 7 3 12 2 3" xfId="10179"/>
    <cellStyle name="Normal 7 3 12 2 3 2" xfId="32766"/>
    <cellStyle name="Normal 7 3 12 2 4" xfId="26326"/>
    <cellStyle name="Normal 7 3 12 3" xfId="16619"/>
    <cellStyle name="Normal 7 3 12 3 2" xfId="39206"/>
    <cellStyle name="Normal 7 3 12 4" xfId="13399"/>
    <cellStyle name="Normal 7 3 12 4 2" xfId="35986"/>
    <cellStyle name="Normal 7 3 12 5" xfId="6959"/>
    <cellStyle name="Normal 7 3 12 5 2" xfId="29546"/>
    <cellStyle name="Normal 7 3 12 6" xfId="23106"/>
    <cellStyle name="Normal 7 3 13" xfId="3449"/>
    <cellStyle name="Normal 7 3 13 2" xfId="19549"/>
    <cellStyle name="Normal 7 3 13 2 2" xfId="42136"/>
    <cellStyle name="Normal 7 3 13 3" xfId="9889"/>
    <cellStyle name="Normal 7 3 13 3 2" xfId="32476"/>
    <cellStyle name="Normal 7 3 13 4" xfId="26036"/>
    <cellStyle name="Normal 7 3 14" xfId="16329"/>
    <cellStyle name="Normal 7 3 14 2" xfId="38916"/>
    <cellStyle name="Normal 7 3 15" xfId="13109"/>
    <cellStyle name="Normal 7 3 15 2" xfId="35696"/>
    <cellStyle name="Normal 7 3 16" xfId="6669"/>
    <cellStyle name="Normal 7 3 16 2" xfId="29256"/>
    <cellStyle name="Normal 7 3 17" xfId="22816"/>
    <cellStyle name="Normal 7 3 2" xfId="196"/>
    <cellStyle name="Normal 7 3 2 10" xfId="489"/>
    <cellStyle name="Normal 7 3 2 10 2" xfId="3776"/>
    <cellStyle name="Normal 7 3 2 10 2 2" xfId="19876"/>
    <cellStyle name="Normal 7 3 2 10 2 2 2" xfId="42463"/>
    <cellStyle name="Normal 7 3 2 10 2 3" xfId="10216"/>
    <cellStyle name="Normal 7 3 2 10 2 3 2" xfId="32803"/>
    <cellStyle name="Normal 7 3 2 10 2 4" xfId="26363"/>
    <cellStyle name="Normal 7 3 2 10 3" xfId="16656"/>
    <cellStyle name="Normal 7 3 2 10 3 2" xfId="39243"/>
    <cellStyle name="Normal 7 3 2 10 4" xfId="13436"/>
    <cellStyle name="Normal 7 3 2 10 4 2" xfId="36023"/>
    <cellStyle name="Normal 7 3 2 10 5" xfId="6996"/>
    <cellStyle name="Normal 7 3 2 10 5 2" xfId="29583"/>
    <cellStyle name="Normal 7 3 2 10 6" xfId="23143"/>
    <cellStyle name="Normal 7 3 2 11" xfId="3486"/>
    <cellStyle name="Normal 7 3 2 11 2" xfId="19586"/>
    <cellStyle name="Normal 7 3 2 11 2 2" xfId="42173"/>
    <cellStyle name="Normal 7 3 2 11 3" xfId="9926"/>
    <cellStyle name="Normal 7 3 2 11 3 2" xfId="32513"/>
    <cellStyle name="Normal 7 3 2 11 4" xfId="26073"/>
    <cellStyle name="Normal 7 3 2 12" xfId="16366"/>
    <cellStyle name="Normal 7 3 2 12 2" xfId="38953"/>
    <cellStyle name="Normal 7 3 2 13" xfId="13146"/>
    <cellStyle name="Normal 7 3 2 13 2" xfId="35733"/>
    <cellStyle name="Normal 7 3 2 14" xfId="6706"/>
    <cellStyle name="Normal 7 3 2 14 2" xfId="29293"/>
    <cellStyle name="Normal 7 3 2 15" xfId="22853"/>
    <cellStyle name="Normal 7 3 2 2" xfId="296"/>
    <cellStyle name="Normal 7 3 2 2 10" xfId="16463"/>
    <cellStyle name="Normal 7 3 2 2 10 2" xfId="39050"/>
    <cellStyle name="Normal 7 3 2 2 11" xfId="13243"/>
    <cellStyle name="Normal 7 3 2 2 11 2" xfId="35830"/>
    <cellStyle name="Normal 7 3 2 2 12" xfId="6803"/>
    <cellStyle name="Normal 7 3 2 2 12 2" xfId="29390"/>
    <cellStyle name="Normal 7 3 2 2 13" xfId="22950"/>
    <cellStyle name="Normal 7 3 2 2 2" xfId="1015"/>
    <cellStyle name="Normal 7 3 2 2 2 2" xfId="2329"/>
    <cellStyle name="Normal 7 3 2 2 2 2 2" xfId="5550"/>
    <cellStyle name="Normal 7 3 2 2 2 2 2 2" xfId="21650"/>
    <cellStyle name="Normal 7 3 2 2 2 2 2 2 2" xfId="44237"/>
    <cellStyle name="Normal 7 3 2 2 2 2 2 3" xfId="11990"/>
    <cellStyle name="Normal 7 3 2 2 2 2 2 3 2" xfId="34577"/>
    <cellStyle name="Normal 7 3 2 2 2 2 2 4" xfId="28137"/>
    <cellStyle name="Normal 7 3 2 2 2 2 3" xfId="18430"/>
    <cellStyle name="Normal 7 3 2 2 2 2 3 2" xfId="41017"/>
    <cellStyle name="Normal 7 3 2 2 2 2 4" xfId="15210"/>
    <cellStyle name="Normal 7 3 2 2 2 2 4 2" xfId="37797"/>
    <cellStyle name="Normal 7 3 2 2 2 2 5" xfId="8770"/>
    <cellStyle name="Normal 7 3 2 2 2 2 5 2" xfId="31357"/>
    <cellStyle name="Normal 7 3 2 2 2 2 6" xfId="24917"/>
    <cellStyle name="Normal 7 3 2 2 2 3" xfId="4242"/>
    <cellStyle name="Normal 7 3 2 2 2 3 2" xfId="20342"/>
    <cellStyle name="Normal 7 3 2 2 2 3 2 2" xfId="42929"/>
    <cellStyle name="Normal 7 3 2 2 2 3 3" xfId="10682"/>
    <cellStyle name="Normal 7 3 2 2 2 3 3 2" xfId="33269"/>
    <cellStyle name="Normal 7 3 2 2 2 3 4" xfId="26829"/>
    <cellStyle name="Normal 7 3 2 2 2 4" xfId="17122"/>
    <cellStyle name="Normal 7 3 2 2 2 4 2" xfId="39709"/>
    <cellStyle name="Normal 7 3 2 2 2 5" xfId="13902"/>
    <cellStyle name="Normal 7 3 2 2 2 5 2" xfId="36489"/>
    <cellStyle name="Normal 7 3 2 2 2 6" xfId="7462"/>
    <cellStyle name="Normal 7 3 2 2 2 6 2" xfId="30049"/>
    <cellStyle name="Normal 7 3 2 2 2 7" xfId="23609"/>
    <cellStyle name="Normal 7 3 2 2 3" xfId="1362"/>
    <cellStyle name="Normal 7 3 2 2 3 2" xfId="2676"/>
    <cellStyle name="Normal 7 3 2 2 3 2 2" xfId="5897"/>
    <cellStyle name="Normal 7 3 2 2 3 2 2 2" xfId="21997"/>
    <cellStyle name="Normal 7 3 2 2 3 2 2 2 2" xfId="44584"/>
    <cellStyle name="Normal 7 3 2 2 3 2 2 3" xfId="12337"/>
    <cellStyle name="Normal 7 3 2 2 3 2 2 3 2" xfId="34924"/>
    <cellStyle name="Normal 7 3 2 2 3 2 2 4" xfId="28484"/>
    <cellStyle name="Normal 7 3 2 2 3 2 3" xfId="18777"/>
    <cellStyle name="Normal 7 3 2 2 3 2 3 2" xfId="41364"/>
    <cellStyle name="Normal 7 3 2 2 3 2 4" xfId="15557"/>
    <cellStyle name="Normal 7 3 2 2 3 2 4 2" xfId="38144"/>
    <cellStyle name="Normal 7 3 2 2 3 2 5" xfId="9117"/>
    <cellStyle name="Normal 7 3 2 2 3 2 5 2" xfId="31704"/>
    <cellStyle name="Normal 7 3 2 2 3 2 6" xfId="25264"/>
    <cellStyle name="Normal 7 3 2 2 3 3" xfId="4589"/>
    <cellStyle name="Normal 7 3 2 2 3 3 2" xfId="20689"/>
    <cellStyle name="Normal 7 3 2 2 3 3 2 2" xfId="43276"/>
    <cellStyle name="Normal 7 3 2 2 3 3 3" xfId="11029"/>
    <cellStyle name="Normal 7 3 2 2 3 3 3 2" xfId="33616"/>
    <cellStyle name="Normal 7 3 2 2 3 3 4" xfId="27176"/>
    <cellStyle name="Normal 7 3 2 2 3 4" xfId="17469"/>
    <cellStyle name="Normal 7 3 2 2 3 4 2" xfId="40056"/>
    <cellStyle name="Normal 7 3 2 2 3 5" xfId="14249"/>
    <cellStyle name="Normal 7 3 2 2 3 5 2" xfId="36836"/>
    <cellStyle name="Normal 7 3 2 2 3 6" xfId="7809"/>
    <cellStyle name="Normal 7 3 2 2 3 6 2" xfId="30396"/>
    <cellStyle name="Normal 7 3 2 2 3 7" xfId="23956"/>
    <cellStyle name="Normal 7 3 2 2 4" xfId="1709"/>
    <cellStyle name="Normal 7 3 2 2 4 2" xfId="4932"/>
    <cellStyle name="Normal 7 3 2 2 4 2 2" xfId="21032"/>
    <cellStyle name="Normal 7 3 2 2 4 2 2 2" xfId="43619"/>
    <cellStyle name="Normal 7 3 2 2 4 2 3" xfId="11372"/>
    <cellStyle name="Normal 7 3 2 2 4 2 3 2" xfId="33959"/>
    <cellStyle name="Normal 7 3 2 2 4 2 4" xfId="27519"/>
    <cellStyle name="Normal 7 3 2 2 4 3" xfId="17812"/>
    <cellStyle name="Normal 7 3 2 2 4 3 2" xfId="40399"/>
    <cellStyle name="Normal 7 3 2 2 4 4" xfId="14592"/>
    <cellStyle name="Normal 7 3 2 2 4 4 2" xfId="37179"/>
    <cellStyle name="Normal 7 3 2 2 4 5" xfId="8152"/>
    <cellStyle name="Normal 7 3 2 2 4 5 2" xfId="30739"/>
    <cellStyle name="Normal 7 3 2 2 4 6" xfId="24299"/>
    <cellStyle name="Normal 7 3 2 2 5" xfId="1981"/>
    <cellStyle name="Normal 7 3 2 2 5 2" xfId="5203"/>
    <cellStyle name="Normal 7 3 2 2 5 2 2" xfId="21303"/>
    <cellStyle name="Normal 7 3 2 2 5 2 2 2" xfId="43890"/>
    <cellStyle name="Normal 7 3 2 2 5 2 3" xfId="11643"/>
    <cellStyle name="Normal 7 3 2 2 5 2 3 2" xfId="34230"/>
    <cellStyle name="Normal 7 3 2 2 5 2 4" xfId="27790"/>
    <cellStyle name="Normal 7 3 2 2 5 3" xfId="18083"/>
    <cellStyle name="Normal 7 3 2 2 5 3 2" xfId="40670"/>
    <cellStyle name="Normal 7 3 2 2 5 4" xfId="14863"/>
    <cellStyle name="Normal 7 3 2 2 5 4 2" xfId="37450"/>
    <cellStyle name="Normal 7 3 2 2 5 5" xfId="8423"/>
    <cellStyle name="Normal 7 3 2 2 5 5 2" xfId="31010"/>
    <cellStyle name="Normal 7 3 2 2 5 6" xfId="24570"/>
    <cellStyle name="Normal 7 3 2 2 6" xfId="3003"/>
    <cellStyle name="Normal 7 3 2 2 6 2" xfId="6223"/>
    <cellStyle name="Normal 7 3 2 2 6 2 2" xfId="22323"/>
    <cellStyle name="Normal 7 3 2 2 6 2 2 2" xfId="44910"/>
    <cellStyle name="Normal 7 3 2 2 6 2 3" xfId="12663"/>
    <cellStyle name="Normal 7 3 2 2 6 2 3 2" xfId="35250"/>
    <cellStyle name="Normal 7 3 2 2 6 2 4" xfId="28810"/>
    <cellStyle name="Normal 7 3 2 2 6 3" xfId="19103"/>
    <cellStyle name="Normal 7 3 2 2 6 3 2" xfId="41690"/>
    <cellStyle name="Normal 7 3 2 2 6 4" xfId="15883"/>
    <cellStyle name="Normal 7 3 2 2 6 4 2" xfId="38470"/>
    <cellStyle name="Normal 7 3 2 2 6 5" xfId="9443"/>
    <cellStyle name="Normal 7 3 2 2 6 5 2" xfId="32030"/>
    <cellStyle name="Normal 7 3 2 2 6 6" xfId="25590"/>
    <cellStyle name="Normal 7 3 2 2 7" xfId="3293"/>
    <cellStyle name="Normal 7 3 2 2 7 2" xfId="6513"/>
    <cellStyle name="Normal 7 3 2 2 7 2 2" xfId="22613"/>
    <cellStyle name="Normal 7 3 2 2 7 2 2 2" xfId="45200"/>
    <cellStyle name="Normal 7 3 2 2 7 2 3" xfId="12953"/>
    <cellStyle name="Normal 7 3 2 2 7 2 3 2" xfId="35540"/>
    <cellStyle name="Normal 7 3 2 2 7 2 4" xfId="29100"/>
    <cellStyle name="Normal 7 3 2 2 7 3" xfId="19393"/>
    <cellStyle name="Normal 7 3 2 2 7 3 2" xfId="41980"/>
    <cellStyle name="Normal 7 3 2 2 7 4" xfId="16173"/>
    <cellStyle name="Normal 7 3 2 2 7 4 2" xfId="38760"/>
    <cellStyle name="Normal 7 3 2 2 7 5" xfId="9733"/>
    <cellStyle name="Normal 7 3 2 2 7 5 2" xfId="32320"/>
    <cellStyle name="Normal 7 3 2 2 7 6" xfId="25880"/>
    <cellStyle name="Normal 7 3 2 2 8" xfId="651"/>
    <cellStyle name="Normal 7 3 2 2 8 2" xfId="3895"/>
    <cellStyle name="Normal 7 3 2 2 8 2 2" xfId="19995"/>
    <cellStyle name="Normal 7 3 2 2 8 2 2 2" xfId="42582"/>
    <cellStyle name="Normal 7 3 2 2 8 2 3" xfId="10335"/>
    <cellStyle name="Normal 7 3 2 2 8 2 3 2" xfId="32922"/>
    <cellStyle name="Normal 7 3 2 2 8 2 4" xfId="26482"/>
    <cellStyle name="Normal 7 3 2 2 8 3" xfId="16775"/>
    <cellStyle name="Normal 7 3 2 2 8 3 2" xfId="39362"/>
    <cellStyle name="Normal 7 3 2 2 8 4" xfId="13555"/>
    <cellStyle name="Normal 7 3 2 2 8 4 2" xfId="36142"/>
    <cellStyle name="Normal 7 3 2 2 8 5" xfId="7115"/>
    <cellStyle name="Normal 7 3 2 2 8 5 2" xfId="29702"/>
    <cellStyle name="Normal 7 3 2 2 8 6" xfId="23262"/>
    <cellStyle name="Normal 7 3 2 2 9" xfId="3583"/>
    <cellStyle name="Normal 7 3 2 2 9 2" xfId="19683"/>
    <cellStyle name="Normal 7 3 2 2 9 2 2" xfId="42270"/>
    <cellStyle name="Normal 7 3 2 2 9 3" xfId="10023"/>
    <cellStyle name="Normal 7 3 2 2 9 3 2" xfId="32610"/>
    <cellStyle name="Normal 7 3 2 2 9 4" xfId="26170"/>
    <cellStyle name="Normal 7 3 2 3" xfId="392"/>
    <cellStyle name="Normal 7 3 2 3 10" xfId="16559"/>
    <cellStyle name="Normal 7 3 2 3 10 2" xfId="39146"/>
    <cellStyle name="Normal 7 3 2 3 11" xfId="13339"/>
    <cellStyle name="Normal 7 3 2 3 11 2" xfId="35926"/>
    <cellStyle name="Normal 7 3 2 3 12" xfId="6899"/>
    <cellStyle name="Normal 7 3 2 3 12 2" xfId="29486"/>
    <cellStyle name="Normal 7 3 2 3 13" xfId="23046"/>
    <cellStyle name="Normal 7 3 2 3 2" xfId="1174"/>
    <cellStyle name="Normal 7 3 2 3 2 2" xfId="2488"/>
    <cellStyle name="Normal 7 3 2 3 2 2 2" xfId="5709"/>
    <cellStyle name="Normal 7 3 2 3 2 2 2 2" xfId="21809"/>
    <cellStyle name="Normal 7 3 2 3 2 2 2 2 2" xfId="44396"/>
    <cellStyle name="Normal 7 3 2 3 2 2 2 3" xfId="12149"/>
    <cellStyle name="Normal 7 3 2 3 2 2 2 3 2" xfId="34736"/>
    <cellStyle name="Normal 7 3 2 3 2 2 2 4" xfId="28296"/>
    <cellStyle name="Normal 7 3 2 3 2 2 3" xfId="18589"/>
    <cellStyle name="Normal 7 3 2 3 2 2 3 2" xfId="41176"/>
    <cellStyle name="Normal 7 3 2 3 2 2 4" xfId="15369"/>
    <cellStyle name="Normal 7 3 2 3 2 2 4 2" xfId="37956"/>
    <cellStyle name="Normal 7 3 2 3 2 2 5" xfId="8929"/>
    <cellStyle name="Normal 7 3 2 3 2 2 5 2" xfId="31516"/>
    <cellStyle name="Normal 7 3 2 3 2 2 6" xfId="25076"/>
    <cellStyle name="Normal 7 3 2 3 2 3" xfId="4401"/>
    <cellStyle name="Normal 7 3 2 3 2 3 2" xfId="20501"/>
    <cellStyle name="Normal 7 3 2 3 2 3 2 2" xfId="43088"/>
    <cellStyle name="Normal 7 3 2 3 2 3 3" xfId="10841"/>
    <cellStyle name="Normal 7 3 2 3 2 3 3 2" xfId="33428"/>
    <cellStyle name="Normal 7 3 2 3 2 3 4" xfId="26988"/>
    <cellStyle name="Normal 7 3 2 3 2 4" xfId="17281"/>
    <cellStyle name="Normal 7 3 2 3 2 4 2" xfId="39868"/>
    <cellStyle name="Normal 7 3 2 3 2 5" xfId="14061"/>
    <cellStyle name="Normal 7 3 2 3 2 5 2" xfId="36648"/>
    <cellStyle name="Normal 7 3 2 3 2 6" xfId="7621"/>
    <cellStyle name="Normal 7 3 2 3 2 6 2" xfId="30208"/>
    <cellStyle name="Normal 7 3 2 3 2 7" xfId="23768"/>
    <cellStyle name="Normal 7 3 2 3 3" xfId="1521"/>
    <cellStyle name="Normal 7 3 2 3 3 2" xfId="2835"/>
    <cellStyle name="Normal 7 3 2 3 3 2 2" xfId="6056"/>
    <cellStyle name="Normal 7 3 2 3 3 2 2 2" xfId="22156"/>
    <cellStyle name="Normal 7 3 2 3 3 2 2 2 2" xfId="44743"/>
    <cellStyle name="Normal 7 3 2 3 3 2 2 3" xfId="12496"/>
    <cellStyle name="Normal 7 3 2 3 3 2 2 3 2" xfId="35083"/>
    <cellStyle name="Normal 7 3 2 3 3 2 2 4" xfId="28643"/>
    <cellStyle name="Normal 7 3 2 3 3 2 3" xfId="18936"/>
    <cellStyle name="Normal 7 3 2 3 3 2 3 2" xfId="41523"/>
    <cellStyle name="Normal 7 3 2 3 3 2 4" xfId="15716"/>
    <cellStyle name="Normal 7 3 2 3 3 2 4 2" xfId="38303"/>
    <cellStyle name="Normal 7 3 2 3 3 2 5" xfId="9276"/>
    <cellStyle name="Normal 7 3 2 3 3 2 5 2" xfId="31863"/>
    <cellStyle name="Normal 7 3 2 3 3 2 6" xfId="25423"/>
    <cellStyle name="Normal 7 3 2 3 3 3" xfId="4748"/>
    <cellStyle name="Normal 7 3 2 3 3 3 2" xfId="20848"/>
    <cellStyle name="Normal 7 3 2 3 3 3 2 2" xfId="43435"/>
    <cellStyle name="Normal 7 3 2 3 3 3 3" xfId="11188"/>
    <cellStyle name="Normal 7 3 2 3 3 3 3 2" xfId="33775"/>
    <cellStyle name="Normal 7 3 2 3 3 3 4" xfId="27335"/>
    <cellStyle name="Normal 7 3 2 3 3 4" xfId="17628"/>
    <cellStyle name="Normal 7 3 2 3 3 4 2" xfId="40215"/>
    <cellStyle name="Normal 7 3 2 3 3 5" xfId="14408"/>
    <cellStyle name="Normal 7 3 2 3 3 5 2" xfId="36995"/>
    <cellStyle name="Normal 7 3 2 3 3 6" xfId="7968"/>
    <cellStyle name="Normal 7 3 2 3 3 6 2" xfId="30555"/>
    <cellStyle name="Normal 7 3 2 3 3 7" xfId="24115"/>
    <cellStyle name="Normal 7 3 2 3 4" xfId="1710"/>
    <cellStyle name="Normal 7 3 2 3 4 2" xfId="4933"/>
    <cellStyle name="Normal 7 3 2 3 4 2 2" xfId="21033"/>
    <cellStyle name="Normal 7 3 2 3 4 2 2 2" xfId="43620"/>
    <cellStyle name="Normal 7 3 2 3 4 2 3" xfId="11373"/>
    <cellStyle name="Normal 7 3 2 3 4 2 3 2" xfId="33960"/>
    <cellStyle name="Normal 7 3 2 3 4 2 4" xfId="27520"/>
    <cellStyle name="Normal 7 3 2 3 4 3" xfId="17813"/>
    <cellStyle name="Normal 7 3 2 3 4 3 2" xfId="40400"/>
    <cellStyle name="Normal 7 3 2 3 4 4" xfId="14593"/>
    <cellStyle name="Normal 7 3 2 3 4 4 2" xfId="37180"/>
    <cellStyle name="Normal 7 3 2 3 4 5" xfId="8153"/>
    <cellStyle name="Normal 7 3 2 3 4 5 2" xfId="30740"/>
    <cellStyle name="Normal 7 3 2 3 4 6" xfId="24300"/>
    <cellStyle name="Normal 7 3 2 3 5" xfId="2141"/>
    <cellStyle name="Normal 7 3 2 3 5 2" xfId="5362"/>
    <cellStyle name="Normal 7 3 2 3 5 2 2" xfId="21462"/>
    <cellStyle name="Normal 7 3 2 3 5 2 2 2" xfId="44049"/>
    <cellStyle name="Normal 7 3 2 3 5 2 3" xfId="11802"/>
    <cellStyle name="Normal 7 3 2 3 5 2 3 2" xfId="34389"/>
    <cellStyle name="Normal 7 3 2 3 5 2 4" xfId="27949"/>
    <cellStyle name="Normal 7 3 2 3 5 3" xfId="18242"/>
    <cellStyle name="Normal 7 3 2 3 5 3 2" xfId="40829"/>
    <cellStyle name="Normal 7 3 2 3 5 4" xfId="15022"/>
    <cellStyle name="Normal 7 3 2 3 5 4 2" xfId="37609"/>
    <cellStyle name="Normal 7 3 2 3 5 5" xfId="8582"/>
    <cellStyle name="Normal 7 3 2 3 5 5 2" xfId="31169"/>
    <cellStyle name="Normal 7 3 2 3 5 6" xfId="24729"/>
    <cellStyle name="Normal 7 3 2 3 6" xfId="3099"/>
    <cellStyle name="Normal 7 3 2 3 6 2" xfId="6319"/>
    <cellStyle name="Normal 7 3 2 3 6 2 2" xfId="22419"/>
    <cellStyle name="Normal 7 3 2 3 6 2 2 2" xfId="45006"/>
    <cellStyle name="Normal 7 3 2 3 6 2 3" xfId="12759"/>
    <cellStyle name="Normal 7 3 2 3 6 2 3 2" xfId="35346"/>
    <cellStyle name="Normal 7 3 2 3 6 2 4" xfId="28906"/>
    <cellStyle name="Normal 7 3 2 3 6 3" xfId="19199"/>
    <cellStyle name="Normal 7 3 2 3 6 3 2" xfId="41786"/>
    <cellStyle name="Normal 7 3 2 3 6 4" xfId="15979"/>
    <cellStyle name="Normal 7 3 2 3 6 4 2" xfId="38566"/>
    <cellStyle name="Normal 7 3 2 3 6 5" xfId="9539"/>
    <cellStyle name="Normal 7 3 2 3 6 5 2" xfId="32126"/>
    <cellStyle name="Normal 7 3 2 3 6 6" xfId="25686"/>
    <cellStyle name="Normal 7 3 2 3 7" xfId="3389"/>
    <cellStyle name="Normal 7 3 2 3 7 2" xfId="6609"/>
    <cellStyle name="Normal 7 3 2 3 7 2 2" xfId="22709"/>
    <cellStyle name="Normal 7 3 2 3 7 2 2 2" xfId="45296"/>
    <cellStyle name="Normal 7 3 2 3 7 2 3" xfId="13049"/>
    <cellStyle name="Normal 7 3 2 3 7 2 3 2" xfId="35636"/>
    <cellStyle name="Normal 7 3 2 3 7 2 4" xfId="29196"/>
    <cellStyle name="Normal 7 3 2 3 7 3" xfId="19489"/>
    <cellStyle name="Normal 7 3 2 3 7 3 2" xfId="42076"/>
    <cellStyle name="Normal 7 3 2 3 7 4" xfId="16269"/>
    <cellStyle name="Normal 7 3 2 3 7 4 2" xfId="38856"/>
    <cellStyle name="Normal 7 3 2 3 7 5" xfId="9829"/>
    <cellStyle name="Normal 7 3 2 3 7 5 2" xfId="32416"/>
    <cellStyle name="Normal 7 3 2 3 7 6" xfId="25976"/>
    <cellStyle name="Normal 7 3 2 3 8" xfId="822"/>
    <cellStyle name="Normal 7 3 2 3 8 2" xfId="4054"/>
    <cellStyle name="Normal 7 3 2 3 8 2 2" xfId="20154"/>
    <cellStyle name="Normal 7 3 2 3 8 2 2 2" xfId="42741"/>
    <cellStyle name="Normal 7 3 2 3 8 2 3" xfId="10494"/>
    <cellStyle name="Normal 7 3 2 3 8 2 3 2" xfId="33081"/>
    <cellStyle name="Normal 7 3 2 3 8 2 4" xfId="26641"/>
    <cellStyle name="Normal 7 3 2 3 8 3" xfId="16934"/>
    <cellStyle name="Normal 7 3 2 3 8 3 2" xfId="39521"/>
    <cellStyle name="Normal 7 3 2 3 8 4" xfId="13714"/>
    <cellStyle name="Normal 7 3 2 3 8 4 2" xfId="36301"/>
    <cellStyle name="Normal 7 3 2 3 8 5" xfId="7274"/>
    <cellStyle name="Normal 7 3 2 3 8 5 2" xfId="29861"/>
    <cellStyle name="Normal 7 3 2 3 8 6" xfId="23421"/>
    <cellStyle name="Normal 7 3 2 3 9" xfId="3679"/>
    <cellStyle name="Normal 7 3 2 3 9 2" xfId="19779"/>
    <cellStyle name="Normal 7 3 2 3 9 2 2" xfId="42366"/>
    <cellStyle name="Normal 7 3 2 3 9 3" xfId="10119"/>
    <cellStyle name="Normal 7 3 2 3 9 3 2" xfId="32706"/>
    <cellStyle name="Normal 7 3 2 3 9 4" xfId="26266"/>
    <cellStyle name="Normal 7 3 2 4" xfId="891"/>
    <cellStyle name="Normal 7 3 2 4 2" xfId="2210"/>
    <cellStyle name="Normal 7 3 2 4 2 2" xfId="5431"/>
    <cellStyle name="Normal 7 3 2 4 2 2 2" xfId="21531"/>
    <cellStyle name="Normal 7 3 2 4 2 2 2 2" xfId="44118"/>
    <cellStyle name="Normal 7 3 2 4 2 2 3" xfId="11871"/>
    <cellStyle name="Normal 7 3 2 4 2 2 3 2" xfId="34458"/>
    <cellStyle name="Normal 7 3 2 4 2 2 4" xfId="28018"/>
    <cellStyle name="Normal 7 3 2 4 2 3" xfId="18311"/>
    <cellStyle name="Normal 7 3 2 4 2 3 2" xfId="40898"/>
    <cellStyle name="Normal 7 3 2 4 2 4" xfId="15091"/>
    <cellStyle name="Normal 7 3 2 4 2 4 2" xfId="37678"/>
    <cellStyle name="Normal 7 3 2 4 2 5" xfId="8651"/>
    <cellStyle name="Normal 7 3 2 4 2 5 2" xfId="31238"/>
    <cellStyle name="Normal 7 3 2 4 2 6" xfId="24798"/>
    <cellStyle name="Normal 7 3 2 4 3" xfId="4123"/>
    <cellStyle name="Normal 7 3 2 4 3 2" xfId="20223"/>
    <cellStyle name="Normal 7 3 2 4 3 2 2" xfId="42810"/>
    <cellStyle name="Normal 7 3 2 4 3 3" xfId="10563"/>
    <cellStyle name="Normal 7 3 2 4 3 3 2" xfId="33150"/>
    <cellStyle name="Normal 7 3 2 4 3 4" xfId="26710"/>
    <cellStyle name="Normal 7 3 2 4 4" xfId="17003"/>
    <cellStyle name="Normal 7 3 2 4 4 2" xfId="39590"/>
    <cellStyle name="Normal 7 3 2 4 5" xfId="13783"/>
    <cellStyle name="Normal 7 3 2 4 5 2" xfId="36370"/>
    <cellStyle name="Normal 7 3 2 4 6" xfId="7343"/>
    <cellStyle name="Normal 7 3 2 4 6 2" xfId="29930"/>
    <cellStyle name="Normal 7 3 2 4 7" xfId="23490"/>
    <cellStyle name="Normal 7 3 2 5" xfId="1243"/>
    <cellStyle name="Normal 7 3 2 5 2" xfId="2557"/>
    <cellStyle name="Normal 7 3 2 5 2 2" xfId="5778"/>
    <cellStyle name="Normal 7 3 2 5 2 2 2" xfId="21878"/>
    <cellStyle name="Normal 7 3 2 5 2 2 2 2" xfId="44465"/>
    <cellStyle name="Normal 7 3 2 5 2 2 3" xfId="12218"/>
    <cellStyle name="Normal 7 3 2 5 2 2 3 2" xfId="34805"/>
    <cellStyle name="Normal 7 3 2 5 2 2 4" xfId="28365"/>
    <cellStyle name="Normal 7 3 2 5 2 3" xfId="18658"/>
    <cellStyle name="Normal 7 3 2 5 2 3 2" xfId="41245"/>
    <cellStyle name="Normal 7 3 2 5 2 4" xfId="15438"/>
    <cellStyle name="Normal 7 3 2 5 2 4 2" xfId="38025"/>
    <cellStyle name="Normal 7 3 2 5 2 5" xfId="8998"/>
    <cellStyle name="Normal 7 3 2 5 2 5 2" xfId="31585"/>
    <cellStyle name="Normal 7 3 2 5 2 6" xfId="25145"/>
    <cellStyle name="Normal 7 3 2 5 3" xfId="4470"/>
    <cellStyle name="Normal 7 3 2 5 3 2" xfId="20570"/>
    <cellStyle name="Normal 7 3 2 5 3 2 2" xfId="43157"/>
    <cellStyle name="Normal 7 3 2 5 3 3" xfId="10910"/>
    <cellStyle name="Normal 7 3 2 5 3 3 2" xfId="33497"/>
    <cellStyle name="Normal 7 3 2 5 3 4" xfId="27057"/>
    <cellStyle name="Normal 7 3 2 5 4" xfId="17350"/>
    <cellStyle name="Normal 7 3 2 5 4 2" xfId="39937"/>
    <cellStyle name="Normal 7 3 2 5 5" xfId="14130"/>
    <cellStyle name="Normal 7 3 2 5 5 2" xfId="36717"/>
    <cellStyle name="Normal 7 3 2 5 6" xfId="7690"/>
    <cellStyle name="Normal 7 3 2 5 6 2" xfId="30277"/>
    <cellStyle name="Normal 7 3 2 5 7" xfId="23837"/>
    <cellStyle name="Normal 7 3 2 6" xfId="1711"/>
    <cellStyle name="Normal 7 3 2 6 2" xfId="4934"/>
    <cellStyle name="Normal 7 3 2 6 2 2" xfId="21034"/>
    <cellStyle name="Normal 7 3 2 6 2 2 2" xfId="43621"/>
    <cellStyle name="Normal 7 3 2 6 2 3" xfId="11374"/>
    <cellStyle name="Normal 7 3 2 6 2 3 2" xfId="33961"/>
    <cellStyle name="Normal 7 3 2 6 2 4" xfId="27521"/>
    <cellStyle name="Normal 7 3 2 6 3" xfId="17814"/>
    <cellStyle name="Normal 7 3 2 6 3 2" xfId="40401"/>
    <cellStyle name="Normal 7 3 2 6 4" xfId="14594"/>
    <cellStyle name="Normal 7 3 2 6 4 2" xfId="37181"/>
    <cellStyle name="Normal 7 3 2 6 5" xfId="8154"/>
    <cellStyle name="Normal 7 3 2 6 5 2" xfId="30741"/>
    <cellStyle name="Normal 7 3 2 6 6" xfId="24301"/>
    <cellStyle name="Normal 7 3 2 7" xfId="1862"/>
    <cellStyle name="Normal 7 3 2 7 2" xfId="5084"/>
    <cellStyle name="Normal 7 3 2 7 2 2" xfId="21184"/>
    <cellStyle name="Normal 7 3 2 7 2 2 2" xfId="43771"/>
    <cellStyle name="Normal 7 3 2 7 2 3" xfId="11524"/>
    <cellStyle name="Normal 7 3 2 7 2 3 2" xfId="34111"/>
    <cellStyle name="Normal 7 3 2 7 2 4" xfId="27671"/>
    <cellStyle name="Normal 7 3 2 7 3" xfId="17964"/>
    <cellStyle name="Normal 7 3 2 7 3 2" xfId="40551"/>
    <cellStyle name="Normal 7 3 2 7 4" xfId="14744"/>
    <cellStyle name="Normal 7 3 2 7 4 2" xfId="37331"/>
    <cellStyle name="Normal 7 3 2 7 5" xfId="8304"/>
    <cellStyle name="Normal 7 3 2 7 5 2" xfId="30891"/>
    <cellStyle name="Normal 7 3 2 7 6" xfId="24451"/>
    <cellStyle name="Normal 7 3 2 8" xfId="2905"/>
    <cellStyle name="Normal 7 3 2 8 2" xfId="6126"/>
    <cellStyle name="Normal 7 3 2 8 2 2" xfId="22226"/>
    <cellStyle name="Normal 7 3 2 8 2 2 2" xfId="44813"/>
    <cellStyle name="Normal 7 3 2 8 2 3" xfId="12566"/>
    <cellStyle name="Normal 7 3 2 8 2 3 2" xfId="35153"/>
    <cellStyle name="Normal 7 3 2 8 2 4" xfId="28713"/>
    <cellStyle name="Normal 7 3 2 8 3" xfId="19006"/>
    <cellStyle name="Normal 7 3 2 8 3 2" xfId="41593"/>
    <cellStyle name="Normal 7 3 2 8 4" xfId="15786"/>
    <cellStyle name="Normal 7 3 2 8 4 2" xfId="38373"/>
    <cellStyle name="Normal 7 3 2 8 5" xfId="9346"/>
    <cellStyle name="Normal 7 3 2 8 5 2" xfId="31933"/>
    <cellStyle name="Normal 7 3 2 8 6" xfId="25493"/>
    <cellStyle name="Normal 7 3 2 9" xfId="3196"/>
    <cellStyle name="Normal 7 3 2 9 2" xfId="6416"/>
    <cellStyle name="Normal 7 3 2 9 2 2" xfId="22516"/>
    <cellStyle name="Normal 7 3 2 9 2 2 2" xfId="45103"/>
    <cellStyle name="Normal 7 3 2 9 2 3" xfId="12856"/>
    <cellStyle name="Normal 7 3 2 9 2 3 2" xfId="35443"/>
    <cellStyle name="Normal 7 3 2 9 2 4" xfId="29003"/>
    <cellStyle name="Normal 7 3 2 9 3" xfId="19296"/>
    <cellStyle name="Normal 7 3 2 9 3 2" xfId="41883"/>
    <cellStyle name="Normal 7 3 2 9 4" xfId="16076"/>
    <cellStyle name="Normal 7 3 2 9 4 2" xfId="38663"/>
    <cellStyle name="Normal 7 3 2 9 5" xfId="9636"/>
    <cellStyle name="Normal 7 3 2 9 5 2" xfId="32223"/>
    <cellStyle name="Normal 7 3 2 9 6" xfId="25783"/>
    <cellStyle name="Normal 7 3 3" xfId="246"/>
    <cellStyle name="Normal 7 3 3 10" xfId="3534"/>
    <cellStyle name="Normal 7 3 3 10 2" xfId="19634"/>
    <cellStyle name="Normal 7 3 3 10 2 2" xfId="42221"/>
    <cellStyle name="Normal 7 3 3 10 3" xfId="9974"/>
    <cellStyle name="Normal 7 3 3 10 3 2" xfId="32561"/>
    <cellStyle name="Normal 7 3 3 10 4" xfId="26121"/>
    <cellStyle name="Normal 7 3 3 11" xfId="16414"/>
    <cellStyle name="Normal 7 3 3 11 2" xfId="39001"/>
    <cellStyle name="Normal 7 3 3 12" xfId="13194"/>
    <cellStyle name="Normal 7 3 3 12 2" xfId="35781"/>
    <cellStyle name="Normal 7 3 3 13" xfId="6754"/>
    <cellStyle name="Normal 7 3 3 13 2" xfId="29341"/>
    <cellStyle name="Normal 7 3 3 14" xfId="22901"/>
    <cellStyle name="Normal 7 3 3 2" xfId="688"/>
    <cellStyle name="Normal 7 3 3 2 10" xfId="23299"/>
    <cellStyle name="Normal 7 3 3 2 2" xfId="1052"/>
    <cellStyle name="Normal 7 3 3 2 2 2" xfId="2366"/>
    <cellStyle name="Normal 7 3 3 2 2 2 2" xfId="5587"/>
    <cellStyle name="Normal 7 3 3 2 2 2 2 2" xfId="21687"/>
    <cellStyle name="Normal 7 3 3 2 2 2 2 2 2" xfId="44274"/>
    <cellStyle name="Normal 7 3 3 2 2 2 2 3" xfId="12027"/>
    <cellStyle name="Normal 7 3 3 2 2 2 2 3 2" xfId="34614"/>
    <cellStyle name="Normal 7 3 3 2 2 2 2 4" xfId="28174"/>
    <cellStyle name="Normal 7 3 3 2 2 2 3" xfId="18467"/>
    <cellStyle name="Normal 7 3 3 2 2 2 3 2" xfId="41054"/>
    <cellStyle name="Normal 7 3 3 2 2 2 4" xfId="15247"/>
    <cellStyle name="Normal 7 3 3 2 2 2 4 2" xfId="37834"/>
    <cellStyle name="Normal 7 3 3 2 2 2 5" xfId="8807"/>
    <cellStyle name="Normal 7 3 3 2 2 2 5 2" xfId="31394"/>
    <cellStyle name="Normal 7 3 3 2 2 2 6" xfId="24954"/>
    <cellStyle name="Normal 7 3 3 2 2 3" xfId="4279"/>
    <cellStyle name="Normal 7 3 3 2 2 3 2" xfId="20379"/>
    <cellStyle name="Normal 7 3 3 2 2 3 2 2" xfId="42966"/>
    <cellStyle name="Normal 7 3 3 2 2 3 3" xfId="10719"/>
    <cellStyle name="Normal 7 3 3 2 2 3 3 2" xfId="33306"/>
    <cellStyle name="Normal 7 3 3 2 2 3 4" xfId="26866"/>
    <cellStyle name="Normal 7 3 3 2 2 4" xfId="17159"/>
    <cellStyle name="Normal 7 3 3 2 2 4 2" xfId="39746"/>
    <cellStyle name="Normal 7 3 3 2 2 5" xfId="13939"/>
    <cellStyle name="Normal 7 3 3 2 2 5 2" xfId="36526"/>
    <cellStyle name="Normal 7 3 3 2 2 6" xfId="7499"/>
    <cellStyle name="Normal 7 3 3 2 2 6 2" xfId="30086"/>
    <cellStyle name="Normal 7 3 3 2 2 7" xfId="23646"/>
    <cellStyle name="Normal 7 3 3 2 3" xfId="1399"/>
    <cellStyle name="Normal 7 3 3 2 3 2" xfId="2713"/>
    <cellStyle name="Normal 7 3 3 2 3 2 2" xfId="5934"/>
    <cellStyle name="Normal 7 3 3 2 3 2 2 2" xfId="22034"/>
    <cellStyle name="Normal 7 3 3 2 3 2 2 2 2" xfId="44621"/>
    <cellStyle name="Normal 7 3 3 2 3 2 2 3" xfId="12374"/>
    <cellStyle name="Normal 7 3 3 2 3 2 2 3 2" xfId="34961"/>
    <cellStyle name="Normal 7 3 3 2 3 2 2 4" xfId="28521"/>
    <cellStyle name="Normal 7 3 3 2 3 2 3" xfId="18814"/>
    <cellStyle name="Normal 7 3 3 2 3 2 3 2" xfId="41401"/>
    <cellStyle name="Normal 7 3 3 2 3 2 4" xfId="15594"/>
    <cellStyle name="Normal 7 3 3 2 3 2 4 2" xfId="38181"/>
    <cellStyle name="Normal 7 3 3 2 3 2 5" xfId="9154"/>
    <cellStyle name="Normal 7 3 3 2 3 2 5 2" xfId="31741"/>
    <cellStyle name="Normal 7 3 3 2 3 2 6" xfId="25301"/>
    <cellStyle name="Normal 7 3 3 2 3 3" xfId="4626"/>
    <cellStyle name="Normal 7 3 3 2 3 3 2" xfId="20726"/>
    <cellStyle name="Normal 7 3 3 2 3 3 2 2" xfId="43313"/>
    <cellStyle name="Normal 7 3 3 2 3 3 3" xfId="11066"/>
    <cellStyle name="Normal 7 3 3 2 3 3 3 2" xfId="33653"/>
    <cellStyle name="Normal 7 3 3 2 3 3 4" xfId="27213"/>
    <cellStyle name="Normal 7 3 3 2 3 4" xfId="17506"/>
    <cellStyle name="Normal 7 3 3 2 3 4 2" xfId="40093"/>
    <cellStyle name="Normal 7 3 3 2 3 5" xfId="14286"/>
    <cellStyle name="Normal 7 3 3 2 3 5 2" xfId="36873"/>
    <cellStyle name="Normal 7 3 3 2 3 6" xfId="7846"/>
    <cellStyle name="Normal 7 3 3 2 3 6 2" xfId="30433"/>
    <cellStyle name="Normal 7 3 3 2 3 7" xfId="23993"/>
    <cellStyle name="Normal 7 3 3 2 4" xfId="1712"/>
    <cellStyle name="Normal 7 3 3 2 4 2" xfId="4935"/>
    <cellStyle name="Normal 7 3 3 2 4 2 2" xfId="21035"/>
    <cellStyle name="Normal 7 3 3 2 4 2 2 2" xfId="43622"/>
    <cellStyle name="Normal 7 3 3 2 4 2 3" xfId="11375"/>
    <cellStyle name="Normal 7 3 3 2 4 2 3 2" xfId="33962"/>
    <cellStyle name="Normal 7 3 3 2 4 2 4" xfId="27522"/>
    <cellStyle name="Normal 7 3 3 2 4 3" xfId="17815"/>
    <cellStyle name="Normal 7 3 3 2 4 3 2" xfId="40402"/>
    <cellStyle name="Normal 7 3 3 2 4 4" xfId="14595"/>
    <cellStyle name="Normal 7 3 3 2 4 4 2" xfId="37182"/>
    <cellStyle name="Normal 7 3 3 2 4 5" xfId="8155"/>
    <cellStyle name="Normal 7 3 3 2 4 5 2" xfId="30742"/>
    <cellStyle name="Normal 7 3 3 2 4 6" xfId="24302"/>
    <cellStyle name="Normal 7 3 3 2 5" xfId="2018"/>
    <cellStyle name="Normal 7 3 3 2 5 2" xfId="5240"/>
    <cellStyle name="Normal 7 3 3 2 5 2 2" xfId="21340"/>
    <cellStyle name="Normal 7 3 3 2 5 2 2 2" xfId="43927"/>
    <cellStyle name="Normal 7 3 3 2 5 2 3" xfId="11680"/>
    <cellStyle name="Normal 7 3 3 2 5 2 3 2" xfId="34267"/>
    <cellStyle name="Normal 7 3 3 2 5 2 4" xfId="27827"/>
    <cellStyle name="Normal 7 3 3 2 5 3" xfId="18120"/>
    <cellStyle name="Normal 7 3 3 2 5 3 2" xfId="40707"/>
    <cellStyle name="Normal 7 3 3 2 5 4" xfId="14900"/>
    <cellStyle name="Normal 7 3 3 2 5 4 2" xfId="37487"/>
    <cellStyle name="Normal 7 3 3 2 5 5" xfId="8460"/>
    <cellStyle name="Normal 7 3 3 2 5 5 2" xfId="31047"/>
    <cellStyle name="Normal 7 3 3 2 5 6" xfId="24607"/>
    <cellStyle name="Normal 7 3 3 2 6" xfId="3932"/>
    <cellStyle name="Normal 7 3 3 2 6 2" xfId="20032"/>
    <cellStyle name="Normal 7 3 3 2 6 2 2" xfId="42619"/>
    <cellStyle name="Normal 7 3 3 2 6 3" xfId="10372"/>
    <cellStyle name="Normal 7 3 3 2 6 3 2" xfId="32959"/>
    <cellStyle name="Normal 7 3 3 2 6 4" xfId="26519"/>
    <cellStyle name="Normal 7 3 3 2 7" xfId="16812"/>
    <cellStyle name="Normal 7 3 3 2 7 2" xfId="39399"/>
    <cellStyle name="Normal 7 3 3 2 8" xfId="13592"/>
    <cellStyle name="Normal 7 3 3 2 8 2" xfId="36179"/>
    <cellStyle name="Normal 7 3 3 2 9" xfId="7152"/>
    <cellStyle name="Normal 7 3 3 2 9 2" xfId="29739"/>
    <cellStyle name="Normal 7 3 3 3" xfId="931"/>
    <cellStyle name="Normal 7 3 3 3 2" xfId="2250"/>
    <cellStyle name="Normal 7 3 3 3 2 2" xfId="5471"/>
    <cellStyle name="Normal 7 3 3 3 2 2 2" xfId="21571"/>
    <cellStyle name="Normal 7 3 3 3 2 2 2 2" xfId="44158"/>
    <cellStyle name="Normal 7 3 3 3 2 2 3" xfId="11911"/>
    <cellStyle name="Normal 7 3 3 3 2 2 3 2" xfId="34498"/>
    <cellStyle name="Normal 7 3 3 3 2 2 4" xfId="28058"/>
    <cellStyle name="Normal 7 3 3 3 2 3" xfId="18351"/>
    <cellStyle name="Normal 7 3 3 3 2 3 2" xfId="40938"/>
    <cellStyle name="Normal 7 3 3 3 2 4" xfId="15131"/>
    <cellStyle name="Normal 7 3 3 3 2 4 2" xfId="37718"/>
    <cellStyle name="Normal 7 3 3 3 2 5" xfId="8691"/>
    <cellStyle name="Normal 7 3 3 3 2 5 2" xfId="31278"/>
    <cellStyle name="Normal 7 3 3 3 2 6" xfId="24838"/>
    <cellStyle name="Normal 7 3 3 3 3" xfId="4163"/>
    <cellStyle name="Normal 7 3 3 3 3 2" xfId="20263"/>
    <cellStyle name="Normal 7 3 3 3 3 2 2" xfId="42850"/>
    <cellStyle name="Normal 7 3 3 3 3 3" xfId="10603"/>
    <cellStyle name="Normal 7 3 3 3 3 3 2" xfId="33190"/>
    <cellStyle name="Normal 7 3 3 3 3 4" xfId="26750"/>
    <cellStyle name="Normal 7 3 3 3 4" xfId="17043"/>
    <cellStyle name="Normal 7 3 3 3 4 2" xfId="39630"/>
    <cellStyle name="Normal 7 3 3 3 5" xfId="13823"/>
    <cellStyle name="Normal 7 3 3 3 5 2" xfId="36410"/>
    <cellStyle name="Normal 7 3 3 3 6" xfId="7383"/>
    <cellStyle name="Normal 7 3 3 3 6 2" xfId="29970"/>
    <cellStyle name="Normal 7 3 3 3 7" xfId="23530"/>
    <cellStyle name="Normal 7 3 3 4" xfId="1283"/>
    <cellStyle name="Normal 7 3 3 4 2" xfId="2597"/>
    <cellStyle name="Normal 7 3 3 4 2 2" xfId="5818"/>
    <cellStyle name="Normal 7 3 3 4 2 2 2" xfId="21918"/>
    <cellStyle name="Normal 7 3 3 4 2 2 2 2" xfId="44505"/>
    <cellStyle name="Normal 7 3 3 4 2 2 3" xfId="12258"/>
    <cellStyle name="Normal 7 3 3 4 2 2 3 2" xfId="34845"/>
    <cellStyle name="Normal 7 3 3 4 2 2 4" xfId="28405"/>
    <cellStyle name="Normal 7 3 3 4 2 3" xfId="18698"/>
    <cellStyle name="Normal 7 3 3 4 2 3 2" xfId="41285"/>
    <cellStyle name="Normal 7 3 3 4 2 4" xfId="15478"/>
    <cellStyle name="Normal 7 3 3 4 2 4 2" xfId="38065"/>
    <cellStyle name="Normal 7 3 3 4 2 5" xfId="9038"/>
    <cellStyle name="Normal 7 3 3 4 2 5 2" xfId="31625"/>
    <cellStyle name="Normal 7 3 3 4 2 6" xfId="25185"/>
    <cellStyle name="Normal 7 3 3 4 3" xfId="4510"/>
    <cellStyle name="Normal 7 3 3 4 3 2" xfId="20610"/>
    <cellStyle name="Normal 7 3 3 4 3 2 2" xfId="43197"/>
    <cellStyle name="Normal 7 3 3 4 3 3" xfId="10950"/>
    <cellStyle name="Normal 7 3 3 4 3 3 2" xfId="33537"/>
    <cellStyle name="Normal 7 3 3 4 3 4" xfId="27097"/>
    <cellStyle name="Normal 7 3 3 4 4" xfId="17390"/>
    <cellStyle name="Normal 7 3 3 4 4 2" xfId="39977"/>
    <cellStyle name="Normal 7 3 3 4 5" xfId="14170"/>
    <cellStyle name="Normal 7 3 3 4 5 2" xfId="36757"/>
    <cellStyle name="Normal 7 3 3 4 6" xfId="7730"/>
    <cellStyle name="Normal 7 3 3 4 6 2" xfId="30317"/>
    <cellStyle name="Normal 7 3 3 4 7" xfId="23877"/>
    <cellStyle name="Normal 7 3 3 5" xfId="1713"/>
    <cellStyle name="Normal 7 3 3 5 2" xfId="4936"/>
    <cellStyle name="Normal 7 3 3 5 2 2" xfId="21036"/>
    <cellStyle name="Normal 7 3 3 5 2 2 2" xfId="43623"/>
    <cellStyle name="Normal 7 3 3 5 2 3" xfId="11376"/>
    <cellStyle name="Normal 7 3 3 5 2 3 2" xfId="33963"/>
    <cellStyle name="Normal 7 3 3 5 2 4" xfId="27523"/>
    <cellStyle name="Normal 7 3 3 5 3" xfId="17816"/>
    <cellStyle name="Normal 7 3 3 5 3 2" xfId="40403"/>
    <cellStyle name="Normal 7 3 3 5 4" xfId="14596"/>
    <cellStyle name="Normal 7 3 3 5 4 2" xfId="37183"/>
    <cellStyle name="Normal 7 3 3 5 5" xfId="8156"/>
    <cellStyle name="Normal 7 3 3 5 5 2" xfId="30743"/>
    <cellStyle name="Normal 7 3 3 5 6" xfId="24303"/>
    <cellStyle name="Normal 7 3 3 6" xfId="1902"/>
    <cellStyle name="Normal 7 3 3 6 2" xfId="5124"/>
    <cellStyle name="Normal 7 3 3 6 2 2" xfId="21224"/>
    <cellStyle name="Normal 7 3 3 6 2 2 2" xfId="43811"/>
    <cellStyle name="Normal 7 3 3 6 2 3" xfId="11564"/>
    <cellStyle name="Normal 7 3 3 6 2 3 2" xfId="34151"/>
    <cellStyle name="Normal 7 3 3 6 2 4" xfId="27711"/>
    <cellStyle name="Normal 7 3 3 6 3" xfId="18004"/>
    <cellStyle name="Normal 7 3 3 6 3 2" xfId="40591"/>
    <cellStyle name="Normal 7 3 3 6 4" xfId="14784"/>
    <cellStyle name="Normal 7 3 3 6 4 2" xfId="37371"/>
    <cellStyle name="Normal 7 3 3 6 5" xfId="8344"/>
    <cellStyle name="Normal 7 3 3 6 5 2" xfId="30931"/>
    <cellStyle name="Normal 7 3 3 6 6" xfId="24491"/>
    <cellStyle name="Normal 7 3 3 7" xfId="2953"/>
    <cellStyle name="Normal 7 3 3 7 2" xfId="6174"/>
    <cellStyle name="Normal 7 3 3 7 2 2" xfId="22274"/>
    <cellStyle name="Normal 7 3 3 7 2 2 2" xfId="44861"/>
    <cellStyle name="Normal 7 3 3 7 2 3" xfId="12614"/>
    <cellStyle name="Normal 7 3 3 7 2 3 2" xfId="35201"/>
    <cellStyle name="Normal 7 3 3 7 2 4" xfId="28761"/>
    <cellStyle name="Normal 7 3 3 7 3" xfId="19054"/>
    <cellStyle name="Normal 7 3 3 7 3 2" xfId="41641"/>
    <cellStyle name="Normal 7 3 3 7 4" xfId="15834"/>
    <cellStyle name="Normal 7 3 3 7 4 2" xfId="38421"/>
    <cellStyle name="Normal 7 3 3 7 5" xfId="9394"/>
    <cellStyle name="Normal 7 3 3 7 5 2" xfId="31981"/>
    <cellStyle name="Normal 7 3 3 7 6" xfId="25541"/>
    <cellStyle name="Normal 7 3 3 8" xfId="3244"/>
    <cellStyle name="Normal 7 3 3 8 2" xfId="6464"/>
    <cellStyle name="Normal 7 3 3 8 2 2" xfId="22564"/>
    <cellStyle name="Normal 7 3 3 8 2 2 2" xfId="45151"/>
    <cellStyle name="Normal 7 3 3 8 2 3" xfId="12904"/>
    <cellStyle name="Normal 7 3 3 8 2 3 2" xfId="35491"/>
    <cellStyle name="Normal 7 3 3 8 2 4" xfId="29051"/>
    <cellStyle name="Normal 7 3 3 8 3" xfId="19344"/>
    <cellStyle name="Normal 7 3 3 8 3 2" xfId="41931"/>
    <cellStyle name="Normal 7 3 3 8 4" xfId="16124"/>
    <cellStyle name="Normal 7 3 3 8 4 2" xfId="38711"/>
    <cellStyle name="Normal 7 3 3 8 5" xfId="9684"/>
    <cellStyle name="Normal 7 3 3 8 5 2" xfId="32271"/>
    <cellStyle name="Normal 7 3 3 8 6" xfId="25831"/>
    <cellStyle name="Normal 7 3 3 9" xfId="529"/>
    <cellStyle name="Normal 7 3 3 9 2" xfId="3816"/>
    <cellStyle name="Normal 7 3 3 9 2 2" xfId="19916"/>
    <cellStyle name="Normal 7 3 3 9 2 2 2" xfId="42503"/>
    <cellStyle name="Normal 7 3 3 9 2 3" xfId="10256"/>
    <cellStyle name="Normal 7 3 3 9 2 3 2" xfId="32843"/>
    <cellStyle name="Normal 7 3 3 9 2 4" xfId="26403"/>
    <cellStyle name="Normal 7 3 3 9 3" xfId="16696"/>
    <cellStyle name="Normal 7 3 3 9 3 2" xfId="39283"/>
    <cellStyle name="Normal 7 3 3 9 4" xfId="13476"/>
    <cellStyle name="Normal 7 3 3 9 4 2" xfId="36063"/>
    <cellStyle name="Normal 7 3 3 9 5" xfId="7036"/>
    <cellStyle name="Normal 7 3 3 9 5 2" xfId="29623"/>
    <cellStyle name="Normal 7 3 3 9 6" xfId="23183"/>
    <cellStyle name="Normal 7 3 4" xfId="355"/>
    <cellStyle name="Normal 7 3 4 10" xfId="16522"/>
    <cellStyle name="Normal 7 3 4 10 2" xfId="39109"/>
    <cellStyle name="Normal 7 3 4 11" xfId="13302"/>
    <cellStyle name="Normal 7 3 4 11 2" xfId="35889"/>
    <cellStyle name="Normal 7 3 4 12" xfId="6862"/>
    <cellStyle name="Normal 7 3 4 12 2" xfId="29449"/>
    <cellStyle name="Normal 7 3 4 13" xfId="23009"/>
    <cellStyle name="Normal 7 3 4 2" xfId="958"/>
    <cellStyle name="Normal 7 3 4 2 2" xfId="2277"/>
    <cellStyle name="Normal 7 3 4 2 2 2" xfId="5498"/>
    <cellStyle name="Normal 7 3 4 2 2 2 2" xfId="21598"/>
    <cellStyle name="Normal 7 3 4 2 2 2 2 2" xfId="44185"/>
    <cellStyle name="Normal 7 3 4 2 2 2 3" xfId="11938"/>
    <cellStyle name="Normal 7 3 4 2 2 2 3 2" xfId="34525"/>
    <cellStyle name="Normal 7 3 4 2 2 2 4" xfId="28085"/>
    <cellStyle name="Normal 7 3 4 2 2 3" xfId="18378"/>
    <cellStyle name="Normal 7 3 4 2 2 3 2" xfId="40965"/>
    <cellStyle name="Normal 7 3 4 2 2 4" xfId="15158"/>
    <cellStyle name="Normal 7 3 4 2 2 4 2" xfId="37745"/>
    <cellStyle name="Normal 7 3 4 2 2 5" xfId="8718"/>
    <cellStyle name="Normal 7 3 4 2 2 5 2" xfId="31305"/>
    <cellStyle name="Normal 7 3 4 2 2 6" xfId="24865"/>
    <cellStyle name="Normal 7 3 4 2 3" xfId="4190"/>
    <cellStyle name="Normal 7 3 4 2 3 2" xfId="20290"/>
    <cellStyle name="Normal 7 3 4 2 3 2 2" xfId="42877"/>
    <cellStyle name="Normal 7 3 4 2 3 3" xfId="10630"/>
    <cellStyle name="Normal 7 3 4 2 3 3 2" xfId="33217"/>
    <cellStyle name="Normal 7 3 4 2 3 4" xfId="26777"/>
    <cellStyle name="Normal 7 3 4 2 4" xfId="17070"/>
    <cellStyle name="Normal 7 3 4 2 4 2" xfId="39657"/>
    <cellStyle name="Normal 7 3 4 2 5" xfId="13850"/>
    <cellStyle name="Normal 7 3 4 2 5 2" xfId="36437"/>
    <cellStyle name="Normal 7 3 4 2 6" xfId="7410"/>
    <cellStyle name="Normal 7 3 4 2 6 2" xfId="29997"/>
    <cellStyle name="Normal 7 3 4 2 7" xfId="23557"/>
    <cellStyle name="Normal 7 3 4 3" xfId="1310"/>
    <cellStyle name="Normal 7 3 4 3 2" xfId="2624"/>
    <cellStyle name="Normal 7 3 4 3 2 2" xfId="5845"/>
    <cellStyle name="Normal 7 3 4 3 2 2 2" xfId="21945"/>
    <cellStyle name="Normal 7 3 4 3 2 2 2 2" xfId="44532"/>
    <cellStyle name="Normal 7 3 4 3 2 2 3" xfId="12285"/>
    <cellStyle name="Normal 7 3 4 3 2 2 3 2" xfId="34872"/>
    <cellStyle name="Normal 7 3 4 3 2 2 4" xfId="28432"/>
    <cellStyle name="Normal 7 3 4 3 2 3" xfId="18725"/>
    <cellStyle name="Normal 7 3 4 3 2 3 2" xfId="41312"/>
    <cellStyle name="Normal 7 3 4 3 2 4" xfId="15505"/>
    <cellStyle name="Normal 7 3 4 3 2 4 2" xfId="38092"/>
    <cellStyle name="Normal 7 3 4 3 2 5" xfId="9065"/>
    <cellStyle name="Normal 7 3 4 3 2 5 2" xfId="31652"/>
    <cellStyle name="Normal 7 3 4 3 2 6" xfId="25212"/>
    <cellStyle name="Normal 7 3 4 3 3" xfId="4537"/>
    <cellStyle name="Normal 7 3 4 3 3 2" xfId="20637"/>
    <cellStyle name="Normal 7 3 4 3 3 2 2" xfId="43224"/>
    <cellStyle name="Normal 7 3 4 3 3 3" xfId="10977"/>
    <cellStyle name="Normal 7 3 4 3 3 3 2" xfId="33564"/>
    <cellStyle name="Normal 7 3 4 3 3 4" xfId="27124"/>
    <cellStyle name="Normal 7 3 4 3 4" xfId="17417"/>
    <cellStyle name="Normal 7 3 4 3 4 2" xfId="40004"/>
    <cellStyle name="Normal 7 3 4 3 5" xfId="14197"/>
    <cellStyle name="Normal 7 3 4 3 5 2" xfId="36784"/>
    <cellStyle name="Normal 7 3 4 3 6" xfId="7757"/>
    <cellStyle name="Normal 7 3 4 3 6 2" xfId="30344"/>
    <cellStyle name="Normal 7 3 4 3 7" xfId="23904"/>
    <cellStyle name="Normal 7 3 4 4" xfId="1714"/>
    <cellStyle name="Normal 7 3 4 4 2" xfId="4937"/>
    <cellStyle name="Normal 7 3 4 4 2 2" xfId="21037"/>
    <cellStyle name="Normal 7 3 4 4 2 2 2" xfId="43624"/>
    <cellStyle name="Normal 7 3 4 4 2 3" xfId="11377"/>
    <cellStyle name="Normal 7 3 4 4 2 3 2" xfId="33964"/>
    <cellStyle name="Normal 7 3 4 4 2 4" xfId="27524"/>
    <cellStyle name="Normal 7 3 4 4 3" xfId="17817"/>
    <cellStyle name="Normal 7 3 4 4 3 2" xfId="40404"/>
    <cellStyle name="Normal 7 3 4 4 4" xfId="14597"/>
    <cellStyle name="Normal 7 3 4 4 4 2" xfId="37184"/>
    <cellStyle name="Normal 7 3 4 4 5" xfId="8157"/>
    <cellStyle name="Normal 7 3 4 4 5 2" xfId="30744"/>
    <cellStyle name="Normal 7 3 4 4 6" xfId="24304"/>
    <cellStyle name="Normal 7 3 4 5" xfId="1929"/>
    <cellStyle name="Normal 7 3 4 5 2" xfId="5151"/>
    <cellStyle name="Normal 7 3 4 5 2 2" xfId="21251"/>
    <cellStyle name="Normal 7 3 4 5 2 2 2" xfId="43838"/>
    <cellStyle name="Normal 7 3 4 5 2 3" xfId="11591"/>
    <cellStyle name="Normal 7 3 4 5 2 3 2" xfId="34178"/>
    <cellStyle name="Normal 7 3 4 5 2 4" xfId="27738"/>
    <cellStyle name="Normal 7 3 4 5 3" xfId="18031"/>
    <cellStyle name="Normal 7 3 4 5 3 2" xfId="40618"/>
    <cellStyle name="Normal 7 3 4 5 4" xfId="14811"/>
    <cellStyle name="Normal 7 3 4 5 4 2" xfId="37398"/>
    <cellStyle name="Normal 7 3 4 5 5" xfId="8371"/>
    <cellStyle name="Normal 7 3 4 5 5 2" xfId="30958"/>
    <cellStyle name="Normal 7 3 4 5 6" xfId="24518"/>
    <cellStyle name="Normal 7 3 4 6" xfId="3062"/>
    <cellStyle name="Normal 7 3 4 6 2" xfId="6282"/>
    <cellStyle name="Normal 7 3 4 6 2 2" xfId="22382"/>
    <cellStyle name="Normal 7 3 4 6 2 2 2" xfId="44969"/>
    <cellStyle name="Normal 7 3 4 6 2 3" xfId="12722"/>
    <cellStyle name="Normal 7 3 4 6 2 3 2" xfId="35309"/>
    <cellStyle name="Normal 7 3 4 6 2 4" xfId="28869"/>
    <cellStyle name="Normal 7 3 4 6 3" xfId="19162"/>
    <cellStyle name="Normal 7 3 4 6 3 2" xfId="41749"/>
    <cellStyle name="Normal 7 3 4 6 4" xfId="15942"/>
    <cellStyle name="Normal 7 3 4 6 4 2" xfId="38529"/>
    <cellStyle name="Normal 7 3 4 6 5" xfId="9502"/>
    <cellStyle name="Normal 7 3 4 6 5 2" xfId="32089"/>
    <cellStyle name="Normal 7 3 4 6 6" xfId="25649"/>
    <cellStyle name="Normal 7 3 4 7" xfId="3352"/>
    <cellStyle name="Normal 7 3 4 7 2" xfId="6572"/>
    <cellStyle name="Normal 7 3 4 7 2 2" xfId="22672"/>
    <cellStyle name="Normal 7 3 4 7 2 2 2" xfId="45259"/>
    <cellStyle name="Normal 7 3 4 7 2 3" xfId="13012"/>
    <cellStyle name="Normal 7 3 4 7 2 3 2" xfId="35599"/>
    <cellStyle name="Normal 7 3 4 7 2 4" xfId="29159"/>
    <cellStyle name="Normal 7 3 4 7 3" xfId="19452"/>
    <cellStyle name="Normal 7 3 4 7 3 2" xfId="42039"/>
    <cellStyle name="Normal 7 3 4 7 4" xfId="16232"/>
    <cellStyle name="Normal 7 3 4 7 4 2" xfId="38819"/>
    <cellStyle name="Normal 7 3 4 7 5" xfId="9792"/>
    <cellStyle name="Normal 7 3 4 7 5 2" xfId="32379"/>
    <cellStyle name="Normal 7 3 4 7 6" xfId="25939"/>
    <cellStyle name="Normal 7 3 4 8" xfId="571"/>
    <cellStyle name="Normal 7 3 4 8 2" xfId="3843"/>
    <cellStyle name="Normal 7 3 4 8 2 2" xfId="19943"/>
    <cellStyle name="Normal 7 3 4 8 2 2 2" xfId="42530"/>
    <cellStyle name="Normal 7 3 4 8 2 3" xfId="10283"/>
    <cellStyle name="Normal 7 3 4 8 2 3 2" xfId="32870"/>
    <cellStyle name="Normal 7 3 4 8 2 4" xfId="26430"/>
    <cellStyle name="Normal 7 3 4 8 3" xfId="16723"/>
    <cellStyle name="Normal 7 3 4 8 3 2" xfId="39310"/>
    <cellStyle name="Normal 7 3 4 8 4" xfId="13503"/>
    <cellStyle name="Normal 7 3 4 8 4 2" xfId="36090"/>
    <cellStyle name="Normal 7 3 4 8 5" xfId="7063"/>
    <cellStyle name="Normal 7 3 4 8 5 2" xfId="29650"/>
    <cellStyle name="Normal 7 3 4 8 6" xfId="23210"/>
    <cellStyle name="Normal 7 3 4 9" xfId="3642"/>
    <cellStyle name="Normal 7 3 4 9 2" xfId="19742"/>
    <cellStyle name="Normal 7 3 4 9 2 2" xfId="42329"/>
    <cellStyle name="Normal 7 3 4 9 3" xfId="10082"/>
    <cellStyle name="Normal 7 3 4 9 3 2" xfId="32669"/>
    <cellStyle name="Normal 7 3 4 9 4" xfId="26229"/>
    <cellStyle name="Normal 7 3 5" xfId="784"/>
    <cellStyle name="Normal 7 3 5 2" xfId="1136"/>
    <cellStyle name="Normal 7 3 5 2 2" xfId="2450"/>
    <cellStyle name="Normal 7 3 5 2 2 2" xfId="5671"/>
    <cellStyle name="Normal 7 3 5 2 2 2 2" xfId="21771"/>
    <cellStyle name="Normal 7 3 5 2 2 2 2 2" xfId="44358"/>
    <cellStyle name="Normal 7 3 5 2 2 2 3" xfId="12111"/>
    <cellStyle name="Normal 7 3 5 2 2 2 3 2" xfId="34698"/>
    <cellStyle name="Normal 7 3 5 2 2 2 4" xfId="28258"/>
    <cellStyle name="Normal 7 3 5 2 2 3" xfId="18551"/>
    <cellStyle name="Normal 7 3 5 2 2 3 2" xfId="41138"/>
    <cellStyle name="Normal 7 3 5 2 2 4" xfId="15331"/>
    <cellStyle name="Normal 7 3 5 2 2 4 2" xfId="37918"/>
    <cellStyle name="Normal 7 3 5 2 2 5" xfId="8891"/>
    <cellStyle name="Normal 7 3 5 2 2 5 2" xfId="31478"/>
    <cellStyle name="Normal 7 3 5 2 2 6" xfId="25038"/>
    <cellStyle name="Normal 7 3 5 2 3" xfId="4363"/>
    <cellStyle name="Normal 7 3 5 2 3 2" xfId="20463"/>
    <cellStyle name="Normal 7 3 5 2 3 2 2" xfId="43050"/>
    <cellStyle name="Normal 7 3 5 2 3 3" xfId="10803"/>
    <cellStyle name="Normal 7 3 5 2 3 3 2" xfId="33390"/>
    <cellStyle name="Normal 7 3 5 2 3 4" xfId="26950"/>
    <cellStyle name="Normal 7 3 5 2 4" xfId="17243"/>
    <cellStyle name="Normal 7 3 5 2 4 2" xfId="39830"/>
    <cellStyle name="Normal 7 3 5 2 5" xfId="14023"/>
    <cellStyle name="Normal 7 3 5 2 5 2" xfId="36610"/>
    <cellStyle name="Normal 7 3 5 2 6" xfId="7583"/>
    <cellStyle name="Normal 7 3 5 2 6 2" xfId="30170"/>
    <cellStyle name="Normal 7 3 5 2 7" xfId="23730"/>
    <cellStyle name="Normal 7 3 5 3" xfId="1483"/>
    <cellStyle name="Normal 7 3 5 3 2" xfId="2797"/>
    <cellStyle name="Normal 7 3 5 3 2 2" xfId="6018"/>
    <cellStyle name="Normal 7 3 5 3 2 2 2" xfId="22118"/>
    <cellStyle name="Normal 7 3 5 3 2 2 2 2" xfId="44705"/>
    <cellStyle name="Normal 7 3 5 3 2 2 3" xfId="12458"/>
    <cellStyle name="Normal 7 3 5 3 2 2 3 2" xfId="35045"/>
    <cellStyle name="Normal 7 3 5 3 2 2 4" xfId="28605"/>
    <cellStyle name="Normal 7 3 5 3 2 3" xfId="18898"/>
    <cellStyle name="Normal 7 3 5 3 2 3 2" xfId="41485"/>
    <cellStyle name="Normal 7 3 5 3 2 4" xfId="15678"/>
    <cellStyle name="Normal 7 3 5 3 2 4 2" xfId="38265"/>
    <cellStyle name="Normal 7 3 5 3 2 5" xfId="9238"/>
    <cellStyle name="Normal 7 3 5 3 2 5 2" xfId="31825"/>
    <cellStyle name="Normal 7 3 5 3 2 6" xfId="25385"/>
    <cellStyle name="Normal 7 3 5 3 3" xfId="4710"/>
    <cellStyle name="Normal 7 3 5 3 3 2" xfId="20810"/>
    <cellStyle name="Normal 7 3 5 3 3 2 2" xfId="43397"/>
    <cellStyle name="Normal 7 3 5 3 3 3" xfId="11150"/>
    <cellStyle name="Normal 7 3 5 3 3 3 2" xfId="33737"/>
    <cellStyle name="Normal 7 3 5 3 3 4" xfId="27297"/>
    <cellStyle name="Normal 7 3 5 3 4" xfId="17590"/>
    <cellStyle name="Normal 7 3 5 3 4 2" xfId="40177"/>
    <cellStyle name="Normal 7 3 5 3 5" xfId="14370"/>
    <cellStyle name="Normal 7 3 5 3 5 2" xfId="36957"/>
    <cellStyle name="Normal 7 3 5 3 6" xfId="7930"/>
    <cellStyle name="Normal 7 3 5 3 6 2" xfId="30517"/>
    <cellStyle name="Normal 7 3 5 3 7" xfId="24077"/>
    <cellStyle name="Normal 7 3 5 4" xfId="2103"/>
    <cellStyle name="Normal 7 3 5 4 2" xfId="5324"/>
    <cellStyle name="Normal 7 3 5 4 2 2" xfId="21424"/>
    <cellStyle name="Normal 7 3 5 4 2 2 2" xfId="44011"/>
    <cellStyle name="Normal 7 3 5 4 2 3" xfId="11764"/>
    <cellStyle name="Normal 7 3 5 4 2 3 2" xfId="34351"/>
    <cellStyle name="Normal 7 3 5 4 2 4" xfId="27911"/>
    <cellStyle name="Normal 7 3 5 4 3" xfId="18204"/>
    <cellStyle name="Normal 7 3 5 4 3 2" xfId="40791"/>
    <cellStyle name="Normal 7 3 5 4 4" xfId="14984"/>
    <cellStyle name="Normal 7 3 5 4 4 2" xfId="37571"/>
    <cellStyle name="Normal 7 3 5 4 5" xfId="8544"/>
    <cellStyle name="Normal 7 3 5 4 5 2" xfId="31131"/>
    <cellStyle name="Normal 7 3 5 4 6" xfId="24691"/>
    <cellStyle name="Normal 7 3 5 5" xfId="4016"/>
    <cellStyle name="Normal 7 3 5 5 2" xfId="20116"/>
    <cellStyle name="Normal 7 3 5 5 2 2" xfId="42703"/>
    <cellStyle name="Normal 7 3 5 5 3" xfId="10456"/>
    <cellStyle name="Normal 7 3 5 5 3 2" xfId="33043"/>
    <cellStyle name="Normal 7 3 5 5 4" xfId="26603"/>
    <cellStyle name="Normal 7 3 5 6" xfId="16896"/>
    <cellStyle name="Normal 7 3 5 6 2" xfId="39483"/>
    <cellStyle name="Normal 7 3 5 7" xfId="13676"/>
    <cellStyle name="Normal 7 3 5 7 2" xfId="36263"/>
    <cellStyle name="Normal 7 3 5 8" xfId="7236"/>
    <cellStyle name="Normal 7 3 5 8 2" xfId="29823"/>
    <cellStyle name="Normal 7 3 5 9" xfId="23383"/>
    <cellStyle name="Normal 7 3 6" xfId="854"/>
    <cellStyle name="Normal 7 3 6 2" xfId="2173"/>
    <cellStyle name="Normal 7 3 6 2 2" xfId="5394"/>
    <cellStyle name="Normal 7 3 6 2 2 2" xfId="21494"/>
    <cellStyle name="Normal 7 3 6 2 2 2 2" xfId="44081"/>
    <cellStyle name="Normal 7 3 6 2 2 3" xfId="11834"/>
    <cellStyle name="Normal 7 3 6 2 2 3 2" xfId="34421"/>
    <cellStyle name="Normal 7 3 6 2 2 4" xfId="27981"/>
    <cellStyle name="Normal 7 3 6 2 3" xfId="18274"/>
    <cellStyle name="Normal 7 3 6 2 3 2" xfId="40861"/>
    <cellStyle name="Normal 7 3 6 2 4" xfId="15054"/>
    <cellStyle name="Normal 7 3 6 2 4 2" xfId="37641"/>
    <cellStyle name="Normal 7 3 6 2 5" xfId="8614"/>
    <cellStyle name="Normal 7 3 6 2 5 2" xfId="31201"/>
    <cellStyle name="Normal 7 3 6 2 6" xfId="24761"/>
    <cellStyle name="Normal 7 3 6 3" xfId="4086"/>
    <cellStyle name="Normal 7 3 6 3 2" xfId="20186"/>
    <cellStyle name="Normal 7 3 6 3 2 2" xfId="42773"/>
    <cellStyle name="Normal 7 3 6 3 3" xfId="10526"/>
    <cellStyle name="Normal 7 3 6 3 3 2" xfId="33113"/>
    <cellStyle name="Normal 7 3 6 3 4" xfId="26673"/>
    <cellStyle name="Normal 7 3 6 4" xfId="16966"/>
    <cellStyle name="Normal 7 3 6 4 2" xfId="39553"/>
    <cellStyle name="Normal 7 3 6 5" xfId="13746"/>
    <cellStyle name="Normal 7 3 6 5 2" xfId="36333"/>
    <cellStyle name="Normal 7 3 6 6" xfId="7306"/>
    <cellStyle name="Normal 7 3 6 6 2" xfId="29893"/>
    <cellStyle name="Normal 7 3 6 7" xfId="23453"/>
    <cellStyle name="Normal 7 3 7" xfId="1206"/>
    <cellStyle name="Normal 7 3 7 2" xfId="2520"/>
    <cellStyle name="Normal 7 3 7 2 2" xfId="5741"/>
    <cellStyle name="Normal 7 3 7 2 2 2" xfId="21841"/>
    <cellStyle name="Normal 7 3 7 2 2 2 2" xfId="44428"/>
    <cellStyle name="Normal 7 3 7 2 2 3" xfId="12181"/>
    <cellStyle name="Normal 7 3 7 2 2 3 2" xfId="34768"/>
    <cellStyle name="Normal 7 3 7 2 2 4" xfId="28328"/>
    <cellStyle name="Normal 7 3 7 2 3" xfId="18621"/>
    <cellStyle name="Normal 7 3 7 2 3 2" xfId="41208"/>
    <cellStyle name="Normal 7 3 7 2 4" xfId="15401"/>
    <cellStyle name="Normal 7 3 7 2 4 2" xfId="37988"/>
    <cellStyle name="Normal 7 3 7 2 5" xfId="8961"/>
    <cellStyle name="Normal 7 3 7 2 5 2" xfId="31548"/>
    <cellStyle name="Normal 7 3 7 2 6" xfId="25108"/>
    <cellStyle name="Normal 7 3 7 3" xfId="4433"/>
    <cellStyle name="Normal 7 3 7 3 2" xfId="20533"/>
    <cellStyle name="Normal 7 3 7 3 2 2" xfId="43120"/>
    <cellStyle name="Normal 7 3 7 3 3" xfId="10873"/>
    <cellStyle name="Normal 7 3 7 3 3 2" xfId="33460"/>
    <cellStyle name="Normal 7 3 7 3 4" xfId="27020"/>
    <cellStyle name="Normal 7 3 7 4" xfId="17313"/>
    <cellStyle name="Normal 7 3 7 4 2" xfId="39900"/>
    <cellStyle name="Normal 7 3 7 5" xfId="14093"/>
    <cellStyle name="Normal 7 3 7 5 2" xfId="36680"/>
    <cellStyle name="Normal 7 3 7 6" xfId="7653"/>
    <cellStyle name="Normal 7 3 7 6 2" xfId="30240"/>
    <cellStyle name="Normal 7 3 7 7" xfId="23800"/>
    <cellStyle name="Normal 7 3 8" xfId="1715"/>
    <cellStyle name="Normal 7 3 8 2" xfId="4938"/>
    <cellStyle name="Normal 7 3 8 2 2" xfId="21038"/>
    <cellStyle name="Normal 7 3 8 2 2 2" xfId="43625"/>
    <cellStyle name="Normal 7 3 8 2 3" xfId="11378"/>
    <cellStyle name="Normal 7 3 8 2 3 2" xfId="33965"/>
    <cellStyle name="Normal 7 3 8 2 4" xfId="27525"/>
    <cellStyle name="Normal 7 3 8 3" xfId="17818"/>
    <cellStyle name="Normal 7 3 8 3 2" xfId="40405"/>
    <cellStyle name="Normal 7 3 8 4" xfId="14598"/>
    <cellStyle name="Normal 7 3 8 4 2" xfId="37185"/>
    <cellStyle name="Normal 7 3 8 5" xfId="8158"/>
    <cellStyle name="Normal 7 3 8 5 2" xfId="30745"/>
    <cellStyle name="Normal 7 3 8 6" xfId="24305"/>
    <cellStyle name="Normal 7 3 9" xfId="1825"/>
    <cellStyle name="Normal 7 3 9 2" xfId="5047"/>
    <cellStyle name="Normal 7 3 9 2 2" xfId="21147"/>
    <cellStyle name="Normal 7 3 9 2 2 2" xfId="43734"/>
    <cellStyle name="Normal 7 3 9 2 3" xfId="11487"/>
    <cellStyle name="Normal 7 3 9 2 3 2" xfId="34074"/>
    <cellStyle name="Normal 7 3 9 2 4" xfId="27634"/>
    <cellStyle name="Normal 7 3 9 3" xfId="17927"/>
    <cellStyle name="Normal 7 3 9 3 2" xfId="40514"/>
    <cellStyle name="Normal 7 3 9 4" xfId="14707"/>
    <cellStyle name="Normal 7 3 9 4 2" xfId="37294"/>
    <cellStyle name="Normal 7 3 9 5" xfId="8267"/>
    <cellStyle name="Normal 7 3 9 5 2" xfId="30854"/>
    <cellStyle name="Normal 7 3 9 6" xfId="24414"/>
    <cellStyle name="Normal 7 4" xfId="131"/>
    <cellStyle name="Normal 7 4 10" xfId="469"/>
    <cellStyle name="Normal 7 4 10 2" xfId="3756"/>
    <cellStyle name="Normal 7 4 10 2 2" xfId="19856"/>
    <cellStyle name="Normal 7 4 10 2 2 2" xfId="42443"/>
    <cellStyle name="Normal 7 4 10 2 3" xfId="10196"/>
    <cellStyle name="Normal 7 4 10 2 3 2" xfId="32783"/>
    <cellStyle name="Normal 7 4 10 2 4" xfId="26343"/>
    <cellStyle name="Normal 7 4 10 3" xfId="16636"/>
    <cellStyle name="Normal 7 4 10 3 2" xfId="39223"/>
    <cellStyle name="Normal 7 4 10 4" xfId="13416"/>
    <cellStyle name="Normal 7 4 10 4 2" xfId="36003"/>
    <cellStyle name="Normal 7 4 10 5" xfId="6976"/>
    <cellStyle name="Normal 7 4 10 5 2" xfId="29563"/>
    <cellStyle name="Normal 7 4 10 6" xfId="23123"/>
    <cellStyle name="Normal 7 4 11" xfId="3466"/>
    <cellStyle name="Normal 7 4 11 2" xfId="19566"/>
    <cellStyle name="Normal 7 4 11 2 2" xfId="42153"/>
    <cellStyle name="Normal 7 4 11 3" xfId="9906"/>
    <cellStyle name="Normal 7 4 11 3 2" xfId="32493"/>
    <cellStyle name="Normal 7 4 11 4" xfId="26053"/>
    <cellStyle name="Normal 7 4 12" xfId="16346"/>
    <cellStyle name="Normal 7 4 12 2" xfId="38933"/>
    <cellStyle name="Normal 7 4 13" xfId="13126"/>
    <cellStyle name="Normal 7 4 13 2" xfId="35713"/>
    <cellStyle name="Normal 7 4 14" xfId="6686"/>
    <cellStyle name="Normal 7 4 14 2" xfId="29273"/>
    <cellStyle name="Normal 7 4 15" xfId="22833"/>
    <cellStyle name="Normal 7 4 2" xfId="255"/>
    <cellStyle name="Normal 7 4 2 10" xfId="16422"/>
    <cellStyle name="Normal 7 4 2 10 2" xfId="39009"/>
    <cellStyle name="Normal 7 4 2 11" xfId="13202"/>
    <cellStyle name="Normal 7 4 2 11 2" xfId="35789"/>
    <cellStyle name="Normal 7 4 2 12" xfId="6762"/>
    <cellStyle name="Normal 7 4 2 12 2" xfId="29349"/>
    <cellStyle name="Normal 7 4 2 13" xfId="22909"/>
    <cellStyle name="Normal 7 4 2 2" xfId="995"/>
    <cellStyle name="Normal 7 4 2 2 2" xfId="2309"/>
    <cellStyle name="Normal 7 4 2 2 2 2" xfId="5530"/>
    <cellStyle name="Normal 7 4 2 2 2 2 2" xfId="21630"/>
    <cellStyle name="Normal 7 4 2 2 2 2 2 2" xfId="44217"/>
    <cellStyle name="Normal 7 4 2 2 2 2 3" xfId="11970"/>
    <cellStyle name="Normal 7 4 2 2 2 2 3 2" xfId="34557"/>
    <cellStyle name="Normal 7 4 2 2 2 2 4" xfId="28117"/>
    <cellStyle name="Normal 7 4 2 2 2 3" xfId="18410"/>
    <cellStyle name="Normal 7 4 2 2 2 3 2" xfId="40997"/>
    <cellStyle name="Normal 7 4 2 2 2 4" xfId="15190"/>
    <cellStyle name="Normal 7 4 2 2 2 4 2" xfId="37777"/>
    <cellStyle name="Normal 7 4 2 2 2 5" xfId="8750"/>
    <cellStyle name="Normal 7 4 2 2 2 5 2" xfId="31337"/>
    <cellStyle name="Normal 7 4 2 2 2 6" xfId="24897"/>
    <cellStyle name="Normal 7 4 2 2 3" xfId="4222"/>
    <cellStyle name="Normal 7 4 2 2 3 2" xfId="20322"/>
    <cellStyle name="Normal 7 4 2 2 3 2 2" xfId="42909"/>
    <cellStyle name="Normal 7 4 2 2 3 3" xfId="10662"/>
    <cellStyle name="Normal 7 4 2 2 3 3 2" xfId="33249"/>
    <cellStyle name="Normal 7 4 2 2 3 4" xfId="26809"/>
    <cellStyle name="Normal 7 4 2 2 4" xfId="17102"/>
    <cellStyle name="Normal 7 4 2 2 4 2" xfId="39689"/>
    <cellStyle name="Normal 7 4 2 2 5" xfId="13882"/>
    <cellStyle name="Normal 7 4 2 2 5 2" xfId="36469"/>
    <cellStyle name="Normal 7 4 2 2 6" xfId="7442"/>
    <cellStyle name="Normal 7 4 2 2 6 2" xfId="30029"/>
    <cellStyle name="Normal 7 4 2 2 7" xfId="23589"/>
    <cellStyle name="Normal 7 4 2 3" xfId="1342"/>
    <cellStyle name="Normal 7 4 2 3 2" xfId="2656"/>
    <cellStyle name="Normal 7 4 2 3 2 2" xfId="5877"/>
    <cellStyle name="Normal 7 4 2 3 2 2 2" xfId="21977"/>
    <cellStyle name="Normal 7 4 2 3 2 2 2 2" xfId="44564"/>
    <cellStyle name="Normal 7 4 2 3 2 2 3" xfId="12317"/>
    <cellStyle name="Normal 7 4 2 3 2 2 3 2" xfId="34904"/>
    <cellStyle name="Normal 7 4 2 3 2 2 4" xfId="28464"/>
    <cellStyle name="Normal 7 4 2 3 2 3" xfId="18757"/>
    <cellStyle name="Normal 7 4 2 3 2 3 2" xfId="41344"/>
    <cellStyle name="Normal 7 4 2 3 2 4" xfId="15537"/>
    <cellStyle name="Normal 7 4 2 3 2 4 2" xfId="38124"/>
    <cellStyle name="Normal 7 4 2 3 2 5" xfId="9097"/>
    <cellStyle name="Normal 7 4 2 3 2 5 2" xfId="31684"/>
    <cellStyle name="Normal 7 4 2 3 2 6" xfId="25244"/>
    <cellStyle name="Normal 7 4 2 3 3" xfId="4569"/>
    <cellStyle name="Normal 7 4 2 3 3 2" xfId="20669"/>
    <cellStyle name="Normal 7 4 2 3 3 2 2" xfId="43256"/>
    <cellStyle name="Normal 7 4 2 3 3 3" xfId="11009"/>
    <cellStyle name="Normal 7 4 2 3 3 3 2" xfId="33596"/>
    <cellStyle name="Normal 7 4 2 3 3 4" xfId="27156"/>
    <cellStyle name="Normal 7 4 2 3 4" xfId="17449"/>
    <cellStyle name="Normal 7 4 2 3 4 2" xfId="40036"/>
    <cellStyle name="Normal 7 4 2 3 5" xfId="14229"/>
    <cellStyle name="Normal 7 4 2 3 5 2" xfId="36816"/>
    <cellStyle name="Normal 7 4 2 3 6" xfId="7789"/>
    <cellStyle name="Normal 7 4 2 3 6 2" xfId="30376"/>
    <cellStyle name="Normal 7 4 2 3 7" xfId="23936"/>
    <cellStyle name="Normal 7 4 2 4" xfId="1716"/>
    <cellStyle name="Normal 7 4 2 4 2" xfId="4939"/>
    <cellStyle name="Normal 7 4 2 4 2 2" xfId="21039"/>
    <cellStyle name="Normal 7 4 2 4 2 2 2" xfId="43626"/>
    <cellStyle name="Normal 7 4 2 4 2 3" xfId="11379"/>
    <cellStyle name="Normal 7 4 2 4 2 3 2" xfId="33966"/>
    <cellStyle name="Normal 7 4 2 4 2 4" xfId="27526"/>
    <cellStyle name="Normal 7 4 2 4 3" xfId="17819"/>
    <cellStyle name="Normal 7 4 2 4 3 2" xfId="40406"/>
    <cellStyle name="Normal 7 4 2 4 4" xfId="14599"/>
    <cellStyle name="Normal 7 4 2 4 4 2" xfId="37186"/>
    <cellStyle name="Normal 7 4 2 4 5" xfId="8159"/>
    <cellStyle name="Normal 7 4 2 4 5 2" xfId="30746"/>
    <cellStyle name="Normal 7 4 2 4 6" xfId="24306"/>
    <cellStyle name="Normal 7 4 2 5" xfId="1961"/>
    <cellStyle name="Normal 7 4 2 5 2" xfId="5183"/>
    <cellStyle name="Normal 7 4 2 5 2 2" xfId="21283"/>
    <cellStyle name="Normal 7 4 2 5 2 2 2" xfId="43870"/>
    <cellStyle name="Normal 7 4 2 5 2 3" xfId="11623"/>
    <cellStyle name="Normal 7 4 2 5 2 3 2" xfId="34210"/>
    <cellStyle name="Normal 7 4 2 5 2 4" xfId="27770"/>
    <cellStyle name="Normal 7 4 2 5 3" xfId="18063"/>
    <cellStyle name="Normal 7 4 2 5 3 2" xfId="40650"/>
    <cellStyle name="Normal 7 4 2 5 4" xfId="14843"/>
    <cellStyle name="Normal 7 4 2 5 4 2" xfId="37430"/>
    <cellStyle name="Normal 7 4 2 5 5" xfId="8403"/>
    <cellStyle name="Normal 7 4 2 5 5 2" xfId="30990"/>
    <cellStyle name="Normal 7 4 2 5 6" xfId="24550"/>
    <cellStyle name="Normal 7 4 2 6" xfId="2962"/>
    <cellStyle name="Normal 7 4 2 6 2" xfId="6182"/>
    <cellStyle name="Normal 7 4 2 6 2 2" xfId="22282"/>
    <cellStyle name="Normal 7 4 2 6 2 2 2" xfId="44869"/>
    <cellStyle name="Normal 7 4 2 6 2 3" xfId="12622"/>
    <cellStyle name="Normal 7 4 2 6 2 3 2" xfId="35209"/>
    <cellStyle name="Normal 7 4 2 6 2 4" xfId="28769"/>
    <cellStyle name="Normal 7 4 2 6 3" xfId="19062"/>
    <cellStyle name="Normal 7 4 2 6 3 2" xfId="41649"/>
    <cellStyle name="Normal 7 4 2 6 4" xfId="15842"/>
    <cellStyle name="Normal 7 4 2 6 4 2" xfId="38429"/>
    <cellStyle name="Normal 7 4 2 6 5" xfId="9402"/>
    <cellStyle name="Normal 7 4 2 6 5 2" xfId="31989"/>
    <cellStyle name="Normal 7 4 2 6 6" xfId="25549"/>
    <cellStyle name="Normal 7 4 2 7" xfId="3252"/>
    <cellStyle name="Normal 7 4 2 7 2" xfId="6472"/>
    <cellStyle name="Normal 7 4 2 7 2 2" xfId="22572"/>
    <cellStyle name="Normal 7 4 2 7 2 2 2" xfId="45159"/>
    <cellStyle name="Normal 7 4 2 7 2 3" xfId="12912"/>
    <cellStyle name="Normal 7 4 2 7 2 3 2" xfId="35499"/>
    <cellStyle name="Normal 7 4 2 7 2 4" xfId="29059"/>
    <cellStyle name="Normal 7 4 2 7 3" xfId="19352"/>
    <cellStyle name="Normal 7 4 2 7 3 2" xfId="41939"/>
    <cellStyle name="Normal 7 4 2 7 4" xfId="16132"/>
    <cellStyle name="Normal 7 4 2 7 4 2" xfId="38719"/>
    <cellStyle name="Normal 7 4 2 7 5" xfId="9692"/>
    <cellStyle name="Normal 7 4 2 7 5 2" xfId="32279"/>
    <cellStyle name="Normal 7 4 2 7 6" xfId="25839"/>
    <cellStyle name="Normal 7 4 2 8" xfId="631"/>
    <cellStyle name="Normal 7 4 2 8 2" xfId="3875"/>
    <cellStyle name="Normal 7 4 2 8 2 2" xfId="19975"/>
    <cellStyle name="Normal 7 4 2 8 2 2 2" xfId="42562"/>
    <cellStyle name="Normal 7 4 2 8 2 3" xfId="10315"/>
    <cellStyle name="Normal 7 4 2 8 2 3 2" xfId="32902"/>
    <cellStyle name="Normal 7 4 2 8 2 4" xfId="26462"/>
    <cellStyle name="Normal 7 4 2 8 3" xfId="16755"/>
    <cellStyle name="Normal 7 4 2 8 3 2" xfId="39342"/>
    <cellStyle name="Normal 7 4 2 8 4" xfId="13535"/>
    <cellStyle name="Normal 7 4 2 8 4 2" xfId="36122"/>
    <cellStyle name="Normal 7 4 2 8 5" xfId="7095"/>
    <cellStyle name="Normal 7 4 2 8 5 2" xfId="29682"/>
    <cellStyle name="Normal 7 4 2 8 6" xfId="23242"/>
    <cellStyle name="Normal 7 4 2 9" xfId="3542"/>
    <cellStyle name="Normal 7 4 2 9 2" xfId="19642"/>
    <cellStyle name="Normal 7 4 2 9 2 2" xfId="42229"/>
    <cellStyle name="Normal 7 4 2 9 3" xfId="9982"/>
    <cellStyle name="Normal 7 4 2 9 3 2" xfId="32569"/>
    <cellStyle name="Normal 7 4 2 9 4" xfId="26129"/>
    <cellStyle name="Normal 7 4 3" xfId="372"/>
    <cellStyle name="Normal 7 4 3 10" xfId="16539"/>
    <cellStyle name="Normal 7 4 3 10 2" xfId="39126"/>
    <cellStyle name="Normal 7 4 3 11" xfId="13319"/>
    <cellStyle name="Normal 7 4 3 11 2" xfId="35906"/>
    <cellStyle name="Normal 7 4 3 12" xfId="6879"/>
    <cellStyle name="Normal 7 4 3 12 2" xfId="29466"/>
    <cellStyle name="Normal 7 4 3 13" xfId="23026"/>
    <cellStyle name="Normal 7 4 3 2" xfId="1156"/>
    <cellStyle name="Normal 7 4 3 2 2" xfId="2470"/>
    <cellStyle name="Normal 7 4 3 2 2 2" xfId="5691"/>
    <cellStyle name="Normal 7 4 3 2 2 2 2" xfId="21791"/>
    <cellStyle name="Normal 7 4 3 2 2 2 2 2" xfId="44378"/>
    <cellStyle name="Normal 7 4 3 2 2 2 3" xfId="12131"/>
    <cellStyle name="Normal 7 4 3 2 2 2 3 2" xfId="34718"/>
    <cellStyle name="Normal 7 4 3 2 2 2 4" xfId="28278"/>
    <cellStyle name="Normal 7 4 3 2 2 3" xfId="18571"/>
    <cellStyle name="Normal 7 4 3 2 2 3 2" xfId="41158"/>
    <cellStyle name="Normal 7 4 3 2 2 4" xfId="15351"/>
    <cellStyle name="Normal 7 4 3 2 2 4 2" xfId="37938"/>
    <cellStyle name="Normal 7 4 3 2 2 5" xfId="8911"/>
    <cellStyle name="Normal 7 4 3 2 2 5 2" xfId="31498"/>
    <cellStyle name="Normal 7 4 3 2 2 6" xfId="25058"/>
    <cellStyle name="Normal 7 4 3 2 3" xfId="4383"/>
    <cellStyle name="Normal 7 4 3 2 3 2" xfId="20483"/>
    <cellStyle name="Normal 7 4 3 2 3 2 2" xfId="43070"/>
    <cellStyle name="Normal 7 4 3 2 3 3" xfId="10823"/>
    <cellStyle name="Normal 7 4 3 2 3 3 2" xfId="33410"/>
    <cellStyle name="Normal 7 4 3 2 3 4" xfId="26970"/>
    <cellStyle name="Normal 7 4 3 2 4" xfId="17263"/>
    <cellStyle name="Normal 7 4 3 2 4 2" xfId="39850"/>
    <cellStyle name="Normal 7 4 3 2 5" xfId="14043"/>
    <cellStyle name="Normal 7 4 3 2 5 2" xfId="36630"/>
    <cellStyle name="Normal 7 4 3 2 6" xfId="7603"/>
    <cellStyle name="Normal 7 4 3 2 6 2" xfId="30190"/>
    <cellStyle name="Normal 7 4 3 2 7" xfId="23750"/>
    <cellStyle name="Normal 7 4 3 3" xfId="1503"/>
    <cellStyle name="Normal 7 4 3 3 2" xfId="2817"/>
    <cellStyle name="Normal 7 4 3 3 2 2" xfId="6038"/>
    <cellStyle name="Normal 7 4 3 3 2 2 2" xfId="22138"/>
    <cellStyle name="Normal 7 4 3 3 2 2 2 2" xfId="44725"/>
    <cellStyle name="Normal 7 4 3 3 2 2 3" xfId="12478"/>
    <cellStyle name="Normal 7 4 3 3 2 2 3 2" xfId="35065"/>
    <cellStyle name="Normal 7 4 3 3 2 2 4" xfId="28625"/>
    <cellStyle name="Normal 7 4 3 3 2 3" xfId="18918"/>
    <cellStyle name="Normal 7 4 3 3 2 3 2" xfId="41505"/>
    <cellStyle name="Normal 7 4 3 3 2 4" xfId="15698"/>
    <cellStyle name="Normal 7 4 3 3 2 4 2" xfId="38285"/>
    <cellStyle name="Normal 7 4 3 3 2 5" xfId="9258"/>
    <cellStyle name="Normal 7 4 3 3 2 5 2" xfId="31845"/>
    <cellStyle name="Normal 7 4 3 3 2 6" xfId="25405"/>
    <cellStyle name="Normal 7 4 3 3 3" xfId="4730"/>
    <cellStyle name="Normal 7 4 3 3 3 2" xfId="20830"/>
    <cellStyle name="Normal 7 4 3 3 3 2 2" xfId="43417"/>
    <cellStyle name="Normal 7 4 3 3 3 3" xfId="11170"/>
    <cellStyle name="Normal 7 4 3 3 3 3 2" xfId="33757"/>
    <cellStyle name="Normal 7 4 3 3 3 4" xfId="27317"/>
    <cellStyle name="Normal 7 4 3 3 4" xfId="17610"/>
    <cellStyle name="Normal 7 4 3 3 4 2" xfId="40197"/>
    <cellStyle name="Normal 7 4 3 3 5" xfId="14390"/>
    <cellStyle name="Normal 7 4 3 3 5 2" xfId="36977"/>
    <cellStyle name="Normal 7 4 3 3 6" xfId="7950"/>
    <cellStyle name="Normal 7 4 3 3 6 2" xfId="30537"/>
    <cellStyle name="Normal 7 4 3 3 7" xfId="24097"/>
    <cellStyle name="Normal 7 4 3 4" xfId="1717"/>
    <cellStyle name="Normal 7 4 3 4 2" xfId="4940"/>
    <cellStyle name="Normal 7 4 3 4 2 2" xfId="21040"/>
    <cellStyle name="Normal 7 4 3 4 2 2 2" xfId="43627"/>
    <cellStyle name="Normal 7 4 3 4 2 3" xfId="11380"/>
    <cellStyle name="Normal 7 4 3 4 2 3 2" xfId="33967"/>
    <cellStyle name="Normal 7 4 3 4 2 4" xfId="27527"/>
    <cellStyle name="Normal 7 4 3 4 3" xfId="17820"/>
    <cellStyle name="Normal 7 4 3 4 3 2" xfId="40407"/>
    <cellStyle name="Normal 7 4 3 4 4" xfId="14600"/>
    <cellStyle name="Normal 7 4 3 4 4 2" xfId="37187"/>
    <cellStyle name="Normal 7 4 3 4 5" xfId="8160"/>
    <cellStyle name="Normal 7 4 3 4 5 2" xfId="30747"/>
    <cellStyle name="Normal 7 4 3 4 6" xfId="24307"/>
    <cellStyle name="Normal 7 4 3 5" xfId="2123"/>
    <cellStyle name="Normal 7 4 3 5 2" xfId="5344"/>
    <cellStyle name="Normal 7 4 3 5 2 2" xfId="21444"/>
    <cellStyle name="Normal 7 4 3 5 2 2 2" xfId="44031"/>
    <cellStyle name="Normal 7 4 3 5 2 3" xfId="11784"/>
    <cellStyle name="Normal 7 4 3 5 2 3 2" xfId="34371"/>
    <cellStyle name="Normal 7 4 3 5 2 4" xfId="27931"/>
    <cellStyle name="Normal 7 4 3 5 3" xfId="18224"/>
    <cellStyle name="Normal 7 4 3 5 3 2" xfId="40811"/>
    <cellStyle name="Normal 7 4 3 5 4" xfId="15004"/>
    <cellStyle name="Normal 7 4 3 5 4 2" xfId="37591"/>
    <cellStyle name="Normal 7 4 3 5 5" xfId="8564"/>
    <cellStyle name="Normal 7 4 3 5 5 2" xfId="31151"/>
    <cellStyle name="Normal 7 4 3 5 6" xfId="24711"/>
    <cellStyle name="Normal 7 4 3 6" xfId="3079"/>
    <cellStyle name="Normal 7 4 3 6 2" xfId="6299"/>
    <cellStyle name="Normal 7 4 3 6 2 2" xfId="22399"/>
    <cellStyle name="Normal 7 4 3 6 2 2 2" xfId="44986"/>
    <cellStyle name="Normal 7 4 3 6 2 3" xfId="12739"/>
    <cellStyle name="Normal 7 4 3 6 2 3 2" xfId="35326"/>
    <cellStyle name="Normal 7 4 3 6 2 4" xfId="28886"/>
    <cellStyle name="Normal 7 4 3 6 3" xfId="19179"/>
    <cellStyle name="Normal 7 4 3 6 3 2" xfId="41766"/>
    <cellStyle name="Normal 7 4 3 6 4" xfId="15959"/>
    <cellStyle name="Normal 7 4 3 6 4 2" xfId="38546"/>
    <cellStyle name="Normal 7 4 3 6 5" xfId="9519"/>
    <cellStyle name="Normal 7 4 3 6 5 2" xfId="32106"/>
    <cellStyle name="Normal 7 4 3 6 6" xfId="25666"/>
    <cellStyle name="Normal 7 4 3 7" xfId="3369"/>
    <cellStyle name="Normal 7 4 3 7 2" xfId="6589"/>
    <cellStyle name="Normal 7 4 3 7 2 2" xfId="22689"/>
    <cellStyle name="Normal 7 4 3 7 2 2 2" xfId="45276"/>
    <cellStyle name="Normal 7 4 3 7 2 3" xfId="13029"/>
    <cellStyle name="Normal 7 4 3 7 2 3 2" xfId="35616"/>
    <cellStyle name="Normal 7 4 3 7 2 4" xfId="29176"/>
    <cellStyle name="Normal 7 4 3 7 3" xfId="19469"/>
    <cellStyle name="Normal 7 4 3 7 3 2" xfId="42056"/>
    <cellStyle name="Normal 7 4 3 7 4" xfId="16249"/>
    <cellStyle name="Normal 7 4 3 7 4 2" xfId="38836"/>
    <cellStyle name="Normal 7 4 3 7 5" xfId="9809"/>
    <cellStyle name="Normal 7 4 3 7 5 2" xfId="32396"/>
    <cellStyle name="Normal 7 4 3 7 6" xfId="25956"/>
    <cellStyle name="Normal 7 4 3 8" xfId="804"/>
    <cellStyle name="Normal 7 4 3 8 2" xfId="4036"/>
    <cellStyle name="Normal 7 4 3 8 2 2" xfId="20136"/>
    <cellStyle name="Normal 7 4 3 8 2 2 2" xfId="42723"/>
    <cellStyle name="Normal 7 4 3 8 2 3" xfId="10476"/>
    <cellStyle name="Normal 7 4 3 8 2 3 2" xfId="33063"/>
    <cellStyle name="Normal 7 4 3 8 2 4" xfId="26623"/>
    <cellStyle name="Normal 7 4 3 8 3" xfId="16916"/>
    <cellStyle name="Normal 7 4 3 8 3 2" xfId="39503"/>
    <cellStyle name="Normal 7 4 3 8 4" xfId="13696"/>
    <cellStyle name="Normal 7 4 3 8 4 2" xfId="36283"/>
    <cellStyle name="Normal 7 4 3 8 5" xfId="7256"/>
    <cellStyle name="Normal 7 4 3 8 5 2" xfId="29843"/>
    <cellStyle name="Normal 7 4 3 8 6" xfId="23403"/>
    <cellStyle name="Normal 7 4 3 9" xfId="3659"/>
    <cellStyle name="Normal 7 4 3 9 2" xfId="19759"/>
    <cellStyle name="Normal 7 4 3 9 2 2" xfId="42346"/>
    <cellStyle name="Normal 7 4 3 9 3" xfId="10099"/>
    <cellStyle name="Normal 7 4 3 9 3 2" xfId="32686"/>
    <cellStyle name="Normal 7 4 3 9 4" xfId="26246"/>
    <cellStyle name="Normal 7 4 4" xfId="871"/>
    <cellStyle name="Normal 7 4 4 2" xfId="2190"/>
    <cellStyle name="Normal 7 4 4 2 2" xfId="5411"/>
    <cellStyle name="Normal 7 4 4 2 2 2" xfId="21511"/>
    <cellStyle name="Normal 7 4 4 2 2 2 2" xfId="44098"/>
    <cellStyle name="Normal 7 4 4 2 2 3" xfId="11851"/>
    <cellStyle name="Normal 7 4 4 2 2 3 2" xfId="34438"/>
    <cellStyle name="Normal 7 4 4 2 2 4" xfId="27998"/>
    <cellStyle name="Normal 7 4 4 2 3" xfId="18291"/>
    <cellStyle name="Normal 7 4 4 2 3 2" xfId="40878"/>
    <cellStyle name="Normal 7 4 4 2 4" xfId="15071"/>
    <cellStyle name="Normal 7 4 4 2 4 2" xfId="37658"/>
    <cellStyle name="Normal 7 4 4 2 5" xfId="8631"/>
    <cellStyle name="Normal 7 4 4 2 5 2" xfId="31218"/>
    <cellStyle name="Normal 7 4 4 2 6" xfId="24778"/>
    <cellStyle name="Normal 7 4 4 3" xfId="4103"/>
    <cellStyle name="Normal 7 4 4 3 2" xfId="20203"/>
    <cellStyle name="Normal 7 4 4 3 2 2" xfId="42790"/>
    <cellStyle name="Normal 7 4 4 3 3" xfId="10543"/>
    <cellStyle name="Normal 7 4 4 3 3 2" xfId="33130"/>
    <cellStyle name="Normal 7 4 4 3 4" xfId="26690"/>
    <cellStyle name="Normal 7 4 4 4" xfId="16983"/>
    <cellStyle name="Normal 7 4 4 4 2" xfId="39570"/>
    <cellStyle name="Normal 7 4 4 5" xfId="13763"/>
    <cellStyle name="Normal 7 4 4 5 2" xfId="36350"/>
    <cellStyle name="Normal 7 4 4 6" xfId="7323"/>
    <cellStyle name="Normal 7 4 4 6 2" xfId="29910"/>
    <cellStyle name="Normal 7 4 4 7" xfId="23470"/>
    <cellStyle name="Normal 7 4 5" xfId="1223"/>
    <cellStyle name="Normal 7 4 5 2" xfId="2537"/>
    <cellStyle name="Normal 7 4 5 2 2" xfId="5758"/>
    <cellStyle name="Normal 7 4 5 2 2 2" xfId="21858"/>
    <cellStyle name="Normal 7 4 5 2 2 2 2" xfId="44445"/>
    <cellStyle name="Normal 7 4 5 2 2 3" xfId="12198"/>
    <cellStyle name="Normal 7 4 5 2 2 3 2" xfId="34785"/>
    <cellStyle name="Normal 7 4 5 2 2 4" xfId="28345"/>
    <cellStyle name="Normal 7 4 5 2 3" xfId="18638"/>
    <cellStyle name="Normal 7 4 5 2 3 2" xfId="41225"/>
    <cellStyle name="Normal 7 4 5 2 4" xfId="15418"/>
    <cellStyle name="Normal 7 4 5 2 4 2" xfId="38005"/>
    <cellStyle name="Normal 7 4 5 2 5" xfId="8978"/>
    <cellStyle name="Normal 7 4 5 2 5 2" xfId="31565"/>
    <cellStyle name="Normal 7 4 5 2 6" xfId="25125"/>
    <cellStyle name="Normal 7 4 5 3" xfId="4450"/>
    <cellStyle name="Normal 7 4 5 3 2" xfId="20550"/>
    <cellStyle name="Normal 7 4 5 3 2 2" xfId="43137"/>
    <cellStyle name="Normal 7 4 5 3 3" xfId="10890"/>
    <cellStyle name="Normal 7 4 5 3 3 2" xfId="33477"/>
    <cellStyle name="Normal 7 4 5 3 4" xfId="27037"/>
    <cellStyle name="Normal 7 4 5 4" xfId="17330"/>
    <cellStyle name="Normal 7 4 5 4 2" xfId="39917"/>
    <cellStyle name="Normal 7 4 5 5" xfId="14110"/>
    <cellStyle name="Normal 7 4 5 5 2" xfId="36697"/>
    <cellStyle name="Normal 7 4 5 6" xfId="7670"/>
    <cellStyle name="Normal 7 4 5 6 2" xfId="30257"/>
    <cellStyle name="Normal 7 4 5 7" xfId="23817"/>
    <cellStyle name="Normal 7 4 6" xfId="1718"/>
    <cellStyle name="Normal 7 4 6 2" xfId="4941"/>
    <cellStyle name="Normal 7 4 6 2 2" xfId="21041"/>
    <cellStyle name="Normal 7 4 6 2 2 2" xfId="43628"/>
    <cellStyle name="Normal 7 4 6 2 3" xfId="11381"/>
    <cellStyle name="Normal 7 4 6 2 3 2" xfId="33968"/>
    <cellStyle name="Normal 7 4 6 2 4" xfId="27528"/>
    <cellStyle name="Normal 7 4 6 3" xfId="17821"/>
    <cellStyle name="Normal 7 4 6 3 2" xfId="40408"/>
    <cellStyle name="Normal 7 4 6 4" xfId="14601"/>
    <cellStyle name="Normal 7 4 6 4 2" xfId="37188"/>
    <cellStyle name="Normal 7 4 6 5" xfId="8161"/>
    <cellStyle name="Normal 7 4 6 5 2" xfId="30748"/>
    <cellStyle name="Normal 7 4 6 6" xfId="24308"/>
    <cellStyle name="Normal 7 4 7" xfId="1842"/>
    <cellStyle name="Normal 7 4 7 2" xfId="5064"/>
    <cellStyle name="Normal 7 4 7 2 2" xfId="21164"/>
    <cellStyle name="Normal 7 4 7 2 2 2" xfId="43751"/>
    <cellStyle name="Normal 7 4 7 2 3" xfId="11504"/>
    <cellStyle name="Normal 7 4 7 2 3 2" xfId="34091"/>
    <cellStyle name="Normal 7 4 7 2 4" xfId="27651"/>
    <cellStyle name="Normal 7 4 7 3" xfId="17944"/>
    <cellStyle name="Normal 7 4 7 3 2" xfId="40531"/>
    <cellStyle name="Normal 7 4 7 4" xfId="14724"/>
    <cellStyle name="Normal 7 4 7 4 2" xfId="37311"/>
    <cellStyle name="Normal 7 4 7 5" xfId="8284"/>
    <cellStyle name="Normal 7 4 7 5 2" xfId="30871"/>
    <cellStyle name="Normal 7 4 7 6" xfId="24431"/>
    <cellStyle name="Normal 7 4 8" xfId="2885"/>
    <cellStyle name="Normal 7 4 8 2" xfId="6106"/>
    <cellStyle name="Normal 7 4 8 2 2" xfId="22206"/>
    <cellStyle name="Normal 7 4 8 2 2 2" xfId="44793"/>
    <cellStyle name="Normal 7 4 8 2 3" xfId="12546"/>
    <cellStyle name="Normal 7 4 8 2 3 2" xfId="35133"/>
    <cellStyle name="Normal 7 4 8 2 4" xfId="28693"/>
    <cellStyle name="Normal 7 4 8 3" xfId="18986"/>
    <cellStyle name="Normal 7 4 8 3 2" xfId="41573"/>
    <cellStyle name="Normal 7 4 8 4" xfId="15766"/>
    <cellStyle name="Normal 7 4 8 4 2" xfId="38353"/>
    <cellStyle name="Normal 7 4 8 5" xfId="9326"/>
    <cellStyle name="Normal 7 4 8 5 2" xfId="31913"/>
    <cellStyle name="Normal 7 4 8 6" xfId="25473"/>
    <cellStyle name="Normal 7 4 9" xfId="3176"/>
    <cellStyle name="Normal 7 4 9 2" xfId="6396"/>
    <cellStyle name="Normal 7 4 9 2 2" xfId="22496"/>
    <cellStyle name="Normal 7 4 9 2 2 2" xfId="45083"/>
    <cellStyle name="Normal 7 4 9 2 3" xfId="12836"/>
    <cellStyle name="Normal 7 4 9 2 3 2" xfId="35423"/>
    <cellStyle name="Normal 7 4 9 2 4" xfId="28983"/>
    <cellStyle name="Normal 7 4 9 3" xfId="19276"/>
    <cellStyle name="Normal 7 4 9 3 2" xfId="41863"/>
    <cellStyle name="Normal 7 4 9 4" xfId="16056"/>
    <cellStyle name="Normal 7 4 9 4 2" xfId="38643"/>
    <cellStyle name="Normal 7 4 9 5" xfId="9616"/>
    <cellStyle name="Normal 7 4 9 5 2" xfId="32203"/>
    <cellStyle name="Normal 7 4 9 6" xfId="25763"/>
    <cellStyle name="Normal 7 5" xfId="222"/>
    <cellStyle name="Normal 7 5 10" xfId="509"/>
    <cellStyle name="Normal 7 5 10 2" xfId="3796"/>
    <cellStyle name="Normal 7 5 10 2 2" xfId="19896"/>
    <cellStyle name="Normal 7 5 10 2 2 2" xfId="42483"/>
    <cellStyle name="Normal 7 5 10 2 3" xfId="10236"/>
    <cellStyle name="Normal 7 5 10 2 3 2" xfId="32823"/>
    <cellStyle name="Normal 7 5 10 2 4" xfId="26383"/>
    <cellStyle name="Normal 7 5 10 3" xfId="16676"/>
    <cellStyle name="Normal 7 5 10 3 2" xfId="39263"/>
    <cellStyle name="Normal 7 5 10 4" xfId="13456"/>
    <cellStyle name="Normal 7 5 10 4 2" xfId="36043"/>
    <cellStyle name="Normal 7 5 10 5" xfId="7016"/>
    <cellStyle name="Normal 7 5 10 5 2" xfId="29603"/>
    <cellStyle name="Normal 7 5 10 6" xfId="23163"/>
    <cellStyle name="Normal 7 5 11" xfId="3510"/>
    <cellStyle name="Normal 7 5 11 2" xfId="19610"/>
    <cellStyle name="Normal 7 5 11 2 2" xfId="42197"/>
    <cellStyle name="Normal 7 5 11 3" xfId="9950"/>
    <cellStyle name="Normal 7 5 11 3 2" xfId="32537"/>
    <cellStyle name="Normal 7 5 11 4" xfId="26097"/>
    <cellStyle name="Normal 7 5 12" xfId="16390"/>
    <cellStyle name="Normal 7 5 12 2" xfId="38977"/>
    <cellStyle name="Normal 7 5 13" xfId="13170"/>
    <cellStyle name="Normal 7 5 13 2" xfId="35757"/>
    <cellStyle name="Normal 7 5 14" xfId="6730"/>
    <cellStyle name="Normal 7 5 14 2" xfId="29317"/>
    <cellStyle name="Normal 7 5 15" xfId="22877"/>
    <cellStyle name="Normal 7 5 2" xfId="320"/>
    <cellStyle name="Normal 7 5 2 10" xfId="16487"/>
    <cellStyle name="Normal 7 5 2 10 2" xfId="39074"/>
    <cellStyle name="Normal 7 5 2 11" xfId="13267"/>
    <cellStyle name="Normal 7 5 2 11 2" xfId="35854"/>
    <cellStyle name="Normal 7 5 2 12" xfId="6827"/>
    <cellStyle name="Normal 7 5 2 12 2" xfId="29414"/>
    <cellStyle name="Normal 7 5 2 13" xfId="22974"/>
    <cellStyle name="Normal 7 5 2 2" xfId="1032"/>
    <cellStyle name="Normal 7 5 2 2 2" xfId="2346"/>
    <cellStyle name="Normal 7 5 2 2 2 2" xfId="5567"/>
    <cellStyle name="Normal 7 5 2 2 2 2 2" xfId="21667"/>
    <cellStyle name="Normal 7 5 2 2 2 2 2 2" xfId="44254"/>
    <cellStyle name="Normal 7 5 2 2 2 2 3" xfId="12007"/>
    <cellStyle name="Normal 7 5 2 2 2 2 3 2" xfId="34594"/>
    <cellStyle name="Normal 7 5 2 2 2 2 4" xfId="28154"/>
    <cellStyle name="Normal 7 5 2 2 2 3" xfId="18447"/>
    <cellStyle name="Normal 7 5 2 2 2 3 2" xfId="41034"/>
    <cellStyle name="Normal 7 5 2 2 2 4" xfId="15227"/>
    <cellStyle name="Normal 7 5 2 2 2 4 2" xfId="37814"/>
    <cellStyle name="Normal 7 5 2 2 2 5" xfId="8787"/>
    <cellStyle name="Normal 7 5 2 2 2 5 2" xfId="31374"/>
    <cellStyle name="Normal 7 5 2 2 2 6" xfId="24934"/>
    <cellStyle name="Normal 7 5 2 2 3" xfId="4259"/>
    <cellStyle name="Normal 7 5 2 2 3 2" xfId="20359"/>
    <cellStyle name="Normal 7 5 2 2 3 2 2" xfId="42946"/>
    <cellStyle name="Normal 7 5 2 2 3 3" xfId="10699"/>
    <cellStyle name="Normal 7 5 2 2 3 3 2" xfId="33286"/>
    <cellStyle name="Normal 7 5 2 2 3 4" xfId="26846"/>
    <cellStyle name="Normal 7 5 2 2 4" xfId="17139"/>
    <cellStyle name="Normal 7 5 2 2 4 2" xfId="39726"/>
    <cellStyle name="Normal 7 5 2 2 5" xfId="13919"/>
    <cellStyle name="Normal 7 5 2 2 5 2" xfId="36506"/>
    <cellStyle name="Normal 7 5 2 2 6" xfId="7479"/>
    <cellStyle name="Normal 7 5 2 2 6 2" xfId="30066"/>
    <cellStyle name="Normal 7 5 2 2 7" xfId="23626"/>
    <cellStyle name="Normal 7 5 2 3" xfId="1379"/>
    <cellStyle name="Normal 7 5 2 3 2" xfId="2693"/>
    <cellStyle name="Normal 7 5 2 3 2 2" xfId="5914"/>
    <cellStyle name="Normal 7 5 2 3 2 2 2" xfId="22014"/>
    <cellStyle name="Normal 7 5 2 3 2 2 2 2" xfId="44601"/>
    <cellStyle name="Normal 7 5 2 3 2 2 3" xfId="12354"/>
    <cellStyle name="Normal 7 5 2 3 2 2 3 2" xfId="34941"/>
    <cellStyle name="Normal 7 5 2 3 2 2 4" xfId="28501"/>
    <cellStyle name="Normal 7 5 2 3 2 3" xfId="18794"/>
    <cellStyle name="Normal 7 5 2 3 2 3 2" xfId="41381"/>
    <cellStyle name="Normal 7 5 2 3 2 4" xfId="15574"/>
    <cellStyle name="Normal 7 5 2 3 2 4 2" xfId="38161"/>
    <cellStyle name="Normal 7 5 2 3 2 5" xfId="9134"/>
    <cellStyle name="Normal 7 5 2 3 2 5 2" xfId="31721"/>
    <cellStyle name="Normal 7 5 2 3 2 6" xfId="25281"/>
    <cellStyle name="Normal 7 5 2 3 3" xfId="4606"/>
    <cellStyle name="Normal 7 5 2 3 3 2" xfId="20706"/>
    <cellStyle name="Normal 7 5 2 3 3 2 2" xfId="43293"/>
    <cellStyle name="Normal 7 5 2 3 3 3" xfId="11046"/>
    <cellStyle name="Normal 7 5 2 3 3 3 2" xfId="33633"/>
    <cellStyle name="Normal 7 5 2 3 3 4" xfId="27193"/>
    <cellStyle name="Normal 7 5 2 3 4" xfId="17486"/>
    <cellStyle name="Normal 7 5 2 3 4 2" xfId="40073"/>
    <cellStyle name="Normal 7 5 2 3 5" xfId="14266"/>
    <cellStyle name="Normal 7 5 2 3 5 2" xfId="36853"/>
    <cellStyle name="Normal 7 5 2 3 6" xfId="7826"/>
    <cellStyle name="Normal 7 5 2 3 6 2" xfId="30413"/>
    <cellStyle name="Normal 7 5 2 3 7" xfId="23973"/>
    <cellStyle name="Normal 7 5 2 4" xfId="1719"/>
    <cellStyle name="Normal 7 5 2 4 2" xfId="4942"/>
    <cellStyle name="Normal 7 5 2 4 2 2" xfId="21042"/>
    <cellStyle name="Normal 7 5 2 4 2 2 2" xfId="43629"/>
    <cellStyle name="Normal 7 5 2 4 2 3" xfId="11382"/>
    <cellStyle name="Normal 7 5 2 4 2 3 2" xfId="33969"/>
    <cellStyle name="Normal 7 5 2 4 2 4" xfId="27529"/>
    <cellStyle name="Normal 7 5 2 4 3" xfId="17822"/>
    <cellStyle name="Normal 7 5 2 4 3 2" xfId="40409"/>
    <cellStyle name="Normal 7 5 2 4 4" xfId="14602"/>
    <cellStyle name="Normal 7 5 2 4 4 2" xfId="37189"/>
    <cellStyle name="Normal 7 5 2 4 5" xfId="8162"/>
    <cellStyle name="Normal 7 5 2 4 5 2" xfId="30749"/>
    <cellStyle name="Normal 7 5 2 4 6" xfId="24309"/>
    <cellStyle name="Normal 7 5 2 5" xfId="1998"/>
    <cellStyle name="Normal 7 5 2 5 2" xfId="5220"/>
    <cellStyle name="Normal 7 5 2 5 2 2" xfId="21320"/>
    <cellStyle name="Normal 7 5 2 5 2 2 2" xfId="43907"/>
    <cellStyle name="Normal 7 5 2 5 2 3" xfId="11660"/>
    <cellStyle name="Normal 7 5 2 5 2 3 2" xfId="34247"/>
    <cellStyle name="Normal 7 5 2 5 2 4" xfId="27807"/>
    <cellStyle name="Normal 7 5 2 5 3" xfId="18100"/>
    <cellStyle name="Normal 7 5 2 5 3 2" xfId="40687"/>
    <cellStyle name="Normal 7 5 2 5 4" xfId="14880"/>
    <cellStyle name="Normal 7 5 2 5 4 2" xfId="37467"/>
    <cellStyle name="Normal 7 5 2 5 5" xfId="8440"/>
    <cellStyle name="Normal 7 5 2 5 5 2" xfId="31027"/>
    <cellStyle name="Normal 7 5 2 5 6" xfId="24587"/>
    <cellStyle name="Normal 7 5 2 6" xfId="3027"/>
    <cellStyle name="Normal 7 5 2 6 2" xfId="6247"/>
    <cellStyle name="Normal 7 5 2 6 2 2" xfId="22347"/>
    <cellStyle name="Normal 7 5 2 6 2 2 2" xfId="44934"/>
    <cellStyle name="Normal 7 5 2 6 2 3" xfId="12687"/>
    <cellStyle name="Normal 7 5 2 6 2 3 2" xfId="35274"/>
    <cellStyle name="Normal 7 5 2 6 2 4" xfId="28834"/>
    <cellStyle name="Normal 7 5 2 6 3" xfId="19127"/>
    <cellStyle name="Normal 7 5 2 6 3 2" xfId="41714"/>
    <cellStyle name="Normal 7 5 2 6 4" xfId="15907"/>
    <cellStyle name="Normal 7 5 2 6 4 2" xfId="38494"/>
    <cellStyle name="Normal 7 5 2 6 5" xfId="9467"/>
    <cellStyle name="Normal 7 5 2 6 5 2" xfId="32054"/>
    <cellStyle name="Normal 7 5 2 6 6" xfId="25614"/>
    <cellStyle name="Normal 7 5 2 7" xfId="3317"/>
    <cellStyle name="Normal 7 5 2 7 2" xfId="6537"/>
    <cellStyle name="Normal 7 5 2 7 2 2" xfId="22637"/>
    <cellStyle name="Normal 7 5 2 7 2 2 2" xfId="45224"/>
    <cellStyle name="Normal 7 5 2 7 2 3" xfId="12977"/>
    <cellStyle name="Normal 7 5 2 7 2 3 2" xfId="35564"/>
    <cellStyle name="Normal 7 5 2 7 2 4" xfId="29124"/>
    <cellStyle name="Normal 7 5 2 7 3" xfId="19417"/>
    <cellStyle name="Normal 7 5 2 7 3 2" xfId="42004"/>
    <cellStyle name="Normal 7 5 2 7 4" xfId="16197"/>
    <cellStyle name="Normal 7 5 2 7 4 2" xfId="38784"/>
    <cellStyle name="Normal 7 5 2 7 5" xfId="9757"/>
    <cellStyle name="Normal 7 5 2 7 5 2" xfId="32344"/>
    <cellStyle name="Normal 7 5 2 7 6" xfId="25904"/>
    <cellStyle name="Normal 7 5 2 8" xfId="668"/>
    <cellStyle name="Normal 7 5 2 8 2" xfId="3912"/>
    <cellStyle name="Normal 7 5 2 8 2 2" xfId="20012"/>
    <cellStyle name="Normal 7 5 2 8 2 2 2" xfId="42599"/>
    <cellStyle name="Normal 7 5 2 8 2 3" xfId="10352"/>
    <cellStyle name="Normal 7 5 2 8 2 3 2" xfId="32939"/>
    <cellStyle name="Normal 7 5 2 8 2 4" xfId="26499"/>
    <cellStyle name="Normal 7 5 2 8 3" xfId="16792"/>
    <cellStyle name="Normal 7 5 2 8 3 2" xfId="39379"/>
    <cellStyle name="Normal 7 5 2 8 4" xfId="13572"/>
    <cellStyle name="Normal 7 5 2 8 4 2" xfId="36159"/>
    <cellStyle name="Normal 7 5 2 8 5" xfId="7132"/>
    <cellStyle name="Normal 7 5 2 8 5 2" xfId="29719"/>
    <cellStyle name="Normal 7 5 2 8 6" xfId="23279"/>
    <cellStyle name="Normal 7 5 2 9" xfId="3607"/>
    <cellStyle name="Normal 7 5 2 9 2" xfId="19707"/>
    <cellStyle name="Normal 7 5 2 9 2 2" xfId="42294"/>
    <cellStyle name="Normal 7 5 2 9 3" xfId="10047"/>
    <cellStyle name="Normal 7 5 2 9 3 2" xfId="32634"/>
    <cellStyle name="Normal 7 5 2 9 4" xfId="26194"/>
    <cellStyle name="Normal 7 5 3" xfId="416"/>
    <cellStyle name="Normal 7 5 3 10" xfId="16583"/>
    <cellStyle name="Normal 7 5 3 10 2" xfId="39170"/>
    <cellStyle name="Normal 7 5 3 11" xfId="13363"/>
    <cellStyle name="Normal 7 5 3 11 2" xfId="35950"/>
    <cellStyle name="Normal 7 5 3 12" xfId="6923"/>
    <cellStyle name="Normal 7 5 3 12 2" xfId="29510"/>
    <cellStyle name="Normal 7 5 3 13" xfId="23070"/>
    <cellStyle name="Normal 7 5 3 2" xfId="1116"/>
    <cellStyle name="Normal 7 5 3 2 2" xfId="2430"/>
    <cellStyle name="Normal 7 5 3 2 2 2" xfId="5651"/>
    <cellStyle name="Normal 7 5 3 2 2 2 2" xfId="21751"/>
    <cellStyle name="Normal 7 5 3 2 2 2 2 2" xfId="44338"/>
    <cellStyle name="Normal 7 5 3 2 2 2 3" xfId="12091"/>
    <cellStyle name="Normal 7 5 3 2 2 2 3 2" xfId="34678"/>
    <cellStyle name="Normal 7 5 3 2 2 2 4" xfId="28238"/>
    <cellStyle name="Normal 7 5 3 2 2 3" xfId="18531"/>
    <cellStyle name="Normal 7 5 3 2 2 3 2" xfId="41118"/>
    <cellStyle name="Normal 7 5 3 2 2 4" xfId="15311"/>
    <cellStyle name="Normal 7 5 3 2 2 4 2" xfId="37898"/>
    <cellStyle name="Normal 7 5 3 2 2 5" xfId="8871"/>
    <cellStyle name="Normal 7 5 3 2 2 5 2" xfId="31458"/>
    <cellStyle name="Normal 7 5 3 2 2 6" xfId="25018"/>
    <cellStyle name="Normal 7 5 3 2 3" xfId="4343"/>
    <cellStyle name="Normal 7 5 3 2 3 2" xfId="20443"/>
    <cellStyle name="Normal 7 5 3 2 3 2 2" xfId="43030"/>
    <cellStyle name="Normal 7 5 3 2 3 3" xfId="10783"/>
    <cellStyle name="Normal 7 5 3 2 3 3 2" xfId="33370"/>
    <cellStyle name="Normal 7 5 3 2 3 4" xfId="26930"/>
    <cellStyle name="Normal 7 5 3 2 4" xfId="17223"/>
    <cellStyle name="Normal 7 5 3 2 4 2" xfId="39810"/>
    <cellStyle name="Normal 7 5 3 2 5" xfId="14003"/>
    <cellStyle name="Normal 7 5 3 2 5 2" xfId="36590"/>
    <cellStyle name="Normal 7 5 3 2 6" xfId="7563"/>
    <cellStyle name="Normal 7 5 3 2 6 2" xfId="30150"/>
    <cellStyle name="Normal 7 5 3 2 7" xfId="23710"/>
    <cellStyle name="Normal 7 5 3 3" xfId="1463"/>
    <cellStyle name="Normal 7 5 3 3 2" xfId="2777"/>
    <cellStyle name="Normal 7 5 3 3 2 2" xfId="5998"/>
    <cellStyle name="Normal 7 5 3 3 2 2 2" xfId="22098"/>
    <cellStyle name="Normal 7 5 3 3 2 2 2 2" xfId="44685"/>
    <cellStyle name="Normal 7 5 3 3 2 2 3" xfId="12438"/>
    <cellStyle name="Normal 7 5 3 3 2 2 3 2" xfId="35025"/>
    <cellStyle name="Normal 7 5 3 3 2 2 4" xfId="28585"/>
    <cellStyle name="Normal 7 5 3 3 2 3" xfId="18878"/>
    <cellStyle name="Normal 7 5 3 3 2 3 2" xfId="41465"/>
    <cellStyle name="Normal 7 5 3 3 2 4" xfId="15658"/>
    <cellStyle name="Normal 7 5 3 3 2 4 2" xfId="38245"/>
    <cellStyle name="Normal 7 5 3 3 2 5" xfId="9218"/>
    <cellStyle name="Normal 7 5 3 3 2 5 2" xfId="31805"/>
    <cellStyle name="Normal 7 5 3 3 2 6" xfId="25365"/>
    <cellStyle name="Normal 7 5 3 3 3" xfId="4690"/>
    <cellStyle name="Normal 7 5 3 3 3 2" xfId="20790"/>
    <cellStyle name="Normal 7 5 3 3 3 2 2" xfId="43377"/>
    <cellStyle name="Normal 7 5 3 3 3 3" xfId="11130"/>
    <cellStyle name="Normal 7 5 3 3 3 3 2" xfId="33717"/>
    <cellStyle name="Normal 7 5 3 3 3 4" xfId="27277"/>
    <cellStyle name="Normal 7 5 3 3 4" xfId="17570"/>
    <cellStyle name="Normal 7 5 3 3 4 2" xfId="40157"/>
    <cellStyle name="Normal 7 5 3 3 5" xfId="14350"/>
    <cellStyle name="Normal 7 5 3 3 5 2" xfId="36937"/>
    <cellStyle name="Normal 7 5 3 3 6" xfId="7910"/>
    <cellStyle name="Normal 7 5 3 3 6 2" xfId="30497"/>
    <cellStyle name="Normal 7 5 3 3 7" xfId="24057"/>
    <cellStyle name="Normal 7 5 3 4" xfId="1720"/>
    <cellStyle name="Normal 7 5 3 4 2" xfId="4943"/>
    <cellStyle name="Normal 7 5 3 4 2 2" xfId="21043"/>
    <cellStyle name="Normal 7 5 3 4 2 2 2" xfId="43630"/>
    <cellStyle name="Normal 7 5 3 4 2 3" xfId="11383"/>
    <cellStyle name="Normal 7 5 3 4 2 3 2" xfId="33970"/>
    <cellStyle name="Normal 7 5 3 4 2 4" xfId="27530"/>
    <cellStyle name="Normal 7 5 3 4 3" xfId="17823"/>
    <cellStyle name="Normal 7 5 3 4 3 2" xfId="40410"/>
    <cellStyle name="Normal 7 5 3 4 4" xfId="14603"/>
    <cellStyle name="Normal 7 5 3 4 4 2" xfId="37190"/>
    <cellStyle name="Normal 7 5 3 4 5" xfId="8163"/>
    <cellStyle name="Normal 7 5 3 4 5 2" xfId="30750"/>
    <cellStyle name="Normal 7 5 3 4 6" xfId="24310"/>
    <cellStyle name="Normal 7 5 3 5" xfId="2083"/>
    <cellStyle name="Normal 7 5 3 5 2" xfId="5304"/>
    <cellStyle name="Normal 7 5 3 5 2 2" xfId="21404"/>
    <cellStyle name="Normal 7 5 3 5 2 2 2" xfId="43991"/>
    <cellStyle name="Normal 7 5 3 5 2 3" xfId="11744"/>
    <cellStyle name="Normal 7 5 3 5 2 3 2" xfId="34331"/>
    <cellStyle name="Normal 7 5 3 5 2 4" xfId="27891"/>
    <cellStyle name="Normal 7 5 3 5 3" xfId="18184"/>
    <cellStyle name="Normal 7 5 3 5 3 2" xfId="40771"/>
    <cellStyle name="Normal 7 5 3 5 4" xfId="14964"/>
    <cellStyle name="Normal 7 5 3 5 4 2" xfId="37551"/>
    <cellStyle name="Normal 7 5 3 5 5" xfId="8524"/>
    <cellStyle name="Normal 7 5 3 5 5 2" xfId="31111"/>
    <cellStyle name="Normal 7 5 3 5 6" xfId="24671"/>
    <cellStyle name="Normal 7 5 3 6" xfId="3123"/>
    <cellStyle name="Normal 7 5 3 6 2" xfId="6343"/>
    <cellStyle name="Normal 7 5 3 6 2 2" xfId="22443"/>
    <cellStyle name="Normal 7 5 3 6 2 2 2" xfId="45030"/>
    <cellStyle name="Normal 7 5 3 6 2 3" xfId="12783"/>
    <cellStyle name="Normal 7 5 3 6 2 3 2" xfId="35370"/>
    <cellStyle name="Normal 7 5 3 6 2 4" xfId="28930"/>
    <cellStyle name="Normal 7 5 3 6 3" xfId="19223"/>
    <cellStyle name="Normal 7 5 3 6 3 2" xfId="41810"/>
    <cellStyle name="Normal 7 5 3 6 4" xfId="16003"/>
    <cellStyle name="Normal 7 5 3 6 4 2" xfId="38590"/>
    <cellStyle name="Normal 7 5 3 6 5" xfId="9563"/>
    <cellStyle name="Normal 7 5 3 6 5 2" xfId="32150"/>
    <cellStyle name="Normal 7 5 3 6 6" xfId="25710"/>
    <cellStyle name="Normal 7 5 3 7" xfId="3413"/>
    <cellStyle name="Normal 7 5 3 7 2" xfId="6633"/>
    <cellStyle name="Normal 7 5 3 7 2 2" xfId="22733"/>
    <cellStyle name="Normal 7 5 3 7 2 2 2" xfId="45320"/>
    <cellStyle name="Normal 7 5 3 7 2 3" xfId="13073"/>
    <cellStyle name="Normal 7 5 3 7 2 3 2" xfId="35660"/>
    <cellStyle name="Normal 7 5 3 7 2 4" xfId="29220"/>
    <cellStyle name="Normal 7 5 3 7 3" xfId="19513"/>
    <cellStyle name="Normal 7 5 3 7 3 2" xfId="42100"/>
    <cellStyle name="Normal 7 5 3 7 4" xfId="16293"/>
    <cellStyle name="Normal 7 5 3 7 4 2" xfId="38880"/>
    <cellStyle name="Normal 7 5 3 7 5" xfId="9853"/>
    <cellStyle name="Normal 7 5 3 7 5 2" xfId="32440"/>
    <cellStyle name="Normal 7 5 3 7 6" xfId="26000"/>
    <cellStyle name="Normal 7 5 3 8" xfId="764"/>
    <cellStyle name="Normal 7 5 3 8 2" xfId="3996"/>
    <cellStyle name="Normal 7 5 3 8 2 2" xfId="20096"/>
    <cellStyle name="Normal 7 5 3 8 2 2 2" xfId="42683"/>
    <cellStyle name="Normal 7 5 3 8 2 3" xfId="10436"/>
    <cellStyle name="Normal 7 5 3 8 2 3 2" xfId="33023"/>
    <cellStyle name="Normal 7 5 3 8 2 4" xfId="26583"/>
    <cellStyle name="Normal 7 5 3 8 3" xfId="16876"/>
    <cellStyle name="Normal 7 5 3 8 3 2" xfId="39463"/>
    <cellStyle name="Normal 7 5 3 8 4" xfId="13656"/>
    <cellStyle name="Normal 7 5 3 8 4 2" xfId="36243"/>
    <cellStyle name="Normal 7 5 3 8 5" xfId="7216"/>
    <cellStyle name="Normal 7 5 3 8 5 2" xfId="29803"/>
    <cellStyle name="Normal 7 5 3 8 6" xfId="23363"/>
    <cellStyle name="Normal 7 5 3 9" xfId="3703"/>
    <cellStyle name="Normal 7 5 3 9 2" xfId="19803"/>
    <cellStyle name="Normal 7 5 3 9 2 2" xfId="42390"/>
    <cellStyle name="Normal 7 5 3 9 3" xfId="10143"/>
    <cellStyle name="Normal 7 5 3 9 3 2" xfId="32730"/>
    <cellStyle name="Normal 7 5 3 9 4" xfId="26290"/>
    <cellStyle name="Normal 7 5 4" xfId="911"/>
    <cellStyle name="Normal 7 5 4 2" xfId="2230"/>
    <cellStyle name="Normal 7 5 4 2 2" xfId="5451"/>
    <cellStyle name="Normal 7 5 4 2 2 2" xfId="21551"/>
    <cellStyle name="Normal 7 5 4 2 2 2 2" xfId="44138"/>
    <cellStyle name="Normal 7 5 4 2 2 3" xfId="11891"/>
    <cellStyle name="Normal 7 5 4 2 2 3 2" xfId="34478"/>
    <cellStyle name="Normal 7 5 4 2 2 4" xfId="28038"/>
    <cellStyle name="Normal 7 5 4 2 3" xfId="18331"/>
    <cellStyle name="Normal 7 5 4 2 3 2" xfId="40918"/>
    <cellStyle name="Normal 7 5 4 2 4" xfId="15111"/>
    <cellStyle name="Normal 7 5 4 2 4 2" xfId="37698"/>
    <cellStyle name="Normal 7 5 4 2 5" xfId="8671"/>
    <cellStyle name="Normal 7 5 4 2 5 2" xfId="31258"/>
    <cellStyle name="Normal 7 5 4 2 6" xfId="24818"/>
    <cellStyle name="Normal 7 5 4 3" xfId="4143"/>
    <cellStyle name="Normal 7 5 4 3 2" xfId="20243"/>
    <cellStyle name="Normal 7 5 4 3 2 2" xfId="42830"/>
    <cellStyle name="Normal 7 5 4 3 3" xfId="10583"/>
    <cellStyle name="Normal 7 5 4 3 3 2" xfId="33170"/>
    <cellStyle name="Normal 7 5 4 3 4" xfId="26730"/>
    <cellStyle name="Normal 7 5 4 4" xfId="17023"/>
    <cellStyle name="Normal 7 5 4 4 2" xfId="39610"/>
    <cellStyle name="Normal 7 5 4 5" xfId="13803"/>
    <cellStyle name="Normal 7 5 4 5 2" xfId="36390"/>
    <cellStyle name="Normal 7 5 4 6" xfId="7363"/>
    <cellStyle name="Normal 7 5 4 6 2" xfId="29950"/>
    <cellStyle name="Normal 7 5 4 7" xfId="23510"/>
    <cellStyle name="Normal 7 5 5" xfId="1263"/>
    <cellStyle name="Normal 7 5 5 2" xfId="2577"/>
    <cellStyle name="Normal 7 5 5 2 2" xfId="5798"/>
    <cellStyle name="Normal 7 5 5 2 2 2" xfId="21898"/>
    <cellStyle name="Normal 7 5 5 2 2 2 2" xfId="44485"/>
    <cellStyle name="Normal 7 5 5 2 2 3" xfId="12238"/>
    <cellStyle name="Normal 7 5 5 2 2 3 2" xfId="34825"/>
    <cellStyle name="Normal 7 5 5 2 2 4" xfId="28385"/>
    <cellStyle name="Normal 7 5 5 2 3" xfId="18678"/>
    <cellStyle name="Normal 7 5 5 2 3 2" xfId="41265"/>
    <cellStyle name="Normal 7 5 5 2 4" xfId="15458"/>
    <cellStyle name="Normal 7 5 5 2 4 2" xfId="38045"/>
    <cellStyle name="Normal 7 5 5 2 5" xfId="9018"/>
    <cellStyle name="Normal 7 5 5 2 5 2" xfId="31605"/>
    <cellStyle name="Normal 7 5 5 2 6" xfId="25165"/>
    <cellStyle name="Normal 7 5 5 3" xfId="4490"/>
    <cellStyle name="Normal 7 5 5 3 2" xfId="20590"/>
    <cellStyle name="Normal 7 5 5 3 2 2" xfId="43177"/>
    <cellStyle name="Normal 7 5 5 3 3" xfId="10930"/>
    <cellStyle name="Normal 7 5 5 3 3 2" xfId="33517"/>
    <cellStyle name="Normal 7 5 5 3 4" xfId="27077"/>
    <cellStyle name="Normal 7 5 5 4" xfId="17370"/>
    <cellStyle name="Normal 7 5 5 4 2" xfId="39957"/>
    <cellStyle name="Normal 7 5 5 5" xfId="14150"/>
    <cellStyle name="Normal 7 5 5 5 2" xfId="36737"/>
    <cellStyle name="Normal 7 5 5 6" xfId="7710"/>
    <cellStyle name="Normal 7 5 5 6 2" xfId="30297"/>
    <cellStyle name="Normal 7 5 5 7" xfId="23857"/>
    <cellStyle name="Normal 7 5 6" xfId="1721"/>
    <cellStyle name="Normal 7 5 6 2" xfId="4944"/>
    <cellStyle name="Normal 7 5 6 2 2" xfId="21044"/>
    <cellStyle name="Normal 7 5 6 2 2 2" xfId="43631"/>
    <cellStyle name="Normal 7 5 6 2 3" xfId="11384"/>
    <cellStyle name="Normal 7 5 6 2 3 2" xfId="33971"/>
    <cellStyle name="Normal 7 5 6 2 4" xfId="27531"/>
    <cellStyle name="Normal 7 5 6 3" xfId="17824"/>
    <cellStyle name="Normal 7 5 6 3 2" xfId="40411"/>
    <cellStyle name="Normal 7 5 6 4" xfId="14604"/>
    <cellStyle name="Normal 7 5 6 4 2" xfId="37191"/>
    <cellStyle name="Normal 7 5 6 5" xfId="8164"/>
    <cellStyle name="Normal 7 5 6 5 2" xfId="30751"/>
    <cellStyle name="Normal 7 5 6 6" xfId="24311"/>
    <cellStyle name="Normal 7 5 7" xfId="1882"/>
    <cellStyle name="Normal 7 5 7 2" xfId="5104"/>
    <cellStyle name="Normal 7 5 7 2 2" xfId="21204"/>
    <cellStyle name="Normal 7 5 7 2 2 2" xfId="43791"/>
    <cellStyle name="Normal 7 5 7 2 3" xfId="11544"/>
    <cellStyle name="Normal 7 5 7 2 3 2" xfId="34131"/>
    <cellStyle name="Normal 7 5 7 2 4" xfId="27691"/>
    <cellStyle name="Normal 7 5 7 3" xfId="17984"/>
    <cellStyle name="Normal 7 5 7 3 2" xfId="40571"/>
    <cellStyle name="Normal 7 5 7 4" xfId="14764"/>
    <cellStyle name="Normal 7 5 7 4 2" xfId="37351"/>
    <cellStyle name="Normal 7 5 7 5" xfId="8324"/>
    <cellStyle name="Normal 7 5 7 5 2" xfId="30911"/>
    <cellStyle name="Normal 7 5 7 6" xfId="24471"/>
    <cellStyle name="Normal 7 5 8" xfId="2929"/>
    <cellStyle name="Normal 7 5 8 2" xfId="6150"/>
    <cellStyle name="Normal 7 5 8 2 2" xfId="22250"/>
    <cellStyle name="Normal 7 5 8 2 2 2" xfId="44837"/>
    <cellStyle name="Normal 7 5 8 2 3" xfId="12590"/>
    <cellStyle name="Normal 7 5 8 2 3 2" xfId="35177"/>
    <cellStyle name="Normal 7 5 8 2 4" xfId="28737"/>
    <cellStyle name="Normal 7 5 8 3" xfId="19030"/>
    <cellStyle name="Normal 7 5 8 3 2" xfId="41617"/>
    <cellStyle name="Normal 7 5 8 4" xfId="15810"/>
    <cellStyle name="Normal 7 5 8 4 2" xfId="38397"/>
    <cellStyle name="Normal 7 5 8 5" xfId="9370"/>
    <cellStyle name="Normal 7 5 8 5 2" xfId="31957"/>
    <cellStyle name="Normal 7 5 8 6" xfId="25517"/>
    <cellStyle name="Normal 7 5 9" xfId="3220"/>
    <cellStyle name="Normal 7 5 9 2" xfId="6440"/>
    <cellStyle name="Normal 7 5 9 2 2" xfId="22540"/>
    <cellStyle name="Normal 7 5 9 2 2 2" xfId="45127"/>
    <cellStyle name="Normal 7 5 9 2 3" xfId="12880"/>
    <cellStyle name="Normal 7 5 9 2 3 2" xfId="35467"/>
    <cellStyle name="Normal 7 5 9 2 4" xfId="29027"/>
    <cellStyle name="Normal 7 5 9 3" xfId="19320"/>
    <cellStyle name="Normal 7 5 9 3 2" xfId="41907"/>
    <cellStyle name="Normal 7 5 9 4" xfId="16100"/>
    <cellStyle name="Normal 7 5 9 4 2" xfId="38687"/>
    <cellStyle name="Normal 7 5 9 5" xfId="9660"/>
    <cellStyle name="Normal 7 5 9 5 2" xfId="32247"/>
    <cellStyle name="Normal 7 5 9 6" xfId="25807"/>
    <cellStyle name="Normal 7 6" xfId="241"/>
    <cellStyle name="Normal 7 6 10" xfId="16409"/>
    <cellStyle name="Normal 7 6 10 2" xfId="38996"/>
    <cellStyle name="Normal 7 6 11" xfId="13189"/>
    <cellStyle name="Normal 7 6 11 2" xfId="35776"/>
    <cellStyle name="Normal 7 6 12" xfId="6749"/>
    <cellStyle name="Normal 7 6 12 2" xfId="29336"/>
    <cellStyle name="Normal 7 6 13" xfId="22896"/>
    <cellStyle name="Normal 7 6 2" xfId="960"/>
    <cellStyle name="Normal 7 6 2 2" xfId="1722"/>
    <cellStyle name="Normal 7 6 2 2 2" xfId="4945"/>
    <cellStyle name="Normal 7 6 2 2 2 2" xfId="21045"/>
    <cellStyle name="Normal 7 6 2 2 2 2 2" xfId="43632"/>
    <cellStyle name="Normal 7 6 2 2 2 3" xfId="11385"/>
    <cellStyle name="Normal 7 6 2 2 2 3 2" xfId="33972"/>
    <cellStyle name="Normal 7 6 2 2 2 4" xfId="27532"/>
    <cellStyle name="Normal 7 6 2 2 3" xfId="17825"/>
    <cellStyle name="Normal 7 6 2 2 3 2" xfId="40412"/>
    <cellStyle name="Normal 7 6 2 2 4" xfId="14605"/>
    <cellStyle name="Normal 7 6 2 2 4 2" xfId="37192"/>
    <cellStyle name="Normal 7 6 2 2 5" xfId="8165"/>
    <cellStyle name="Normal 7 6 2 2 5 2" xfId="30752"/>
    <cellStyle name="Normal 7 6 2 2 6" xfId="24312"/>
    <cellStyle name="Normal 7 6 2 3" xfId="2279"/>
    <cellStyle name="Normal 7 6 2 3 2" xfId="5500"/>
    <cellStyle name="Normal 7 6 2 3 2 2" xfId="21600"/>
    <cellStyle name="Normal 7 6 2 3 2 2 2" xfId="44187"/>
    <cellStyle name="Normal 7 6 2 3 2 3" xfId="11940"/>
    <cellStyle name="Normal 7 6 2 3 2 3 2" xfId="34527"/>
    <cellStyle name="Normal 7 6 2 3 2 4" xfId="28087"/>
    <cellStyle name="Normal 7 6 2 3 3" xfId="18380"/>
    <cellStyle name="Normal 7 6 2 3 3 2" xfId="40967"/>
    <cellStyle name="Normal 7 6 2 3 4" xfId="15160"/>
    <cellStyle name="Normal 7 6 2 3 4 2" xfId="37747"/>
    <cellStyle name="Normal 7 6 2 3 5" xfId="8720"/>
    <cellStyle name="Normal 7 6 2 3 5 2" xfId="31307"/>
    <cellStyle name="Normal 7 6 2 3 6" xfId="24867"/>
    <cellStyle name="Normal 7 6 2 4" xfId="4192"/>
    <cellStyle name="Normal 7 6 2 4 2" xfId="20292"/>
    <cellStyle name="Normal 7 6 2 4 2 2" xfId="42879"/>
    <cellStyle name="Normal 7 6 2 4 3" xfId="10632"/>
    <cellStyle name="Normal 7 6 2 4 3 2" xfId="33219"/>
    <cellStyle name="Normal 7 6 2 4 4" xfId="26779"/>
    <cellStyle name="Normal 7 6 2 5" xfId="17072"/>
    <cellStyle name="Normal 7 6 2 5 2" xfId="39659"/>
    <cellStyle name="Normal 7 6 2 6" xfId="13852"/>
    <cellStyle name="Normal 7 6 2 6 2" xfId="36439"/>
    <cellStyle name="Normal 7 6 2 7" xfId="7412"/>
    <cellStyle name="Normal 7 6 2 7 2" xfId="29999"/>
    <cellStyle name="Normal 7 6 2 8" xfId="23559"/>
    <cellStyle name="Normal 7 6 3" xfId="1312"/>
    <cellStyle name="Normal 7 6 3 2" xfId="2626"/>
    <cellStyle name="Normal 7 6 3 2 2" xfId="5847"/>
    <cellStyle name="Normal 7 6 3 2 2 2" xfId="21947"/>
    <cellStyle name="Normal 7 6 3 2 2 2 2" xfId="44534"/>
    <cellStyle name="Normal 7 6 3 2 2 3" xfId="12287"/>
    <cellStyle name="Normal 7 6 3 2 2 3 2" xfId="34874"/>
    <cellStyle name="Normal 7 6 3 2 2 4" xfId="28434"/>
    <cellStyle name="Normal 7 6 3 2 3" xfId="18727"/>
    <cellStyle name="Normal 7 6 3 2 3 2" xfId="41314"/>
    <cellStyle name="Normal 7 6 3 2 4" xfId="15507"/>
    <cellStyle name="Normal 7 6 3 2 4 2" xfId="38094"/>
    <cellStyle name="Normal 7 6 3 2 5" xfId="9067"/>
    <cellStyle name="Normal 7 6 3 2 5 2" xfId="31654"/>
    <cellStyle name="Normal 7 6 3 2 6" xfId="25214"/>
    <cellStyle name="Normal 7 6 3 3" xfId="4539"/>
    <cellStyle name="Normal 7 6 3 3 2" xfId="20639"/>
    <cellStyle name="Normal 7 6 3 3 2 2" xfId="43226"/>
    <cellStyle name="Normal 7 6 3 3 3" xfId="10979"/>
    <cellStyle name="Normal 7 6 3 3 3 2" xfId="33566"/>
    <cellStyle name="Normal 7 6 3 3 4" xfId="27126"/>
    <cellStyle name="Normal 7 6 3 4" xfId="17419"/>
    <cellStyle name="Normal 7 6 3 4 2" xfId="40006"/>
    <cellStyle name="Normal 7 6 3 5" xfId="14199"/>
    <cellStyle name="Normal 7 6 3 5 2" xfId="36786"/>
    <cellStyle name="Normal 7 6 3 6" xfId="7759"/>
    <cellStyle name="Normal 7 6 3 6 2" xfId="30346"/>
    <cellStyle name="Normal 7 6 3 7" xfId="23906"/>
    <cellStyle name="Normal 7 6 4" xfId="1723"/>
    <cellStyle name="Normal 7 6 4 2" xfId="4946"/>
    <cellStyle name="Normal 7 6 4 2 2" xfId="21046"/>
    <cellStyle name="Normal 7 6 4 2 2 2" xfId="43633"/>
    <cellStyle name="Normal 7 6 4 2 3" xfId="11386"/>
    <cellStyle name="Normal 7 6 4 2 3 2" xfId="33973"/>
    <cellStyle name="Normal 7 6 4 2 4" xfId="27533"/>
    <cellStyle name="Normal 7 6 4 3" xfId="17826"/>
    <cellStyle name="Normal 7 6 4 3 2" xfId="40413"/>
    <cellStyle name="Normal 7 6 4 4" xfId="14606"/>
    <cellStyle name="Normal 7 6 4 4 2" xfId="37193"/>
    <cellStyle name="Normal 7 6 4 5" xfId="8166"/>
    <cellStyle name="Normal 7 6 4 5 2" xfId="30753"/>
    <cellStyle name="Normal 7 6 4 6" xfId="24313"/>
    <cellStyle name="Normal 7 6 5" xfId="1931"/>
    <cellStyle name="Normal 7 6 5 2" xfId="5153"/>
    <cellStyle name="Normal 7 6 5 2 2" xfId="21253"/>
    <cellStyle name="Normal 7 6 5 2 2 2" xfId="43840"/>
    <cellStyle name="Normal 7 6 5 2 3" xfId="11593"/>
    <cellStyle name="Normal 7 6 5 2 3 2" xfId="34180"/>
    <cellStyle name="Normal 7 6 5 2 4" xfId="27740"/>
    <cellStyle name="Normal 7 6 5 3" xfId="18033"/>
    <cellStyle name="Normal 7 6 5 3 2" xfId="40620"/>
    <cellStyle name="Normal 7 6 5 4" xfId="14813"/>
    <cellStyle name="Normal 7 6 5 4 2" xfId="37400"/>
    <cellStyle name="Normal 7 6 5 5" xfId="8373"/>
    <cellStyle name="Normal 7 6 5 5 2" xfId="30960"/>
    <cellStyle name="Normal 7 6 5 6" xfId="24520"/>
    <cellStyle name="Normal 7 6 6" xfId="2948"/>
    <cellStyle name="Normal 7 6 6 2" xfId="6169"/>
    <cellStyle name="Normal 7 6 6 2 2" xfId="22269"/>
    <cellStyle name="Normal 7 6 6 2 2 2" xfId="44856"/>
    <cellStyle name="Normal 7 6 6 2 3" xfId="12609"/>
    <cellStyle name="Normal 7 6 6 2 3 2" xfId="35196"/>
    <cellStyle name="Normal 7 6 6 2 4" xfId="28756"/>
    <cellStyle name="Normal 7 6 6 3" xfId="19049"/>
    <cellStyle name="Normal 7 6 6 3 2" xfId="41636"/>
    <cellStyle name="Normal 7 6 6 4" xfId="15829"/>
    <cellStyle name="Normal 7 6 6 4 2" xfId="38416"/>
    <cellStyle name="Normal 7 6 6 5" xfId="9389"/>
    <cellStyle name="Normal 7 6 6 5 2" xfId="31976"/>
    <cellStyle name="Normal 7 6 6 6" xfId="25536"/>
    <cellStyle name="Normal 7 6 7" xfId="3239"/>
    <cellStyle name="Normal 7 6 7 2" xfId="6459"/>
    <cellStyle name="Normal 7 6 7 2 2" xfId="22559"/>
    <cellStyle name="Normal 7 6 7 2 2 2" xfId="45146"/>
    <cellStyle name="Normal 7 6 7 2 3" xfId="12899"/>
    <cellStyle name="Normal 7 6 7 2 3 2" xfId="35486"/>
    <cellStyle name="Normal 7 6 7 2 4" xfId="29046"/>
    <cellStyle name="Normal 7 6 7 3" xfId="19339"/>
    <cellStyle name="Normal 7 6 7 3 2" xfId="41926"/>
    <cellStyle name="Normal 7 6 7 4" xfId="16119"/>
    <cellStyle name="Normal 7 6 7 4 2" xfId="38706"/>
    <cellStyle name="Normal 7 6 7 5" xfId="9679"/>
    <cellStyle name="Normal 7 6 7 5 2" xfId="32266"/>
    <cellStyle name="Normal 7 6 7 6" xfId="25826"/>
    <cellStyle name="Normal 7 6 8" xfId="574"/>
    <cellStyle name="Normal 7 6 8 2" xfId="3845"/>
    <cellStyle name="Normal 7 6 8 2 2" xfId="19945"/>
    <cellStyle name="Normal 7 6 8 2 2 2" xfId="42532"/>
    <cellStyle name="Normal 7 6 8 2 3" xfId="10285"/>
    <cellStyle name="Normal 7 6 8 2 3 2" xfId="32872"/>
    <cellStyle name="Normal 7 6 8 2 4" xfId="26432"/>
    <cellStyle name="Normal 7 6 8 3" xfId="16725"/>
    <cellStyle name="Normal 7 6 8 3 2" xfId="39312"/>
    <cellStyle name="Normal 7 6 8 4" xfId="13505"/>
    <cellStyle name="Normal 7 6 8 4 2" xfId="36092"/>
    <cellStyle name="Normal 7 6 8 5" xfId="7065"/>
    <cellStyle name="Normal 7 6 8 5 2" xfId="29652"/>
    <cellStyle name="Normal 7 6 8 6" xfId="23212"/>
    <cellStyle name="Normal 7 6 9" xfId="3529"/>
    <cellStyle name="Normal 7 6 9 2" xfId="19629"/>
    <cellStyle name="Normal 7 6 9 2 2" xfId="42216"/>
    <cellStyle name="Normal 7 6 9 3" xfId="9969"/>
    <cellStyle name="Normal 7 6 9 3 2" xfId="32556"/>
    <cellStyle name="Normal 7 6 9 4" xfId="26116"/>
    <cellStyle name="Normal 7 7" xfId="339"/>
    <cellStyle name="Normal 7 7 10" xfId="16506"/>
    <cellStyle name="Normal 7 7 10 2" xfId="39093"/>
    <cellStyle name="Normal 7 7 11" xfId="13286"/>
    <cellStyle name="Normal 7 7 11 2" xfId="35873"/>
    <cellStyle name="Normal 7 7 12" xfId="6846"/>
    <cellStyle name="Normal 7 7 12 2" xfId="29433"/>
    <cellStyle name="Normal 7 7 13" xfId="22993"/>
    <cellStyle name="Normal 7 7 2" xfId="1077"/>
    <cellStyle name="Normal 7 7 2 2" xfId="2391"/>
    <cellStyle name="Normal 7 7 2 2 2" xfId="5612"/>
    <cellStyle name="Normal 7 7 2 2 2 2" xfId="21712"/>
    <cellStyle name="Normal 7 7 2 2 2 2 2" xfId="44299"/>
    <cellStyle name="Normal 7 7 2 2 2 3" xfId="12052"/>
    <cellStyle name="Normal 7 7 2 2 2 3 2" xfId="34639"/>
    <cellStyle name="Normal 7 7 2 2 2 4" xfId="28199"/>
    <cellStyle name="Normal 7 7 2 2 3" xfId="18492"/>
    <cellStyle name="Normal 7 7 2 2 3 2" xfId="41079"/>
    <cellStyle name="Normal 7 7 2 2 4" xfId="15272"/>
    <cellStyle name="Normal 7 7 2 2 4 2" xfId="37859"/>
    <cellStyle name="Normal 7 7 2 2 5" xfId="8832"/>
    <cellStyle name="Normal 7 7 2 2 5 2" xfId="31419"/>
    <cellStyle name="Normal 7 7 2 2 6" xfId="24979"/>
    <cellStyle name="Normal 7 7 2 3" xfId="4304"/>
    <cellStyle name="Normal 7 7 2 3 2" xfId="20404"/>
    <cellStyle name="Normal 7 7 2 3 2 2" xfId="42991"/>
    <cellStyle name="Normal 7 7 2 3 3" xfId="10744"/>
    <cellStyle name="Normal 7 7 2 3 3 2" xfId="33331"/>
    <cellStyle name="Normal 7 7 2 3 4" xfId="26891"/>
    <cellStyle name="Normal 7 7 2 4" xfId="17184"/>
    <cellStyle name="Normal 7 7 2 4 2" xfId="39771"/>
    <cellStyle name="Normal 7 7 2 5" xfId="13964"/>
    <cellStyle name="Normal 7 7 2 5 2" xfId="36551"/>
    <cellStyle name="Normal 7 7 2 6" xfId="7524"/>
    <cellStyle name="Normal 7 7 2 6 2" xfId="30111"/>
    <cellStyle name="Normal 7 7 2 7" xfId="23671"/>
    <cellStyle name="Normal 7 7 3" xfId="1424"/>
    <cellStyle name="Normal 7 7 3 2" xfId="2738"/>
    <cellStyle name="Normal 7 7 3 2 2" xfId="5959"/>
    <cellStyle name="Normal 7 7 3 2 2 2" xfId="22059"/>
    <cellStyle name="Normal 7 7 3 2 2 2 2" xfId="44646"/>
    <cellStyle name="Normal 7 7 3 2 2 3" xfId="12399"/>
    <cellStyle name="Normal 7 7 3 2 2 3 2" xfId="34986"/>
    <cellStyle name="Normal 7 7 3 2 2 4" xfId="28546"/>
    <cellStyle name="Normal 7 7 3 2 3" xfId="18839"/>
    <cellStyle name="Normal 7 7 3 2 3 2" xfId="41426"/>
    <cellStyle name="Normal 7 7 3 2 4" xfId="15619"/>
    <cellStyle name="Normal 7 7 3 2 4 2" xfId="38206"/>
    <cellStyle name="Normal 7 7 3 2 5" xfId="9179"/>
    <cellStyle name="Normal 7 7 3 2 5 2" xfId="31766"/>
    <cellStyle name="Normal 7 7 3 2 6" xfId="25326"/>
    <cellStyle name="Normal 7 7 3 3" xfId="4651"/>
    <cellStyle name="Normal 7 7 3 3 2" xfId="20751"/>
    <cellStyle name="Normal 7 7 3 3 2 2" xfId="43338"/>
    <cellStyle name="Normal 7 7 3 3 3" xfId="11091"/>
    <cellStyle name="Normal 7 7 3 3 3 2" xfId="33678"/>
    <cellStyle name="Normal 7 7 3 3 4" xfId="27238"/>
    <cellStyle name="Normal 7 7 3 4" xfId="17531"/>
    <cellStyle name="Normal 7 7 3 4 2" xfId="40118"/>
    <cellStyle name="Normal 7 7 3 5" xfId="14311"/>
    <cellStyle name="Normal 7 7 3 5 2" xfId="36898"/>
    <cellStyle name="Normal 7 7 3 6" xfId="7871"/>
    <cellStyle name="Normal 7 7 3 6 2" xfId="30458"/>
    <cellStyle name="Normal 7 7 3 7" xfId="24018"/>
    <cellStyle name="Normal 7 7 4" xfId="1724"/>
    <cellStyle name="Normal 7 7 4 2" xfId="4947"/>
    <cellStyle name="Normal 7 7 4 2 2" xfId="21047"/>
    <cellStyle name="Normal 7 7 4 2 2 2" xfId="43634"/>
    <cellStyle name="Normal 7 7 4 2 3" xfId="11387"/>
    <cellStyle name="Normal 7 7 4 2 3 2" xfId="33974"/>
    <cellStyle name="Normal 7 7 4 2 4" xfId="27534"/>
    <cellStyle name="Normal 7 7 4 3" xfId="17827"/>
    <cellStyle name="Normal 7 7 4 3 2" xfId="40414"/>
    <cellStyle name="Normal 7 7 4 4" xfId="14607"/>
    <cellStyle name="Normal 7 7 4 4 2" xfId="37194"/>
    <cellStyle name="Normal 7 7 4 5" xfId="8167"/>
    <cellStyle name="Normal 7 7 4 5 2" xfId="30754"/>
    <cellStyle name="Normal 7 7 4 6" xfId="24314"/>
    <cellStyle name="Normal 7 7 5" xfId="2044"/>
    <cellStyle name="Normal 7 7 5 2" xfId="5265"/>
    <cellStyle name="Normal 7 7 5 2 2" xfId="21365"/>
    <cellStyle name="Normal 7 7 5 2 2 2" xfId="43952"/>
    <cellStyle name="Normal 7 7 5 2 3" xfId="11705"/>
    <cellStyle name="Normal 7 7 5 2 3 2" xfId="34292"/>
    <cellStyle name="Normal 7 7 5 2 4" xfId="27852"/>
    <cellStyle name="Normal 7 7 5 3" xfId="18145"/>
    <cellStyle name="Normal 7 7 5 3 2" xfId="40732"/>
    <cellStyle name="Normal 7 7 5 4" xfId="14925"/>
    <cellStyle name="Normal 7 7 5 4 2" xfId="37512"/>
    <cellStyle name="Normal 7 7 5 5" xfId="8485"/>
    <cellStyle name="Normal 7 7 5 5 2" xfId="31072"/>
    <cellStyle name="Normal 7 7 5 6" xfId="24632"/>
    <cellStyle name="Normal 7 7 6" xfId="3046"/>
    <cellStyle name="Normal 7 7 6 2" xfId="6266"/>
    <cellStyle name="Normal 7 7 6 2 2" xfId="22366"/>
    <cellStyle name="Normal 7 7 6 2 2 2" xfId="44953"/>
    <cellStyle name="Normal 7 7 6 2 3" xfId="12706"/>
    <cellStyle name="Normal 7 7 6 2 3 2" xfId="35293"/>
    <cellStyle name="Normal 7 7 6 2 4" xfId="28853"/>
    <cellStyle name="Normal 7 7 6 3" xfId="19146"/>
    <cellStyle name="Normal 7 7 6 3 2" xfId="41733"/>
    <cellStyle name="Normal 7 7 6 4" xfId="15926"/>
    <cellStyle name="Normal 7 7 6 4 2" xfId="38513"/>
    <cellStyle name="Normal 7 7 6 5" xfId="9486"/>
    <cellStyle name="Normal 7 7 6 5 2" xfId="32073"/>
    <cellStyle name="Normal 7 7 6 6" xfId="25633"/>
    <cellStyle name="Normal 7 7 7" xfId="3336"/>
    <cellStyle name="Normal 7 7 7 2" xfId="6556"/>
    <cellStyle name="Normal 7 7 7 2 2" xfId="22656"/>
    <cellStyle name="Normal 7 7 7 2 2 2" xfId="45243"/>
    <cellStyle name="Normal 7 7 7 2 3" xfId="12996"/>
    <cellStyle name="Normal 7 7 7 2 3 2" xfId="35583"/>
    <cellStyle name="Normal 7 7 7 2 4" xfId="29143"/>
    <cellStyle name="Normal 7 7 7 3" xfId="19436"/>
    <cellStyle name="Normal 7 7 7 3 2" xfId="42023"/>
    <cellStyle name="Normal 7 7 7 4" xfId="16216"/>
    <cellStyle name="Normal 7 7 7 4 2" xfId="38803"/>
    <cellStyle name="Normal 7 7 7 5" xfId="9776"/>
    <cellStyle name="Normal 7 7 7 5 2" xfId="32363"/>
    <cellStyle name="Normal 7 7 7 6" xfId="25923"/>
    <cellStyle name="Normal 7 7 8" xfId="725"/>
    <cellStyle name="Normal 7 7 8 2" xfId="3957"/>
    <cellStyle name="Normal 7 7 8 2 2" xfId="20057"/>
    <cellStyle name="Normal 7 7 8 2 2 2" xfId="42644"/>
    <cellStyle name="Normal 7 7 8 2 3" xfId="10397"/>
    <cellStyle name="Normal 7 7 8 2 3 2" xfId="32984"/>
    <cellStyle name="Normal 7 7 8 2 4" xfId="26544"/>
    <cellStyle name="Normal 7 7 8 3" xfId="16837"/>
    <cellStyle name="Normal 7 7 8 3 2" xfId="39424"/>
    <cellStyle name="Normal 7 7 8 4" xfId="13617"/>
    <cellStyle name="Normal 7 7 8 4 2" xfId="36204"/>
    <cellStyle name="Normal 7 7 8 5" xfId="7177"/>
    <cellStyle name="Normal 7 7 8 5 2" xfId="29764"/>
    <cellStyle name="Normal 7 7 8 6" xfId="23324"/>
    <cellStyle name="Normal 7 7 9" xfId="3626"/>
    <cellStyle name="Normal 7 7 9 2" xfId="19726"/>
    <cellStyle name="Normal 7 7 9 2 2" xfId="42313"/>
    <cellStyle name="Normal 7 7 9 3" xfId="10066"/>
    <cellStyle name="Normal 7 7 9 3 2" xfId="32653"/>
    <cellStyle name="Normal 7 7 9 4" xfId="26213"/>
    <cellStyle name="Normal 7 8" xfId="744"/>
    <cellStyle name="Normal 7 8 10" xfId="23343"/>
    <cellStyle name="Normal 7 8 2" xfId="1096"/>
    <cellStyle name="Normal 7 8 2 2" xfId="2410"/>
    <cellStyle name="Normal 7 8 2 2 2" xfId="5631"/>
    <cellStyle name="Normal 7 8 2 2 2 2" xfId="21731"/>
    <cellStyle name="Normal 7 8 2 2 2 2 2" xfId="44318"/>
    <cellStyle name="Normal 7 8 2 2 2 3" xfId="12071"/>
    <cellStyle name="Normal 7 8 2 2 2 3 2" xfId="34658"/>
    <cellStyle name="Normal 7 8 2 2 2 4" xfId="28218"/>
    <cellStyle name="Normal 7 8 2 2 3" xfId="18511"/>
    <cellStyle name="Normal 7 8 2 2 3 2" xfId="41098"/>
    <cellStyle name="Normal 7 8 2 2 4" xfId="15291"/>
    <cellStyle name="Normal 7 8 2 2 4 2" xfId="37878"/>
    <cellStyle name="Normal 7 8 2 2 5" xfId="8851"/>
    <cellStyle name="Normal 7 8 2 2 5 2" xfId="31438"/>
    <cellStyle name="Normal 7 8 2 2 6" xfId="24998"/>
    <cellStyle name="Normal 7 8 2 3" xfId="4323"/>
    <cellStyle name="Normal 7 8 2 3 2" xfId="20423"/>
    <cellStyle name="Normal 7 8 2 3 2 2" xfId="43010"/>
    <cellStyle name="Normal 7 8 2 3 3" xfId="10763"/>
    <cellStyle name="Normal 7 8 2 3 3 2" xfId="33350"/>
    <cellStyle name="Normal 7 8 2 3 4" xfId="26910"/>
    <cellStyle name="Normal 7 8 2 4" xfId="17203"/>
    <cellStyle name="Normal 7 8 2 4 2" xfId="39790"/>
    <cellStyle name="Normal 7 8 2 5" xfId="13983"/>
    <cellStyle name="Normal 7 8 2 5 2" xfId="36570"/>
    <cellStyle name="Normal 7 8 2 6" xfId="7543"/>
    <cellStyle name="Normal 7 8 2 6 2" xfId="30130"/>
    <cellStyle name="Normal 7 8 2 7" xfId="23690"/>
    <cellStyle name="Normal 7 8 3" xfId="1443"/>
    <cellStyle name="Normal 7 8 3 2" xfId="2757"/>
    <cellStyle name="Normal 7 8 3 2 2" xfId="5978"/>
    <cellStyle name="Normal 7 8 3 2 2 2" xfId="22078"/>
    <cellStyle name="Normal 7 8 3 2 2 2 2" xfId="44665"/>
    <cellStyle name="Normal 7 8 3 2 2 3" xfId="12418"/>
    <cellStyle name="Normal 7 8 3 2 2 3 2" xfId="35005"/>
    <cellStyle name="Normal 7 8 3 2 2 4" xfId="28565"/>
    <cellStyle name="Normal 7 8 3 2 3" xfId="18858"/>
    <cellStyle name="Normal 7 8 3 2 3 2" xfId="41445"/>
    <cellStyle name="Normal 7 8 3 2 4" xfId="15638"/>
    <cellStyle name="Normal 7 8 3 2 4 2" xfId="38225"/>
    <cellStyle name="Normal 7 8 3 2 5" xfId="9198"/>
    <cellStyle name="Normal 7 8 3 2 5 2" xfId="31785"/>
    <cellStyle name="Normal 7 8 3 2 6" xfId="25345"/>
    <cellStyle name="Normal 7 8 3 3" xfId="4670"/>
    <cellStyle name="Normal 7 8 3 3 2" xfId="20770"/>
    <cellStyle name="Normal 7 8 3 3 2 2" xfId="43357"/>
    <cellStyle name="Normal 7 8 3 3 3" xfId="11110"/>
    <cellStyle name="Normal 7 8 3 3 3 2" xfId="33697"/>
    <cellStyle name="Normal 7 8 3 3 4" xfId="27257"/>
    <cellStyle name="Normal 7 8 3 4" xfId="17550"/>
    <cellStyle name="Normal 7 8 3 4 2" xfId="40137"/>
    <cellStyle name="Normal 7 8 3 5" xfId="14330"/>
    <cellStyle name="Normal 7 8 3 5 2" xfId="36917"/>
    <cellStyle name="Normal 7 8 3 6" xfId="7890"/>
    <cellStyle name="Normal 7 8 3 6 2" xfId="30477"/>
    <cellStyle name="Normal 7 8 3 7" xfId="24037"/>
    <cellStyle name="Normal 7 8 4" xfId="1725"/>
    <cellStyle name="Normal 7 8 4 2" xfId="4948"/>
    <cellStyle name="Normal 7 8 4 2 2" xfId="21048"/>
    <cellStyle name="Normal 7 8 4 2 2 2" xfId="43635"/>
    <cellStyle name="Normal 7 8 4 2 3" xfId="11388"/>
    <cellStyle name="Normal 7 8 4 2 3 2" xfId="33975"/>
    <cellStyle name="Normal 7 8 4 2 4" xfId="27535"/>
    <cellStyle name="Normal 7 8 4 3" xfId="17828"/>
    <cellStyle name="Normal 7 8 4 3 2" xfId="40415"/>
    <cellStyle name="Normal 7 8 4 4" xfId="14608"/>
    <cellStyle name="Normal 7 8 4 4 2" xfId="37195"/>
    <cellStyle name="Normal 7 8 4 5" xfId="8168"/>
    <cellStyle name="Normal 7 8 4 5 2" xfId="30755"/>
    <cellStyle name="Normal 7 8 4 6" xfId="24315"/>
    <cellStyle name="Normal 7 8 5" xfId="2063"/>
    <cellStyle name="Normal 7 8 5 2" xfId="5284"/>
    <cellStyle name="Normal 7 8 5 2 2" xfId="21384"/>
    <cellStyle name="Normal 7 8 5 2 2 2" xfId="43971"/>
    <cellStyle name="Normal 7 8 5 2 3" xfId="11724"/>
    <cellStyle name="Normal 7 8 5 2 3 2" xfId="34311"/>
    <cellStyle name="Normal 7 8 5 2 4" xfId="27871"/>
    <cellStyle name="Normal 7 8 5 3" xfId="18164"/>
    <cellStyle name="Normal 7 8 5 3 2" xfId="40751"/>
    <cellStyle name="Normal 7 8 5 4" xfId="14944"/>
    <cellStyle name="Normal 7 8 5 4 2" xfId="37531"/>
    <cellStyle name="Normal 7 8 5 5" xfId="8504"/>
    <cellStyle name="Normal 7 8 5 5 2" xfId="31091"/>
    <cellStyle name="Normal 7 8 5 6" xfId="24651"/>
    <cellStyle name="Normal 7 8 6" xfId="3976"/>
    <cellStyle name="Normal 7 8 6 2" xfId="20076"/>
    <cellStyle name="Normal 7 8 6 2 2" xfId="42663"/>
    <cellStyle name="Normal 7 8 6 3" xfId="10416"/>
    <cellStyle name="Normal 7 8 6 3 2" xfId="33003"/>
    <cellStyle name="Normal 7 8 6 4" xfId="26563"/>
    <cellStyle name="Normal 7 8 7" xfId="16856"/>
    <cellStyle name="Normal 7 8 7 2" xfId="39443"/>
    <cellStyle name="Normal 7 8 8" xfId="13636"/>
    <cellStyle name="Normal 7 8 8 2" xfId="36223"/>
    <cellStyle name="Normal 7 8 9" xfId="7196"/>
    <cellStyle name="Normal 7 8 9 2" xfId="29783"/>
    <cellStyle name="Normal 7 9" xfId="838"/>
    <cellStyle name="Normal 7 9 2" xfId="2157"/>
    <cellStyle name="Normal 7 9 2 2" xfId="5378"/>
    <cellStyle name="Normal 7 9 2 2 2" xfId="21478"/>
    <cellStyle name="Normal 7 9 2 2 2 2" xfId="44065"/>
    <cellStyle name="Normal 7 9 2 2 3" xfId="11818"/>
    <cellStyle name="Normal 7 9 2 2 3 2" xfId="34405"/>
    <cellStyle name="Normal 7 9 2 2 4" xfId="27965"/>
    <cellStyle name="Normal 7 9 2 3" xfId="18258"/>
    <cellStyle name="Normal 7 9 2 3 2" xfId="40845"/>
    <cellStyle name="Normal 7 9 2 4" xfId="15038"/>
    <cellStyle name="Normal 7 9 2 4 2" xfId="37625"/>
    <cellStyle name="Normal 7 9 2 5" xfId="8598"/>
    <cellStyle name="Normal 7 9 2 5 2" xfId="31185"/>
    <cellStyle name="Normal 7 9 2 6" xfId="24745"/>
    <cellStyle name="Normal 7 9 3" xfId="4070"/>
    <cellStyle name="Normal 7 9 3 2" xfId="20170"/>
    <cellStyle name="Normal 7 9 3 2 2" xfId="42757"/>
    <cellStyle name="Normal 7 9 3 3" xfId="10510"/>
    <cellStyle name="Normal 7 9 3 3 2" xfId="33097"/>
    <cellStyle name="Normal 7 9 3 4" xfId="26657"/>
    <cellStyle name="Normal 7 9 4" xfId="16950"/>
    <cellStyle name="Normal 7 9 4 2" xfId="39537"/>
    <cellStyle name="Normal 7 9 5" xfId="13730"/>
    <cellStyle name="Normal 7 9 5 2" xfId="36317"/>
    <cellStyle name="Normal 7 9 6" xfId="7290"/>
    <cellStyle name="Normal 7 9 6 2" xfId="29877"/>
    <cellStyle name="Normal 7 9 7" xfId="23437"/>
    <cellStyle name="Normal 8" xfId="97"/>
    <cellStyle name="Normal 8 10" xfId="1726"/>
    <cellStyle name="Normal 8 10 2" xfId="4949"/>
    <cellStyle name="Normal 8 10 2 2" xfId="21049"/>
    <cellStyle name="Normal 8 10 2 2 2" xfId="43636"/>
    <cellStyle name="Normal 8 10 2 3" xfId="11389"/>
    <cellStyle name="Normal 8 10 2 3 2" xfId="33976"/>
    <cellStyle name="Normal 8 10 2 4" xfId="27536"/>
    <cellStyle name="Normal 8 10 3" xfId="17829"/>
    <cellStyle name="Normal 8 10 3 2" xfId="40416"/>
    <cellStyle name="Normal 8 10 4" xfId="14609"/>
    <cellStyle name="Normal 8 10 4 2" xfId="37196"/>
    <cellStyle name="Normal 8 10 5" xfId="8169"/>
    <cellStyle name="Normal 8 10 5 2" xfId="30756"/>
    <cellStyle name="Normal 8 10 6" xfId="24316"/>
    <cellStyle name="Normal 8 11" xfId="1813"/>
    <cellStyle name="Normal 8 11 2" xfId="5035"/>
    <cellStyle name="Normal 8 11 2 2" xfId="21135"/>
    <cellStyle name="Normal 8 11 2 2 2" xfId="43722"/>
    <cellStyle name="Normal 8 11 2 3" xfId="11475"/>
    <cellStyle name="Normal 8 11 2 3 2" xfId="34062"/>
    <cellStyle name="Normal 8 11 2 4" xfId="27622"/>
    <cellStyle name="Normal 8 11 3" xfId="17915"/>
    <cellStyle name="Normal 8 11 3 2" xfId="40502"/>
    <cellStyle name="Normal 8 11 4" xfId="14695"/>
    <cellStyle name="Normal 8 11 4 2" xfId="37282"/>
    <cellStyle name="Normal 8 11 5" xfId="8255"/>
    <cellStyle name="Normal 8 11 5 2" xfId="30842"/>
    <cellStyle name="Normal 8 11 6" xfId="24402"/>
    <cellStyle name="Normal 8 12" xfId="2856"/>
    <cellStyle name="Normal 8 12 2" xfId="6077"/>
    <cellStyle name="Normal 8 12 2 2" xfId="22177"/>
    <cellStyle name="Normal 8 12 2 2 2" xfId="44764"/>
    <cellStyle name="Normal 8 12 2 3" xfId="12517"/>
    <cellStyle name="Normal 8 12 2 3 2" xfId="35104"/>
    <cellStyle name="Normal 8 12 2 4" xfId="28664"/>
    <cellStyle name="Normal 8 12 3" xfId="18957"/>
    <cellStyle name="Normal 8 12 3 2" xfId="41544"/>
    <cellStyle name="Normal 8 12 4" xfId="15737"/>
    <cellStyle name="Normal 8 12 4 2" xfId="38324"/>
    <cellStyle name="Normal 8 12 5" xfId="9297"/>
    <cellStyle name="Normal 8 12 5 2" xfId="31884"/>
    <cellStyle name="Normal 8 12 6" xfId="25444"/>
    <cellStyle name="Normal 8 13" xfId="3147"/>
    <cellStyle name="Normal 8 13 2" xfId="6367"/>
    <cellStyle name="Normal 8 13 2 2" xfId="22467"/>
    <cellStyle name="Normal 8 13 2 2 2" xfId="45054"/>
    <cellStyle name="Normal 8 13 2 3" xfId="12807"/>
    <cellStyle name="Normal 8 13 2 3 2" xfId="35394"/>
    <cellStyle name="Normal 8 13 2 4" xfId="28954"/>
    <cellStyle name="Normal 8 13 3" xfId="19247"/>
    <cellStyle name="Normal 8 13 3 2" xfId="41834"/>
    <cellStyle name="Normal 8 13 4" xfId="16027"/>
    <cellStyle name="Normal 8 13 4 2" xfId="38614"/>
    <cellStyle name="Normal 8 13 5" xfId="9587"/>
    <cellStyle name="Normal 8 13 5 2" xfId="32174"/>
    <cellStyle name="Normal 8 13 6" xfId="25734"/>
    <cellStyle name="Normal 8 14" xfId="440"/>
    <cellStyle name="Normal 8 14 2" xfId="3727"/>
    <cellStyle name="Normal 8 14 2 2" xfId="19827"/>
    <cellStyle name="Normal 8 14 2 2 2" xfId="42414"/>
    <cellStyle name="Normal 8 14 2 3" xfId="10167"/>
    <cellStyle name="Normal 8 14 2 3 2" xfId="32754"/>
    <cellStyle name="Normal 8 14 2 4" xfId="26314"/>
    <cellStyle name="Normal 8 14 3" xfId="16607"/>
    <cellStyle name="Normal 8 14 3 2" xfId="39194"/>
    <cellStyle name="Normal 8 14 4" xfId="13387"/>
    <cellStyle name="Normal 8 14 4 2" xfId="35974"/>
    <cellStyle name="Normal 8 14 5" xfId="6947"/>
    <cellStyle name="Normal 8 14 5 2" xfId="29534"/>
    <cellStyle name="Normal 8 14 6" xfId="23094"/>
    <cellStyle name="Normal 8 15" xfId="3437"/>
    <cellStyle name="Normal 8 15 2" xfId="19537"/>
    <cellStyle name="Normal 8 15 2 2" xfId="42124"/>
    <cellStyle name="Normal 8 15 3" xfId="9877"/>
    <cellStyle name="Normal 8 15 3 2" xfId="32464"/>
    <cellStyle name="Normal 8 15 4" xfId="26024"/>
    <cellStyle name="Normal 8 16" xfId="16317"/>
    <cellStyle name="Normal 8 16 2" xfId="38904"/>
    <cellStyle name="Normal 8 17" xfId="13097"/>
    <cellStyle name="Normal 8 17 2" xfId="35684"/>
    <cellStyle name="Normal 8 18" xfId="6657"/>
    <cellStyle name="Normal 8 18 2" xfId="29244"/>
    <cellStyle name="Normal 8 19" xfId="22804"/>
    <cellStyle name="Normal 8 2" xfId="116"/>
    <cellStyle name="Normal 8 2 10" xfId="2872"/>
    <cellStyle name="Normal 8 2 10 2" xfId="6093"/>
    <cellStyle name="Normal 8 2 10 2 2" xfId="22193"/>
    <cellStyle name="Normal 8 2 10 2 2 2" xfId="44780"/>
    <cellStyle name="Normal 8 2 10 2 3" xfId="12533"/>
    <cellStyle name="Normal 8 2 10 2 3 2" xfId="35120"/>
    <cellStyle name="Normal 8 2 10 2 4" xfId="28680"/>
    <cellStyle name="Normal 8 2 10 3" xfId="18973"/>
    <cellStyle name="Normal 8 2 10 3 2" xfId="41560"/>
    <cellStyle name="Normal 8 2 10 4" xfId="15753"/>
    <cellStyle name="Normal 8 2 10 4 2" xfId="38340"/>
    <cellStyle name="Normal 8 2 10 5" xfId="9313"/>
    <cellStyle name="Normal 8 2 10 5 2" xfId="31900"/>
    <cellStyle name="Normal 8 2 10 6" xfId="25460"/>
    <cellStyle name="Normal 8 2 11" xfId="3163"/>
    <cellStyle name="Normal 8 2 11 2" xfId="6383"/>
    <cellStyle name="Normal 8 2 11 2 2" xfId="22483"/>
    <cellStyle name="Normal 8 2 11 2 2 2" xfId="45070"/>
    <cellStyle name="Normal 8 2 11 2 3" xfId="12823"/>
    <cellStyle name="Normal 8 2 11 2 3 2" xfId="35410"/>
    <cellStyle name="Normal 8 2 11 2 4" xfId="28970"/>
    <cellStyle name="Normal 8 2 11 3" xfId="19263"/>
    <cellStyle name="Normal 8 2 11 3 2" xfId="41850"/>
    <cellStyle name="Normal 8 2 11 4" xfId="16043"/>
    <cellStyle name="Normal 8 2 11 4 2" xfId="38630"/>
    <cellStyle name="Normal 8 2 11 5" xfId="9603"/>
    <cellStyle name="Normal 8 2 11 5 2" xfId="32190"/>
    <cellStyle name="Normal 8 2 11 6" xfId="25750"/>
    <cellStyle name="Normal 8 2 12" xfId="456"/>
    <cellStyle name="Normal 8 2 12 2" xfId="3743"/>
    <cellStyle name="Normal 8 2 12 2 2" xfId="19843"/>
    <cellStyle name="Normal 8 2 12 2 2 2" xfId="42430"/>
    <cellStyle name="Normal 8 2 12 2 3" xfId="10183"/>
    <cellStyle name="Normal 8 2 12 2 3 2" xfId="32770"/>
    <cellStyle name="Normal 8 2 12 2 4" xfId="26330"/>
    <cellStyle name="Normal 8 2 12 3" xfId="16623"/>
    <cellStyle name="Normal 8 2 12 3 2" xfId="39210"/>
    <cellStyle name="Normal 8 2 12 4" xfId="13403"/>
    <cellStyle name="Normal 8 2 12 4 2" xfId="35990"/>
    <cellStyle name="Normal 8 2 12 5" xfId="6963"/>
    <cellStyle name="Normal 8 2 12 5 2" xfId="29550"/>
    <cellStyle name="Normal 8 2 12 6" xfId="23110"/>
    <cellStyle name="Normal 8 2 13" xfId="3453"/>
    <cellStyle name="Normal 8 2 13 2" xfId="19553"/>
    <cellStyle name="Normal 8 2 13 2 2" xfId="42140"/>
    <cellStyle name="Normal 8 2 13 3" xfId="9893"/>
    <cellStyle name="Normal 8 2 13 3 2" xfId="32480"/>
    <cellStyle name="Normal 8 2 13 4" xfId="26040"/>
    <cellStyle name="Normal 8 2 14" xfId="16333"/>
    <cellStyle name="Normal 8 2 14 2" xfId="38920"/>
    <cellStyle name="Normal 8 2 15" xfId="13113"/>
    <cellStyle name="Normal 8 2 15 2" xfId="35700"/>
    <cellStyle name="Normal 8 2 16" xfId="6673"/>
    <cellStyle name="Normal 8 2 16 2" xfId="29260"/>
    <cellStyle name="Normal 8 2 17" xfId="22820"/>
    <cellStyle name="Normal 8 2 2" xfId="201"/>
    <cellStyle name="Normal 8 2 2 10" xfId="493"/>
    <cellStyle name="Normal 8 2 2 10 2" xfId="3780"/>
    <cellStyle name="Normal 8 2 2 10 2 2" xfId="19880"/>
    <cellStyle name="Normal 8 2 2 10 2 2 2" xfId="42467"/>
    <cellStyle name="Normal 8 2 2 10 2 3" xfId="10220"/>
    <cellStyle name="Normal 8 2 2 10 2 3 2" xfId="32807"/>
    <cellStyle name="Normal 8 2 2 10 2 4" xfId="26367"/>
    <cellStyle name="Normal 8 2 2 10 3" xfId="16660"/>
    <cellStyle name="Normal 8 2 2 10 3 2" xfId="39247"/>
    <cellStyle name="Normal 8 2 2 10 4" xfId="13440"/>
    <cellStyle name="Normal 8 2 2 10 4 2" xfId="36027"/>
    <cellStyle name="Normal 8 2 2 10 5" xfId="7000"/>
    <cellStyle name="Normal 8 2 2 10 5 2" xfId="29587"/>
    <cellStyle name="Normal 8 2 2 10 6" xfId="23147"/>
    <cellStyle name="Normal 8 2 2 11" xfId="3490"/>
    <cellStyle name="Normal 8 2 2 11 2" xfId="19590"/>
    <cellStyle name="Normal 8 2 2 11 2 2" xfId="42177"/>
    <cellStyle name="Normal 8 2 2 11 3" xfId="9930"/>
    <cellStyle name="Normal 8 2 2 11 3 2" xfId="32517"/>
    <cellStyle name="Normal 8 2 2 11 4" xfId="26077"/>
    <cellStyle name="Normal 8 2 2 12" xfId="16370"/>
    <cellStyle name="Normal 8 2 2 12 2" xfId="38957"/>
    <cellStyle name="Normal 8 2 2 13" xfId="13150"/>
    <cellStyle name="Normal 8 2 2 13 2" xfId="35737"/>
    <cellStyle name="Normal 8 2 2 14" xfId="6710"/>
    <cellStyle name="Normal 8 2 2 14 2" xfId="29297"/>
    <cellStyle name="Normal 8 2 2 15" xfId="22857"/>
    <cellStyle name="Normal 8 2 2 2" xfId="300"/>
    <cellStyle name="Normal 8 2 2 2 10" xfId="16467"/>
    <cellStyle name="Normal 8 2 2 2 10 2" xfId="39054"/>
    <cellStyle name="Normal 8 2 2 2 11" xfId="13247"/>
    <cellStyle name="Normal 8 2 2 2 11 2" xfId="35834"/>
    <cellStyle name="Normal 8 2 2 2 12" xfId="6807"/>
    <cellStyle name="Normal 8 2 2 2 12 2" xfId="29394"/>
    <cellStyle name="Normal 8 2 2 2 13" xfId="22954"/>
    <cellStyle name="Normal 8 2 2 2 2" xfId="1019"/>
    <cellStyle name="Normal 8 2 2 2 2 2" xfId="2333"/>
    <cellStyle name="Normal 8 2 2 2 2 2 2" xfId="5554"/>
    <cellStyle name="Normal 8 2 2 2 2 2 2 2" xfId="21654"/>
    <cellStyle name="Normal 8 2 2 2 2 2 2 2 2" xfId="44241"/>
    <cellStyle name="Normal 8 2 2 2 2 2 2 3" xfId="11994"/>
    <cellStyle name="Normal 8 2 2 2 2 2 2 3 2" xfId="34581"/>
    <cellStyle name="Normal 8 2 2 2 2 2 2 4" xfId="28141"/>
    <cellStyle name="Normal 8 2 2 2 2 2 3" xfId="18434"/>
    <cellStyle name="Normal 8 2 2 2 2 2 3 2" xfId="41021"/>
    <cellStyle name="Normal 8 2 2 2 2 2 4" xfId="15214"/>
    <cellStyle name="Normal 8 2 2 2 2 2 4 2" xfId="37801"/>
    <cellStyle name="Normal 8 2 2 2 2 2 5" xfId="8774"/>
    <cellStyle name="Normal 8 2 2 2 2 2 5 2" xfId="31361"/>
    <cellStyle name="Normal 8 2 2 2 2 2 6" xfId="24921"/>
    <cellStyle name="Normal 8 2 2 2 2 3" xfId="4246"/>
    <cellStyle name="Normal 8 2 2 2 2 3 2" xfId="20346"/>
    <cellStyle name="Normal 8 2 2 2 2 3 2 2" xfId="42933"/>
    <cellStyle name="Normal 8 2 2 2 2 3 3" xfId="10686"/>
    <cellStyle name="Normal 8 2 2 2 2 3 3 2" xfId="33273"/>
    <cellStyle name="Normal 8 2 2 2 2 3 4" xfId="26833"/>
    <cellStyle name="Normal 8 2 2 2 2 4" xfId="17126"/>
    <cellStyle name="Normal 8 2 2 2 2 4 2" xfId="39713"/>
    <cellStyle name="Normal 8 2 2 2 2 5" xfId="13906"/>
    <cellStyle name="Normal 8 2 2 2 2 5 2" xfId="36493"/>
    <cellStyle name="Normal 8 2 2 2 2 6" xfId="7466"/>
    <cellStyle name="Normal 8 2 2 2 2 6 2" xfId="30053"/>
    <cellStyle name="Normal 8 2 2 2 2 7" xfId="23613"/>
    <cellStyle name="Normal 8 2 2 2 3" xfId="1366"/>
    <cellStyle name="Normal 8 2 2 2 3 2" xfId="2680"/>
    <cellStyle name="Normal 8 2 2 2 3 2 2" xfId="5901"/>
    <cellStyle name="Normal 8 2 2 2 3 2 2 2" xfId="22001"/>
    <cellStyle name="Normal 8 2 2 2 3 2 2 2 2" xfId="44588"/>
    <cellStyle name="Normal 8 2 2 2 3 2 2 3" xfId="12341"/>
    <cellStyle name="Normal 8 2 2 2 3 2 2 3 2" xfId="34928"/>
    <cellStyle name="Normal 8 2 2 2 3 2 2 4" xfId="28488"/>
    <cellStyle name="Normal 8 2 2 2 3 2 3" xfId="18781"/>
    <cellStyle name="Normal 8 2 2 2 3 2 3 2" xfId="41368"/>
    <cellStyle name="Normal 8 2 2 2 3 2 4" xfId="15561"/>
    <cellStyle name="Normal 8 2 2 2 3 2 4 2" xfId="38148"/>
    <cellStyle name="Normal 8 2 2 2 3 2 5" xfId="9121"/>
    <cellStyle name="Normal 8 2 2 2 3 2 5 2" xfId="31708"/>
    <cellStyle name="Normal 8 2 2 2 3 2 6" xfId="25268"/>
    <cellStyle name="Normal 8 2 2 2 3 3" xfId="4593"/>
    <cellStyle name="Normal 8 2 2 2 3 3 2" xfId="20693"/>
    <cellStyle name="Normal 8 2 2 2 3 3 2 2" xfId="43280"/>
    <cellStyle name="Normal 8 2 2 2 3 3 3" xfId="11033"/>
    <cellStyle name="Normal 8 2 2 2 3 3 3 2" xfId="33620"/>
    <cellStyle name="Normal 8 2 2 2 3 3 4" xfId="27180"/>
    <cellStyle name="Normal 8 2 2 2 3 4" xfId="17473"/>
    <cellStyle name="Normal 8 2 2 2 3 4 2" xfId="40060"/>
    <cellStyle name="Normal 8 2 2 2 3 5" xfId="14253"/>
    <cellStyle name="Normal 8 2 2 2 3 5 2" xfId="36840"/>
    <cellStyle name="Normal 8 2 2 2 3 6" xfId="7813"/>
    <cellStyle name="Normal 8 2 2 2 3 6 2" xfId="30400"/>
    <cellStyle name="Normal 8 2 2 2 3 7" xfId="23960"/>
    <cellStyle name="Normal 8 2 2 2 4" xfId="1727"/>
    <cellStyle name="Normal 8 2 2 2 4 2" xfId="4950"/>
    <cellStyle name="Normal 8 2 2 2 4 2 2" xfId="21050"/>
    <cellStyle name="Normal 8 2 2 2 4 2 2 2" xfId="43637"/>
    <cellStyle name="Normal 8 2 2 2 4 2 3" xfId="11390"/>
    <cellStyle name="Normal 8 2 2 2 4 2 3 2" xfId="33977"/>
    <cellStyle name="Normal 8 2 2 2 4 2 4" xfId="27537"/>
    <cellStyle name="Normal 8 2 2 2 4 3" xfId="17830"/>
    <cellStyle name="Normal 8 2 2 2 4 3 2" xfId="40417"/>
    <cellStyle name="Normal 8 2 2 2 4 4" xfId="14610"/>
    <cellStyle name="Normal 8 2 2 2 4 4 2" xfId="37197"/>
    <cellStyle name="Normal 8 2 2 2 4 5" xfId="8170"/>
    <cellStyle name="Normal 8 2 2 2 4 5 2" xfId="30757"/>
    <cellStyle name="Normal 8 2 2 2 4 6" xfId="24317"/>
    <cellStyle name="Normal 8 2 2 2 5" xfId="1985"/>
    <cellStyle name="Normal 8 2 2 2 5 2" xfId="5207"/>
    <cellStyle name="Normal 8 2 2 2 5 2 2" xfId="21307"/>
    <cellStyle name="Normal 8 2 2 2 5 2 2 2" xfId="43894"/>
    <cellStyle name="Normal 8 2 2 2 5 2 3" xfId="11647"/>
    <cellStyle name="Normal 8 2 2 2 5 2 3 2" xfId="34234"/>
    <cellStyle name="Normal 8 2 2 2 5 2 4" xfId="27794"/>
    <cellStyle name="Normal 8 2 2 2 5 3" xfId="18087"/>
    <cellStyle name="Normal 8 2 2 2 5 3 2" xfId="40674"/>
    <cellStyle name="Normal 8 2 2 2 5 4" xfId="14867"/>
    <cellStyle name="Normal 8 2 2 2 5 4 2" xfId="37454"/>
    <cellStyle name="Normal 8 2 2 2 5 5" xfId="8427"/>
    <cellStyle name="Normal 8 2 2 2 5 5 2" xfId="31014"/>
    <cellStyle name="Normal 8 2 2 2 5 6" xfId="24574"/>
    <cellStyle name="Normal 8 2 2 2 6" xfId="3007"/>
    <cellStyle name="Normal 8 2 2 2 6 2" xfId="6227"/>
    <cellStyle name="Normal 8 2 2 2 6 2 2" xfId="22327"/>
    <cellStyle name="Normal 8 2 2 2 6 2 2 2" xfId="44914"/>
    <cellStyle name="Normal 8 2 2 2 6 2 3" xfId="12667"/>
    <cellStyle name="Normal 8 2 2 2 6 2 3 2" xfId="35254"/>
    <cellStyle name="Normal 8 2 2 2 6 2 4" xfId="28814"/>
    <cellStyle name="Normal 8 2 2 2 6 3" xfId="19107"/>
    <cellStyle name="Normal 8 2 2 2 6 3 2" xfId="41694"/>
    <cellStyle name="Normal 8 2 2 2 6 4" xfId="15887"/>
    <cellStyle name="Normal 8 2 2 2 6 4 2" xfId="38474"/>
    <cellStyle name="Normal 8 2 2 2 6 5" xfId="9447"/>
    <cellStyle name="Normal 8 2 2 2 6 5 2" xfId="32034"/>
    <cellStyle name="Normal 8 2 2 2 6 6" xfId="25594"/>
    <cellStyle name="Normal 8 2 2 2 7" xfId="3297"/>
    <cellStyle name="Normal 8 2 2 2 7 2" xfId="6517"/>
    <cellStyle name="Normal 8 2 2 2 7 2 2" xfId="22617"/>
    <cellStyle name="Normal 8 2 2 2 7 2 2 2" xfId="45204"/>
    <cellStyle name="Normal 8 2 2 2 7 2 3" xfId="12957"/>
    <cellStyle name="Normal 8 2 2 2 7 2 3 2" xfId="35544"/>
    <cellStyle name="Normal 8 2 2 2 7 2 4" xfId="29104"/>
    <cellStyle name="Normal 8 2 2 2 7 3" xfId="19397"/>
    <cellStyle name="Normal 8 2 2 2 7 3 2" xfId="41984"/>
    <cellStyle name="Normal 8 2 2 2 7 4" xfId="16177"/>
    <cellStyle name="Normal 8 2 2 2 7 4 2" xfId="38764"/>
    <cellStyle name="Normal 8 2 2 2 7 5" xfId="9737"/>
    <cellStyle name="Normal 8 2 2 2 7 5 2" xfId="32324"/>
    <cellStyle name="Normal 8 2 2 2 7 6" xfId="25884"/>
    <cellStyle name="Normal 8 2 2 2 8" xfId="655"/>
    <cellStyle name="Normal 8 2 2 2 8 2" xfId="3899"/>
    <cellStyle name="Normal 8 2 2 2 8 2 2" xfId="19999"/>
    <cellStyle name="Normal 8 2 2 2 8 2 2 2" xfId="42586"/>
    <cellStyle name="Normal 8 2 2 2 8 2 3" xfId="10339"/>
    <cellStyle name="Normal 8 2 2 2 8 2 3 2" xfId="32926"/>
    <cellStyle name="Normal 8 2 2 2 8 2 4" xfId="26486"/>
    <cellStyle name="Normal 8 2 2 2 8 3" xfId="16779"/>
    <cellStyle name="Normal 8 2 2 2 8 3 2" xfId="39366"/>
    <cellStyle name="Normal 8 2 2 2 8 4" xfId="13559"/>
    <cellStyle name="Normal 8 2 2 2 8 4 2" xfId="36146"/>
    <cellStyle name="Normal 8 2 2 2 8 5" xfId="7119"/>
    <cellStyle name="Normal 8 2 2 2 8 5 2" xfId="29706"/>
    <cellStyle name="Normal 8 2 2 2 8 6" xfId="23266"/>
    <cellStyle name="Normal 8 2 2 2 9" xfId="3587"/>
    <cellStyle name="Normal 8 2 2 2 9 2" xfId="19687"/>
    <cellStyle name="Normal 8 2 2 2 9 2 2" xfId="42274"/>
    <cellStyle name="Normal 8 2 2 2 9 3" xfId="10027"/>
    <cellStyle name="Normal 8 2 2 2 9 3 2" xfId="32614"/>
    <cellStyle name="Normal 8 2 2 2 9 4" xfId="26174"/>
    <cellStyle name="Normal 8 2 2 3" xfId="396"/>
    <cellStyle name="Normal 8 2 2 3 10" xfId="16563"/>
    <cellStyle name="Normal 8 2 2 3 10 2" xfId="39150"/>
    <cellStyle name="Normal 8 2 2 3 11" xfId="13343"/>
    <cellStyle name="Normal 8 2 2 3 11 2" xfId="35930"/>
    <cellStyle name="Normal 8 2 2 3 12" xfId="6903"/>
    <cellStyle name="Normal 8 2 2 3 12 2" xfId="29490"/>
    <cellStyle name="Normal 8 2 2 3 13" xfId="23050"/>
    <cellStyle name="Normal 8 2 2 3 2" xfId="1178"/>
    <cellStyle name="Normal 8 2 2 3 2 2" xfId="2492"/>
    <cellStyle name="Normal 8 2 2 3 2 2 2" xfId="5713"/>
    <cellStyle name="Normal 8 2 2 3 2 2 2 2" xfId="21813"/>
    <cellStyle name="Normal 8 2 2 3 2 2 2 2 2" xfId="44400"/>
    <cellStyle name="Normal 8 2 2 3 2 2 2 3" xfId="12153"/>
    <cellStyle name="Normal 8 2 2 3 2 2 2 3 2" xfId="34740"/>
    <cellStyle name="Normal 8 2 2 3 2 2 2 4" xfId="28300"/>
    <cellStyle name="Normal 8 2 2 3 2 2 3" xfId="18593"/>
    <cellStyle name="Normal 8 2 2 3 2 2 3 2" xfId="41180"/>
    <cellStyle name="Normal 8 2 2 3 2 2 4" xfId="15373"/>
    <cellStyle name="Normal 8 2 2 3 2 2 4 2" xfId="37960"/>
    <cellStyle name="Normal 8 2 2 3 2 2 5" xfId="8933"/>
    <cellStyle name="Normal 8 2 2 3 2 2 5 2" xfId="31520"/>
    <cellStyle name="Normal 8 2 2 3 2 2 6" xfId="25080"/>
    <cellStyle name="Normal 8 2 2 3 2 3" xfId="4405"/>
    <cellStyle name="Normal 8 2 2 3 2 3 2" xfId="20505"/>
    <cellStyle name="Normal 8 2 2 3 2 3 2 2" xfId="43092"/>
    <cellStyle name="Normal 8 2 2 3 2 3 3" xfId="10845"/>
    <cellStyle name="Normal 8 2 2 3 2 3 3 2" xfId="33432"/>
    <cellStyle name="Normal 8 2 2 3 2 3 4" xfId="26992"/>
    <cellStyle name="Normal 8 2 2 3 2 4" xfId="17285"/>
    <cellStyle name="Normal 8 2 2 3 2 4 2" xfId="39872"/>
    <cellStyle name="Normal 8 2 2 3 2 5" xfId="14065"/>
    <cellStyle name="Normal 8 2 2 3 2 5 2" xfId="36652"/>
    <cellStyle name="Normal 8 2 2 3 2 6" xfId="7625"/>
    <cellStyle name="Normal 8 2 2 3 2 6 2" xfId="30212"/>
    <cellStyle name="Normal 8 2 2 3 2 7" xfId="23772"/>
    <cellStyle name="Normal 8 2 2 3 3" xfId="1525"/>
    <cellStyle name="Normal 8 2 2 3 3 2" xfId="2839"/>
    <cellStyle name="Normal 8 2 2 3 3 2 2" xfId="6060"/>
    <cellStyle name="Normal 8 2 2 3 3 2 2 2" xfId="22160"/>
    <cellStyle name="Normal 8 2 2 3 3 2 2 2 2" xfId="44747"/>
    <cellStyle name="Normal 8 2 2 3 3 2 2 3" xfId="12500"/>
    <cellStyle name="Normal 8 2 2 3 3 2 2 3 2" xfId="35087"/>
    <cellStyle name="Normal 8 2 2 3 3 2 2 4" xfId="28647"/>
    <cellStyle name="Normal 8 2 2 3 3 2 3" xfId="18940"/>
    <cellStyle name="Normal 8 2 2 3 3 2 3 2" xfId="41527"/>
    <cellStyle name="Normal 8 2 2 3 3 2 4" xfId="15720"/>
    <cellStyle name="Normal 8 2 2 3 3 2 4 2" xfId="38307"/>
    <cellStyle name="Normal 8 2 2 3 3 2 5" xfId="9280"/>
    <cellStyle name="Normal 8 2 2 3 3 2 5 2" xfId="31867"/>
    <cellStyle name="Normal 8 2 2 3 3 2 6" xfId="25427"/>
    <cellStyle name="Normal 8 2 2 3 3 3" xfId="4752"/>
    <cellStyle name="Normal 8 2 2 3 3 3 2" xfId="20852"/>
    <cellStyle name="Normal 8 2 2 3 3 3 2 2" xfId="43439"/>
    <cellStyle name="Normal 8 2 2 3 3 3 3" xfId="11192"/>
    <cellStyle name="Normal 8 2 2 3 3 3 3 2" xfId="33779"/>
    <cellStyle name="Normal 8 2 2 3 3 3 4" xfId="27339"/>
    <cellStyle name="Normal 8 2 2 3 3 4" xfId="17632"/>
    <cellStyle name="Normal 8 2 2 3 3 4 2" xfId="40219"/>
    <cellStyle name="Normal 8 2 2 3 3 5" xfId="14412"/>
    <cellStyle name="Normal 8 2 2 3 3 5 2" xfId="36999"/>
    <cellStyle name="Normal 8 2 2 3 3 6" xfId="7972"/>
    <cellStyle name="Normal 8 2 2 3 3 6 2" xfId="30559"/>
    <cellStyle name="Normal 8 2 2 3 3 7" xfId="24119"/>
    <cellStyle name="Normal 8 2 2 3 4" xfId="1728"/>
    <cellStyle name="Normal 8 2 2 3 4 2" xfId="4951"/>
    <cellStyle name="Normal 8 2 2 3 4 2 2" xfId="21051"/>
    <cellStyle name="Normal 8 2 2 3 4 2 2 2" xfId="43638"/>
    <cellStyle name="Normal 8 2 2 3 4 2 3" xfId="11391"/>
    <cellStyle name="Normal 8 2 2 3 4 2 3 2" xfId="33978"/>
    <cellStyle name="Normal 8 2 2 3 4 2 4" xfId="27538"/>
    <cellStyle name="Normal 8 2 2 3 4 3" xfId="17831"/>
    <cellStyle name="Normal 8 2 2 3 4 3 2" xfId="40418"/>
    <cellStyle name="Normal 8 2 2 3 4 4" xfId="14611"/>
    <cellStyle name="Normal 8 2 2 3 4 4 2" xfId="37198"/>
    <cellStyle name="Normal 8 2 2 3 4 5" xfId="8171"/>
    <cellStyle name="Normal 8 2 2 3 4 5 2" xfId="30758"/>
    <cellStyle name="Normal 8 2 2 3 4 6" xfId="24318"/>
    <cellStyle name="Normal 8 2 2 3 5" xfId="2145"/>
    <cellStyle name="Normal 8 2 2 3 5 2" xfId="5366"/>
    <cellStyle name="Normal 8 2 2 3 5 2 2" xfId="21466"/>
    <cellStyle name="Normal 8 2 2 3 5 2 2 2" xfId="44053"/>
    <cellStyle name="Normal 8 2 2 3 5 2 3" xfId="11806"/>
    <cellStyle name="Normal 8 2 2 3 5 2 3 2" xfId="34393"/>
    <cellStyle name="Normal 8 2 2 3 5 2 4" xfId="27953"/>
    <cellStyle name="Normal 8 2 2 3 5 3" xfId="18246"/>
    <cellStyle name="Normal 8 2 2 3 5 3 2" xfId="40833"/>
    <cellStyle name="Normal 8 2 2 3 5 4" xfId="15026"/>
    <cellStyle name="Normal 8 2 2 3 5 4 2" xfId="37613"/>
    <cellStyle name="Normal 8 2 2 3 5 5" xfId="8586"/>
    <cellStyle name="Normal 8 2 2 3 5 5 2" xfId="31173"/>
    <cellStyle name="Normal 8 2 2 3 5 6" xfId="24733"/>
    <cellStyle name="Normal 8 2 2 3 6" xfId="3103"/>
    <cellStyle name="Normal 8 2 2 3 6 2" xfId="6323"/>
    <cellStyle name="Normal 8 2 2 3 6 2 2" xfId="22423"/>
    <cellStyle name="Normal 8 2 2 3 6 2 2 2" xfId="45010"/>
    <cellStyle name="Normal 8 2 2 3 6 2 3" xfId="12763"/>
    <cellStyle name="Normal 8 2 2 3 6 2 3 2" xfId="35350"/>
    <cellStyle name="Normal 8 2 2 3 6 2 4" xfId="28910"/>
    <cellStyle name="Normal 8 2 2 3 6 3" xfId="19203"/>
    <cellStyle name="Normal 8 2 2 3 6 3 2" xfId="41790"/>
    <cellStyle name="Normal 8 2 2 3 6 4" xfId="15983"/>
    <cellStyle name="Normal 8 2 2 3 6 4 2" xfId="38570"/>
    <cellStyle name="Normal 8 2 2 3 6 5" xfId="9543"/>
    <cellStyle name="Normal 8 2 2 3 6 5 2" xfId="32130"/>
    <cellStyle name="Normal 8 2 2 3 6 6" xfId="25690"/>
    <cellStyle name="Normal 8 2 2 3 7" xfId="3393"/>
    <cellStyle name="Normal 8 2 2 3 7 2" xfId="6613"/>
    <cellStyle name="Normal 8 2 2 3 7 2 2" xfId="22713"/>
    <cellStyle name="Normal 8 2 2 3 7 2 2 2" xfId="45300"/>
    <cellStyle name="Normal 8 2 2 3 7 2 3" xfId="13053"/>
    <cellStyle name="Normal 8 2 2 3 7 2 3 2" xfId="35640"/>
    <cellStyle name="Normal 8 2 2 3 7 2 4" xfId="29200"/>
    <cellStyle name="Normal 8 2 2 3 7 3" xfId="19493"/>
    <cellStyle name="Normal 8 2 2 3 7 3 2" xfId="42080"/>
    <cellStyle name="Normal 8 2 2 3 7 4" xfId="16273"/>
    <cellStyle name="Normal 8 2 2 3 7 4 2" xfId="38860"/>
    <cellStyle name="Normal 8 2 2 3 7 5" xfId="9833"/>
    <cellStyle name="Normal 8 2 2 3 7 5 2" xfId="32420"/>
    <cellStyle name="Normal 8 2 2 3 7 6" xfId="25980"/>
    <cellStyle name="Normal 8 2 2 3 8" xfId="826"/>
    <cellStyle name="Normal 8 2 2 3 8 2" xfId="4058"/>
    <cellStyle name="Normal 8 2 2 3 8 2 2" xfId="20158"/>
    <cellStyle name="Normal 8 2 2 3 8 2 2 2" xfId="42745"/>
    <cellStyle name="Normal 8 2 2 3 8 2 3" xfId="10498"/>
    <cellStyle name="Normal 8 2 2 3 8 2 3 2" xfId="33085"/>
    <cellStyle name="Normal 8 2 2 3 8 2 4" xfId="26645"/>
    <cellStyle name="Normal 8 2 2 3 8 3" xfId="16938"/>
    <cellStyle name="Normal 8 2 2 3 8 3 2" xfId="39525"/>
    <cellStyle name="Normal 8 2 2 3 8 4" xfId="13718"/>
    <cellStyle name="Normal 8 2 2 3 8 4 2" xfId="36305"/>
    <cellStyle name="Normal 8 2 2 3 8 5" xfId="7278"/>
    <cellStyle name="Normal 8 2 2 3 8 5 2" xfId="29865"/>
    <cellStyle name="Normal 8 2 2 3 8 6" xfId="23425"/>
    <cellStyle name="Normal 8 2 2 3 9" xfId="3683"/>
    <cellStyle name="Normal 8 2 2 3 9 2" xfId="19783"/>
    <cellStyle name="Normal 8 2 2 3 9 2 2" xfId="42370"/>
    <cellStyle name="Normal 8 2 2 3 9 3" xfId="10123"/>
    <cellStyle name="Normal 8 2 2 3 9 3 2" xfId="32710"/>
    <cellStyle name="Normal 8 2 2 3 9 4" xfId="26270"/>
    <cellStyle name="Normal 8 2 2 4" xfId="895"/>
    <cellStyle name="Normal 8 2 2 4 2" xfId="2214"/>
    <cellStyle name="Normal 8 2 2 4 2 2" xfId="5435"/>
    <cellStyle name="Normal 8 2 2 4 2 2 2" xfId="21535"/>
    <cellStyle name="Normal 8 2 2 4 2 2 2 2" xfId="44122"/>
    <cellStyle name="Normal 8 2 2 4 2 2 3" xfId="11875"/>
    <cellStyle name="Normal 8 2 2 4 2 2 3 2" xfId="34462"/>
    <cellStyle name="Normal 8 2 2 4 2 2 4" xfId="28022"/>
    <cellStyle name="Normal 8 2 2 4 2 3" xfId="18315"/>
    <cellStyle name="Normal 8 2 2 4 2 3 2" xfId="40902"/>
    <cellStyle name="Normal 8 2 2 4 2 4" xfId="15095"/>
    <cellStyle name="Normal 8 2 2 4 2 4 2" xfId="37682"/>
    <cellStyle name="Normal 8 2 2 4 2 5" xfId="8655"/>
    <cellStyle name="Normal 8 2 2 4 2 5 2" xfId="31242"/>
    <cellStyle name="Normal 8 2 2 4 2 6" xfId="24802"/>
    <cellStyle name="Normal 8 2 2 4 3" xfId="4127"/>
    <cellStyle name="Normal 8 2 2 4 3 2" xfId="20227"/>
    <cellStyle name="Normal 8 2 2 4 3 2 2" xfId="42814"/>
    <cellStyle name="Normal 8 2 2 4 3 3" xfId="10567"/>
    <cellStyle name="Normal 8 2 2 4 3 3 2" xfId="33154"/>
    <cellStyle name="Normal 8 2 2 4 3 4" xfId="26714"/>
    <cellStyle name="Normal 8 2 2 4 4" xfId="17007"/>
    <cellStyle name="Normal 8 2 2 4 4 2" xfId="39594"/>
    <cellStyle name="Normal 8 2 2 4 5" xfId="13787"/>
    <cellStyle name="Normal 8 2 2 4 5 2" xfId="36374"/>
    <cellStyle name="Normal 8 2 2 4 6" xfId="7347"/>
    <cellStyle name="Normal 8 2 2 4 6 2" xfId="29934"/>
    <cellStyle name="Normal 8 2 2 4 7" xfId="23494"/>
    <cellStyle name="Normal 8 2 2 5" xfId="1247"/>
    <cellStyle name="Normal 8 2 2 5 2" xfId="2561"/>
    <cellStyle name="Normal 8 2 2 5 2 2" xfId="5782"/>
    <cellStyle name="Normal 8 2 2 5 2 2 2" xfId="21882"/>
    <cellStyle name="Normal 8 2 2 5 2 2 2 2" xfId="44469"/>
    <cellStyle name="Normal 8 2 2 5 2 2 3" xfId="12222"/>
    <cellStyle name="Normal 8 2 2 5 2 2 3 2" xfId="34809"/>
    <cellStyle name="Normal 8 2 2 5 2 2 4" xfId="28369"/>
    <cellStyle name="Normal 8 2 2 5 2 3" xfId="18662"/>
    <cellStyle name="Normal 8 2 2 5 2 3 2" xfId="41249"/>
    <cellStyle name="Normal 8 2 2 5 2 4" xfId="15442"/>
    <cellStyle name="Normal 8 2 2 5 2 4 2" xfId="38029"/>
    <cellStyle name="Normal 8 2 2 5 2 5" xfId="9002"/>
    <cellStyle name="Normal 8 2 2 5 2 5 2" xfId="31589"/>
    <cellStyle name="Normal 8 2 2 5 2 6" xfId="25149"/>
    <cellStyle name="Normal 8 2 2 5 3" xfId="4474"/>
    <cellStyle name="Normal 8 2 2 5 3 2" xfId="20574"/>
    <cellStyle name="Normal 8 2 2 5 3 2 2" xfId="43161"/>
    <cellStyle name="Normal 8 2 2 5 3 3" xfId="10914"/>
    <cellStyle name="Normal 8 2 2 5 3 3 2" xfId="33501"/>
    <cellStyle name="Normal 8 2 2 5 3 4" xfId="27061"/>
    <cellStyle name="Normal 8 2 2 5 4" xfId="17354"/>
    <cellStyle name="Normal 8 2 2 5 4 2" xfId="39941"/>
    <cellStyle name="Normal 8 2 2 5 5" xfId="14134"/>
    <cellStyle name="Normal 8 2 2 5 5 2" xfId="36721"/>
    <cellStyle name="Normal 8 2 2 5 6" xfId="7694"/>
    <cellStyle name="Normal 8 2 2 5 6 2" xfId="30281"/>
    <cellStyle name="Normal 8 2 2 5 7" xfId="23841"/>
    <cellStyle name="Normal 8 2 2 6" xfId="1729"/>
    <cellStyle name="Normal 8 2 2 6 2" xfId="4952"/>
    <cellStyle name="Normal 8 2 2 6 2 2" xfId="21052"/>
    <cellStyle name="Normal 8 2 2 6 2 2 2" xfId="43639"/>
    <cellStyle name="Normal 8 2 2 6 2 3" xfId="11392"/>
    <cellStyle name="Normal 8 2 2 6 2 3 2" xfId="33979"/>
    <cellStyle name="Normal 8 2 2 6 2 4" xfId="27539"/>
    <cellStyle name="Normal 8 2 2 6 3" xfId="17832"/>
    <cellStyle name="Normal 8 2 2 6 3 2" xfId="40419"/>
    <cellStyle name="Normal 8 2 2 6 4" xfId="14612"/>
    <cellStyle name="Normal 8 2 2 6 4 2" xfId="37199"/>
    <cellStyle name="Normal 8 2 2 6 5" xfId="8172"/>
    <cellStyle name="Normal 8 2 2 6 5 2" xfId="30759"/>
    <cellStyle name="Normal 8 2 2 6 6" xfId="24319"/>
    <cellStyle name="Normal 8 2 2 7" xfId="1866"/>
    <cellStyle name="Normal 8 2 2 7 2" xfId="5088"/>
    <cellStyle name="Normal 8 2 2 7 2 2" xfId="21188"/>
    <cellStyle name="Normal 8 2 2 7 2 2 2" xfId="43775"/>
    <cellStyle name="Normal 8 2 2 7 2 3" xfId="11528"/>
    <cellStyle name="Normal 8 2 2 7 2 3 2" xfId="34115"/>
    <cellStyle name="Normal 8 2 2 7 2 4" xfId="27675"/>
    <cellStyle name="Normal 8 2 2 7 3" xfId="17968"/>
    <cellStyle name="Normal 8 2 2 7 3 2" xfId="40555"/>
    <cellStyle name="Normal 8 2 2 7 4" xfId="14748"/>
    <cellStyle name="Normal 8 2 2 7 4 2" xfId="37335"/>
    <cellStyle name="Normal 8 2 2 7 5" xfId="8308"/>
    <cellStyle name="Normal 8 2 2 7 5 2" xfId="30895"/>
    <cellStyle name="Normal 8 2 2 7 6" xfId="24455"/>
    <cellStyle name="Normal 8 2 2 8" xfId="2909"/>
    <cellStyle name="Normal 8 2 2 8 2" xfId="6130"/>
    <cellStyle name="Normal 8 2 2 8 2 2" xfId="22230"/>
    <cellStyle name="Normal 8 2 2 8 2 2 2" xfId="44817"/>
    <cellStyle name="Normal 8 2 2 8 2 3" xfId="12570"/>
    <cellStyle name="Normal 8 2 2 8 2 3 2" xfId="35157"/>
    <cellStyle name="Normal 8 2 2 8 2 4" xfId="28717"/>
    <cellStyle name="Normal 8 2 2 8 3" xfId="19010"/>
    <cellStyle name="Normal 8 2 2 8 3 2" xfId="41597"/>
    <cellStyle name="Normal 8 2 2 8 4" xfId="15790"/>
    <cellStyle name="Normal 8 2 2 8 4 2" xfId="38377"/>
    <cellStyle name="Normal 8 2 2 8 5" xfId="9350"/>
    <cellStyle name="Normal 8 2 2 8 5 2" xfId="31937"/>
    <cellStyle name="Normal 8 2 2 8 6" xfId="25497"/>
    <cellStyle name="Normal 8 2 2 9" xfId="3200"/>
    <cellStyle name="Normal 8 2 2 9 2" xfId="6420"/>
    <cellStyle name="Normal 8 2 2 9 2 2" xfId="22520"/>
    <cellStyle name="Normal 8 2 2 9 2 2 2" xfId="45107"/>
    <cellStyle name="Normal 8 2 2 9 2 3" xfId="12860"/>
    <cellStyle name="Normal 8 2 2 9 2 3 2" xfId="35447"/>
    <cellStyle name="Normal 8 2 2 9 2 4" xfId="29007"/>
    <cellStyle name="Normal 8 2 2 9 3" xfId="19300"/>
    <cellStyle name="Normal 8 2 2 9 3 2" xfId="41887"/>
    <cellStyle name="Normal 8 2 2 9 4" xfId="16080"/>
    <cellStyle name="Normal 8 2 2 9 4 2" xfId="38667"/>
    <cellStyle name="Normal 8 2 2 9 5" xfId="9640"/>
    <cellStyle name="Normal 8 2 2 9 5 2" xfId="32227"/>
    <cellStyle name="Normal 8 2 2 9 6" xfId="25787"/>
    <cellStyle name="Normal 8 2 3" xfId="259"/>
    <cellStyle name="Normal 8 2 3 10" xfId="3546"/>
    <cellStyle name="Normal 8 2 3 10 2" xfId="19646"/>
    <cellStyle name="Normal 8 2 3 10 2 2" xfId="42233"/>
    <cellStyle name="Normal 8 2 3 10 3" xfId="9986"/>
    <cellStyle name="Normal 8 2 3 10 3 2" xfId="32573"/>
    <cellStyle name="Normal 8 2 3 10 4" xfId="26133"/>
    <cellStyle name="Normal 8 2 3 11" xfId="16426"/>
    <cellStyle name="Normal 8 2 3 11 2" xfId="39013"/>
    <cellStyle name="Normal 8 2 3 12" xfId="13206"/>
    <cellStyle name="Normal 8 2 3 12 2" xfId="35793"/>
    <cellStyle name="Normal 8 2 3 13" xfId="6766"/>
    <cellStyle name="Normal 8 2 3 13 2" xfId="29353"/>
    <cellStyle name="Normal 8 2 3 14" xfId="22913"/>
    <cellStyle name="Normal 8 2 3 2" xfId="692"/>
    <cellStyle name="Normal 8 2 3 2 10" xfId="23303"/>
    <cellStyle name="Normal 8 2 3 2 2" xfId="1056"/>
    <cellStyle name="Normal 8 2 3 2 2 2" xfId="2370"/>
    <cellStyle name="Normal 8 2 3 2 2 2 2" xfId="5591"/>
    <cellStyle name="Normal 8 2 3 2 2 2 2 2" xfId="21691"/>
    <cellStyle name="Normal 8 2 3 2 2 2 2 2 2" xfId="44278"/>
    <cellStyle name="Normal 8 2 3 2 2 2 2 3" xfId="12031"/>
    <cellStyle name="Normal 8 2 3 2 2 2 2 3 2" xfId="34618"/>
    <cellStyle name="Normal 8 2 3 2 2 2 2 4" xfId="28178"/>
    <cellStyle name="Normal 8 2 3 2 2 2 3" xfId="18471"/>
    <cellStyle name="Normal 8 2 3 2 2 2 3 2" xfId="41058"/>
    <cellStyle name="Normal 8 2 3 2 2 2 4" xfId="15251"/>
    <cellStyle name="Normal 8 2 3 2 2 2 4 2" xfId="37838"/>
    <cellStyle name="Normal 8 2 3 2 2 2 5" xfId="8811"/>
    <cellStyle name="Normal 8 2 3 2 2 2 5 2" xfId="31398"/>
    <cellStyle name="Normal 8 2 3 2 2 2 6" xfId="24958"/>
    <cellStyle name="Normal 8 2 3 2 2 3" xfId="4283"/>
    <cellStyle name="Normal 8 2 3 2 2 3 2" xfId="20383"/>
    <cellStyle name="Normal 8 2 3 2 2 3 2 2" xfId="42970"/>
    <cellStyle name="Normal 8 2 3 2 2 3 3" xfId="10723"/>
    <cellStyle name="Normal 8 2 3 2 2 3 3 2" xfId="33310"/>
    <cellStyle name="Normal 8 2 3 2 2 3 4" xfId="26870"/>
    <cellStyle name="Normal 8 2 3 2 2 4" xfId="17163"/>
    <cellStyle name="Normal 8 2 3 2 2 4 2" xfId="39750"/>
    <cellStyle name="Normal 8 2 3 2 2 5" xfId="13943"/>
    <cellStyle name="Normal 8 2 3 2 2 5 2" xfId="36530"/>
    <cellStyle name="Normal 8 2 3 2 2 6" xfId="7503"/>
    <cellStyle name="Normal 8 2 3 2 2 6 2" xfId="30090"/>
    <cellStyle name="Normal 8 2 3 2 2 7" xfId="23650"/>
    <cellStyle name="Normal 8 2 3 2 3" xfId="1403"/>
    <cellStyle name="Normal 8 2 3 2 3 2" xfId="2717"/>
    <cellStyle name="Normal 8 2 3 2 3 2 2" xfId="5938"/>
    <cellStyle name="Normal 8 2 3 2 3 2 2 2" xfId="22038"/>
    <cellStyle name="Normal 8 2 3 2 3 2 2 2 2" xfId="44625"/>
    <cellStyle name="Normal 8 2 3 2 3 2 2 3" xfId="12378"/>
    <cellStyle name="Normal 8 2 3 2 3 2 2 3 2" xfId="34965"/>
    <cellStyle name="Normal 8 2 3 2 3 2 2 4" xfId="28525"/>
    <cellStyle name="Normal 8 2 3 2 3 2 3" xfId="18818"/>
    <cellStyle name="Normal 8 2 3 2 3 2 3 2" xfId="41405"/>
    <cellStyle name="Normal 8 2 3 2 3 2 4" xfId="15598"/>
    <cellStyle name="Normal 8 2 3 2 3 2 4 2" xfId="38185"/>
    <cellStyle name="Normal 8 2 3 2 3 2 5" xfId="9158"/>
    <cellStyle name="Normal 8 2 3 2 3 2 5 2" xfId="31745"/>
    <cellStyle name="Normal 8 2 3 2 3 2 6" xfId="25305"/>
    <cellStyle name="Normal 8 2 3 2 3 3" xfId="4630"/>
    <cellStyle name="Normal 8 2 3 2 3 3 2" xfId="20730"/>
    <cellStyle name="Normal 8 2 3 2 3 3 2 2" xfId="43317"/>
    <cellStyle name="Normal 8 2 3 2 3 3 3" xfId="11070"/>
    <cellStyle name="Normal 8 2 3 2 3 3 3 2" xfId="33657"/>
    <cellStyle name="Normal 8 2 3 2 3 3 4" xfId="27217"/>
    <cellStyle name="Normal 8 2 3 2 3 4" xfId="17510"/>
    <cellStyle name="Normal 8 2 3 2 3 4 2" xfId="40097"/>
    <cellStyle name="Normal 8 2 3 2 3 5" xfId="14290"/>
    <cellStyle name="Normal 8 2 3 2 3 5 2" xfId="36877"/>
    <cellStyle name="Normal 8 2 3 2 3 6" xfId="7850"/>
    <cellStyle name="Normal 8 2 3 2 3 6 2" xfId="30437"/>
    <cellStyle name="Normal 8 2 3 2 3 7" xfId="23997"/>
    <cellStyle name="Normal 8 2 3 2 4" xfId="1730"/>
    <cellStyle name="Normal 8 2 3 2 4 2" xfId="4953"/>
    <cellStyle name="Normal 8 2 3 2 4 2 2" xfId="21053"/>
    <cellStyle name="Normal 8 2 3 2 4 2 2 2" xfId="43640"/>
    <cellStyle name="Normal 8 2 3 2 4 2 3" xfId="11393"/>
    <cellStyle name="Normal 8 2 3 2 4 2 3 2" xfId="33980"/>
    <cellStyle name="Normal 8 2 3 2 4 2 4" xfId="27540"/>
    <cellStyle name="Normal 8 2 3 2 4 3" xfId="17833"/>
    <cellStyle name="Normal 8 2 3 2 4 3 2" xfId="40420"/>
    <cellStyle name="Normal 8 2 3 2 4 4" xfId="14613"/>
    <cellStyle name="Normal 8 2 3 2 4 4 2" xfId="37200"/>
    <cellStyle name="Normal 8 2 3 2 4 5" xfId="8173"/>
    <cellStyle name="Normal 8 2 3 2 4 5 2" xfId="30760"/>
    <cellStyle name="Normal 8 2 3 2 4 6" xfId="24320"/>
    <cellStyle name="Normal 8 2 3 2 5" xfId="2022"/>
    <cellStyle name="Normal 8 2 3 2 5 2" xfId="5244"/>
    <cellStyle name="Normal 8 2 3 2 5 2 2" xfId="21344"/>
    <cellStyle name="Normal 8 2 3 2 5 2 2 2" xfId="43931"/>
    <cellStyle name="Normal 8 2 3 2 5 2 3" xfId="11684"/>
    <cellStyle name="Normal 8 2 3 2 5 2 3 2" xfId="34271"/>
    <cellStyle name="Normal 8 2 3 2 5 2 4" xfId="27831"/>
    <cellStyle name="Normal 8 2 3 2 5 3" xfId="18124"/>
    <cellStyle name="Normal 8 2 3 2 5 3 2" xfId="40711"/>
    <cellStyle name="Normal 8 2 3 2 5 4" xfId="14904"/>
    <cellStyle name="Normal 8 2 3 2 5 4 2" xfId="37491"/>
    <cellStyle name="Normal 8 2 3 2 5 5" xfId="8464"/>
    <cellStyle name="Normal 8 2 3 2 5 5 2" xfId="31051"/>
    <cellStyle name="Normal 8 2 3 2 5 6" xfId="24611"/>
    <cellStyle name="Normal 8 2 3 2 6" xfId="3936"/>
    <cellStyle name="Normal 8 2 3 2 6 2" xfId="20036"/>
    <cellStyle name="Normal 8 2 3 2 6 2 2" xfId="42623"/>
    <cellStyle name="Normal 8 2 3 2 6 3" xfId="10376"/>
    <cellStyle name="Normal 8 2 3 2 6 3 2" xfId="32963"/>
    <cellStyle name="Normal 8 2 3 2 6 4" xfId="26523"/>
    <cellStyle name="Normal 8 2 3 2 7" xfId="16816"/>
    <cellStyle name="Normal 8 2 3 2 7 2" xfId="39403"/>
    <cellStyle name="Normal 8 2 3 2 8" xfId="13596"/>
    <cellStyle name="Normal 8 2 3 2 8 2" xfId="36183"/>
    <cellStyle name="Normal 8 2 3 2 9" xfId="7156"/>
    <cellStyle name="Normal 8 2 3 2 9 2" xfId="29743"/>
    <cellStyle name="Normal 8 2 3 3" xfId="935"/>
    <cellStyle name="Normal 8 2 3 3 2" xfId="2254"/>
    <cellStyle name="Normal 8 2 3 3 2 2" xfId="5475"/>
    <cellStyle name="Normal 8 2 3 3 2 2 2" xfId="21575"/>
    <cellStyle name="Normal 8 2 3 3 2 2 2 2" xfId="44162"/>
    <cellStyle name="Normal 8 2 3 3 2 2 3" xfId="11915"/>
    <cellStyle name="Normal 8 2 3 3 2 2 3 2" xfId="34502"/>
    <cellStyle name="Normal 8 2 3 3 2 2 4" xfId="28062"/>
    <cellStyle name="Normal 8 2 3 3 2 3" xfId="18355"/>
    <cellStyle name="Normal 8 2 3 3 2 3 2" xfId="40942"/>
    <cellStyle name="Normal 8 2 3 3 2 4" xfId="15135"/>
    <cellStyle name="Normal 8 2 3 3 2 4 2" xfId="37722"/>
    <cellStyle name="Normal 8 2 3 3 2 5" xfId="8695"/>
    <cellStyle name="Normal 8 2 3 3 2 5 2" xfId="31282"/>
    <cellStyle name="Normal 8 2 3 3 2 6" xfId="24842"/>
    <cellStyle name="Normal 8 2 3 3 3" xfId="4167"/>
    <cellStyle name="Normal 8 2 3 3 3 2" xfId="20267"/>
    <cellStyle name="Normal 8 2 3 3 3 2 2" xfId="42854"/>
    <cellStyle name="Normal 8 2 3 3 3 3" xfId="10607"/>
    <cellStyle name="Normal 8 2 3 3 3 3 2" xfId="33194"/>
    <cellStyle name="Normal 8 2 3 3 3 4" xfId="26754"/>
    <cellStyle name="Normal 8 2 3 3 4" xfId="17047"/>
    <cellStyle name="Normal 8 2 3 3 4 2" xfId="39634"/>
    <cellStyle name="Normal 8 2 3 3 5" xfId="13827"/>
    <cellStyle name="Normal 8 2 3 3 5 2" xfId="36414"/>
    <cellStyle name="Normal 8 2 3 3 6" xfId="7387"/>
    <cellStyle name="Normal 8 2 3 3 6 2" xfId="29974"/>
    <cellStyle name="Normal 8 2 3 3 7" xfId="23534"/>
    <cellStyle name="Normal 8 2 3 4" xfId="1287"/>
    <cellStyle name="Normal 8 2 3 4 2" xfId="2601"/>
    <cellStyle name="Normal 8 2 3 4 2 2" xfId="5822"/>
    <cellStyle name="Normal 8 2 3 4 2 2 2" xfId="21922"/>
    <cellStyle name="Normal 8 2 3 4 2 2 2 2" xfId="44509"/>
    <cellStyle name="Normal 8 2 3 4 2 2 3" xfId="12262"/>
    <cellStyle name="Normal 8 2 3 4 2 2 3 2" xfId="34849"/>
    <cellStyle name="Normal 8 2 3 4 2 2 4" xfId="28409"/>
    <cellStyle name="Normal 8 2 3 4 2 3" xfId="18702"/>
    <cellStyle name="Normal 8 2 3 4 2 3 2" xfId="41289"/>
    <cellStyle name="Normal 8 2 3 4 2 4" xfId="15482"/>
    <cellStyle name="Normal 8 2 3 4 2 4 2" xfId="38069"/>
    <cellStyle name="Normal 8 2 3 4 2 5" xfId="9042"/>
    <cellStyle name="Normal 8 2 3 4 2 5 2" xfId="31629"/>
    <cellStyle name="Normal 8 2 3 4 2 6" xfId="25189"/>
    <cellStyle name="Normal 8 2 3 4 3" xfId="4514"/>
    <cellStyle name="Normal 8 2 3 4 3 2" xfId="20614"/>
    <cellStyle name="Normal 8 2 3 4 3 2 2" xfId="43201"/>
    <cellStyle name="Normal 8 2 3 4 3 3" xfId="10954"/>
    <cellStyle name="Normal 8 2 3 4 3 3 2" xfId="33541"/>
    <cellStyle name="Normal 8 2 3 4 3 4" xfId="27101"/>
    <cellStyle name="Normal 8 2 3 4 4" xfId="17394"/>
    <cellStyle name="Normal 8 2 3 4 4 2" xfId="39981"/>
    <cellStyle name="Normal 8 2 3 4 5" xfId="14174"/>
    <cellStyle name="Normal 8 2 3 4 5 2" xfId="36761"/>
    <cellStyle name="Normal 8 2 3 4 6" xfId="7734"/>
    <cellStyle name="Normal 8 2 3 4 6 2" xfId="30321"/>
    <cellStyle name="Normal 8 2 3 4 7" xfId="23881"/>
    <cellStyle name="Normal 8 2 3 5" xfId="1731"/>
    <cellStyle name="Normal 8 2 3 5 2" xfId="4954"/>
    <cellStyle name="Normal 8 2 3 5 2 2" xfId="21054"/>
    <cellStyle name="Normal 8 2 3 5 2 2 2" xfId="43641"/>
    <cellStyle name="Normal 8 2 3 5 2 3" xfId="11394"/>
    <cellStyle name="Normal 8 2 3 5 2 3 2" xfId="33981"/>
    <cellStyle name="Normal 8 2 3 5 2 4" xfId="27541"/>
    <cellStyle name="Normal 8 2 3 5 3" xfId="17834"/>
    <cellStyle name="Normal 8 2 3 5 3 2" xfId="40421"/>
    <cellStyle name="Normal 8 2 3 5 4" xfId="14614"/>
    <cellStyle name="Normal 8 2 3 5 4 2" xfId="37201"/>
    <cellStyle name="Normal 8 2 3 5 5" xfId="8174"/>
    <cellStyle name="Normal 8 2 3 5 5 2" xfId="30761"/>
    <cellStyle name="Normal 8 2 3 5 6" xfId="24321"/>
    <cellStyle name="Normal 8 2 3 6" xfId="1906"/>
    <cellStyle name="Normal 8 2 3 6 2" xfId="5128"/>
    <cellStyle name="Normal 8 2 3 6 2 2" xfId="21228"/>
    <cellStyle name="Normal 8 2 3 6 2 2 2" xfId="43815"/>
    <cellStyle name="Normal 8 2 3 6 2 3" xfId="11568"/>
    <cellStyle name="Normal 8 2 3 6 2 3 2" xfId="34155"/>
    <cellStyle name="Normal 8 2 3 6 2 4" xfId="27715"/>
    <cellStyle name="Normal 8 2 3 6 3" xfId="18008"/>
    <cellStyle name="Normal 8 2 3 6 3 2" xfId="40595"/>
    <cellStyle name="Normal 8 2 3 6 4" xfId="14788"/>
    <cellStyle name="Normal 8 2 3 6 4 2" xfId="37375"/>
    <cellStyle name="Normal 8 2 3 6 5" xfId="8348"/>
    <cellStyle name="Normal 8 2 3 6 5 2" xfId="30935"/>
    <cellStyle name="Normal 8 2 3 6 6" xfId="24495"/>
    <cellStyle name="Normal 8 2 3 7" xfId="2966"/>
    <cellStyle name="Normal 8 2 3 7 2" xfId="6186"/>
    <cellStyle name="Normal 8 2 3 7 2 2" xfId="22286"/>
    <cellStyle name="Normal 8 2 3 7 2 2 2" xfId="44873"/>
    <cellStyle name="Normal 8 2 3 7 2 3" xfId="12626"/>
    <cellStyle name="Normal 8 2 3 7 2 3 2" xfId="35213"/>
    <cellStyle name="Normal 8 2 3 7 2 4" xfId="28773"/>
    <cellStyle name="Normal 8 2 3 7 3" xfId="19066"/>
    <cellStyle name="Normal 8 2 3 7 3 2" xfId="41653"/>
    <cellStyle name="Normal 8 2 3 7 4" xfId="15846"/>
    <cellStyle name="Normal 8 2 3 7 4 2" xfId="38433"/>
    <cellStyle name="Normal 8 2 3 7 5" xfId="9406"/>
    <cellStyle name="Normal 8 2 3 7 5 2" xfId="31993"/>
    <cellStyle name="Normal 8 2 3 7 6" xfId="25553"/>
    <cellStyle name="Normal 8 2 3 8" xfId="3256"/>
    <cellStyle name="Normal 8 2 3 8 2" xfId="6476"/>
    <cellStyle name="Normal 8 2 3 8 2 2" xfId="22576"/>
    <cellStyle name="Normal 8 2 3 8 2 2 2" xfId="45163"/>
    <cellStyle name="Normal 8 2 3 8 2 3" xfId="12916"/>
    <cellStyle name="Normal 8 2 3 8 2 3 2" xfId="35503"/>
    <cellStyle name="Normal 8 2 3 8 2 4" xfId="29063"/>
    <cellStyle name="Normal 8 2 3 8 3" xfId="19356"/>
    <cellStyle name="Normal 8 2 3 8 3 2" xfId="41943"/>
    <cellStyle name="Normal 8 2 3 8 4" xfId="16136"/>
    <cellStyle name="Normal 8 2 3 8 4 2" xfId="38723"/>
    <cellStyle name="Normal 8 2 3 8 5" xfId="9696"/>
    <cellStyle name="Normal 8 2 3 8 5 2" xfId="32283"/>
    <cellStyle name="Normal 8 2 3 8 6" xfId="25843"/>
    <cellStyle name="Normal 8 2 3 9" xfId="533"/>
    <cellStyle name="Normal 8 2 3 9 2" xfId="3820"/>
    <cellStyle name="Normal 8 2 3 9 2 2" xfId="19920"/>
    <cellStyle name="Normal 8 2 3 9 2 2 2" xfId="42507"/>
    <cellStyle name="Normal 8 2 3 9 2 3" xfId="10260"/>
    <cellStyle name="Normal 8 2 3 9 2 3 2" xfId="32847"/>
    <cellStyle name="Normal 8 2 3 9 2 4" xfId="26407"/>
    <cellStyle name="Normal 8 2 3 9 3" xfId="16700"/>
    <cellStyle name="Normal 8 2 3 9 3 2" xfId="39287"/>
    <cellStyle name="Normal 8 2 3 9 4" xfId="13480"/>
    <cellStyle name="Normal 8 2 3 9 4 2" xfId="36067"/>
    <cellStyle name="Normal 8 2 3 9 5" xfId="7040"/>
    <cellStyle name="Normal 8 2 3 9 5 2" xfId="29627"/>
    <cellStyle name="Normal 8 2 3 9 6" xfId="23187"/>
    <cellStyle name="Normal 8 2 4" xfId="359"/>
    <cellStyle name="Normal 8 2 4 10" xfId="16526"/>
    <cellStyle name="Normal 8 2 4 10 2" xfId="39113"/>
    <cellStyle name="Normal 8 2 4 11" xfId="13306"/>
    <cellStyle name="Normal 8 2 4 11 2" xfId="35893"/>
    <cellStyle name="Normal 8 2 4 12" xfId="6866"/>
    <cellStyle name="Normal 8 2 4 12 2" xfId="29453"/>
    <cellStyle name="Normal 8 2 4 13" xfId="23013"/>
    <cellStyle name="Normal 8 2 4 2" xfId="959"/>
    <cellStyle name="Normal 8 2 4 2 2" xfId="2278"/>
    <cellStyle name="Normal 8 2 4 2 2 2" xfId="5499"/>
    <cellStyle name="Normal 8 2 4 2 2 2 2" xfId="21599"/>
    <cellStyle name="Normal 8 2 4 2 2 2 2 2" xfId="44186"/>
    <cellStyle name="Normal 8 2 4 2 2 2 3" xfId="11939"/>
    <cellStyle name="Normal 8 2 4 2 2 2 3 2" xfId="34526"/>
    <cellStyle name="Normal 8 2 4 2 2 2 4" xfId="28086"/>
    <cellStyle name="Normal 8 2 4 2 2 3" xfId="18379"/>
    <cellStyle name="Normal 8 2 4 2 2 3 2" xfId="40966"/>
    <cellStyle name="Normal 8 2 4 2 2 4" xfId="15159"/>
    <cellStyle name="Normal 8 2 4 2 2 4 2" xfId="37746"/>
    <cellStyle name="Normal 8 2 4 2 2 5" xfId="8719"/>
    <cellStyle name="Normal 8 2 4 2 2 5 2" xfId="31306"/>
    <cellStyle name="Normal 8 2 4 2 2 6" xfId="24866"/>
    <cellStyle name="Normal 8 2 4 2 3" xfId="4191"/>
    <cellStyle name="Normal 8 2 4 2 3 2" xfId="20291"/>
    <cellStyle name="Normal 8 2 4 2 3 2 2" xfId="42878"/>
    <cellStyle name="Normal 8 2 4 2 3 3" xfId="10631"/>
    <cellStyle name="Normal 8 2 4 2 3 3 2" xfId="33218"/>
    <cellStyle name="Normal 8 2 4 2 3 4" xfId="26778"/>
    <cellStyle name="Normal 8 2 4 2 4" xfId="17071"/>
    <cellStyle name="Normal 8 2 4 2 4 2" xfId="39658"/>
    <cellStyle name="Normal 8 2 4 2 5" xfId="13851"/>
    <cellStyle name="Normal 8 2 4 2 5 2" xfId="36438"/>
    <cellStyle name="Normal 8 2 4 2 6" xfId="7411"/>
    <cellStyle name="Normal 8 2 4 2 6 2" xfId="29998"/>
    <cellStyle name="Normal 8 2 4 2 7" xfId="23558"/>
    <cellStyle name="Normal 8 2 4 3" xfId="1311"/>
    <cellStyle name="Normal 8 2 4 3 2" xfId="2625"/>
    <cellStyle name="Normal 8 2 4 3 2 2" xfId="5846"/>
    <cellStyle name="Normal 8 2 4 3 2 2 2" xfId="21946"/>
    <cellStyle name="Normal 8 2 4 3 2 2 2 2" xfId="44533"/>
    <cellStyle name="Normal 8 2 4 3 2 2 3" xfId="12286"/>
    <cellStyle name="Normal 8 2 4 3 2 2 3 2" xfId="34873"/>
    <cellStyle name="Normal 8 2 4 3 2 2 4" xfId="28433"/>
    <cellStyle name="Normal 8 2 4 3 2 3" xfId="18726"/>
    <cellStyle name="Normal 8 2 4 3 2 3 2" xfId="41313"/>
    <cellStyle name="Normal 8 2 4 3 2 4" xfId="15506"/>
    <cellStyle name="Normal 8 2 4 3 2 4 2" xfId="38093"/>
    <cellStyle name="Normal 8 2 4 3 2 5" xfId="9066"/>
    <cellStyle name="Normal 8 2 4 3 2 5 2" xfId="31653"/>
    <cellStyle name="Normal 8 2 4 3 2 6" xfId="25213"/>
    <cellStyle name="Normal 8 2 4 3 3" xfId="4538"/>
    <cellStyle name="Normal 8 2 4 3 3 2" xfId="20638"/>
    <cellStyle name="Normal 8 2 4 3 3 2 2" xfId="43225"/>
    <cellStyle name="Normal 8 2 4 3 3 3" xfId="10978"/>
    <cellStyle name="Normal 8 2 4 3 3 3 2" xfId="33565"/>
    <cellStyle name="Normal 8 2 4 3 3 4" xfId="27125"/>
    <cellStyle name="Normal 8 2 4 3 4" xfId="17418"/>
    <cellStyle name="Normal 8 2 4 3 4 2" xfId="40005"/>
    <cellStyle name="Normal 8 2 4 3 5" xfId="14198"/>
    <cellStyle name="Normal 8 2 4 3 5 2" xfId="36785"/>
    <cellStyle name="Normal 8 2 4 3 6" xfId="7758"/>
    <cellStyle name="Normal 8 2 4 3 6 2" xfId="30345"/>
    <cellStyle name="Normal 8 2 4 3 7" xfId="23905"/>
    <cellStyle name="Normal 8 2 4 4" xfId="1732"/>
    <cellStyle name="Normal 8 2 4 4 2" xfId="4955"/>
    <cellStyle name="Normal 8 2 4 4 2 2" xfId="21055"/>
    <cellStyle name="Normal 8 2 4 4 2 2 2" xfId="43642"/>
    <cellStyle name="Normal 8 2 4 4 2 3" xfId="11395"/>
    <cellStyle name="Normal 8 2 4 4 2 3 2" xfId="33982"/>
    <cellStyle name="Normal 8 2 4 4 2 4" xfId="27542"/>
    <cellStyle name="Normal 8 2 4 4 3" xfId="17835"/>
    <cellStyle name="Normal 8 2 4 4 3 2" xfId="40422"/>
    <cellStyle name="Normal 8 2 4 4 4" xfId="14615"/>
    <cellStyle name="Normal 8 2 4 4 4 2" xfId="37202"/>
    <cellStyle name="Normal 8 2 4 4 5" xfId="8175"/>
    <cellStyle name="Normal 8 2 4 4 5 2" xfId="30762"/>
    <cellStyle name="Normal 8 2 4 4 6" xfId="24322"/>
    <cellStyle name="Normal 8 2 4 5" xfId="1930"/>
    <cellStyle name="Normal 8 2 4 5 2" xfId="5152"/>
    <cellStyle name="Normal 8 2 4 5 2 2" xfId="21252"/>
    <cellStyle name="Normal 8 2 4 5 2 2 2" xfId="43839"/>
    <cellStyle name="Normal 8 2 4 5 2 3" xfId="11592"/>
    <cellStyle name="Normal 8 2 4 5 2 3 2" xfId="34179"/>
    <cellStyle name="Normal 8 2 4 5 2 4" xfId="27739"/>
    <cellStyle name="Normal 8 2 4 5 3" xfId="18032"/>
    <cellStyle name="Normal 8 2 4 5 3 2" xfId="40619"/>
    <cellStyle name="Normal 8 2 4 5 4" xfId="14812"/>
    <cellStyle name="Normal 8 2 4 5 4 2" xfId="37399"/>
    <cellStyle name="Normal 8 2 4 5 5" xfId="8372"/>
    <cellStyle name="Normal 8 2 4 5 5 2" xfId="30959"/>
    <cellStyle name="Normal 8 2 4 5 6" xfId="24519"/>
    <cellStyle name="Normal 8 2 4 6" xfId="3066"/>
    <cellStyle name="Normal 8 2 4 6 2" xfId="6286"/>
    <cellStyle name="Normal 8 2 4 6 2 2" xfId="22386"/>
    <cellStyle name="Normal 8 2 4 6 2 2 2" xfId="44973"/>
    <cellStyle name="Normal 8 2 4 6 2 3" xfId="12726"/>
    <cellStyle name="Normal 8 2 4 6 2 3 2" xfId="35313"/>
    <cellStyle name="Normal 8 2 4 6 2 4" xfId="28873"/>
    <cellStyle name="Normal 8 2 4 6 3" xfId="19166"/>
    <cellStyle name="Normal 8 2 4 6 3 2" xfId="41753"/>
    <cellStyle name="Normal 8 2 4 6 4" xfId="15946"/>
    <cellStyle name="Normal 8 2 4 6 4 2" xfId="38533"/>
    <cellStyle name="Normal 8 2 4 6 5" xfId="9506"/>
    <cellStyle name="Normal 8 2 4 6 5 2" xfId="32093"/>
    <cellStyle name="Normal 8 2 4 6 6" xfId="25653"/>
    <cellStyle name="Normal 8 2 4 7" xfId="3356"/>
    <cellStyle name="Normal 8 2 4 7 2" xfId="6576"/>
    <cellStyle name="Normal 8 2 4 7 2 2" xfId="22676"/>
    <cellStyle name="Normal 8 2 4 7 2 2 2" xfId="45263"/>
    <cellStyle name="Normal 8 2 4 7 2 3" xfId="13016"/>
    <cellStyle name="Normal 8 2 4 7 2 3 2" xfId="35603"/>
    <cellStyle name="Normal 8 2 4 7 2 4" xfId="29163"/>
    <cellStyle name="Normal 8 2 4 7 3" xfId="19456"/>
    <cellStyle name="Normal 8 2 4 7 3 2" xfId="42043"/>
    <cellStyle name="Normal 8 2 4 7 4" xfId="16236"/>
    <cellStyle name="Normal 8 2 4 7 4 2" xfId="38823"/>
    <cellStyle name="Normal 8 2 4 7 5" xfId="9796"/>
    <cellStyle name="Normal 8 2 4 7 5 2" xfId="32383"/>
    <cellStyle name="Normal 8 2 4 7 6" xfId="25943"/>
    <cellStyle name="Normal 8 2 4 8" xfId="572"/>
    <cellStyle name="Normal 8 2 4 8 2" xfId="3844"/>
    <cellStyle name="Normal 8 2 4 8 2 2" xfId="19944"/>
    <cellStyle name="Normal 8 2 4 8 2 2 2" xfId="42531"/>
    <cellStyle name="Normal 8 2 4 8 2 3" xfId="10284"/>
    <cellStyle name="Normal 8 2 4 8 2 3 2" xfId="32871"/>
    <cellStyle name="Normal 8 2 4 8 2 4" xfId="26431"/>
    <cellStyle name="Normal 8 2 4 8 3" xfId="16724"/>
    <cellStyle name="Normal 8 2 4 8 3 2" xfId="39311"/>
    <cellStyle name="Normal 8 2 4 8 4" xfId="13504"/>
    <cellStyle name="Normal 8 2 4 8 4 2" xfId="36091"/>
    <cellStyle name="Normal 8 2 4 8 5" xfId="7064"/>
    <cellStyle name="Normal 8 2 4 8 5 2" xfId="29651"/>
    <cellStyle name="Normal 8 2 4 8 6" xfId="23211"/>
    <cellStyle name="Normal 8 2 4 9" xfId="3646"/>
    <cellStyle name="Normal 8 2 4 9 2" xfId="19746"/>
    <cellStyle name="Normal 8 2 4 9 2 2" xfId="42333"/>
    <cellStyle name="Normal 8 2 4 9 3" xfId="10086"/>
    <cellStyle name="Normal 8 2 4 9 3 2" xfId="32673"/>
    <cellStyle name="Normal 8 2 4 9 4" xfId="26233"/>
    <cellStyle name="Normal 8 2 5" xfId="788"/>
    <cellStyle name="Normal 8 2 5 2" xfId="1140"/>
    <cellStyle name="Normal 8 2 5 2 2" xfId="2454"/>
    <cellStyle name="Normal 8 2 5 2 2 2" xfId="5675"/>
    <cellStyle name="Normal 8 2 5 2 2 2 2" xfId="21775"/>
    <cellStyle name="Normal 8 2 5 2 2 2 2 2" xfId="44362"/>
    <cellStyle name="Normal 8 2 5 2 2 2 3" xfId="12115"/>
    <cellStyle name="Normal 8 2 5 2 2 2 3 2" xfId="34702"/>
    <cellStyle name="Normal 8 2 5 2 2 2 4" xfId="28262"/>
    <cellStyle name="Normal 8 2 5 2 2 3" xfId="18555"/>
    <cellStyle name="Normal 8 2 5 2 2 3 2" xfId="41142"/>
    <cellStyle name="Normal 8 2 5 2 2 4" xfId="15335"/>
    <cellStyle name="Normal 8 2 5 2 2 4 2" xfId="37922"/>
    <cellStyle name="Normal 8 2 5 2 2 5" xfId="8895"/>
    <cellStyle name="Normal 8 2 5 2 2 5 2" xfId="31482"/>
    <cellStyle name="Normal 8 2 5 2 2 6" xfId="25042"/>
    <cellStyle name="Normal 8 2 5 2 3" xfId="4367"/>
    <cellStyle name="Normal 8 2 5 2 3 2" xfId="20467"/>
    <cellStyle name="Normal 8 2 5 2 3 2 2" xfId="43054"/>
    <cellStyle name="Normal 8 2 5 2 3 3" xfId="10807"/>
    <cellStyle name="Normal 8 2 5 2 3 3 2" xfId="33394"/>
    <cellStyle name="Normal 8 2 5 2 3 4" xfId="26954"/>
    <cellStyle name="Normal 8 2 5 2 4" xfId="17247"/>
    <cellStyle name="Normal 8 2 5 2 4 2" xfId="39834"/>
    <cellStyle name="Normal 8 2 5 2 5" xfId="14027"/>
    <cellStyle name="Normal 8 2 5 2 5 2" xfId="36614"/>
    <cellStyle name="Normal 8 2 5 2 6" xfId="7587"/>
    <cellStyle name="Normal 8 2 5 2 6 2" xfId="30174"/>
    <cellStyle name="Normal 8 2 5 2 7" xfId="23734"/>
    <cellStyle name="Normal 8 2 5 3" xfId="1487"/>
    <cellStyle name="Normal 8 2 5 3 2" xfId="2801"/>
    <cellStyle name="Normal 8 2 5 3 2 2" xfId="6022"/>
    <cellStyle name="Normal 8 2 5 3 2 2 2" xfId="22122"/>
    <cellStyle name="Normal 8 2 5 3 2 2 2 2" xfId="44709"/>
    <cellStyle name="Normal 8 2 5 3 2 2 3" xfId="12462"/>
    <cellStyle name="Normal 8 2 5 3 2 2 3 2" xfId="35049"/>
    <cellStyle name="Normal 8 2 5 3 2 2 4" xfId="28609"/>
    <cellStyle name="Normal 8 2 5 3 2 3" xfId="18902"/>
    <cellStyle name="Normal 8 2 5 3 2 3 2" xfId="41489"/>
    <cellStyle name="Normal 8 2 5 3 2 4" xfId="15682"/>
    <cellStyle name="Normal 8 2 5 3 2 4 2" xfId="38269"/>
    <cellStyle name="Normal 8 2 5 3 2 5" xfId="9242"/>
    <cellStyle name="Normal 8 2 5 3 2 5 2" xfId="31829"/>
    <cellStyle name="Normal 8 2 5 3 2 6" xfId="25389"/>
    <cellStyle name="Normal 8 2 5 3 3" xfId="4714"/>
    <cellStyle name="Normal 8 2 5 3 3 2" xfId="20814"/>
    <cellStyle name="Normal 8 2 5 3 3 2 2" xfId="43401"/>
    <cellStyle name="Normal 8 2 5 3 3 3" xfId="11154"/>
    <cellStyle name="Normal 8 2 5 3 3 3 2" xfId="33741"/>
    <cellStyle name="Normal 8 2 5 3 3 4" xfId="27301"/>
    <cellStyle name="Normal 8 2 5 3 4" xfId="17594"/>
    <cellStyle name="Normal 8 2 5 3 4 2" xfId="40181"/>
    <cellStyle name="Normal 8 2 5 3 5" xfId="14374"/>
    <cellStyle name="Normal 8 2 5 3 5 2" xfId="36961"/>
    <cellStyle name="Normal 8 2 5 3 6" xfId="7934"/>
    <cellStyle name="Normal 8 2 5 3 6 2" xfId="30521"/>
    <cellStyle name="Normal 8 2 5 3 7" xfId="24081"/>
    <cellStyle name="Normal 8 2 5 4" xfId="2107"/>
    <cellStyle name="Normal 8 2 5 4 2" xfId="5328"/>
    <cellStyle name="Normal 8 2 5 4 2 2" xfId="21428"/>
    <cellStyle name="Normal 8 2 5 4 2 2 2" xfId="44015"/>
    <cellStyle name="Normal 8 2 5 4 2 3" xfId="11768"/>
    <cellStyle name="Normal 8 2 5 4 2 3 2" xfId="34355"/>
    <cellStyle name="Normal 8 2 5 4 2 4" xfId="27915"/>
    <cellStyle name="Normal 8 2 5 4 3" xfId="18208"/>
    <cellStyle name="Normal 8 2 5 4 3 2" xfId="40795"/>
    <cellStyle name="Normal 8 2 5 4 4" xfId="14988"/>
    <cellStyle name="Normal 8 2 5 4 4 2" xfId="37575"/>
    <cellStyle name="Normal 8 2 5 4 5" xfId="8548"/>
    <cellStyle name="Normal 8 2 5 4 5 2" xfId="31135"/>
    <cellStyle name="Normal 8 2 5 4 6" xfId="24695"/>
    <cellStyle name="Normal 8 2 5 5" xfId="4020"/>
    <cellStyle name="Normal 8 2 5 5 2" xfId="20120"/>
    <cellStyle name="Normal 8 2 5 5 2 2" xfId="42707"/>
    <cellStyle name="Normal 8 2 5 5 3" xfId="10460"/>
    <cellStyle name="Normal 8 2 5 5 3 2" xfId="33047"/>
    <cellStyle name="Normal 8 2 5 5 4" xfId="26607"/>
    <cellStyle name="Normal 8 2 5 6" xfId="16900"/>
    <cellStyle name="Normal 8 2 5 6 2" xfId="39487"/>
    <cellStyle name="Normal 8 2 5 7" xfId="13680"/>
    <cellStyle name="Normal 8 2 5 7 2" xfId="36267"/>
    <cellStyle name="Normal 8 2 5 8" xfId="7240"/>
    <cellStyle name="Normal 8 2 5 8 2" xfId="29827"/>
    <cellStyle name="Normal 8 2 5 9" xfId="23387"/>
    <cellStyle name="Normal 8 2 6" xfId="858"/>
    <cellStyle name="Normal 8 2 6 2" xfId="2177"/>
    <cellStyle name="Normal 8 2 6 2 2" xfId="5398"/>
    <cellStyle name="Normal 8 2 6 2 2 2" xfId="21498"/>
    <cellStyle name="Normal 8 2 6 2 2 2 2" xfId="44085"/>
    <cellStyle name="Normal 8 2 6 2 2 3" xfId="11838"/>
    <cellStyle name="Normal 8 2 6 2 2 3 2" xfId="34425"/>
    <cellStyle name="Normal 8 2 6 2 2 4" xfId="27985"/>
    <cellStyle name="Normal 8 2 6 2 3" xfId="18278"/>
    <cellStyle name="Normal 8 2 6 2 3 2" xfId="40865"/>
    <cellStyle name="Normal 8 2 6 2 4" xfId="15058"/>
    <cellStyle name="Normal 8 2 6 2 4 2" xfId="37645"/>
    <cellStyle name="Normal 8 2 6 2 5" xfId="8618"/>
    <cellStyle name="Normal 8 2 6 2 5 2" xfId="31205"/>
    <cellStyle name="Normal 8 2 6 2 6" xfId="24765"/>
    <cellStyle name="Normal 8 2 6 3" xfId="4090"/>
    <cellStyle name="Normal 8 2 6 3 2" xfId="20190"/>
    <cellStyle name="Normal 8 2 6 3 2 2" xfId="42777"/>
    <cellStyle name="Normal 8 2 6 3 3" xfId="10530"/>
    <cellStyle name="Normal 8 2 6 3 3 2" xfId="33117"/>
    <cellStyle name="Normal 8 2 6 3 4" xfId="26677"/>
    <cellStyle name="Normal 8 2 6 4" xfId="16970"/>
    <cellStyle name="Normal 8 2 6 4 2" xfId="39557"/>
    <cellStyle name="Normal 8 2 6 5" xfId="13750"/>
    <cellStyle name="Normal 8 2 6 5 2" xfId="36337"/>
    <cellStyle name="Normal 8 2 6 6" xfId="7310"/>
    <cellStyle name="Normal 8 2 6 6 2" xfId="29897"/>
    <cellStyle name="Normal 8 2 6 7" xfId="23457"/>
    <cellStyle name="Normal 8 2 7" xfId="1210"/>
    <cellStyle name="Normal 8 2 7 2" xfId="2524"/>
    <cellStyle name="Normal 8 2 7 2 2" xfId="5745"/>
    <cellStyle name="Normal 8 2 7 2 2 2" xfId="21845"/>
    <cellStyle name="Normal 8 2 7 2 2 2 2" xfId="44432"/>
    <cellStyle name="Normal 8 2 7 2 2 3" xfId="12185"/>
    <cellStyle name="Normal 8 2 7 2 2 3 2" xfId="34772"/>
    <cellStyle name="Normal 8 2 7 2 2 4" xfId="28332"/>
    <cellStyle name="Normal 8 2 7 2 3" xfId="18625"/>
    <cellStyle name="Normal 8 2 7 2 3 2" xfId="41212"/>
    <cellStyle name="Normal 8 2 7 2 4" xfId="15405"/>
    <cellStyle name="Normal 8 2 7 2 4 2" xfId="37992"/>
    <cellStyle name="Normal 8 2 7 2 5" xfId="8965"/>
    <cellStyle name="Normal 8 2 7 2 5 2" xfId="31552"/>
    <cellStyle name="Normal 8 2 7 2 6" xfId="25112"/>
    <cellStyle name="Normal 8 2 7 3" xfId="4437"/>
    <cellStyle name="Normal 8 2 7 3 2" xfId="20537"/>
    <cellStyle name="Normal 8 2 7 3 2 2" xfId="43124"/>
    <cellStyle name="Normal 8 2 7 3 3" xfId="10877"/>
    <cellStyle name="Normal 8 2 7 3 3 2" xfId="33464"/>
    <cellStyle name="Normal 8 2 7 3 4" xfId="27024"/>
    <cellStyle name="Normal 8 2 7 4" xfId="17317"/>
    <cellStyle name="Normal 8 2 7 4 2" xfId="39904"/>
    <cellStyle name="Normal 8 2 7 5" xfId="14097"/>
    <cellStyle name="Normal 8 2 7 5 2" xfId="36684"/>
    <cellStyle name="Normal 8 2 7 6" xfId="7657"/>
    <cellStyle name="Normal 8 2 7 6 2" xfId="30244"/>
    <cellStyle name="Normal 8 2 7 7" xfId="23804"/>
    <cellStyle name="Normal 8 2 8" xfId="1733"/>
    <cellStyle name="Normal 8 2 8 2" xfId="4956"/>
    <cellStyle name="Normal 8 2 8 2 2" xfId="21056"/>
    <cellStyle name="Normal 8 2 8 2 2 2" xfId="43643"/>
    <cellStyle name="Normal 8 2 8 2 3" xfId="11396"/>
    <cellStyle name="Normal 8 2 8 2 3 2" xfId="33983"/>
    <cellStyle name="Normal 8 2 8 2 4" xfId="27543"/>
    <cellStyle name="Normal 8 2 8 3" xfId="17836"/>
    <cellStyle name="Normal 8 2 8 3 2" xfId="40423"/>
    <cellStyle name="Normal 8 2 8 4" xfId="14616"/>
    <cellStyle name="Normal 8 2 8 4 2" xfId="37203"/>
    <cellStyle name="Normal 8 2 8 5" xfId="8176"/>
    <cellStyle name="Normal 8 2 8 5 2" xfId="30763"/>
    <cellStyle name="Normal 8 2 8 6" xfId="24323"/>
    <cellStyle name="Normal 8 2 9" xfId="1829"/>
    <cellStyle name="Normal 8 2 9 2" xfId="5051"/>
    <cellStyle name="Normal 8 2 9 2 2" xfId="21151"/>
    <cellStyle name="Normal 8 2 9 2 2 2" xfId="43738"/>
    <cellStyle name="Normal 8 2 9 2 3" xfId="11491"/>
    <cellStyle name="Normal 8 2 9 2 3 2" xfId="34078"/>
    <cellStyle name="Normal 8 2 9 2 4" xfId="27638"/>
    <cellStyle name="Normal 8 2 9 3" xfId="17931"/>
    <cellStyle name="Normal 8 2 9 3 2" xfId="40518"/>
    <cellStyle name="Normal 8 2 9 4" xfId="14711"/>
    <cellStyle name="Normal 8 2 9 4 2" xfId="37298"/>
    <cellStyle name="Normal 8 2 9 5" xfId="8271"/>
    <cellStyle name="Normal 8 2 9 5 2" xfId="30858"/>
    <cellStyle name="Normal 8 2 9 6" xfId="24418"/>
    <cellStyle name="Normal 8 3" xfId="135"/>
    <cellStyle name="Normal 8 3 10" xfId="473"/>
    <cellStyle name="Normal 8 3 10 2" xfId="3760"/>
    <cellStyle name="Normal 8 3 10 2 2" xfId="19860"/>
    <cellStyle name="Normal 8 3 10 2 2 2" xfId="42447"/>
    <cellStyle name="Normal 8 3 10 2 3" xfId="10200"/>
    <cellStyle name="Normal 8 3 10 2 3 2" xfId="32787"/>
    <cellStyle name="Normal 8 3 10 2 4" xfId="26347"/>
    <cellStyle name="Normal 8 3 10 3" xfId="16640"/>
    <cellStyle name="Normal 8 3 10 3 2" xfId="39227"/>
    <cellStyle name="Normal 8 3 10 4" xfId="13420"/>
    <cellStyle name="Normal 8 3 10 4 2" xfId="36007"/>
    <cellStyle name="Normal 8 3 10 5" xfId="6980"/>
    <cellStyle name="Normal 8 3 10 5 2" xfId="29567"/>
    <cellStyle name="Normal 8 3 10 6" xfId="23127"/>
    <cellStyle name="Normal 8 3 11" xfId="3470"/>
    <cellStyle name="Normal 8 3 11 2" xfId="19570"/>
    <cellStyle name="Normal 8 3 11 2 2" xfId="42157"/>
    <cellStyle name="Normal 8 3 11 3" xfId="9910"/>
    <cellStyle name="Normal 8 3 11 3 2" xfId="32497"/>
    <cellStyle name="Normal 8 3 11 4" xfId="26057"/>
    <cellStyle name="Normal 8 3 12" xfId="16350"/>
    <cellStyle name="Normal 8 3 12 2" xfId="38937"/>
    <cellStyle name="Normal 8 3 13" xfId="13130"/>
    <cellStyle name="Normal 8 3 13 2" xfId="35717"/>
    <cellStyle name="Normal 8 3 14" xfId="6690"/>
    <cellStyle name="Normal 8 3 14 2" xfId="29277"/>
    <cellStyle name="Normal 8 3 15" xfId="22837"/>
    <cellStyle name="Normal 8 3 2" xfId="281"/>
    <cellStyle name="Normal 8 3 2 10" xfId="16448"/>
    <cellStyle name="Normal 8 3 2 10 2" xfId="39035"/>
    <cellStyle name="Normal 8 3 2 11" xfId="13228"/>
    <cellStyle name="Normal 8 3 2 11 2" xfId="35815"/>
    <cellStyle name="Normal 8 3 2 12" xfId="6788"/>
    <cellStyle name="Normal 8 3 2 12 2" xfId="29375"/>
    <cellStyle name="Normal 8 3 2 13" xfId="22935"/>
    <cellStyle name="Normal 8 3 2 2" xfId="999"/>
    <cellStyle name="Normal 8 3 2 2 2" xfId="2313"/>
    <cellStyle name="Normal 8 3 2 2 2 2" xfId="5534"/>
    <cellStyle name="Normal 8 3 2 2 2 2 2" xfId="21634"/>
    <cellStyle name="Normal 8 3 2 2 2 2 2 2" xfId="44221"/>
    <cellStyle name="Normal 8 3 2 2 2 2 3" xfId="11974"/>
    <cellStyle name="Normal 8 3 2 2 2 2 3 2" xfId="34561"/>
    <cellStyle name="Normal 8 3 2 2 2 2 4" xfId="28121"/>
    <cellStyle name="Normal 8 3 2 2 2 3" xfId="18414"/>
    <cellStyle name="Normal 8 3 2 2 2 3 2" xfId="41001"/>
    <cellStyle name="Normal 8 3 2 2 2 4" xfId="15194"/>
    <cellStyle name="Normal 8 3 2 2 2 4 2" xfId="37781"/>
    <cellStyle name="Normal 8 3 2 2 2 5" xfId="8754"/>
    <cellStyle name="Normal 8 3 2 2 2 5 2" xfId="31341"/>
    <cellStyle name="Normal 8 3 2 2 2 6" xfId="24901"/>
    <cellStyle name="Normal 8 3 2 2 3" xfId="4226"/>
    <cellStyle name="Normal 8 3 2 2 3 2" xfId="20326"/>
    <cellStyle name="Normal 8 3 2 2 3 2 2" xfId="42913"/>
    <cellStyle name="Normal 8 3 2 2 3 3" xfId="10666"/>
    <cellStyle name="Normal 8 3 2 2 3 3 2" xfId="33253"/>
    <cellStyle name="Normal 8 3 2 2 3 4" xfId="26813"/>
    <cellStyle name="Normal 8 3 2 2 4" xfId="17106"/>
    <cellStyle name="Normal 8 3 2 2 4 2" xfId="39693"/>
    <cellStyle name="Normal 8 3 2 2 5" xfId="13886"/>
    <cellStyle name="Normal 8 3 2 2 5 2" xfId="36473"/>
    <cellStyle name="Normal 8 3 2 2 6" xfId="7446"/>
    <cellStyle name="Normal 8 3 2 2 6 2" xfId="30033"/>
    <cellStyle name="Normal 8 3 2 2 7" xfId="23593"/>
    <cellStyle name="Normal 8 3 2 3" xfId="1346"/>
    <cellStyle name="Normal 8 3 2 3 2" xfId="2660"/>
    <cellStyle name="Normal 8 3 2 3 2 2" xfId="5881"/>
    <cellStyle name="Normal 8 3 2 3 2 2 2" xfId="21981"/>
    <cellStyle name="Normal 8 3 2 3 2 2 2 2" xfId="44568"/>
    <cellStyle name="Normal 8 3 2 3 2 2 3" xfId="12321"/>
    <cellStyle name="Normal 8 3 2 3 2 2 3 2" xfId="34908"/>
    <cellStyle name="Normal 8 3 2 3 2 2 4" xfId="28468"/>
    <cellStyle name="Normal 8 3 2 3 2 3" xfId="18761"/>
    <cellStyle name="Normal 8 3 2 3 2 3 2" xfId="41348"/>
    <cellStyle name="Normal 8 3 2 3 2 4" xfId="15541"/>
    <cellStyle name="Normal 8 3 2 3 2 4 2" xfId="38128"/>
    <cellStyle name="Normal 8 3 2 3 2 5" xfId="9101"/>
    <cellStyle name="Normal 8 3 2 3 2 5 2" xfId="31688"/>
    <cellStyle name="Normal 8 3 2 3 2 6" xfId="25248"/>
    <cellStyle name="Normal 8 3 2 3 3" xfId="4573"/>
    <cellStyle name="Normal 8 3 2 3 3 2" xfId="20673"/>
    <cellStyle name="Normal 8 3 2 3 3 2 2" xfId="43260"/>
    <cellStyle name="Normal 8 3 2 3 3 3" xfId="11013"/>
    <cellStyle name="Normal 8 3 2 3 3 3 2" xfId="33600"/>
    <cellStyle name="Normal 8 3 2 3 3 4" xfId="27160"/>
    <cellStyle name="Normal 8 3 2 3 4" xfId="17453"/>
    <cellStyle name="Normal 8 3 2 3 4 2" xfId="40040"/>
    <cellStyle name="Normal 8 3 2 3 5" xfId="14233"/>
    <cellStyle name="Normal 8 3 2 3 5 2" xfId="36820"/>
    <cellStyle name="Normal 8 3 2 3 6" xfId="7793"/>
    <cellStyle name="Normal 8 3 2 3 6 2" xfId="30380"/>
    <cellStyle name="Normal 8 3 2 3 7" xfId="23940"/>
    <cellStyle name="Normal 8 3 2 4" xfId="1734"/>
    <cellStyle name="Normal 8 3 2 4 2" xfId="4957"/>
    <cellStyle name="Normal 8 3 2 4 2 2" xfId="21057"/>
    <cellStyle name="Normal 8 3 2 4 2 2 2" xfId="43644"/>
    <cellStyle name="Normal 8 3 2 4 2 3" xfId="11397"/>
    <cellStyle name="Normal 8 3 2 4 2 3 2" xfId="33984"/>
    <cellStyle name="Normal 8 3 2 4 2 4" xfId="27544"/>
    <cellStyle name="Normal 8 3 2 4 3" xfId="17837"/>
    <cellStyle name="Normal 8 3 2 4 3 2" xfId="40424"/>
    <cellStyle name="Normal 8 3 2 4 4" xfId="14617"/>
    <cellStyle name="Normal 8 3 2 4 4 2" xfId="37204"/>
    <cellStyle name="Normal 8 3 2 4 5" xfId="8177"/>
    <cellStyle name="Normal 8 3 2 4 5 2" xfId="30764"/>
    <cellStyle name="Normal 8 3 2 4 6" xfId="24324"/>
    <cellStyle name="Normal 8 3 2 5" xfId="1965"/>
    <cellStyle name="Normal 8 3 2 5 2" xfId="5187"/>
    <cellStyle name="Normal 8 3 2 5 2 2" xfId="21287"/>
    <cellStyle name="Normal 8 3 2 5 2 2 2" xfId="43874"/>
    <cellStyle name="Normal 8 3 2 5 2 3" xfId="11627"/>
    <cellStyle name="Normal 8 3 2 5 2 3 2" xfId="34214"/>
    <cellStyle name="Normal 8 3 2 5 2 4" xfId="27774"/>
    <cellStyle name="Normal 8 3 2 5 3" xfId="18067"/>
    <cellStyle name="Normal 8 3 2 5 3 2" xfId="40654"/>
    <cellStyle name="Normal 8 3 2 5 4" xfId="14847"/>
    <cellStyle name="Normal 8 3 2 5 4 2" xfId="37434"/>
    <cellStyle name="Normal 8 3 2 5 5" xfId="8407"/>
    <cellStyle name="Normal 8 3 2 5 5 2" xfId="30994"/>
    <cellStyle name="Normal 8 3 2 5 6" xfId="24554"/>
    <cellStyle name="Normal 8 3 2 6" xfId="2988"/>
    <cellStyle name="Normal 8 3 2 6 2" xfId="6208"/>
    <cellStyle name="Normal 8 3 2 6 2 2" xfId="22308"/>
    <cellStyle name="Normal 8 3 2 6 2 2 2" xfId="44895"/>
    <cellStyle name="Normal 8 3 2 6 2 3" xfId="12648"/>
    <cellStyle name="Normal 8 3 2 6 2 3 2" xfId="35235"/>
    <cellStyle name="Normal 8 3 2 6 2 4" xfId="28795"/>
    <cellStyle name="Normal 8 3 2 6 3" xfId="19088"/>
    <cellStyle name="Normal 8 3 2 6 3 2" xfId="41675"/>
    <cellStyle name="Normal 8 3 2 6 4" xfId="15868"/>
    <cellStyle name="Normal 8 3 2 6 4 2" xfId="38455"/>
    <cellStyle name="Normal 8 3 2 6 5" xfId="9428"/>
    <cellStyle name="Normal 8 3 2 6 5 2" xfId="32015"/>
    <cellStyle name="Normal 8 3 2 6 6" xfId="25575"/>
    <cellStyle name="Normal 8 3 2 7" xfId="3278"/>
    <cellStyle name="Normal 8 3 2 7 2" xfId="6498"/>
    <cellStyle name="Normal 8 3 2 7 2 2" xfId="22598"/>
    <cellStyle name="Normal 8 3 2 7 2 2 2" xfId="45185"/>
    <cellStyle name="Normal 8 3 2 7 2 3" xfId="12938"/>
    <cellStyle name="Normal 8 3 2 7 2 3 2" xfId="35525"/>
    <cellStyle name="Normal 8 3 2 7 2 4" xfId="29085"/>
    <cellStyle name="Normal 8 3 2 7 3" xfId="19378"/>
    <cellStyle name="Normal 8 3 2 7 3 2" xfId="41965"/>
    <cellStyle name="Normal 8 3 2 7 4" xfId="16158"/>
    <cellStyle name="Normal 8 3 2 7 4 2" xfId="38745"/>
    <cellStyle name="Normal 8 3 2 7 5" xfId="9718"/>
    <cellStyle name="Normal 8 3 2 7 5 2" xfId="32305"/>
    <cellStyle name="Normal 8 3 2 7 6" xfId="25865"/>
    <cellStyle name="Normal 8 3 2 8" xfId="635"/>
    <cellStyle name="Normal 8 3 2 8 2" xfId="3879"/>
    <cellStyle name="Normal 8 3 2 8 2 2" xfId="19979"/>
    <cellStyle name="Normal 8 3 2 8 2 2 2" xfId="42566"/>
    <cellStyle name="Normal 8 3 2 8 2 3" xfId="10319"/>
    <cellStyle name="Normal 8 3 2 8 2 3 2" xfId="32906"/>
    <cellStyle name="Normal 8 3 2 8 2 4" xfId="26466"/>
    <cellStyle name="Normal 8 3 2 8 3" xfId="16759"/>
    <cellStyle name="Normal 8 3 2 8 3 2" xfId="39346"/>
    <cellStyle name="Normal 8 3 2 8 4" xfId="13539"/>
    <cellStyle name="Normal 8 3 2 8 4 2" xfId="36126"/>
    <cellStyle name="Normal 8 3 2 8 5" xfId="7099"/>
    <cellStyle name="Normal 8 3 2 8 5 2" xfId="29686"/>
    <cellStyle name="Normal 8 3 2 8 6" xfId="23246"/>
    <cellStyle name="Normal 8 3 2 9" xfId="3568"/>
    <cellStyle name="Normal 8 3 2 9 2" xfId="19668"/>
    <cellStyle name="Normal 8 3 2 9 2 2" xfId="42255"/>
    <cellStyle name="Normal 8 3 2 9 3" xfId="10008"/>
    <cellStyle name="Normal 8 3 2 9 3 2" xfId="32595"/>
    <cellStyle name="Normal 8 3 2 9 4" xfId="26155"/>
    <cellStyle name="Normal 8 3 3" xfId="376"/>
    <cellStyle name="Normal 8 3 3 10" xfId="16543"/>
    <cellStyle name="Normal 8 3 3 10 2" xfId="39130"/>
    <cellStyle name="Normal 8 3 3 11" xfId="13323"/>
    <cellStyle name="Normal 8 3 3 11 2" xfId="35910"/>
    <cellStyle name="Normal 8 3 3 12" xfId="6883"/>
    <cellStyle name="Normal 8 3 3 12 2" xfId="29470"/>
    <cellStyle name="Normal 8 3 3 13" xfId="23030"/>
    <cellStyle name="Normal 8 3 3 2" xfId="1160"/>
    <cellStyle name="Normal 8 3 3 2 2" xfId="2474"/>
    <cellStyle name="Normal 8 3 3 2 2 2" xfId="5695"/>
    <cellStyle name="Normal 8 3 3 2 2 2 2" xfId="21795"/>
    <cellStyle name="Normal 8 3 3 2 2 2 2 2" xfId="44382"/>
    <cellStyle name="Normal 8 3 3 2 2 2 3" xfId="12135"/>
    <cellStyle name="Normal 8 3 3 2 2 2 3 2" xfId="34722"/>
    <cellStyle name="Normal 8 3 3 2 2 2 4" xfId="28282"/>
    <cellStyle name="Normal 8 3 3 2 2 3" xfId="18575"/>
    <cellStyle name="Normal 8 3 3 2 2 3 2" xfId="41162"/>
    <cellStyle name="Normal 8 3 3 2 2 4" xfId="15355"/>
    <cellStyle name="Normal 8 3 3 2 2 4 2" xfId="37942"/>
    <cellStyle name="Normal 8 3 3 2 2 5" xfId="8915"/>
    <cellStyle name="Normal 8 3 3 2 2 5 2" xfId="31502"/>
    <cellStyle name="Normal 8 3 3 2 2 6" xfId="25062"/>
    <cellStyle name="Normal 8 3 3 2 3" xfId="4387"/>
    <cellStyle name="Normal 8 3 3 2 3 2" xfId="20487"/>
    <cellStyle name="Normal 8 3 3 2 3 2 2" xfId="43074"/>
    <cellStyle name="Normal 8 3 3 2 3 3" xfId="10827"/>
    <cellStyle name="Normal 8 3 3 2 3 3 2" xfId="33414"/>
    <cellStyle name="Normal 8 3 3 2 3 4" xfId="26974"/>
    <cellStyle name="Normal 8 3 3 2 4" xfId="17267"/>
    <cellStyle name="Normal 8 3 3 2 4 2" xfId="39854"/>
    <cellStyle name="Normal 8 3 3 2 5" xfId="14047"/>
    <cellStyle name="Normal 8 3 3 2 5 2" xfId="36634"/>
    <cellStyle name="Normal 8 3 3 2 6" xfId="7607"/>
    <cellStyle name="Normal 8 3 3 2 6 2" xfId="30194"/>
    <cellStyle name="Normal 8 3 3 2 7" xfId="23754"/>
    <cellStyle name="Normal 8 3 3 3" xfId="1507"/>
    <cellStyle name="Normal 8 3 3 3 2" xfId="2821"/>
    <cellStyle name="Normal 8 3 3 3 2 2" xfId="6042"/>
    <cellStyle name="Normal 8 3 3 3 2 2 2" xfId="22142"/>
    <cellStyle name="Normal 8 3 3 3 2 2 2 2" xfId="44729"/>
    <cellStyle name="Normal 8 3 3 3 2 2 3" xfId="12482"/>
    <cellStyle name="Normal 8 3 3 3 2 2 3 2" xfId="35069"/>
    <cellStyle name="Normal 8 3 3 3 2 2 4" xfId="28629"/>
    <cellStyle name="Normal 8 3 3 3 2 3" xfId="18922"/>
    <cellStyle name="Normal 8 3 3 3 2 3 2" xfId="41509"/>
    <cellStyle name="Normal 8 3 3 3 2 4" xfId="15702"/>
    <cellStyle name="Normal 8 3 3 3 2 4 2" xfId="38289"/>
    <cellStyle name="Normal 8 3 3 3 2 5" xfId="9262"/>
    <cellStyle name="Normal 8 3 3 3 2 5 2" xfId="31849"/>
    <cellStyle name="Normal 8 3 3 3 2 6" xfId="25409"/>
    <cellStyle name="Normal 8 3 3 3 3" xfId="4734"/>
    <cellStyle name="Normal 8 3 3 3 3 2" xfId="20834"/>
    <cellStyle name="Normal 8 3 3 3 3 2 2" xfId="43421"/>
    <cellStyle name="Normal 8 3 3 3 3 3" xfId="11174"/>
    <cellStyle name="Normal 8 3 3 3 3 3 2" xfId="33761"/>
    <cellStyle name="Normal 8 3 3 3 3 4" xfId="27321"/>
    <cellStyle name="Normal 8 3 3 3 4" xfId="17614"/>
    <cellStyle name="Normal 8 3 3 3 4 2" xfId="40201"/>
    <cellStyle name="Normal 8 3 3 3 5" xfId="14394"/>
    <cellStyle name="Normal 8 3 3 3 5 2" xfId="36981"/>
    <cellStyle name="Normal 8 3 3 3 6" xfId="7954"/>
    <cellStyle name="Normal 8 3 3 3 6 2" xfId="30541"/>
    <cellStyle name="Normal 8 3 3 3 7" xfId="24101"/>
    <cellStyle name="Normal 8 3 3 4" xfId="1735"/>
    <cellStyle name="Normal 8 3 3 4 2" xfId="4958"/>
    <cellStyle name="Normal 8 3 3 4 2 2" xfId="21058"/>
    <cellStyle name="Normal 8 3 3 4 2 2 2" xfId="43645"/>
    <cellStyle name="Normal 8 3 3 4 2 3" xfId="11398"/>
    <cellStyle name="Normal 8 3 3 4 2 3 2" xfId="33985"/>
    <cellStyle name="Normal 8 3 3 4 2 4" xfId="27545"/>
    <cellStyle name="Normal 8 3 3 4 3" xfId="17838"/>
    <cellStyle name="Normal 8 3 3 4 3 2" xfId="40425"/>
    <cellStyle name="Normal 8 3 3 4 4" xfId="14618"/>
    <cellStyle name="Normal 8 3 3 4 4 2" xfId="37205"/>
    <cellStyle name="Normal 8 3 3 4 5" xfId="8178"/>
    <cellStyle name="Normal 8 3 3 4 5 2" xfId="30765"/>
    <cellStyle name="Normal 8 3 3 4 6" xfId="24325"/>
    <cellStyle name="Normal 8 3 3 5" xfId="2127"/>
    <cellStyle name="Normal 8 3 3 5 2" xfId="5348"/>
    <cellStyle name="Normal 8 3 3 5 2 2" xfId="21448"/>
    <cellStyle name="Normal 8 3 3 5 2 2 2" xfId="44035"/>
    <cellStyle name="Normal 8 3 3 5 2 3" xfId="11788"/>
    <cellStyle name="Normal 8 3 3 5 2 3 2" xfId="34375"/>
    <cellStyle name="Normal 8 3 3 5 2 4" xfId="27935"/>
    <cellStyle name="Normal 8 3 3 5 3" xfId="18228"/>
    <cellStyle name="Normal 8 3 3 5 3 2" xfId="40815"/>
    <cellStyle name="Normal 8 3 3 5 4" xfId="15008"/>
    <cellStyle name="Normal 8 3 3 5 4 2" xfId="37595"/>
    <cellStyle name="Normal 8 3 3 5 5" xfId="8568"/>
    <cellStyle name="Normal 8 3 3 5 5 2" xfId="31155"/>
    <cellStyle name="Normal 8 3 3 5 6" xfId="24715"/>
    <cellStyle name="Normal 8 3 3 6" xfId="3083"/>
    <cellStyle name="Normal 8 3 3 6 2" xfId="6303"/>
    <cellStyle name="Normal 8 3 3 6 2 2" xfId="22403"/>
    <cellStyle name="Normal 8 3 3 6 2 2 2" xfId="44990"/>
    <cellStyle name="Normal 8 3 3 6 2 3" xfId="12743"/>
    <cellStyle name="Normal 8 3 3 6 2 3 2" xfId="35330"/>
    <cellStyle name="Normal 8 3 3 6 2 4" xfId="28890"/>
    <cellStyle name="Normal 8 3 3 6 3" xfId="19183"/>
    <cellStyle name="Normal 8 3 3 6 3 2" xfId="41770"/>
    <cellStyle name="Normal 8 3 3 6 4" xfId="15963"/>
    <cellStyle name="Normal 8 3 3 6 4 2" xfId="38550"/>
    <cellStyle name="Normal 8 3 3 6 5" xfId="9523"/>
    <cellStyle name="Normal 8 3 3 6 5 2" xfId="32110"/>
    <cellStyle name="Normal 8 3 3 6 6" xfId="25670"/>
    <cellStyle name="Normal 8 3 3 7" xfId="3373"/>
    <cellStyle name="Normal 8 3 3 7 2" xfId="6593"/>
    <cellStyle name="Normal 8 3 3 7 2 2" xfId="22693"/>
    <cellStyle name="Normal 8 3 3 7 2 2 2" xfId="45280"/>
    <cellStyle name="Normal 8 3 3 7 2 3" xfId="13033"/>
    <cellStyle name="Normal 8 3 3 7 2 3 2" xfId="35620"/>
    <cellStyle name="Normal 8 3 3 7 2 4" xfId="29180"/>
    <cellStyle name="Normal 8 3 3 7 3" xfId="19473"/>
    <cellStyle name="Normal 8 3 3 7 3 2" xfId="42060"/>
    <cellStyle name="Normal 8 3 3 7 4" xfId="16253"/>
    <cellStyle name="Normal 8 3 3 7 4 2" xfId="38840"/>
    <cellStyle name="Normal 8 3 3 7 5" xfId="9813"/>
    <cellStyle name="Normal 8 3 3 7 5 2" xfId="32400"/>
    <cellStyle name="Normal 8 3 3 7 6" xfId="25960"/>
    <cellStyle name="Normal 8 3 3 8" xfId="808"/>
    <cellStyle name="Normal 8 3 3 8 2" xfId="4040"/>
    <cellStyle name="Normal 8 3 3 8 2 2" xfId="20140"/>
    <cellStyle name="Normal 8 3 3 8 2 2 2" xfId="42727"/>
    <cellStyle name="Normal 8 3 3 8 2 3" xfId="10480"/>
    <cellStyle name="Normal 8 3 3 8 2 3 2" xfId="33067"/>
    <cellStyle name="Normal 8 3 3 8 2 4" xfId="26627"/>
    <cellStyle name="Normal 8 3 3 8 3" xfId="16920"/>
    <cellStyle name="Normal 8 3 3 8 3 2" xfId="39507"/>
    <cellStyle name="Normal 8 3 3 8 4" xfId="13700"/>
    <cellStyle name="Normal 8 3 3 8 4 2" xfId="36287"/>
    <cellStyle name="Normal 8 3 3 8 5" xfId="7260"/>
    <cellStyle name="Normal 8 3 3 8 5 2" xfId="29847"/>
    <cellStyle name="Normal 8 3 3 8 6" xfId="23407"/>
    <cellStyle name="Normal 8 3 3 9" xfId="3663"/>
    <cellStyle name="Normal 8 3 3 9 2" xfId="19763"/>
    <cellStyle name="Normal 8 3 3 9 2 2" xfId="42350"/>
    <cellStyle name="Normal 8 3 3 9 3" xfId="10103"/>
    <cellStyle name="Normal 8 3 3 9 3 2" xfId="32690"/>
    <cellStyle name="Normal 8 3 3 9 4" xfId="26250"/>
    <cellStyle name="Normal 8 3 4" xfId="875"/>
    <cellStyle name="Normal 8 3 4 2" xfId="2194"/>
    <cellStyle name="Normal 8 3 4 2 2" xfId="5415"/>
    <cellStyle name="Normal 8 3 4 2 2 2" xfId="21515"/>
    <cellStyle name="Normal 8 3 4 2 2 2 2" xfId="44102"/>
    <cellStyle name="Normal 8 3 4 2 2 3" xfId="11855"/>
    <cellStyle name="Normal 8 3 4 2 2 3 2" xfId="34442"/>
    <cellStyle name="Normal 8 3 4 2 2 4" xfId="28002"/>
    <cellStyle name="Normal 8 3 4 2 3" xfId="18295"/>
    <cellStyle name="Normal 8 3 4 2 3 2" xfId="40882"/>
    <cellStyle name="Normal 8 3 4 2 4" xfId="15075"/>
    <cellStyle name="Normal 8 3 4 2 4 2" xfId="37662"/>
    <cellStyle name="Normal 8 3 4 2 5" xfId="8635"/>
    <cellStyle name="Normal 8 3 4 2 5 2" xfId="31222"/>
    <cellStyle name="Normal 8 3 4 2 6" xfId="24782"/>
    <cellStyle name="Normal 8 3 4 3" xfId="4107"/>
    <cellStyle name="Normal 8 3 4 3 2" xfId="20207"/>
    <cellStyle name="Normal 8 3 4 3 2 2" xfId="42794"/>
    <cellStyle name="Normal 8 3 4 3 3" xfId="10547"/>
    <cellStyle name="Normal 8 3 4 3 3 2" xfId="33134"/>
    <cellStyle name="Normal 8 3 4 3 4" xfId="26694"/>
    <cellStyle name="Normal 8 3 4 4" xfId="16987"/>
    <cellStyle name="Normal 8 3 4 4 2" xfId="39574"/>
    <cellStyle name="Normal 8 3 4 5" xfId="13767"/>
    <cellStyle name="Normal 8 3 4 5 2" xfId="36354"/>
    <cellStyle name="Normal 8 3 4 6" xfId="7327"/>
    <cellStyle name="Normal 8 3 4 6 2" xfId="29914"/>
    <cellStyle name="Normal 8 3 4 7" xfId="23474"/>
    <cellStyle name="Normal 8 3 5" xfId="1227"/>
    <cellStyle name="Normal 8 3 5 2" xfId="2541"/>
    <cellStyle name="Normal 8 3 5 2 2" xfId="5762"/>
    <cellStyle name="Normal 8 3 5 2 2 2" xfId="21862"/>
    <cellStyle name="Normal 8 3 5 2 2 2 2" xfId="44449"/>
    <cellStyle name="Normal 8 3 5 2 2 3" xfId="12202"/>
    <cellStyle name="Normal 8 3 5 2 2 3 2" xfId="34789"/>
    <cellStyle name="Normal 8 3 5 2 2 4" xfId="28349"/>
    <cellStyle name="Normal 8 3 5 2 3" xfId="18642"/>
    <cellStyle name="Normal 8 3 5 2 3 2" xfId="41229"/>
    <cellStyle name="Normal 8 3 5 2 4" xfId="15422"/>
    <cellStyle name="Normal 8 3 5 2 4 2" xfId="38009"/>
    <cellStyle name="Normal 8 3 5 2 5" xfId="8982"/>
    <cellStyle name="Normal 8 3 5 2 5 2" xfId="31569"/>
    <cellStyle name="Normal 8 3 5 2 6" xfId="25129"/>
    <cellStyle name="Normal 8 3 5 3" xfId="4454"/>
    <cellStyle name="Normal 8 3 5 3 2" xfId="20554"/>
    <cellStyle name="Normal 8 3 5 3 2 2" xfId="43141"/>
    <cellStyle name="Normal 8 3 5 3 3" xfId="10894"/>
    <cellStyle name="Normal 8 3 5 3 3 2" xfId="33481"/>
    <cellStyle name="Normal 8 3 5 3 4" xfId="27041"/>
    <cellStyle name="Normal 8 3 5 4" xfId="17334"/>
    <cellStyle name="Normal 8 3 5 4 2" xfId="39921"/>
    <cellStyle name="Normal 8 3 5 5" xfId="14114"/>
    <cellStyle name="Normal 8 3 5 5 2" xfId="36701"/>
    <cellStyle name="Normal 8 3 5 6" xfId="7674"/>
    <cellStyle name="Normal 8 3 5 6 2" xfId="30261"/>
    <cellStyle name="Normal 8 3 5 7" xfId="23821"/>
    <cellStyle name="Normal 8 3 6" xfId="1736"/>
    <cellStyle name="Normal 8 3 6 2" xfId="4959"/>
    <cellStyle name="Normal 8 3 6 2 2" xfId="21059"/>
    <cellStyle name="Normal 8 3 6 2 2 2" xfId="43646"/>
    <cellStyle name="Normal 8 3 6 2 3" xfId="11399"/>
    <cellStyle name="Normal 8 3 6 2 3 2" xfId="33986"/>
    <cellStyle name="Normal 8 3 6 2 4" xfId="27546"/>
    <cellStyle name="Normal 8 3 6 3" xfId="17839"/>
    <cellStyle name="Normal 8 3 6 3 2" xfId="40426"/>
    <cellStyle name="Normal 8 3 6 4" xfId="14619"/>
    <cellStyle name="Normal 8 3 6 4 2" xfId="37206"/>
    <cellStyle name="Normal 8 3 6 5" xfId="8179"/>
    <cellStyle name="Normal 8 3 6 5 2" xfId="30766"/>
    <cellStyle name="Normal 8 3 6 6" xfId="24326"/>
    <cellStyle name="Normal 8 3 7" xfId="1846"/>
    <cellStyle name="Normal 8 3 7 2" xfId="5068"/>
    <cellStyle name="Normal 8 3 7 2 2" xfId="21168"/>
    <cellStyle name="Normal 8 3 7 2 2 2" xfId="43755"/>
    <cellStyle name="Normal 8 3 7 2 3" xfId="11508"/>
    <cellStyle name="Normal 8 3 7 2 3 2" xfId="34095"/>
    <cellStyle name="Normal 8 3 7 2 4" xfId="27655"/>
    <cellStyle name="Normal 8 3 7 3" xfId="17948"/>
    <cellStyle name="Normal 8 3 7 3 2" xfId="40535"/>
    <cellStyle name="Normal 8 3 7 4" xfId="14728"/>
    <cellStyle name="Normal 8 3 7 4 2" xfId="37315"/>
    <cellStyle name="Normal 8 3 7 5" xfId="8288"/>
    <cellStyle name="Normal 8 3 7 5 2" xfId="30875"/>
    <cellStyle name="Normal 8 3 7 6" xfId="24435"/>
    <cellStyle name="Normal 8 3 8" xfId="2889"/>
    <cellStyle name="Normal 8 3 8 2" xfId="6110"/>
    <cellStyle name="Normal 8 3 8 2 2" xfId="22210"/>
    <cellStyle name="Normal 8 3 8 2 2 2" xfId="44797"/>
    <cellStyle name="Normal 8 3 8 2 3" xfId="12550"/>
    <cellStyle name="Normal 8 3 8 2 3 2" xfId="35137"/>
    <cellStyle name="Normal 8 3 8 2 4" xfId="28697"/>
    <cellStyle name="Normal 8 3 8 3" xfId="18990"/>
    <cellStyle name="Normal 8 3 8 3 2" xfId="41577"/>
    <cellStyle name="Normal 8 3 8 4" xfId="15770"/>
    <cellStyle name="Normal 8 3 8 4 2" xfId="38357"/>
    <cellStyle name="Normal 8 3 8 5" xfId="9330"/>
    <cellStyle name="Normal 8 3 8 5 2" xfId="31917"/>
    <cellStyle name="Normal 8 3 8 6" xfId="25477"/>
    <cellStyle name="Normal 8 3 9" xfId="3180"/>
    <cellStyle name="Normal 8 3 9 2" xfId="6400"/>
    <cellStyle name="Normal 8 3 9 2 2" xfId="22500"/>
    <cellStyle name="Normal 8 3 9 2 2 2" xfId="45087"/>
    <cellStyle name="Normal 8 3 9 2 3" xfId="12840"/>
    <cellStyle name="Normal 8 3 9 2 3 2" xfId="35427"/>
    <cellStyle name="Normal 8 3 9 2 4" xfId="28987"/>
    <cellStyle name="Normal 8 3 9 3" xfId="19280"/>
    <cellStyle name="Normal 8 3 9 3 2" xfId="41867"/>
    <cellStyle name="Normal 8 3 9 4" xfId="16060"/>
    <cellStyle name="Normal 8 3 9 4 2" xfId="38647"/>
    <cellStyle name="Normal 8 3 9 5" xfId="9620"/>
    <cellStyle name="Normal 8 3 9 5 2" xfId="32207"/>
    <cellStyle name="Normal 8 3 9 6" xfId="25767"/>
    <cellStyle name="Normal 8 4" xfId="226"/>
    <cellStyle name="Normal 8 4 10" xfId="513"/>
    <cellStyle name="Normal 8 4 10 2" xfId="3800"/>
    <cellStyle name="Normal 8 4 10 2 2" xfId="19900"/>
    <cellStyle name="Normal 8 4 10 2 2 2" xfId="42487"/>
    <cellStyle name="Normal 8 4 10 2 3" xfId="10240"/>
    <cellStyle name="Normal 8 4 10 2 3 2" xfId="32827"/>
    <cellStyle name="Normal 8 4 10 2 4" xfId="26387"/>
    <cellStyle name="Normal 8 4 10 3" xfId="16680"/>
    <cellStyle name="Normal 8 4 10 3 2" xfId="39267"/>
    <cellStyle name="Normal 8 4 10 4" xfId="13460"/>
    <cellStyle name="Normal 8 4 10 4 2" xfId="36047"/>
    <cellStyle name="Normal 8 4 10 5" xfId="7020"/>
    <cellStyle name="Normal 8 4 10 5 2" xfId="29607"/>
    <cellStyle name="Normal 8 4 10 6" xfId="23167"/>
    <cellStyle name="Normal 8 4 11" xfId="3514"/>
    <cellStyle name="Normal 8 4 11 2" xfId="19614"/>
    <cellStyle name="Normal 8 4 11 2 2" xfId="42201"/>
    <cellStyle name="Normal 8 4 11 3" xfId="9954"/>
    <cellStyle name="Normal 8 4 11 3 2" xfId="32541"/>
    <cellStyle name="Normal 8 4 11 4" xfId="26101"/>
    <cellStyle name="Normal 8 4 12" xfId="16394"/>
    <cellStyle name="Normal 8 4 12 2" xfId="38981"/>
    <cellStyle name="Normal 8 4 13" xfId="13174"/>
    <cellStyle name="Normal 8 4 13 2" xfId="35761"/>
    <cellStyle name="Normal 8 4 14" xfId="6734"/>
    <cellStyle name="Normal 8 4 14 2" xfId="29321"/>
    <cellStyle name="Normal 8 4 15" xfId="22881"/>
    <cellStyle name="Normal 8 4 2" xfId="324"/>
    <cellStyle name="Normal 8 4 2 10" xfId="16491"/>
    <cellStyle name="Normal 8 4 2 10 2" xfId="39078"/>
    <cellStyle name="Normal 8 4 2 11" xfId="13271"/>
    <cellStyle name="Normal 8 4 2 11 2" xfId="35858"/>
    <cellStyle name="Normal 8 4 2 12" xfId="6831"/>
    <cellStyle name="Normal 8 4 2 12 2" xfId="29418"/>
    <cellStyle name="Normal 8 4 2 13" xfId="22978"/>
    <cellStyle name="Normal 8 4 2 2" xfId="1036"/>
    <cellStyle name="Normal 8 4 2 2 2" xfId="2350"/>
    <cellStyle name="Normal 8 4 2 2 2 2" xfId="5571"/>
    <cellStyle name="Normal 8 4 2 2 2 2 2" xfId="21671"/>
    <cellStyle name="Normal 8 4 2 2 2 2 2 2" xfId="44258"/>
    <cellStyle name="Normal 8 4 2 2 2 2 3" xfId="12011"/>
    <cellStyle name="Normal 8 4 2 2 2 2 3 2" xfId="34598"/>
    <cellStyle name="Normal 8 4 2 2 2 2 4" xfId="28158"/>
    <cellStyle name="Normal 8 4 2 2 2 3" xfId="18451"/>
    <cellStyle name="Normal 8 4 2 2 2 3 2" xfId="41038"/>
    <cellStyle name="Normal 8 4 2 2 2 4" xfId="15231"/>
    <cellStyle name="Normal 8 4 2 2 2 4 2" xfId="37818"/>
    <cellStyle name="Normal 8 4 2 2 2 5" xfId="8791"/>
    <cellStyle name="Normal 8 4 2 2 2 5 2" xfId="31378"/>
    <cellStyle name="Normal 8 4 2 2 2 6" xfId="24938"/>
    <cellStyle name="Normal 8 4 2 2 3" xfId="4263"/>
    <cellStyle name="Normal 8 4 2 2 3 2" xfId="20363"/>
    <cellStyle name="Normal 8 4 2 2 3 2 2" xfId="42950"/>
    <cellStyle name="Normal 8 4 2 2 3 3" xfId="10703"/>
    <cellStyle name="Normal 8 4 2 2 3 3 2" xfId="33290"/>
    <cellStyle name="Normal 8 4 2 2 3 4" xfId="26850"/>
    <cellStyle name="Normal 8 4 2 2 4" xfId="17143"/>
    <cellStyle name="Normal 8 4 2 2 4 2" xfId="39730"/>
    <cellStyle name="Normal 8 4 2 2 5" xfId="13923"/>
    <cellStyle name="Normal 8 4 2 2 5 2" xfId="36510"/>
    <cellStyle name="Normal 8 4 2 2 6" xfId="7483"/>
    <cellStyle name="Normal 8 4 2 2 6 2" xfId="30070"/>
    <cellStyle name="Normal 8 4 2 2 7" xfId="23630"/>
    <cellStyle name="Normal 8 4 2 3" xfId="1383"/>
    <cellStyle name="Normal 8 4 2 3 2" xfId="2697"/>
    <cellStyle name="Normal 8 4 2 3 2 2" xfId="5918"/>
    <cellStyle name="Normal 8 4 2 3 2 2 2" xfId="22018"/>
    <cellStyle name="Normal 8 4 2 3 2 2 2 2" xfId="44605"/>
    <cellStyle name="Normal 8 4 2 3 2 2 3" xfId="12358"/>
    <cellStyle name="Normal 8 4 2 3 2 2 3 2" xfId="34945"/>
    <cellStyle name="Normal 8 4 2 3 2 2 4" xfId="28505"/>
    <cellStyle name="Normal 8 4 2 3 2 3" xfId="18798"/>
    <cellStyle name="Normal 8 4 2 3 2 3 2" xfId="41385"/>
    <cellStyle name="Normal 8 4 2 3 2 4" xfId="15578"/>
    <cellStyle name="Normal 8 4 2 3 2 4 2" xfId="38165"/>
    <cellStyle name="Normal 8 4 2 3 2 5" xfId="9138"/>
    <cellStyle name="Normal 8 4 2 3 2 5 2" xfId="31725"/>
    <cellStyle name="Normal 8 4 2 3 2 6" xfId="25285"/>
    <cellStyle name="Normal 8 4 2 3 3" xfId="4610"/>
    <cellStyle name="Normal 8 4 2 3 3 2" xfId="20710"/>
    <cellStyle name="Normal 8 4 2 3 3 2 2" xfId="43297"/>
    <cellStyle name="Normal 8 4 2 3 3 3" xfId="11050"/>
    <cellStyle name="Normal 8 4 2 3 3 3 2" xfId="33637"/>
    <cellStyle name="Normal 8 4 2 3 3 4" xfId="27197"/>
    <cellStyle name="Normal 8 4 2 3 4" xfId="17490"/>
    <cellStyle name="Normal 8 4 2 3 4 2" xfId="40077"/>
    <cellStyle name="Normal 8 4 2 3 5" xfId="14270"/>
    <cellStyle name="Normal 8 4 2 3 5 2" xfId="36857"/>
    <cellStyle name="Normal 8 4 2 3 6" xfId="7830"/>
    <cellStyle name="Normal 8 4 2 3 6 2" xfId="30417"/>
    <cellStyle name="Normal 8 4 2 3 7" xfId="23977"/>
    <cellStyle name="Normal 8 4 2 4" xfId="1737"/>
    <cellStyle name="Normal 8 4 2 4 2" xfId="4960"/>
    <cellStyle name="Normal 8 4 2 4 2 2" xfId="21060"/>
    <cellStyle name="Normal 8 4 2 4 2 2 2" xfId="43647"/>
    <cellStyle name="Normal 8 4 2 4 2 3" xfId="11400"/>
    <cellStyle name="Normal 8 4 2 4 2 3 2" xfId="33987"/>
    <cellStyle name="Normal 8 4 2 4 2 4" xfId="27547"/>
    <cellStyle name="Normal 8 4 2 4 3" xfId="17840"/>
    <cellStyle name="Normal 8 4 2 4 3 2" xfId="40427"/>
    <cellStyle name="Normal 8 4 2 4 4" xfId="14620"/>
    <cellStyle name="Normal 8 4 2 4 4 2" xfId="37207"/>
    <cellStyle name="Normal 8 4 2 4 5" xfId="8180"/>
    <cellStyle name="Normal 8 4 2 4 5 2" xfId="30767"/>
    <cellStyle name="Normal 8 4 2 4 6" xfId="24327"/>
    <cellStyle name="Normal 8 4 2 5" xfId="2002"/>
    <cellStyle name="Normal 8 4 2 5 2" xfId="5224"/>
    <cellStyle name="Normal 8 4 2 5 2 2" xfId="21324"/>
    <cellStyle name="Normal 8 4 2 5 2 2 2" xfId="43911"/>
    <cellStyle name="Normal 8 4 2 5 2 3" xfId="11664"/>
    <cellStyle name="Normal 8 4 2 5 2 3 2" xfId="34251"/>
    <cellStyle name="Normal 8 4 2 5 2 4" xfId="27811"/>
    <cellStyle name="Normal 8 4 2 5 3" xfId="18104"/>
    <cellStyle name="Normal 8 4 2 5 3 2" xfId="40691"/>
    <cellStyle name="Normal 8 4 2 5 4" xfId="14884"/>
    <cellStyle name="Normal 8 4 2 5 4 2" xfId="37471"/>
    <cellStyle name="Normal 8 4 2 5 5" xfId="8444"/>
    <cellStyle name="Normal 8 4 2 5 5 2" xfId="31031"/>
    <cellStyle name="Normal 8 4 2 5 6" xfId="24591"/>
    <cellStyle name="Normal 8 4 2 6" xfId="3031"/>
    <cellStyle name="Normal 8 4 2 6 2" xfId="6251"/>
    <cellStyle name="Normal 8 4 2 6 2 2" xfId="22351"/>
    <cellStyle name="Normal 8 4 2 6 2 2 2" xfId="44938"/>
    <cellStyle name="Normal 8 4 2 6 2 3" xfId="12691"/>
    <cellStyle name="Normal 8 4 2 6 2 3 2" xfId="35278"/>
    <cellStyle name="Normal 8 4 2 6 2 4" xfId="28838"/>
    <cellStyle name="Normal 8 4 2 6 3" xfId="19131"/>
    <cellStyle name="Normal 8 4 2 6 3 2" xfId="41718"/>
    <cellStyle name="Normal 8 4 2 6 4" xfId="15911"/>
    <cellStyle name="Normal 8 4 2 6 4 2" xfId="38498"/>
    <cellStyle name="Normal 8 4 2 6 5" xfId="9471"/>
    <cellStyle name="Normal 8 4 2 6 5 2" xfId="32058"/>
    <cellStyle name="Normal 8 4 2 6 6" xfId="25618"/>
    <cellStyle name="Normal 8 4 2 7" xfId="3321"/>
    <cellStyle name="Normal 8 4 2 7 2" xfId="6541"/>
    <cellStyle name="Normal 8 4 2 7 2 2" xfId="22641"/>
    <cellStyle name="Normal 8 4 2 7 2 2 2" xfId="45228"/>
    <cellStyle name="Normal 8 4 2 7 2 3" xfId="12981"/>
    <cellStyle name="Normal 8 4 2 7 2 3 2" xfId="35568"/>
    <cellStyle name="Normal 8 4 2 7 2 4" xfId="29128"/>
    <cellStyle name="Normal 8 4 2 7 3" xfId="19421"/>
    <cellStyle name="Normal 8 4 2 7 3 2" xfId="42008"/>
    <cellStyle name="Normal 8 4 2 7 4" xfId="16201"/>
    <cellStyle name="Normal 8 4 2 7 4 2" xfId="38788"/>
    <cellStyle name="Normal 8 4 2 7 5" xfId="9761"/>
    <cellStyle name="Normal 8 4 2 7 5 2" xfId="32348"/>
    <cellStyle name="Normal 8 4 2 7 6" xfId="25908"/>
    <cellStyle name="Normal 8 4 2 8" xfId="672"/>
    <cellStyle name="Normal 8 4 2 8 2" xfId="3916"/>
    <cellStyle name="Normal 8 4 2 8 2 2" xfId="20016"/>
    <cellStyle name="Normal 8 4 2 8 2 2 2" xfId="42603"/>
    <cellStyle name="Normal 8 4 2 8 2 3" xfId="10356"/>
    <cellStyle name="Normal 8 4 2 8 2 3 2" xfId="32943"/>
    <cellStyle name="Normal 8 4 2 8 2 4" xfId="26503"/>
    <cellStyle name="Normal 8 4 2 8 3" xfId="16796"/>
    <cellStyle name="Normal 8 4 2 8 3 2" xfId="39383"/>
    <cellStyle name="Normal 8 4 2 8 4" xfId="13576"/>
    <cellStyle name="Normal 8 4 2 8 4 2" xfId="36163"/>
    <cellStyle name="Normal 8 4 2 8 5" xfId="7136"/>
    <cellStyle name="Normal 8 4 2 8 5 2" xfId="29723"/>
    <cellStyle name="Normal 8 4 2 8 6" xfId="23283"/>
    <cellStyle name="Normal 8 4 2 9" xfId="3611"/>
    <cellStyle name="Normal 8 4 2 9 2" xfId="19711"/>
    <cellStyle name="Normal 8 4 2 9 2 2" xfId="42298"/>
    <cellStyle name="Normal 8 4 2 9 3" xfId="10051"/>
    <cellStyle name="Normal 8 4 2 9 3 2" xfId="32638"/>
    <cellStyle name="Normal 8 4 2 9 4" xfId="26198"/>
    <cellStyle name="Normal 8 4 3" xfId="420"/>
    <cellStyle name="Normal 8 4 3 10" xfId="16587"/>
    <cellStyle name="Normal 8 4 3 10 2" xfId="39174"/>
    <cellStyle name="Normal 8 4 3 11" xfId="13367"/>
    <cellStyle name="Normal 8 4 3 11 2" xfId="35954"/>
    <cellStyle name="Normal 8 4 3 12" xfId="6927"/>
    <cellStyle name="Normal 8 4 3 12 2" xfId="29514"/>
    <cellStyle name="Normal 8 4 3 13" xfId="23074"/>
    <cellStyle name="Normal 8 4 3 2" xfId="1120"/>
    <cellStyle name="Normal 8 4 3 2 2" xfId="2434"/>
    <cellStyle name="Normal 8 4 3 2 2 2" xfId="5655"/>
    <cellStyle name="Normal 8 4 3 2 2 2 2" xfId="21755"/>
    <cellStyle name="Normal 8 4 3 2 2 2 2 2" xfId="44342"/>
    <cellStyle name="Normal 8 4 3 2 2 2 3" xfId="12095"/>
    <cellStyle name="Normal 8 4 3 2 2 2 3 2" xfId="34682"/>
    <cellStyle name="Normal 8 4 3 2 2 2 4" xfId="28242"/>
    <cellStyle name="Normal 8 4 3 2 2 3" xfId="18535"/>
    <cellStyle name="Normal 8 4 3 2 2 3 2" xfId="41122"/>
    <cellStyle name="Normal 8 4 3 2 2 4" xfId="15315"/>
    <cellStyle name="Normal 8 4 3 2 2 4 2" xfId="37902"/>
    <cellStyle name="Normal 8 4 3 2 2 5" xfId="8875"/>
    <cellStyle name="Normal 8 4 3 2 2 5 2" xfId="31462"/>
    <cellStyle name="Normal 8 4 3 2 2 6" xfId="25022"/>
    <cellStyle name="Normal 8 4 3 2 3" xfId="4347"/>
    <cellStyle name="Normal 8 4 3 2 3 2" xfId="20447"/>
    <cellStyle name="Normal 8 4 3 2 3 2 2" xfId="43034"/>
    <cellStyle name="Normal 8 4 3 2 3 3" xfId="10787"/>
    <cellStyle name="Normal 8 4 3 2 3 3 2" xfId="33374"/>
    <cellStyle name="Normal 8 4 3 2 3 4" xfId="26934"/>
    <cellStyle name="Normal 8 4 3 2 4" xfId="17227"/>
    <cellStyle name="Normal 8 4 3 2 4 2" xfId="39814"/>
    <cellStyle name="Normal 8 4 3 2 5" xfId="14007"/>
    <cellStyle name="Normal 8 4 3 2 5 2" xfId="36594"/>
    <cellStyle name="Normal 8 4 3 2 6" xfId="7567"/>
    <cellStyle name="Normal 8 4 3 2 6 2" xfId="30154"/>
    <cellStyle name="Normal 8 4 3 2 7" xfId="23714"/>
    <cellStyle name="Normal 8 4 3 3" xfId="1467"/>
    <cellStyle name="Normal 8 4 3 3 2" xfId="2781"/>
    <cellStyle name="Normal 8 4 3 3 2 2" xfId="6002"/>
    <cellStyle name="Normal 8 4 3 3 2 2 2" xfId="22102"/>
    <cellStyle name="Normal 8 4 3 3 2 2 2 2" xfId="44689"/>
    <cellStyle name="Normal 8 4 3 3 2 2 3" xfId="12442"/>
    <cellStyle name="Normal 8 4 3 3 2 2 3 2" xfId="35029"/>
    <cellStyle name="Normal 8 4 3 3 2 2 4" xfId="28589"/>
    <cellStyle name="Normal 8 4 3 3 2 3" xfId="18882"/>
    <cellStyle name="Normal 8 4 3 3 2 3 2" xfId="41469"/>
    <cellStyle name="Normal 8 4 3 3 2 4" xfId="15662"/>
    <cellStyle name="Normal 8 4 3 3 2 4 2" xfId="38249"/>
    <cellStyle name="Normal 8 4 3 3 2 5" xfId="9222"/>
    <cellStyle name="Normal 8 4 3 3 2 5 2" xfId="31809"/>
    <cellStyle name="Normal 8 4 3 3 2 6" xfId="25369"/>
    <cellStyle name="Normal 8 4 3 3 3" xfId="4694"/>
    <cellStyle name="Normal 8 4 3 3 3 2" xfId="20794"/>
    <cellStyle name="Normal 8 4 3 3 3 2 2" xfId="43381"/>
    <cellStyle name="Normal 8 4 3 3 3 3" xfId="11134"/>
    <cellStyle name="Normal 8 4 3 3 3 3 2" xfId="33721"/>
    <cellStyle name="Normal 8 4 3 3 3 4" xfId="27281"/>
    <cellStyle name="Normal 8 4 3 3 4" xfId="17574"/>
    <cellStyle name="Normal 8 4 3 3 4 2" xfId="40161"/>
    <cellStyle name="Normal 8 4 3 3 5" xfId="14354"/>
    <cellStyle name="Normal 8 4 3 3 5 2" xfId="36941"/>
    <cellStyle name="Normal 8 4 3 3 6" xfId="7914"/>
    <cellStyle name="Normal 8 4 3 3 6 2" xfId="30501"/>
    <cellStyle name="Normal 8 4 3 3 7" xfId="24061"/>
    <cellStyle name="Normal 8 4 3 4" xfId="1738"/>
    <cellStyle name="Normal 8 4 3 4 2" xfId="4961"/>
    <cellStyle name="Normal 8 4 3 4 2 2" xfId="21061"/>
    <cellStyle name="Normal 8 4 3 4 2 2 2" xfId="43648"/>
    <cellStyle name="Normal 8 4 3 4 2 3" xfId="11401"/>
    <cellStyle name="Normal 8 4 3 4 2 3 2" xfId="33988"/>
    <cellStyle name="Normal 8 4 3 4 2 4" xfId="27548"/>
    <cellStyle name="Normal 8 4 3 4 3" xfId="17841"/>
    <cellStyle name="Normal 8 4 3 4 3 2" xfId="40428"/>
    <cellStyle name="Normal 8 4 3 4 4" xfId="14621"/>
    <cellStyle name="Normal 8 4 3 4 4 2" xfId="37208"/>
    <cellStyle name="Normal 8 4 3 4 5" xfId="8181"/>
    <cellStyle name="Normal 8 4 3 4 5 2" xfId="30768"/>
    <cellStyle name="Normal 8 4 3 4 6" xfId="24328"/>
    <cellStyle name="Normal 8 4 3 5" xfId="2087"/>
    <cellStyle name="Normal 8 4 3 5 2" xfId="5308"/>
    <cellStyle name="Normal 8 4 3 5 2 2" xfId="21408"/>
    <cellStyle name="Normal 8 4 3 5 2 2 2" xfId="43995"/>
    <cellStyle name="Normal 8 4 3 5 2 3" xfId="11748"/>
    <cellStyle name="Normal 8 4 3 5 2 3 2" xfId="34335"/>
    <cellStyle name="Normal 8 4 3 5 2 4" xfId="27895"/>
    <cellStyle name="Normal 8 4 3 5 3" xfId="18188"/>
    <cellStyle name="Normal 8 4 3 5 3 2" xfId="40775"/>
    <cellStyle name="Normal 8 4 3 5 4" xfId="14968"/>
    <cellStyle name="Normal 8 4 3 5 4 2" xfId="37555"/>
    <cellStyle name="Normal 8 4 3 5 5" xfId="8528"/>
    <cellStyle name="Normal 8 4 3 5 5 2" xfId="31115"/>
    <cellStyle name="Normal 8 4 3 5 6" xfId="24675"/>
    <cellStyle name="Normal 8 4 3 6" xfId="3127"/>
    <cellStyle name="Normal 8 4 3 6 2" xfId="6347"/>
    <cellStyle name="Normal 8 4 3 6 2 2" xfId="22447"/>
    <cellStyle name="Normal 8 4 3 6 2 2 2" xfId="45034"/>
    <cellStyle name="Normal 8 4 3 6 2 3" xfId="12787"/>
    <cellStyle name="Normal 8 4 3 6 2 3 2" xfId="35374"/>
    <cellStyle name="Normal 8 4 3 6 2 4" xfId="28934"/>
    <cellStyle name="Normal 8 4 3 6 3" xfId="19227"/>
    <cellStyle name="Normal 8 4 3 6 3 2" xfId="41814"/>
    <cellStyle name="Normal 8 4 3 6 4" xfId="16007"/>
    <cellStyle name="Normal 8 4 3 6 4 2" xfId="38594"/>
    <cellStyle name="Normal 8 4 3 6 5" xfId="9567"/>
    <cellStyle name="Normal 8 4 3 6 5 2" xfId="32154"/>
    <cellStyle name="Normal 8 4 3 6 6" xfId="25714"/>
    <cellStyle name="Normal 8 4 3 7" xfId="3417"/>
    <cellStyle name="Normal 8 4 3 7 2" xfId="6637"/>
    <cellStyle name="Normal 8 4 3 7 2 2" xfId="22737"/>
    <cellStyle name="Normal 8 4 3 7 2 2 2" xfId="45324"/>
    <cellStyle name="Normal 8 4 3 7 2 3" xfId="13077"/>
    <cellStyle name="Normal 8 4 3 7 2 3 2" xfId="35664"/>
    <cellStyle name="Normal 8 4 3 7 2 4" xfId="29224"/>
    <cellStyle name="Normal 8 4 3 7 3" xfId="19517"/>
    <cellStyle name="Normal 8 4 3 7 3 2" xfId="42104"/>
    <cellStyle name="Normal 8 4 3 7 4" xfId="16297"/>
    <cellStyle name="Normal 8 4 3 7 4 2" xfId="38884"/>
    <cellStyle name="Normal 8 4 3 7 5" xfId="9857"/>
    <cellStyle name="Normal 8 4 3 7 5 2" xfId="32444"/>
    <cellStyle name="Normal 8 4 3 7 6" xfId="26004"/>
    <cellStyle name="Normal 8 4 3 8" xfId="768"/>
    <cellStyle name="Normal 8 4 3 8 2" xfId="4000"/>
    <cellStyle name="Normal 8 4 3 8 2 2" xfId="20100"/>
    <cellStyle name="Normal 8 4 3 8 2 2 2" xfId="42687"/>
    <cellStyle name="Normal 8 4 3 8 2 3" xfId="10440"/>
    <cellStyle name="Normal 8 4 3 8 2 3 2" xfId="33027"/>
    <cellStyle name="Normal 8 4 3 8 2 4" xfId="26587"/>
    <cellStyle name="Normal 8 4 3 8 3" xfId="16880"/>
    <cellStyle name="Normal 8 4 3 8 3 2" xfId="39467"/>
    <cellStyle name="Normal 8 4 3 8 4" xfId="13660"/>
    <cellStyle name="Normal 8 4 3 8 4 2" xfId="36247"/>
    <cellStyle name="Normal 8 4 3 8 5" xfId="7220"/>
    <cellStyle name="Normal 8 4 3 8 5 2" xfId="29807"/>
    <cellStyle name="Normal 8 4 3 8 6" xfId="23367"/>
    <cellStyle name="Normal 8 4 3 9" xfId="3707"/>
    <cellStyle name="Normal 8 4 3 9 2" xfId="19807"/>
    <cellStyle name="Normal 8 4 3 9 2 2" xfId="42394"/>
    <cellStyle name="Normal 8 4 3 9 3" xfId="10147"/>
    <cellStyle name="Normal 8 4 3 9 3 2" xfId="32734"/>
    <cellStyle name="Normal 8 4 3 9 4" xfId="26294"/>
    <cellStyle name="Normal 8 4 4" xfId="915"/>
    <cellStyle name="Normal 8 4 4 2" xfId="2234"/>
    <cellStyle name="Normal 8 4 4 2 2" xfId="5455"/>
    <cellStyle name="Normal 8 4 4 2 2 2" xfId="21555"/>
    <cellStyle name="Normal 8 4 4 2 2 2 2" xfId="44142"/>
    <cellStyle name="Normal 8 4 4 2 2 3" xfId="11895"/>
    <cellStyle name="Normal 8 4 4 2 2 3 2" xfId="34482"/>
    <cellStyle name="Normal 8 4 4 2 2 4" xfId="28042"/>
    <cellStyle name="Normal 8 4 4 2 3" xfId="18335"/>
    <cellStyle name="Normal 8 4 4 2 3 2" xfId="40922"/>
    <cellStyle name="Normal 8 4 4 2 4" xfId="15115"/>
    <cellStyle name="Normal 8 4 4 2 4 2" xfId="37702"/>
    <cellStyle name="Normal 8 4 4 2 5" xfId="8675"/>
    <cellStyle name="Normal 8 4 4 2 5 2" xfId="31262"/>
    <cellStyle name="Normal 8 4 4 2 6" xfId="24822"/>
    <cellStyle name="Normal 8 4 4 3" xfId="4147"/>
    <cellStyle name="Normal 8 4 4 3 2" xfId="20247"/>
    <cellStyle name="Normal 8 4 4 3 2 2" xfId="42834"/>
    <cellStyle name="Normal 8 4 4 3 3" xfId="10587"/>
    <cellStyle name="Normal 8 4 4 3 3 2" xfId="33174"/>
    <cellStyle name="Normal 8 4 4 3 4" xfId="26734"/>
    <cellStyle name="Normal 8 4 4 4" xfId="17027"/>
    <cellStyle name="Normal 8 4 4 4 2" xfId="39614"/>
    <cellStyle name="Normal 8 4 4 5" xfId="13807"/>
    <cellStyle name="Normal 8 4 4 5 2" xfId="36394"/>
    <cellStyle name="Normal 8 4 4 6" xfId="7367"/>
    <cellStyle name="Normal 8 4 4 6 2" xfId="29954"/>
    <cellStyle name="Normal 8 4 4 7" xfId="23514"/>
    <cellStyle name="Normal 8 4 5" xfId="1267"/>
    <cellStyle name="Normal 8 4 5 2" xfId="2581"/>
    <cellStyle name="Normal 8 4 5 2 2" xfId="5802"/>
    <cellStyle name="Normal 8 4 5 2 2 2" xfId="21902"/>
    <cellStyle name="Normal 8 4 5 2 2 2 2" xfId="44489"/>
    <cellStyle name="Normal 8 4 5 2 2 3" xfId="12242"/>
    <cellStyle name="Normal 8 4 5 2 2 3 2" xfId="34829"/>
    <cellStyle name="Normal 8 4 5 2 2 4" xfId="28389"/>
    <cellStyle name="Normal 8 4 5 2 3" xfId="18682"/>
    <cellStyle name="Normal 8 4 5 2 3 2" xfId="41269"/>
    <cellStyle name="Normal 8 4 5 2 4" xfId="15462"/>
    <cellStyle name="Normal 8 4 5 2 4 2" xfId="38049"/>
    <cellStyle name="Normal 8 4 5 2 5" xfId="9022"/>
    <cellStyle name="Normal 8 4 5 2 5 2" xfId="31609"/>
    <cellStyle name="Normal 8 4 5 2 6" xfId="25169"/>
    <cellStyle name="Normal 8 4 5 3" xfId="4494"/>
    <cellStyle name="Normal 8 4 5 3 2" xfId="20594"/>
    <cellStyle name="Normal 8 4 5 3 2 2" xfId="43181"/>
    <cellStyle name="Normal 8 4 5 3 3" xfId="10934"/>
    <cellStyle name="Normal 8 4 5 3 3 2" xfId="33521"/>
    <cellStyle name="Normal 8 4 5 3 4" xfId="27081"/>
    <cellStyle name="Normal 8 4 5 4" xfId="17374"/>
    <cellStyle name="Normal 8 4 5 4 2" xfId="39961"/>
    <cellStyle name="Normal 8 4 5 5" xfId="14154"/>
    <cellStyle name="Normal 8 4 5 5 2" xfId="36741"/>
    <cellStyle name="Normal 8 4 5 6" xfId="7714"/>
    <cellStyle name="Normal 8 4 5 6 2" xfId="30301"/>
    <cellStyle name="Normal 8 4 5 7" xfId="23861"/>
    <cellStyle name="Normal 8 4 6" xfId="1739"/>
    <cellStyle name="Normal 8 4 6 2" xfId="4962"/>
    <cellStyle name="Normal 8 4 6 2 2" xfId="21062"/>
    <cellStyle name="Normal 8 4 6 2 2 2" xfId="43649"/>
    <cellStyle name="Normal 8 4 6 2 3" xfId="11402"/>
    <cellStyle name="Normal 8 4 6 2 3 2" xfId="33989"/>
    <cellStyle name="Normal 8 4 6 2 4" xfId="27549"/>
    <cellStyle name="Normal 8 4 6 3" xfId="17842"/>
    <cellStyle name="Normal 8 4 6 3 2" xfId="40429"/>
    <cellStyle name="Normal 8 4 6 4" xfId="14622"/>
    <cellStyle name="Normal 8 4 6 4 2" xfId="37209"/>
    <cellStyle name="Normal 8 4 6 5" xfId="8182"/>
    <cellStyle name="Normal 8 4 6 5 2" xfId="30769"/>
    <cellStyle name="Normal 8 4 6 6" xfId="24329"/>
    <cellStyle name="Normal 8 4 7" xfId="1886"/>
    <cellStyle name="Normal 8 4 7 2" xfId="5108"/>
    <cellStyle name="Normal 8 4 7 2 2" xfId="21208"/>
    <cellStyle name="Normal 8 4 7 2 2 2" xfId="43795"/>
    <cellStyle name="Normal 8 4 7 2 3" xfId="11548"/>
    <cellStyle name="Normal 8 4 7 2 3 2" xfId="34135"/>
    <cellStyle name="Normal 8 4 7 2 4" xfId="27695"/>
    <cellStyle name="Normal 8 4 7 3" xfId="17988"/>
    <cellStyle name="Normal 8 4 7 3 2" xfId="40575"/>
    <cellStyle name="Normal 8 4 7 4" xfId="14768"/>
    <cellStyle name="Normal 8 4 7 4 2" xfId="37355"/>
    <cellStyle name="Normal 8 4 7 5" xfId="8328"/>
    <cellStyle name="Normal 8 4 7 5 2" xfId="30915"/>
    <cellStyle name="Normal 8 4 7 6" xfId="24475"/>
    <cellStyle name="Normal 8 4 8" xfId="2933"/>
    <cellStyle name="Normal 8 4 8 2" xfId="6154"/>
    <cellStyle name="Normal 8 4 8 2 2" xfId="22254"/>
    <cellStyle name="Normal 8 4 8 2 2 2" xfId="44841"/>
    <cellStyle name="Normal 8 4 8 2 3" xfId="12594"/>
    <cellStyle name="Normal 8 4 8 2 3 2" xfId="35181"/>
    <cellStyle name="Normal 8 4 8 2 4" xfId="28741"/>
    <cellStyle name="Normal 8 4 8 3" xfId="19034"/>
    <cellStyle name="Normal 8 4 8 3 2" xfId="41621"/>
    <cellStyle name="Normal 8 4 8 4" xfId="15814"/>
    <cellStyle name="Normal 8 4 8 4 2" xfId="38401"/>
    <cellStyle name="Normal 8 4 8 5" xfId="9374"/>
    <cellStyle name="Normal 8 4 8 5 2" xfId="31961"/>
    <cellStyle name="Normal 8 4 8 6" xfId="25521"/>
    <cellStyle name="Normal 8 4 9" xfId="3224"/>
    <cellStyle name="Normal 8 4 9 2" xfId="6444"/>
    <cellStyle name="Normal 8 4 9 2 2" xfId="22544"/>
    <cellStyle name="Normal 8 4 9 2 2 2" xfId="45131"/>
    <cellStyle name="Normal 8 4 9 2 3" xfId="12884"/>
    <cellStyle name="Normal 8 4 9 2 3 2" xfId="35471"/>
    <cellStyle name="Normal 8 4 9 2 4" xfId="29031"/>
    <cellStyle name="Normal 8 4 9 3" xfId="19324"/>
    <cellStyle name="Normal 8 4 9 3 2" xfId="41911"/>
    <cellStyle name="Normal 8 4 9 4" xfId="16104"/>
    <cellStyle name="Normal 8 4 9 4 2" xfId="38691"/>
    <cellStyle name="Normal 8 4 9 5" xfId="9664"/>
    <cellStyle name="Normal 8 4 9 5 2" xfId="32251"/>
    <cellStyle name="Normal 8 4 9 6" xfId="25811"/>
    <cellStyle name="Normal 8 5" xfId="245"/>
    <cellStyle name="Normal 8 5 10" xfId="16413"/>
    <cellStyle name="Normal 8 5 10 2" xfId="39000"/>
    <cellStyle name="Normal 8 5 11" xfId="13193"/>
    <cellStyle name="Normal 8 5 11 2" xfId="35780"/>
    <cellStyle name="Normal 8 5 12" xfId="6753"/>
    <cellStyle name="Normal 8 5 12 2" xfId="29340"/>
    <cellStyle name="Normal 8 5 13" xfId="22900"/>
    <cellStyle name="Normal 8 5 2" xfId="965"/>
    <cellStyle name="Normal 8 5 2 2" xfId="1740"/>
    <cellStyle name="Normal 8 5 2 2 2" xfId="4963"/>
    <cellStyle name="Normal 8 5 2 2 2 2" xfId="21063"/>
    <cellStyle name="Normal 8 5 2 2 2 2 2" xfId="43650"/>
    <cellStyle name="Normal 8 5 2 2 2 3" xfId="11403"/>
    <cellStyle name="Normal 8 5 2 2 2 3 2" xfId="33990"/>
    <cellStyle name="Normal 8 5 2 2 2 4" xfId="27550"/>
    <cellStyle name="Normal 8 5 2 2 3" xfId="17843"/>
    <cellStyle name="Normal 8 5 2 2 3 2" xfId="40430"/>
    <cellStyle name="Normal 8 5 2 2 4" xfId="14623"/>
    <cellStyle name="Normal 8 5 2 2 4 2" xfId="37210"/>
    <cellStyle name="Normal 8 5 2 2 5" xfId="8183"/>
    <cellStyle name="Normal 8 5 2 2 5 2" xfId="30770"/>
    <cellStyle name="Normal 8 5 2 2 6" xfId="24330"/>
    <cellStyle name="Normal 8 5 2 3" xfId="2283"/>
    <cellStyle name="Normal 8 5 2 3 2" xfId="5504"/>
    <cellStyle name="Normal 8 5 2 3 2 2" xfId="21604"/>
    <cellStyle name="Normal 8 5 2 3 2 2 2" xfId="44191"/>
    <cellStyle name="Normal 8 5 2 3 2 3" xfId="11944"/>
    <cellStyle name="Normal 8 5 2 3 2 3 2" xfId="34531"/>
    <cellStyle name="Normal 8 5 2 3 2 4" xfId="28091"/>
    <cellStyle name="Normal 8 5 2 3 3" xfId="18384"/>
    <cellStyle name="Normal 8 5 2 3 3 2" xfId="40971"/>
    <cellStyle name="Normal 8 5 2 3 4" xfId="15164"/>
    <cellStyle name="Normal 8 5 2 3 4 2" xfId="37751"/>
    <cellStyle name="Normal 8 5 2 3 5" xfId="8724"/>
    <cellStyle name="Normal 8 5 2 3 5 2" xfId="31311"/>
    <cellStyle name="Normal 8 5 2 3 6" xfId="24871"/>
    <cellStyle name="Normal 8 5 2 4" xfId="4196"/>
    <cellStyle name="Normal 8 5 2 4 2" xfId="20296"/>
    <cellStyle name="Normal 8 5 2 4 2 2" xfId="42883"/>
    <cellStyle name="Normal 8 5 2 4 3" xfId="10636"/>
    <cellStyle name="Normal 8 5 2 4 3 2" xfId="33223"/>
    <cellStyle name="Normal 8 5 2 4 4" xfId="26783"/>
    <cellStyle name="Normal 8 5 2 5" xfId="17076"/>
    <cellStyle name="Normal 8 5 2 5 2" xfId="39663"/>
    <cellStyle name="Normal 8 5 2 6" xfId="13856"/>
    <cellStyle name="Normal 8 5 2 6 2" xfId="36443"/>
    <cellStyle name="Normal 8 5 2 7" xfId="7416"/>
    <cellStyle name="Normal 8 5 2 7 2" xfId="30003"/>
    <cellStyle name="Normal 8 5 2 8" xfId="23563"/>
    <cellStyle name="Normal 8 5 3" xfId="1316"/>
    <cellStyle name="Normal 8 5 3 2" xfId="2630"/>
    <cellStyle name="Normal 8 5 3 2 2" xfId="5851"/>
    <cellStyle name="Normal 8 5 3 2 2 2" xfId="21951"/>
    <cellStyle name="Normal 8 5 3 2 2 2 2" xfId="44538"/>
    <cellStyle name="Normal 8 5 3 2 2 3" xfId="12291"/>
    <cellStyle name="Normal 8 5 3 2 2 3 2" xfId="34878"/>
    <cellStyle name="Normal 8 5 3 2 2 4" xfId="28438"/>
    <cellStyle name="Normal 8 5 3 2 3" xfId="18731"/>
    <cellStyle name="Normal 8 5 3 2 3 2" xfId="41318"/>
    <cellStyle name="Normal 8 5 3 2 4" xfId="15511"/>
    <cellStyle name="Normal 8 5 3 2 4 2" xfId="38098"/>
    <cellStyle name="Normal 8 5 3 2 5" xfId="9071"/>
    <cellStyle name="Normal 8 5 3 2 5 2" xfId="31658"/>
    <cellStyle name="Normal 8 5 3 2 6" xfId="25218"/>
    <cellStyle name="Normal 8 5 3 3" xfId="4543"/>
    <cellStyle name="Normal 8 5 3 3 2" xfId="20643"/>
    <cellStyle name="Normal 8 5 3 3 2 2" xfId="43230"/>
    <cellStyle name="Normal 8 5 3 3 3" xfId="10983"/>
    <cellStyle name="Normal 8 5 3 3 3 2" xfId="33570"/>
    <cellStyle name="Normal 8 5 3 3 4" xfId="27130"/>
    <cellStyle name="Normal 8 5 3 4" xfId="17423"/>
    <cellStyle name="Normal 8 5 3 4 2" xfId="40010"/>
    <cellStyle name="Normal 8 5 3 5" xfId="14203"/>
    <cellStyle name="Normal 8 5 3 5 2" xfId="36790"/>
    <cellStyle name="Normal 8 5 3 6" xfId="7763"/>
    <cellStyle name="Normal 8 5 3 6 2" xfId="30350"/>
    <cellStyle name="Normal 8 5 3 7" xfId="23910"/>
    <cellStyle name="Normal 8 5 4" xfId="1741"/>
    <cellStyle name="Normal 8 5 4 2" xfId="4964"/>
    <cellStyle name="Normal 8 5 4 2 2" xfId="21064"/>
    <cellStyle name="Normal 8 5 4 2 2 2" xfId="43651"/>
    <cellStyle name="Normal 8 5 4 2 3" xfId="11404"/>
    <cellStyle name="Normal 8 5 4 2 3 2" xfId="33991"/>
    <cellStyle name="Normal 8 5 4 2 4" xfId="27551"/>
    <cellStyle name="Normal 8 5 4 3" xfId="17844"/>
    <cellStyle name="Normal 8 5 4 3 2" xfId="40431"/>
    <cellStyle name="Normal 8 5 4 4" xfId="14624"/>
    <cellStyle name="Normal 8 5 4 4 2" xfId="37211"/>
    <cellStyle name="Normal 8 5 4 5" xfId="8184"/>
    <cellStyle name="Normal 8 5 4 5 2" xfId="30771"/>
    <cellStyle name="Normal 8 5 4 6" xfId="24331"/>
    <cellStyle name="Normal 8 5 5" xfId="1935"/>
    <cellStyle name="Normal 8 5 5 2" xfId="5157"/>
    <cellStyle name="Normal 8 5 5 2 2" xfId="21257"/>
    <cellStyle name="Normal 8 5 5 2 2 2" xfId="43844"/>
    <cellStyle name="Normal 8 5 5 2 3" xfId="11597"/>
    <cellStyle name="Normal 8 5 5 2 3 2" xfId="34184"/>
    <cellStyle name="Normal 8 5 5 2 4" xfId="27744"/>
    <cellStyle name="Normal 8 5 5 3" xfId="18037"/>
    <cellStyle name="Normal 8 5 5 3 2" xfId="40624"/>
    <cellStyle name="Normal 8 5 5 4" xfId="14817"/>
    <cellStyle name="Normal 8 5 5 4 2" xfId="37404"/>
    <cellStyle name="Normal 8 5 5 5" xfId="8377"/>
    <cellStyle name="Normal 8 5 5 5 2" xfId="30964"/>
    <cellStyle name="Normal 8 5 5 6" xfId="24524"/>
    <cellStyle name="Normal 8 5 6" xfId="2952"/>
    <cellStyle name="Normal 8 5 6 2" xfId="6173"/>
    <cellStyle name="Normal 8 5 6 2 2" xfId="22273"/>
    <cellStyle name="Normal 8 5 6 2 2 2" xfId="44860"/>
    <cellStyle name="Normal 8 5 6 2 3" xfId="12613"/>
    <cellStyle name="Normal 8 5 6 2 3 2" xfId="35200"/>
    <cellStyle name="Normal 8 5 6 2 4" xfId="28760"/>
    <cellStyle name="Normal 8 5 6 3" xfId="19053"/>
    <cellStyle name="Normal 8 5 6 3 2" xfId="41640"/>
    <cellStyle name="Normal 8 5 6 4" xfId="15833"/>
    <cellStyle name="Normal 8 5 6 4 2" xfId="38420"/>
    <cellStyle name="Normal 8 5 6 5" xfId="9393"/>
    <cellStyle name="Normal 8 5 6 5 2" xfId="31980"/>
    <cellStyle name="Normal 8 5 6 6" xfId="25540"/>
    <cellStyle name="Normal 8 5 7" xfId="3243"/>
    <cellStyle name="Normal 8 5 7 2" xfId="6463"/>
    <cellStyle name="Normal 8 5 7 2 2" xfId="22563"/>
    <cellStyle name="Normal 8 5 7 2 2 2" xfId="45150"/>
    <cellStyle name="Normal 8 5 7 2 3" xfId="12903"/>
    <cellStyle name="Normal 8 5 7 2 3 2" xfId="35490"/>
    <cellStyle name="Normal 8 5 7 2 4" xfId="29050"/>
    <cellStyle name="Normal 8 5 7 3" xfId="19343"/>
    <cellStyle name="Normal 8 5 7 3 2" xfId="41930"/>
    <cellStyle name="Normal 8 5 7 4" xfId="16123"/>
    <cellStyle name="Normal 8 5 7 4 2" xfId="38710"/>
    <cellStyle name="Normal 8 5 7 5" xfId="9683"/>
    <cellStyle name="Normal 8 5 7 5 2" xfId="32270"/>
    <cellStyle name="Normal 8 5 7 6" xfId="25830"/>
    <cellStyle name="Normal 8 5 8" xfId="579"/>
    <cellStyle name="Normal 8 5 8 2" xfId="3849"/>
    <cellStyle name="Normal 8 5 8 2 2" xfId="19949"/>
    <cellStyle name="Normal 8 5 8 2 2 2" xfId="42536"/>
    <cellStyle name="Normal 8 5 8 2 3" xfId="10289"/>
    <cellStyle name="Normal 8 5 8 2 3 2" xfId="32876"/>
    <cellStyle name="Normal 8 5 8 2 4" xfId="26436"/>
    <cellStyle name="Normal 8 5 8 3" xfId="16729"/>
    <cellStyle name="Normal 8 5 8 3 2" xfId="39316"/>
    <cellStyle name="Normal 8 5 8 4" xfId="13509"/>
    <cellStyle name="Normal 8 5 8 4 2" xfId="36096"/>
    <cellStyle name="Normal 8 5 8 5" xfId="7069"/>
    <cellStyle name="Normal 8 5 8 5 2" xfId="29656"/>
    <cellStyle name="Normal 8 5 8 6" xfId="23216"/>
    <cellStyle name="Normal 8 5 9" xfId="3533"/>
    <cellStyle name="Normal 8 5 9 2" xfId="19633"/>
    <cellStyle name="Normal 8 5 9 2 2" xfId="42220"/>
    <cellStyle name="Normal 8 5 9 3" xfId="9973"/>
    <cellStyle name="Normal 8 5 9 3 2" xfId="32560"/>
    <cellStyle name="Normal 8 5 9 4" xfId="26120"/>
    <cellStyle name="Normal 8 6" xfId="343"/>
    <cellStyle name="Normal 8 6 10" xfId="16510"/>
    <cellStyle name="Normal 8 6 10 2" xfId="39097"/>
    <cellStyle name="Normal 8 6 11" xfId="13290"/>
    <cellStyle name="Normal 8 6 11 2" xfId="35877"/>
    <cellStyle name="Normal 8 6 12" xfId="6850"/>
    <cellStyle name="Normal 8 6 12 2" xfId="29437"/>
    <cellStyle name="Normal 8 6 13" xfId="22997"/>
    <cellStyle name="Normal 8 6 2" xfId="1081"/>
    <cellStyle name="Normal 8 6 2 2" xfId="2395"/>
    <cellStyle name="Normal 8 6 2 2 2" xfId="5616"/>
    <cellStyle name="Normal 8 6 2 2 2 2" xfId="21716"/>
    <cellStyle name="Normal 8 6 2 2 2 2 2" xfId="44303"/>
    <cellStyle name="Normal 8 6 2 2 2 3" xfId="12056"/>
    <cellStyle name="Normal 8 6 2 2 2 3 2" xfId="34643"/>
    <cellStyle name="Normal 8 6 2 2 2 4" xfId="28203"/>
    <cellStyle name="Normal 8 6 2 2 3" xfId="18496"/>
    <cellStyle name="Normal 8 6 2 2 3 2" xfId="41083"/>
    <cellStyle name="Normal 8 6 2 2 4" xfId="15276"/>
    <cellStyle name="Normal 8 6 2 2 4 2" xfId="37863"/>
    <cellStyle name="Normal 8 6 2 2 5" xfId="8836"/>
    <cellStyle name="Normal 8 6 2 2 5 2" xfId="31423"/>
    <cellStyle name="Normal 8 6 2 2 6" xfId="24983"/>
    <cellStyle name="Normal 8 6 2 3" xfId="4308"/>
    <cellStyle name="Normal 8 6 2 3 2" xfId="20408"/>
    <cellStyle name="Normal 8 6 2 3 2 2" xfId="42995"/>
    <cellStyle name="Normal 8 6 2 3 3" xfId="10748"/>
    <cellStyle name="Normal 8 6 2 3 3 2" xfId="33335"/>
    <cellStyle name="Normal 8 6 2 3 4" xfId="26895"/>
    <cellStyle name="Normal 8 6 2 4" xfId="17188"/>
    <cellStyle name="Normal 8 6 2 4 2" xfId="39775"/>
    <cellStyle name="Normal 8 6 2 5" xfId="13968"/>
    <cellStyle name="Normal 8 6 2 5 2" xfId="36555"/>
    <cellStyle name="Normal 8 6 2 6" xfId="7528"/>
    <cellStyle name="Normal 8 6 2 6 2" xfId="30115"/>
    <cellStyle name="Normal 8 6 2 7" xfId="23675"/>
    <cellStyle name="Normal 8 6 3" xfId="1428"/>
    <cellStyle name="Normal 8 6 3 2" xfId="2742"/>
    <cellStyle name="Normal 8 6 3 2 2" xfId="5963"/>
    <cellStyle name="Normal 8 6 3 2 2 2" xfId="22063"/>
    <cellStyle name="Normal 8 6 3 2 2 2 2" xfId="44650"/>
    <cellStyle name="Normal 8 6 3 2 2 3" xfId="12403"/>
    <cellStyle name="Normal 8 6 3 2 2 3 2" xfId="34990"/>
    <cellStyle name="Normal 8 6 3 2 2 4" xfId="28550"/>
    <cellStyle name="Normal 8 6 3 2 3" xfId="18843"/>
    <cellStyle name="Normal 8 6 3 2 3 2" xfId="41430"/>
    <cellStyle name="Normal 8 6 3 2 4" xfId="15623"/>
    <cellStyle name="Normal 8 6 3 2 4 2" xfId="38210"/>
    <cellStyle name="Normal 8 6 3 2 5" xfId="9183"/>
    <cellStyle name="Normal 8 6 3 2 5 2" xfId="31770"/>
    <cellStyle name="Normal 8 6 3 2 6" xfId="25330"/>
    <cellStyle name="Normal 8 6 3 3" xfId="4655"/>
    <cellStyle name="Normal 8 6 3 3 2" xfId="20755"/>
    <cellStyle name="Normal 8 6 3 3 2 2" xfId="43342"/>
    <cellStyle name="Normal 8 6 3 3 3" xfId="11095"/>
    <cellStyle name="Normal 8 6 3 3 3 2" xfId="33682"/>
    <cellStyle name="Normal 8 6 3 3 4" xfId="27242"/>
    <cellStyle name="Normal 8 6 3 4" xfId="17535"/>
    <cellStyle name="Normal 8 6 3 4 2" xfId="40122"/>
    <cellStyle name="Normal 8 6 3 5" xfId="14315"/>
    <cellStyle name="Normal 8 6 3 5 2" xfId="36902"/>
    <cellStyle name="Normal 8 6 3 6" xfId="7875"/>
    <cellStyle name="Normal 8 6 3 6 2" xfId="30462"/>
    <cellStyle name="Normal 8 6 3 7" xfId="24022"/>
    <cellStyle name="Normal 8 6 4" xfId="1742"/>
    <cellStyle name="Normal 8 6 4 2" xfId="4965"/>
    <cellStyle name="Normal 8 6 4 2 2" xfId="21065"/>
    <cellStyle name="Normal 8 6 4 2 2 2" xfId="43652"/>
    <cellStyle name="Normal 8 6 4 2 3" xfId="11405"/>
    <cellStyle name="Normal 8 6 4 2 3 2" xfId="33992"/>
    <cellStyle name="Normal 8 6 4 2 4" xfId="27552"/>
    <cellStyle name="Normal 8 6 4 3" xfId="17845"/>
    <cellStyle name="Normal 8 6 4 3 2" xfId="40432"/>
    <cellStyle name="Normal 8 6 4 4" xfId="14625"/>
    <cellStyle name="Normal 8 6 4 4 2" xfId="37212"/>
    <cellStyle name="Normal 8 6 4 5" xfId="8185"/>
    <cellStyle name="Normal 8 6 4 5 2" xfId="30772"/>
    <cellStyle name="Normal 8 6 4 6" xfId="24332"/>
    <cellStyle name="Normal 8 6 5" xfId="2048"/>
    <cellStyle name="Normal 8 6 5 2" xfId="5269"/>
    <cellStyle name="Normal 8 6 5 2 2" xfId="21369"/>
    <cellStyle name="Normal 8 6 5 2 2 2" xfId="43956"/>
    <cellStyle name="Normal 8 6 5 2 3" xfId="11709"/>
    <cellStyle name="Normal 8 6 5 2 3 2" xfId="34296"/>
    <cellStyle name="Normal 8 6 5 2 4" xfId="27856"/>
    <cellStyle name="Normal 8 6 5 3" xfId="18149"/>
    <cellStyle name="Normal 8 6 5 3 2" xfId="40736"/>
    <cellStyle name="Normal 8 6 5 4" xfId="14929"/>
    <cellStyle name="Normal 8 6 5 4 2" xfId="37516"/>
    <cellStyle name="Normal 8 6 5 5" xfId="8489"/>
    <cellStyle name="Normal 8 6 5 5 2" xfId="31076"/>
    <cellStyle name="Normal 8 6 5 6" xfId="24636"/>
    <cellStyle name="Normal 8 6 6" xfId="3050"/>
    <cellStyle name="Normal 8 6 6 2" xfId="6270"/>
    <cellStyle name="Normal 8 6 6 2 2" xfId="22370"/>
    <cellStyle name="Normal 8 6 6 2 2 2" xfId="44957"/>
    <cellStyle name="Normal 8 6 6 2 3" xfId="12710"/>
    <cellStyle name="Normal 8 6 6 2 3 2" xfId="35297"/>
    <cellStyle name="Normal 8 6 6 2 4" xfId="28857"/>
    <cellStyle name="Normal 8 6 6 3" xfId="19150"/>
    <cellStyle name="Normal 8 6 6 3 2" xfId="41737"/>
    <cellStyle name="Normal 8 6 6 4" xfId="15930"/>
    <cellStyle name="Normal 8 6 6 4 2" xfId="38517"/>
    <cellStyle name="Normal 8 6 6 5" xfId="9490"/>
    <cellStyle name="Normal 8 6 6 5 2" xfId="32077"/>
    <cellStyle name="Normal 8 6 6 6" xfId="25637"/>
    <cellStyle name="Normal 8 6 7" xfId="3340"/>
    <cellStyle name="Normal 8 6 7 2" xfId="6560"/>
    <cellStyle name="Normal 8 6 7 2 2" xfId="22660"/>
    <cellStyle name="Normal 8 6 7 2 2 2" xfId="45247"/>
    <cellStyle name="Normal 8 6 7 2 3" xfId="13000"/>
    <cellStyle name="Normal 8 6 7 2 3 2" xfId="35587"/>
    <cellStyle name="Normal 8 6 7 2 4" xfId="29147"/>
    <cellStyle name="Normal 8 6 7 3" xfId="19440"/>
    <cellStyle name="Normal 8 6 7 3 2" xfId="42027"/>
    <cellStyle name="Normal 8 6 7 4" xfId="16220"/>
    <cellStyle name="Normal 8 6 7 4 2" xfId="38807"/>
    <cellStyle name="Normal 8 6 7 5" xfId="9780"/>
    <cellStyle name="Normal 8 6 7 5 2" xfId="32367"/>
    <cellStyle name="Normal 8 6 7 6" xfId="25927"/>
    <cellStyle name="Normal 8 6 8" xfId="729"/>
    <cellStyle name="Normal 8 6 8 2" xfId="3961"/>
    <cellStyle name="Normal 8 6 8 2 2" xfId="20061"/>
    <cellStyle name="Normal 8 6 8 2 2 2" xfId="42648"/>
    <cellStyle name="Normal 8 6 8 2 3" xfId="10401"/>
    <cellStyle name="Normal 8 6 8 2 3 2" xfId="32988"/>
    <cellStyle name="Normal 8 6 8 2 4" xfId="26548"/>
    <cellStyle name="Normal 8 6 8 3" xfId="16841"/>
    <cellStyle name="Normal 8 6 8 3 2" xfId="39428"/>
    <cellStyle name="Normal 8 6 8 4" xfId="13621"/>
    <cellStyle name="Normal 8 6 8 4 2" xfId="36208"/>
    <cellStyle name="Normal 8 6 8 5" xfId="7181"/>
    <cellStyle name="Normal 8 6 8 5 2" xfId="29768"/>
    <cellStyle name="Normal 8 6 8 6" xfId="23328"/>
    <cellStyle name="Normal 8 6 9" xfId="3630"/>
    <cellStyle name="Normal 8 6 9 2" xfId="19730"/>
    <cellStyle name="Normal 8 6 9 2 2" xfId="42317"/>
    <cellStyle name="Normal 8 6 9 3" xfId="10070"/>
    <cellStyle name="Normal 8 6 9 3 2" xfId="32657"/>
    <cellStyle name="Normal 8 6 9 4" xfId="26217"/>
    <cellStyle name="Normal 8 7" xfId="748"/>
    <cellStyle name="Normal 8 7 10" xfId="23347"/>
    <cellStyle name="Normal 8 7 2" xfId="1100"/>
    <cellStyle name="Normal 8 7 2 2" xfId="2414"/>
    <cellStyle name="Normal 8 7 2 2 2" xfId="5635"/>
    <cellStyle name="Normal 8 7 2 2 2 2" xfId="21735"/>
    <cellStyle name="Normal 8 7 2 2 2 2 2" xfId="44322"/>
    <cellStyle name="Normal 8 7 2 2 2 3" xfId="12075"/>
    <cellStyle name="Normal 8 7 2 2 2 3 2" xfId="34662"/>
    <cellStyle name="Normal 8 7 2 2 2 4" xfId="28222"/>
    <cellStyle name="Normal 8 7 2 2 3" xfId="18515"/>
    <cellStyle name="Normal 8 7 2 2 3 2" xfId="41102"/>
    <cellStyle name="Normal 8 7 2 2 4" xfId="15295"/>
    <cellStyle name="Normal 8 7 2 2 4 2" xfId="37882"/>
    <cellStyle name="Normal 8 7 2 2 5" xfId="8855"/>
    <cellStyle name="Normal 8 7 2 2 5 2" xfId="31442"/>
    <cellStyle name="Normal 8 7 2 2 6" xfId="25002"/>
    <cellStyle name="Normal 8 7 2 3" xfId="4327"/>
    <cellStyle name="Normal 8 7 2 3 2" xfId="20427"/>
    <cellStyle name="Normal 8 7 2 3 2 2" xfId="43014"/>
    <cellStyle name="Normal 8 7 2 3 3" xfId="10767"/>
    <cellStyle name="Normal 8 7 2 3 3 2" xfId="33354"/>
    <cellStyle name="Normal 8 7 2 3 4" xfId="26914"/>
    <cellStyle name="Normal 8 7 2 4" xfId="17207"/>
    <cellStyle name="Normal 8 7 2 4 2" xfId="39794"/>
    <cellStyle name="Normal 8 7 2 5" xfId="13987"/>
    <cellStyle name="Normal 8 7 2 5 2" xfId="36574"/>
    <cellStyle name="Normal 8 7 2 6" xfId="7547"/>
    <cellStyle name="Normal 8 7 2 6 2" xfId="30134"/>
    <cellStyle name="Normal 8 7 2 7" xfId="23694"/>
    <cellStyle name="Normal 8 7 3" xfId="1447"/>
    <cellStyle name="Normal 8 7 3 2" xfId="2761"/>
    <cellStyle name="Normal 8 7 3 2 2" xfId="5982"/>
    <cellStyle name="Normal 8 7 3 2 2 2" xfId="22082"/>
    <cellStyle name="Normal 8 7 3 2 2 2 2" xfId="44669"/>
    <cellStyle name="Normal 8 7 3 2 2 3" xfId="12422"/>
    <cellStyle name="Normal 8 7 3 2 2 3 2" xfId="35009"/>
    <cellStyle name="Normal 8 7 3 2 2 4" xfId="28569"/>
    <cellStyle name="Normal 8 7 3 2 3" xfId="18862"/>
    <cellStyle name="Normal 8 7 3 2 3 2" xfId="41449"/>
    <cellStyle name="Normal 8 7 3 2 4" xfId="15642"/>
    <cellStyle name="Normal 8 7 3 2 4 2" xfId="38229"/>
    <cellStyle name="Normal 8 7 3 2 5" xfId="9202"/>
    <cellStyle name="Normal 8 7 3 2 5 2" xfId="31789"/>
    <cellStyle name="Normal 8 7 3 2 6" xfId="25349"/>
    <cellStyle name="Normal 8 7 3 3" xfId="4674"/>
    <cellStyle name="Normal 8 7 3 3 2" xfId="20774"/>
    <cellStyle name="Normal 8 7 3 3 2 2" xfId="43361"/>
    <cellStyle name="Normal 8 7 3 3 3" xfId="11114"/>
    <cellStyle name="Normal 8 7 3 3 3 2" xfId="33701"/>
    <cellStyle name="Normal 8 7 3 3 4" xfId="27261"/>
    <cellStyle name="Normal 8 7 3 4" xfId="17554"/>
    <cellStyle name="Normal 8 7 3 4 2" xfId="40141"/>
    <cellStyle name="Normal 8 7 3 5" xfId="14334"/>
    <cellStyle name="Normal 8 7 3 5 2" xfId="36921"/>
    <cellStyle name="Normal 8 7 3 6" xfId="7894"/>
    <cellStyle name="Normal 8 7 3 6 2" xfId="30481"/>
    <cellStyle name="Normal 8 7 3 7" xfId="24041"/>
    <cellStyle name="Normal 8 7 4" xfId="1743"/>
    <cellStyle name="Normal 8 7 4 2" xfId="4966"/>
    <cellStyle name="Normal 8 7 4 2 2" xfId="21066"/>
    <cellStyle name="Normal 8 7 4 2 2 2" xfId="43653"/>
    <cellStyle name="Normal 8 7 4 2 3" xfId="11406"/>
    <cellStyle name="Normal 8 7 4 2 3 2" xfId="33993"/>
    <cellStyle name="Normal 8 7 4 2 4" xfId="27553"/>
    <cellStyle name="Normal 8 7 4 3" xfId="17846"/>
    <cellStyle name="Normal 8 7 4 3 2" xfId="40433"/>
    <cellStyle name="Normal 8 7 4 4" xfId="14626"/>
    <cellStyle name="Normal 8 7 4 4 2" xfId="37213"/>
    <cellStyle name="Normal 8 7 4 5" xfId="8186"/>
    <cellStyle name="Normal 8 7 4 5 2" xfId="30773"/>
    <cellStyle name="Normal 8 7 4 6" xfId="24333"/>
    <cellStyle name="Normal 8 7 5" xfId="2067"/>
    <cellStyle name="Normal 8 7 5 2" xfId="5288"/>
    <cellStyle name="Normal 8 7 5 2 2" xfId="21388"/>
    <cellStyle name="Normal 8 7 5 2 2 2" xfId="43975"/>
    <cellStyle name="Normal 8 7 5 2 3" xfId="11728"/>
    <cellStyle name="Normal 8 7 5 2 3 2" xfId="34315"/>
    <cellStyle name="Normal 8 7 5 2 4" xfId="27875"/>
    <cellStyle name="Normal 8 7 5 3" xfId="18168"/>
    <cellStyle name="Normal 8 7 5 3 2" xfId="40755"/>
    <cellStyle name="Normal 8 7 5 4" xfId="14948"/>
    <cellStyle name="Normal 8 7 5 4 2" xfId="37535"/>
    <cellStyle name="Normal 8 7 5 5" xfId="8508"/>
    <cellStyle name="Normal 8 7 5 5 2" xfId="31095"/>
    <cellStyle name="Normal 8 7 5 6" xfId="24655"/>
    <cellStyle name="Normal 8 7 6" xfId="3980"/>
    <cellStyle name="Normal 8 7 6 2" xfId="20080"/>
    <cellStyle name="Normal 8 7 6 2 2" xfId="42667"/>
    <cellStyle name="Normal 8 7 6 3" xfId="10420"/>
    <cellStyle name="Normal 8 7 6 3 2" xfId="33007"/>
    <cellStyle name="Normal 8 7 6 4" xfId="26567"/>
    <cellStyle name="Normal 8 7 7" xfId="16860"/>
    <cellStyle name="Normal 8 7 7 2" xfId="39447"/>
    <cellStyle name="Normal 8 7 8" xfId="13640"/>
    <cellStyle name="Normal 8 7 8 2" xfId="36227"/>
    <cellStyle name="Normal 8 7 9" xfId="7200"/>
    <cellStyle name="Normal 8 7 9 2" xfId="29787"/>
    <cellStyle name="Normal 8 8" xfId="842"/>
    <cellStyle name="Normal 8 8 2" xfId="2161"/>
    <cellStyle name="Normal 8 8 2 2" xfId="5382"/>
    <cellStyle name="Normal 8 8 2 2 2" xfId="21482"/>
    <cellStyle name="Normal 8 8 2 2 2 2" xfId="44069"/>
    <cellStyle name="Normal 8 8 2 2 3" xfId="11822"/>
    <cellStyle name="Normal 8 8 2 2 3 2" xfId="34409"/>
    <cellStyle name="Normal 8 8 2 2 4" xfId="27969"/>
    <cellStyle name="Normal 8 8 2 3" xfId="18262"/>
    <cellStyle name="Normal 8 8 2 3 2" xfId="40849"/>
    <cellStyle name="Normal 8 8 2 4" xfId="15042"/>
    <cellStyle name="Normal 8 8 2 4 2" xfId="37629"/>
    <cellStyle name="Normal 8 8 2 5" xfId="8602"/>
    <cellStyle name="Normal 8 8 2 5 2" xfId="31189"/>
    <cellStyle name="Normal 8 8 2 6" xfId="24749"/>
    <cellStyle name="Normal 8 8 3" xfId="4074"/>
    <cellStyle name="Normal 8 8 3 2" xfId="20174"/>
    <cellStyle name="Normal 8 8 3 2 2" xfId="42761"/>
    <cellStyle name="Normal 8 8 3 3" xfId="10514"/>
    <cellStyle name="Normal 8 8 3 3 2" xfId="33101"/>
    <cellStyle name="Normal 8 8 3 4" xfId="26661"/>
    <cellStyle name="Normal 8 8 4" xfId="16954"/>
    <cellStyle name="Normal 8 8 4 2" xfId="39541"/>
    <cellStyle name="Normal 8 8 5" xfId="13734"/>
    <cellStyle name="Normal 8 8 5 2" xfId="36321"/>
    <cellStyle name="Normal 8 8 6" xfId="7294"/>
    <cellStyle name="Normal 8 8 6 2" xfId="29881"/>
    <cellStyle name="Normal 8 8 7" xfId="23441"/>
    <cellStyle name="Normal 8 9" xfId="1194"/>
    <cellStyle name="Normal 8 9 2" xfId="2508"/>
    <cellStyle name="Normal 8 9 2 2" xfId="5729"/>
    <cellStyle name="Normal 8 9 2 2 2" xfId="21829"/>
    <cellStyle name="Normal 8 9 2 2 2 2" xfId="44416"/>
    <cellStyle name="Normal 8 9 2 2 3" xfId="12169"/>
    <cellStyle name="Normal 8 9 2 2 3 2" xfId="34756"/>
    <cellStyle name="Normal 8 9 2 2 4" xfId="28316"/>
    <cellStyle name="Normal 8 9 2 3" xfId="18609"/>
    <cellStyle name="Normal 8 9 2 3 2" xfId="41196"/>
    <cellStyle name="Normal 8 9 2 4" xfId="15389"/>
    <cellStyle name="Normal 8 9 2 4 2" xfId="37976"/>
    <cellStyle name="Normal 8 9 2 5" xfId="8949"/>
    <cellStyle name="Normal 8 9 2 5 2" xfId="31536"/>
    <cellStyle name="Normal 8 9 2 6" xfId="25096"/>
    <cellStyle name="Normal 8 9 3" xfId="4421"/>
    <cellStyle name="Normal 8 9 3 2" xfId="20521"/>
    <cellStyle name="Normal 8 9 3 2 2" xfId="43108"/>
    <cellStyle name="Normal 8 9 3 3" xfId="10861"/>
    <cellStyle name="Normal 8 9 3 3 2" xfId="33448"/>
    <cellStyle name="Normal 8 9 3 4" xfId="27008"/>
    <cellStyle name="Normal 8 9 4" xfId="17301"/>
    <cellStyle name="Normal 8 9 4 2" xfId="39888"/>
    <cellStyle name="Normal 8 9 5" xfId="14081"/>
    <cellStyle name="Normal 8 9 5 2" xfId="36668"/>
    <cellStyle name="Normal 8 9 6" xfId="7641"/>
    <cellStyle name="Normal 8 9 6 2" xfId="30228"/>
    <cellStyle name="Normal 8 9 7" xfId="23788"/>
    <cellStyle name="Normal 9" xfId="103"/>
    <cellStyle name="Normal 9 10" xfId="1744"/>
    <cellStyle name="Normal 9 10 2" xfId="4967"/>
    <cellStyle name="Normal 9 10 2 2" xfId="21067"/>
    <cellStyle name="Normal 9 10 2 2 2" xfId="43654"/>
    <cellStyle name="Normal 9 10 2 3" xfId="11407"/>
    <cellStyle name="Normal 9 10 2 3 2" xfId="33994"/>
    <cellStyle name="Normal 9 10 2 4" xfId="27554"/>
    <cellStyle name="Normal 9 10 3" xfId="17847"/>
    <cellStyle name="Normal 9 10 3 2" xfId="40434"/>
    <cellStyle name="Normal 9 10 4" xfId="14627"/>
    <cellStyle name="Normal 9 10 4 2" xfId="37214"/>
    <cellStyle name="Normal 9 10 5" xfId="8187"/>
    <cellStyle name="Normal 9 10 5 2" xfId="30774"/>
    <cellStyle name="Normal 9 10 6" xfId="24334"/>
    <cellStyle name="Normal 9 11" xfId="1818"/>
    <cellStyle name="Normal 9 11 2" xfId="5040"/>
    <cellStyle name="Normal 9 11 2 2" xfId="21140"/>
    <cellStyle name="Normal 9 11 2 2 2" xfId="43727"/>
    <cellStyle name="Normal 9 11 2 3" xfId="11480"/>
    <cellStyle name="Normal 9 11 2 3 2" xfId="34067"/>
    <cellStyle name="Normal 9 11 2 4" xfId="27627"/>
    <cellStyle name="Normal 9 11 3" xfId="17920"/>
    <cellStyle name="Normal 9 11 3 2" xfId="40507"/>
    <cellStyle name="Normal 9 11 4" xfId="14700"/>
    <cellStyle name="Normal 9 11 4 2" xfId="37287"/>
    <cellStyle name="Normal 9 11 5" xfId="8260"/>
    <cellStyle name="Normal 9 11 5 2" xfId="30847"/>
    <cellStyle name="Normal 9 11 6" xfId="24407"/>
    <cellStyle name="Normal 9 12" xfId="2861"/>
    <cellStyle name="Normal 9 12 2" xfId="6082"/>
    <cellStyle name="Normal 9 12 2 2" xfId="22182"/>
    <cellStyle name="Normal 9 12 2 2 2" xfId="44769"/>
    <cellStyle name="Normal 9 12 2 3" xfId="12522"/>
    <cellStyle name="Normal 9 12 2 3 2" xfId="35109"/>
    <cellStyle name="Normal 9 12 2 4" xfId="28669"/>
    <cellStyle name="Normal 9 12 3" xfId="18962"/>
    <cellStyle name="Normal 9 12 3 2" xfId="41549"/>
    <cellStyle name="Normal 9 12 4" xfId="15742"/>
    <cellStyle name="Normal 9 12 4 2" xfId="38329"/>
    <cellStyle name="Normal 9 12 5" xfId="9302"/>
    <cellStyle name="Normal 9 12 5 2" xfId="31889"/>
    <cellStyle name="Normal 9 12 6" xfId="25449"/>
    <cellStyle name="Normal 9 13" xfId="3152"/>
    <cellStyle name="Normal 9 13 2" xfId="6372"/>
    <cellStyle name="Normal 9 13 2 2" xfId="22472"/>
    <cellStyle name="Normal 9 13 2 2 2" xfId="45059"/>
    <cellStyle name="Normal 9 13 2 3" xfId="12812"/>
    <cellStyle name="Normal 9 13 2 3 2" xfId="35399"/>
    <cellStyle name="Normal 9 13 2 4" xfId="28959"/>
    <cellStyle name="Normal 9 13 3" xfId="19252"/>
    <cellStyle name="Normal 9 13 3 2" xfId="41839"/>
    <cellStyle name="Normal 9 13 4" xfId="16032"/>
    <cellStyle name="Normal 9 13 4 2" xfId="38619"/>
    <cellStyle name="Normal 9 13 5" xfId="9592"/>
    <cellStyle name="Normal 9 13 5 2" xfId="32179"/>
    <cellStyle name="Normal 9 13 6" xfId="25739"/>
    <cellStyle name="Normal 9 14" xfId="445"/>
    <cellStyle name="Normal 9 14 2" xfId="3732"/>
    <cellStyle name="Normal 9 14 2 2" xfId="19832"/>
    <cellStyle name="Normal 9 14 2 2 2" xfId="42419"/>
    <cellStyle name="Normal 9 14 2 3" xfId="10172"/>
    <cellStyle name="Normal 9 14 2 3 2" xfId="32759"/>
    <cellStyle name="Normal 9 14 2 4" xfId="26319"/>
    <cellStyle name="Normal 9 14 3" xfId="16612"/>
    <cellStyle name="Normal 9 14 3 2" xfId="39199"/>
    <cellStyle name="Normal 9 14 4" xfId="13392"/>
    <cellStyle name="Normal 9 14 4 2" xfId="35979"/>
    <cellStyle name="Normal 9 14 5" xfId="6952"/>
    <cellStyle name="Normal 9 14 5 2" xfId="29539"/>
    <cellStyle name="Normal 9 14 6" xfId="23099"/>
    <cellStyle name="Normal 9 15" xfId="3442"/>
    <cellStyle name="Normal 9 15 2" xfId="19542"/>
    <cellStyle name="Normal 9 15 2 2" xfId="42129"/>
    <cellStyle name="Normal 9 15 3" xfId="9882"/>
    <cellStyle name="Normal 9 15 3 2" xfId="32469"/>
    <cellStyle name="Normal 9 15 4" xfId="26029"/>
    <cellStyle name="Normal 9 16" xfId="16322"/>
    <cellStyle name="Normal 9 16 2" xfId="38909"/>
    <cellStyle name="Normal 9 17" xfId="13102"/>
    <cellStyle name="Normal 9 17 2" xfId="35689"/>
    <cellStyle name="Normal 9 18" xfId="6662"/>
    <cellStyle name="Normal 9 18 2" xfId="29249"/>
    <cellStyle name="Normal 9 19" xfId="22809"/>
    <cellStyle name="Normal 9 2" xfId="121"/>
    <cellStyle name="Normal 9 2 10" xfId="2877"/>
    <cellStyle name="Normal 9 2 10 2" xfId="6098"/>
    <cellStyle name="Normal 9 2 10 2 2" xfId="22198"/>
    <cellStyle name="Normal 9 2 10 2 2 2" xfId="44785"/>
    <cellStyle name="Normal 9 2 10 2 3" xfId="12538"/>
    <cellStyle name="Normal 9 2 10 2 3 2" xfId="35125"/>
    <cellStyle name="Normal 9 2 10 2 4" xfId="28685"/>
    <cellStyle name="Normal 9 2 10 3" xfId="18978"/>
    <cellStyle name="Normal 9 2 10 3 2" xfId="41565"/>
    <cellStyle name="Normal 9 2 10 4" xfId="15758"/>
    <cellStyle name="Normal 9 2 10 4 2" xfId="38345"/>
    <cellStyle name="Normal 9 2 10 5" xfId="9318"/>
    <cellStyle name="Normal 9 2 10 5 2" xfId="31905"/>
    <cellStyle name="Normal 9 2 10 6" xfId="25465"/>
    <cellStyle name="Normal 9 2 11" xfId="3168"/>
    <cellStyle name="Normal 9 2 11 2" xfId="6388"/>
    <cellStyle name="Normal 9 2 11 2 2" xfId="22488"/>
    <cellStyle name="Normal 9 2 11 2 2 2" xfId="45075"/>
    <cellStyle name="Normal 9 2 11 2 3" xfId="12828"/>
    <cellStyle name="Normal 9 2 11 2 3 2" xfId="35415"/>
    <cellStyle name="Normal 9 2 11 2 4" xfId="28975"/>
    <cellStyle name="Normal 9 2 11 3" xfId="19268"/>
    <cellStyle name="Normal 9 2 11 3 2" xfId="41855"/>
    <cellStyle name="Normal 9 2 11 4" xfId="16048"/>
    <cellStyle name="Normal 9 2 11 4 2" xfId="38635"/>
    <cellStyle name="Normal 9 2 11 5" xfId="9608"/>
    <cellStyle name="Normal 9 2 11 5 2" xfId="32195"/>
    <cellStyle name="Normal 9 2 11 6" xfId="25755"/>
    <cellStyle name="Normal 9 2 12" xfId="461"/>
    <cellStyle name="Normal 9 2 12 2" xfId="3748"/>
    <cellStyle name="Normal 9 2 12 2 2" xfId="19848"/>
    <cellStyle name="Normal 9 2 12 2 2 2" xfId="42435"/>
    <cellStyle name="Normal 9 2 12 2 3" xfId="10188"/>
    <cellStyle name="Normal 9 2 12 2 3 2" xfId="32775"/>
    <cellStyle name="Normal 9 2 12 2 4" xfId="26335"/>
    <cellStyle name="Normal 9 2 12 3" xfId="16628"/>
    <cellStyle name="Normal 9 2 12 3 2" xfId="39215"/>
    <cellStyle name="Normal 9 2 12 4" xfId="13408"/>
    <cellStyle name="Normal 9 2 12 4 2" xfId="35995"/>
    <cellStyle name="Normal 9 2 12 5" xfId="6968"/>
    <cellStyle name="Normal 9 2 12 5 2" xfId="29555"/>
    <cellStyle name="Normal 9 2 12 6" xfId="23115"/>
    <cellStyle name="Normal 9 2 13" xfId="3458"/>
    <cellStyle name="Normal 9 2 13 2" xfId="19558"/>
    <cellStyle name="Normal 9 2 13 2 2" xfId="42145"/>
    <cellStyle name="Normal 9 2 13 3" xfId="9898"/>
    <cellStyle name="Normal 9 2 13 3 2" xfId="32485"/>
    <cellStyle name="Normal 9 2 13 4" xfId="26045"/>
    <cellStyle name="Normal 9 2 14" xfId="16338"/>
    <cellStyle name="Normal 9 2 14 2" xfId="38925"/>
    <cellStyle name="Normal 9 2 15" xfId="13118"/>
    <cellStyle name="Normal 9 2 15 2" xfId="35705"/>
    <cellStyle name="Normal 9 2 16" xfId="6678"/>
    <cellStyle name="Normal 9 2 16 2" xfId="29265"/>
    <cellStyle name="Normal 9 2 17" xfId="22825"/>
    <cellStyle name="Normal 9 2 2" xfId="206"/>
    <cellStyle name="Normal 9 2 2 10" xfId="498"/>
    <cellStyle name="Normal 9 2 2 10 2" xfId="3785"/>
    <cellStyle name="Normal 9 2 2 10 2 2" xfId="19885"/>
    <cellStyle name="Normal 9 2 2 10 2 2 2" xfId="42472"/>
    <cellStyle name="Normal 9 2 2 10 2 3" xfId="10225"/>
    <cellStyle name="Normal 9 2 2 10 2 3 2" xfId="32812"/>
    <cellStyle name="Normal 9 2 2 10 2 4" xfId="26372"/>
    <cellStyle name="Normal 9 2 2 10 3" xfId="16665"/>
    <cellStyle name="Normal 9 2 2 10 3 2" xfId="39252"/>
    <cellStyle name="Normal 9 2 2 10 4" xfId="13445"/>
    <cellStyle name="Normal 9 2 2 10 4 2" xfId="36032"/>
    <cellStyle name="Normal 9 2 2 10 5" xfId="7005"/>
    <cellStyle name="Normal 9 2 2 10 5 2" xfId="29592"/>
    <cellStyle name="Normal 9 2 2 10 6" xfId="23152"/>
    <cellStyle name="Normal 9 2 2 11" xfId="3495"/>
    <cellStyle name="Normal 9 2 2 11 2" xfId="19595"/>
    <cellStyle name="Normal 9 2 2 11 2 2" xfId="42182"/>
    <cellStyle name="Normal 9 2 2 11 3" xfId="9935"/>
    <cellStyle name="Normal 9 2 2 11 3 2" xfId="32522"/>
    <cellStyle name="Normal 9 2 2 11 4" xfId="26082"/>
    <cellStyle name="Normal 9 2 2 12" xfId="16375"/>
    <cellStyle name="Normal 9 2 2 12 2" xfId="38962"/>
    <cellStyle name="Normal 9 2 2 13" xfId="13155"/>
    <cellStyle name="Normal 9 2 2 13 2" xfId="35742"/>
    <cellStyle name="Normal 9 2 2 14" xfId="6715"/>
    <cellStyle name="Normal 9 2 2 14 2" xfId="29302"/>
    <cellStyle name="Normal 9 2 2 15" xfId="22862"/>
    <cellStyle name="Normal 9 2 2 2" xfId="305"/>
    <cellStyle name="Normal 9 2 2 2 10" xfId="16472"/>
    <cellStyle name="Normal 9 2 2 2 10 2" xfId="39059"/>
    <cellStyle name="Normal 9 2 2 2 11" xfId="13252"/>
    <cellStyle name="Normal 9 2 2 2 11 2" xfId="35839"/>
    <cellStyle name="Normal 9 2 2 2 12" xfId="6812"/>
    <cellStyle name="Normal 9 2 2 2 12 2" xfId="29399"/>
    <cellStyle name="Normal 9 2 2 2 13" xfId="22959"/>
    <cellStyle name="Normal 9 2 2 2 2" xfId="1024"/>
    <cellStyle name="Normal 9 2 2 2 2 2" xfId="2338"/>
    <cellStyle name="Normal 9 2 2 2 2 2 2" xfId="5559"/>
    <cellStyle name="Normal 9 2 2 2 2 2 2 2" xfId="21659"/>
    <cellStyle name="Normal 9 2 2 2 2 2 2 2 2" xfId="44246"/>
    <cellStyle name="Normal 9 2 2 2 2 2 2 3" xfId="11999"/>
    <cellStyle name="Normal 9 2 2 2 2 2 2 3 2" xfId="34586"/>
    <cellStyle name="Normal 9 2 2 2 2 2 2 4" xfId="28146"/>
    <cellStyle name="Normal 9 2 2 2 2 2 3" xfId="18439"/>
    <cellStyle name="Normal 9 2 2 2 2 2 3 2" xfId="41026"/>
    <cellStyle name="Normal 9 2 2 2 2 2 4" xfId="15219"/>
    <cellStyle name="Normal 9 2 2 2 2 2 4 2" xfId="37806"/>
    <cellStyle name="Normal 9 2 2 2 2 2 5" xfId="8779"/>
    <cellStyle name="Normal 9 2 2 2 2 2 5 2" xfId="31366"/>
    <cellStyle name="Normal 9 2 2 2 2 2 6" xfId="24926"/>
    <cellStyle name="Normal 9 2 2 2 2 3" xfId="4251"/>
    <cellStyle name="Normal 9 2 2 2 2 3 2" xfId="20351"/>
    <cellStyle name="Normal 9 2 2 2 2 3 2 2" xfId="42938"/>
    <cellStyle name="Normal 9 2 2 2 2 3 3" xfId="10691"/>
    <cellStyle name="Normal 9 2 2 2 2 3 3 2" xfId="33278"/>
    <cellStyle name="Normal 9 2 2 2 2 3 4" xfId="26838"/>
    <cellStyle name="Normal 9 2 2 2 2 4" xfId="17131"/>
    <cellStyle name="Normal 9 2 2 2 2 4 2" xfId="39718"/>
    <cellStyle name="Normal 9 2 2 2 2 5" xfId="13911"/>
    <cellStyle name="Normal 9 2 2 2 2 5 2" xfId="36498"/>
    <cellStyle name="Normal 9 2 2 2 2 6" xfId="7471"/>
    <cellStyle name="Normal 9 2 2 2 2 6 2" xfId="30058"/>
    <cellStyle name="Normal 9 2 2 2 2 7" xfId="23618"/>
    <cellStyle name="Normal 9 2 2 2 3" xfId="1371"/>
    <cellStyle name="Normal 9 2 2 2 3 2" xfId="2685"/>
    <cellStyle name="Normal 9 2 2 2 3 2 2" xfId="5906"/>
    <cellStyle name="Normal 9 2 2 2 3 2 2 2" xfId="22006"/>
    <cellStyle name="Normal 9 2 2 2 3 2 2 2 2" xfId="44593"/>
    <cellStyle name="Normal 9 2 2 2 3 2 2 3" xfId="12346"/>
    <cellStyle name="Normal 9 2 2 2 3 2 2 3 2" xfId="34933"/>
    <cellStyle name="Normal 9 2 2 2 3 2 2 4" xfId="28493"/>
    <cellStyle name="Normal 9 2 2 2 3 2 3" xfId="18786"/>
    <cellStyle name="Normal 9 2 2 2 3 2 3 2" xfId="41373"/>
    <cellStyle name="Normal 9 2 2 2 3 2 4" xfId="15566"/>
    <cellStyle name="Normal 9 2 2 2 3 2 4 2" xfId="38153"/>
    <cellStyle name="Normal 9 2 2 2 3 2 5" xfId="9126"/>
    <cellStyle name="Normal 9 2 2 2 3 2 5 2" xfId="31713"/>
    <cellStyle name="Normal 9 2 2 2 3 2 6" xfId="25273"/>
    <cellStyle name="Normal 9 2 2 2 3 3" xfId="4598"/>
    <cellStyle name="Normal 9 2 2 2 3 3 2" xfId="20698"/>
    <cellStyle name="Normal 9 2 2 2 3 3 2 2" xfId="43285"/>
    <cellStyle name="Normal 9 2 2 2 3 3 3" xfId="11038"/>
    <cellStyle name="Normal 9 2 2 2 3 3 3 2" xfId="33625"/>
    <cellStyle name="Normal 9 2 2 2 3 3 4" xfId="27185"/>
    <cellStyle name="Normal 9 2 2 2 3 4" xfId="17478"/>
    <cellStyle name="Normal 9 2 2 2 3 4 2" xfId="40065"/>
    <cellStyle name="Normal 9 2 2 2 3 5" xfId="14258"/>
    <cellStyle name="Normal 9 2 2 2 3 5 2" xfId="36845"/>
    <cellStyle name="Normal 9 2 2 2 3 6" xfId="7818"/>
    <cellStyle name="Normal 9 2 2 2 3 6 2" xfId="30405"/>
    <cellStyle name="Normal 9 2 2 2 3 7" xfId="23965"/>
    <cellStyle name="Normal 9 2 2 2 4" xfId="1745"/>
    <cellStyle name="Normal 9 2 2 2 4 2" xfId="4968"/>
    <cellStyle name="Normal 9 2 2 2 4 2 2" xfId="21068"/>
    <cellStyle name="Normal 9 2 2 2 4 2 2 2" xfId="43655"/>
    <cellStyle name="Normal 9 2 2 2 4 2 3" xfId="11408"/>
    <cellStyle name="Normal 9 2 2 2 4 2 3 2" xfId="33995"/>
    <cellStyle name="Normal 9 2 2 2 4 2 4" xfId="27555"/>
    <cellStyle name="Normal 9 2 2 2 4 3" xfId="17848"/>
    <cellStyle name="Normal 9 2 2 2 4 3 2" xfId="40435"/>
    <cellStyle name="Normal 9 2 2 2 4 4" xfId="14628"/>
    <cellStyle name="Normal 9 2 2 2 4 4 2" xfId="37215"/>
    <cellStyle name="Normal 9 2 2 2 4 5" xfId="8188"/>
    <cellStyle name="Normal 9 2 2 2 4 5 2" xfId="30775"/>
    <cellStyle name="Normal 9 2 2 2 4 6" xfId="24335"/>
    <cellStyle name="Normal 9 2 2 2 5" xfId="1990"/>
    <cellStyle name="Normal 9 2 2 2 5 2" xfId="5212"/>
    <cellStyle name="Normal 9 2 2 2 5 2 2" xfId="21312"/>
    <cellStyle name="Normal 9 2 2 2 5 2 2 2" xfId="43899"/>
    <cellStyle name="Normal 9 2 2 2 5 2 3" xfId="11652"/>
    <cellStyle name="Normal 9 2 2 2 5 2 3 2" xfId="34239"/>
    <cellStyle name="Normal 9 2 2 2 5 2 4" xfId="27799"/>
    <cellStyle name="Normal 9 2 2 2 5 3" xfId="18092"/>
    <cellStyle name="Normal 9 2 2 2 5 3 2" xfId="40679"/>
    <cellStyle name="Normal 9 2 2 2 5 4" xfId="14872"/>
    <cellStyle name="Normal 9 2 2 2 5 4 2" xfId="37459"/>
    <cellStyle name="Normal 9 2 2 2 5 5" xfId="8432"/>
    <cellStyle name="Normal 9 2 2 2 5 5 2" xfId="31019"/>
    <cellStyle name="Normal 9 2 2 2 5 6" xfId="24579"/>
    <cellStyle name="Normal 9 2 2 2 6" xfId="3012"/>
    <cellStyle name="Normal 9 2 2 2 6 2" xfId="6232"/>
    <cellStyle name="Normal 9 2 2 2 6 2 2" xfId="22332"/>
    <cellStyle name="Normal 9 2 2 2 6 2 2 2" xfId="44919"/>
    <cellStyle name="Normal 9 2 2 2 6 2 3" xfId="12672"/>
    <cellStyle name="Normal 9 2 2 2 6 2 3 2" xfId="35259"/>
    <cellStyle name="Normal 9 2 2 2 6 2 4" xfId="28819"/>
    <cellStyle name="Normal 9 2 2 2 6 3" xfId="19112"/>
    <cellStyle name="Normal 9 2 2 2 6 3 2" xfId="41699"/>
    <cellStyle name="Normal 9 2 2 2 6 4" xfId="15892"/>
    <cellStyle name="Normal 9 2 2 2 6 4 2" xfId="38479"/>
    <cellStyle name="Normal 9 2 2 2 6 5" xfId="9452"/>
    <cellStyle name="Normal 9 2 2 2 6 5 2" xfId="32039"/>
    <cellStyle name="Normal 9 2 2 2 6 6" xfId="25599"/>
    <cellStyle name="Normal 9 2 2 2 7" xfId="3302"/>
    <cellStyle name="Normal 9 2 2 2 7 2" xfId="6522"/>
    <cellStyle name="Normal 9 2 2 2 7 2 2" xfId="22622"/>
    <cellStyle name="Normal 9 2 2 2 7 2 2 2" xfId="45209"/>
    <cellStyle name="Normal 9 2 2 2 7 2 3" xfId="12962"/>
    <cellStyle name="Normal 9 2 2 2 7 2 3 2" xfId="35549"/>
    <cellStyle name="Normal 9 2 2 2 7 2 4" xfId="29109"/>
    <cellStyle name="Normal 9 2 2 2 7 3" xfId="19402"/>
    <cellStyle name="Normal 9 2 2 2 7 3 2" xfId="41989"/>
    <cellStyle name="Normal 9 2 2 2 7 4" xfId="16182"/>
    <cellStyle name="Normal 9 2 2 2 7 4 2" xfId="38769"/>
    <cellStyle name="Normal 9 2 2 2 7 5" xfId="9742"/>
    <cellStyle name="Normal 9 2 2 2 7 5 2" xfId="32329"/>
    <cellStyle name="Normal 9 2 2 2 7 6" xfId="25889"/>
    <cellStyle name="Normal 9 2 2 2 8" xfId="660"/>
    <cellStyle name="Normal 9 2 2 2 8 2" xfId="3904"/>
    <cellStyle name="Normal 9 2 2 2 8 2 2" xfId="20004"/>
    <cellStyle name="Normal 9 2 2 2 8 2 2 2" xfId="42591"/>
    <cellStyle name="Normal 9 2 2 2 8 2 3" xfId="10344"/>
    <cellStyle name="Normal 9 2 2 2 8 2 3 2" xfId="32931"/>
    <cellStyle name="Normal 9 2 2 2 8 2 4" xfId="26491"/>
    <cellStyle name="Normal 9 2 2 2 8 3" xfId="16784"/>
    <cellStyle name="Normal 9 2 2 2 8 3 2" xfId="39371"/>
    <cellStyle name="Normal 9 2 2 2 8 4" xfId="13564"/>
    <cellStyle name="Normal 9 2 2 2 8 4 2" xfId="36151"/>
    <cellStyle name="Normal 9 2 2 2 8 5" xfId="7124"/>
    <cellStyle name="Normal 9 2 2 2 8 5 2" xfId="29711"/>
    <cellStyle name="Normal 9 2 2 2 8 6" xfId="23271"/>
    <cellStyle name="Normal 9 2 2 2 9" xfId="3592"/>
    <cellStyle name="Normal 9 2 2 2 9 2" xfId="19692"/>
    <cellStyle name="Normal 9 2 2 2 9 2 2" xfId="42279"/>
    <cellStyle name="Normal 9 2 2 2 9 3" xfId="10032"/>
    <cellStyle name="Normal 9 2 2 2 9 3 2" xfId="32619"/>
    <cellStyle name="Normal 9 2 2 2 9 4" xfId="26179"/>
    <cellStyle name="Normal 9 2 2 3" xfId="401"/>
    <cellStyle name="Normal 9 2 2 3 10" xfId="16568"/>
    <cellStyle name="Normal 9 2 2 3 10 2" xfId="39155"/>
    <cellStyle name="Normal 9 2 2 3 11" xfId="13348"/>
    <cellStyle name="Normal 9 2 2 3 11 2" xfId="35935"/>
    <cellStyle name="Normal 9 2 2 3 12" xfId="6908"/>
    <cellStyle name="Normal 9 2 2 3 12 2" xfId="29495"/>
    <cellStyle name="Normal 9 2 2 3 13" xfId="23055"/>
    <cellStyle name="Normal 9 2 2 3 2" xfId="1183"/>
    <cellStyle name="Normal 9 2 2 3 2 2" xfId="2497"/>
    <cellStyle name="Normal 9 2 2 3 2 2 2" xfId="5718"/>
    <cellStyle name="Normal 9 2 2 3 2 2 2 2" xfId="21818"/>
    <cellStyle name="Normal 9 2 2 3 2 2 2 2 2" xfId="44405"/>
    <cellStyle name="Normal 9 2 2 3 2 2 2 3" xfId="12158"/>
    <cellStyle name="Normal 9 2 2 3 2 2 2 3 2" xfId="34745"/>
    <cellStyle name="Normal 9 2 2 3 2 2 2 4" xfId="28305"/>
    <cellStyle name="Normal 9 2 2 3 2 2 3" xfId="18598"/>
    <cellStyle name="Normal 9 2 2 3 2 2 3 2" xfId="41185"/>
    <cellStyle name="Normal 9 2 2 3 2 2 4" xfId="15378"/>
    <cellStyle name="Normal 9 2 2 3 2 2 4 2" xfId="37965"/>
    <cellStyle name="Normal 9 2 2 3 2 2 5" xfId="8938"/>
    <cellStyle name="Normal 9 2 2 3 2 2 5 2" xfId="31525"/>
    <cellStyle name="Normal 9 2 2 3 2 2 6" xfId="25085"/>
    <cellStyle name="Normal 9 2 2 3 2 3" xfId="4410"/>
    <cellStyle name="Normal 9 2 2 3 2 3 2" xfId="20510"/>
    <cellStyle name="Normal 9 2 2 3 2 3 2 2" xfId="43097"/>
    <cellStyle name="Normal 9 2 2 3 2 3 3" xfId="10850"/>
    <cellStyle name="Normal 9 2 2 3 2 3 3 2" xfId="33437"/>
    <cellStyle name="Normal 9 2 2 3 2 3 4" xfId="26997"/>
    <cellStyle name="Normal 9 2 2 3 2 4" xfId="17290"/>
    <cellStyle name="Normal 9 2 2 3 2 4 2" xfId="39877"/>
    <cellStyle name="Normal 9 2 2 3 2 5" xfId="14070"/>
    <cellStyle name="Normal 9 2 2 3 2 5 2" xfId="36657"/>
    <cellStyle name="Normal 9 2 2 3 2 6" xfId="7630"/>
    <cellStyle name="Normal 9 2 2 3 2 6 2" xfId="30217"/>
    <cellStyle name="Normal 9 2 2 3 2 7" xfId="23777"/>
    <cellStyle name="Normal 9 2 2 3 3" xfId="1530"/>
    <cellStyle name="Normal 9 2 2 3 3 2" xfId="2844"/>
    <cellStyle name="Normal 9 2 2 3 3 2 2" xfId="6065"/>
    <cellStyle name="Normal 9 2 2 3 3 2 2 2" xfId="22165"/>
    <cellStyle name="Normal 9 2 2 3 3 2 2 2 2" xfId="44752"/>
    <cellStyle name="Normal 9 2 2 3 3 2 2 3" xfId="12505"/>
    <cellStyle name="Normal 9 2 2 3 3 2 2 3 2" xfId="35092"/>
    <cellStyle name="Normal 9 2 2 3 3 2 2 4" xfId="28652"/>
    <cellStyle name="Normal 9 2 2 3 3 2 3" xfId="18945"/>
    <cellStyle name="Normal 9 2 2 3 3 2 3 2" xfId="41532"/>
    <cellStyle name="Normal 9 2 2 3 3 2 4" xfId="15725"/>
    <cellStyle name="Normal 9 2 2 3 3 2 4 2" xfId="38312"/>
    <cellStyle name="Normal 9 2 2 3 3 2 5" xfId="9285"/>
    <cellStyle name="Normal 9 2 2 3 3 2 5 2" xfId="31872"/>
    <cellStyle name="Normal 9 2 2 3 3 2 6" xfId="25432"/>
    <cellStyle name="Normal 9 2 2 3 3 3" xfId="4757"/>
    <cellStyle name="Normal 9 2 2 3 3 3 2" xfId="20857"/>
    <cellStyle name="Normal 9 2 2 3 3 3 2 2" xfId="43444"/>
    <cellStyle name="Normal 9 2 2 3 3 3 3" xfId="11197"/>
    <cellStyle name="Normal 9 2 2 3 3 3 3 2" xfId="33784"/>
    <cellStyle name="Normal 9 2 2 3 3 3 4" xfId="27344"/>
    <cellStyle name="Normal 9 2 2 3 3 4" xfId="17637"/>
    <cellStyle name="Normal 9 2 2 3 3 4 2" xfId="40224"/>
    <cellStyle name="Normal 9 2 2 3 3 5" xfId="14417"/>
    <cellStyle name="Normal 9 2 2 3 3 5 2" xfId="37004"/>
    <cellStyle name="Normal 9 2 2 3 3 6" xfId="7977"/>
    <cellStyle name="Normal 9 2 2 3 3 6 2" xfId="30564"/>
    <cellStyle name="Normal 9 2 2 3 3 7" xfId="24124"/>
    <cellStyle name="Normal 9 2 2 3 4" xfId="1746"/>
    <cellStyle name="Normal 9 2 2 3 4 2" xfId="4969"/>
    <cellStyle name="Normal 9 2 2 3 4 2 2" xfId="21069"/>
    <cellStyle name="Normal 9 2 2 3 4 2 2 2" xfId="43656"/>
    <cellStyle name="Normal 9 2 2 3 4 2 3" xfId="11409"/>
    <cellStyle name="Normal 9 2 2 3 4 2 3 2" xfId="33996"/>
    <cellStyle name="Normal 9 2 2 3 4 2 4" xfId="27556"/>
    <cellStyle name="Normal 9 2 2 3 4 3" xfId="17849"/>
    <cellStyle name="Normal 9 2 2 3 4 3 2" xfId="40436"/>
    <cellStyle name="Normal 9 2 2 3 4 4" xfId="14629"/>
    <cellStyle name="Normal 9 2 2 3 4 4 2" xfId="37216"/>
    <cellStyle name="Normal 9 2 2 3 4 5" xfId="8189"/>
    <cellStyle name="Normal 9 2 2 3 4 5 2" xfId="30776"/>
    <cellStyle name="Normal 9 2 2 3 4 6" xfId="24336"/>
    <cellStyle name="Normal 9 2 2 3 5" xfId="2150"/>
    <cellStyle name="Normal 9 2 2 3 5 2" xfId="5371"/>
    <cellStyle name="Normal 9 2 2 3 5 2 2" xfId="21471"/>
    <cellStyle name="Normal 9 2 2 3 5 2 2 2" xfId="44058"/>
    <cellStyle name="Normal 9 2 2 3 5 2 3" xfId="11811"/>
    <cellStyle name="Normal 9 2 2 3 5 2 3 2" xfId="34398"/>
    <cellStyle name="Normal 9 2 2 3 5 2 4" xfId="27958"/>
    <cellStyle name="Normal 9 2 2 3 5 3" xfId="18251"/>
    <cellStyle name="Normal 9 2 2 3 5 3 2" xfId="40838"/>
    <cellStyle name="Normal 9 2 2 3 5 4" xfId="15031"/>
    <cellStyle name="Normal 9 2 2 3 5 4 2" xfId="37618"/>
    <cellStyle name="Normal 9 2 2 3 5 5" xfId="8591"/>
    <cellStyle name="Normal 9 2 2 3 5 5 2" xfId="31178"/>
    <cellStyle name="Normal 9 2 2 3 5 6" xfId="24738"/>
    <cellStyle name="Normal 9 2 2 3 6" xfId="3108"/>
    <cellStyle name="Normal 9 2 2 3 6 2" xfId="6328"/>
    <cellStyle name="Normal 9 2 2 3 6 2 2" xfId="22428"/>
    <cellStyle name="Normal 9 2 2 3 6 2 2 2" xfId="45015"/>
    <cellStyle name="Normal 9 2 2 3 6 2 3" xfId="12768"/>
    <cellStyle name="Normal 9 2 2 3 6 2 3 2" xfId="35355"/>
    <cellStyle name="Normal 9 2 2 3 6 2 4" xfId="28915"/>
    <cellStyle name="Normal 9 2 2 3 6 3" xfId="19208"/>
    <cellStyle name="Normal 9 2 2 3 6 3 2" xfId="41795"/>
    <cellStyle name="Normal 9 2 2 3 6 4" xfId="15988"/>
    <cellStyle name="Normal 9 2 2 3 6 4 2" xfId="38575"/>
    <cellStyle name="Normal 9 2 2 3 6 5" xfId="9548"/>
    <cellStyle name="Normal 9 2 2 3 6 5 2" xfId="32135"/>
    <cellStyle name="Normal 9 2 2 3 6 6" xfId="25695"/>
    <cellStyle name="Normal 9 2 2 3 7" xfId="3398"/>
    <cellStyle name="Normal 9 2 2 3 7 2" xfId="6618"/>
    <cellStyle name="Normal 9 2 2 3 7 2 2" xfId="22718"/>
    <cellStyle name="Normal 9 2 2 3 7 2 2 2" xfId="45305"/>
    <cellStyle name="Normal 9 2 2 3 7 2 3" xfId="13058"/>
    <cellStyle name="Normal 9 2 2 3 7 2 3 2" xfId="35645"/>
    <cellStyle name="Normal 9 2 2 3 7 2 4" xfId="29205"/>
    <cellStyle name="Normal 9 2 2 3 7 3" xfId="19498"/>
    <cellStyle name="Normal 9 2 2 3 7 3 2" xfId="42085"/>
    <cellStyle name="Normal 9 2 2 3 7 4" xfId="16278"/>
    <cellStyle name="Normal 9 2 2 3 7 4 2" xfId="38865"/>
    <cellStyle name="Normal 9 2 2 3 7 5" xfId="9838"/>
    <cellStyle name="Normal 9 2 2 3 7 5 2" xfId="32425"/>
    <cellStyle name="Normal 9 2 2 3 7 6" xfId="25985"/>
    <cellStyle name="Normal 9 2 2 3 8" xfId="831"/>
    <cellStyle name="Normal 9 2 2 3 8 2" xfId="4063"/>
    <cellStyle name="Normal 9 2 2 3 8 2 2" xfId="20163"/>
    <cellStyle name="Normal 9 2 2 3 8 2 2 2" xfId="42750"/>
    <cellStyle name="Normal 9 2 2 3 8 2 3" xfId="10503"/>
    <cellStyle name="Normal 9 2 2 3 8 2 3 2" xfId="33090"/>
    <cellStyle name="Normal 9 2 2 3 8 2 4" xfId="26650"/>
    <cellStyle name="Normal 9 2 2 3 8 3" xfId="16943"/>
    <cellStyle name="Normal 9 2 2 3 8 3 2" xfId="39530"/>
    <cellStyle name="Normal 9 2 2 3 8 4" xfId="13723"/>
    <cellStyle name="Normal 9 2 2 3 8 4 2" xfId="36310"/>
    <cellStyle name="Normal 9 2 2 3 8 5" xfId="7283"/>
    <cellStyle name="Normal 9 2 2 3 8 5 2" xfId="29870"/>
    <cellStyle name="Normal 9 2 2 3 8 6" xfId="23430"/>
    <cellStyle name="Normal 9 2 2 3 9" xfId="3688"/>
    <cellStyle name="Normal 9 2 2 3 9 2" xfId="19788"/>
    <cellStyle name="Normal 9 2 2 3 9 2 2" xfId="42375"/>
    <cellStyle name="Normal 9 2 2 3 9 3" xfId="10128"/>
    <cellStyle name="Normal 9 2 2 3 9 3 2" xfId="32715"/>
    <cellStyle name="Normal 9 2 2 3 9 4" xfId="26275"/>
    <cellStyle name="Normal 9 2 2 4" xfId="900"/>
    <cellStyle name="Normal 9 2 2 4 2" xfId="2219"/>
    <cellStyle name="Normal 9 2 2 4 2 2" xfId="5440"/>
    <cellStyle name="Normal 9 2 2 4 2 2 2" xfId="21540"/>
    <cellStyle name="Normal 9 2 2 4 2 2 2 2" xfId="44127"/>
    <cellStyle name="Normal 9 2 2 4 2 2 3" xfId="11880"/>
    <cellStyle name="Normal 9 2 2 4 2 2 3 2" xfId="34467"/>
    <cellStyle name="Normal 9 2 2 4 2 2 4" xfId="28027"/>
    <cellStyle name="Normal 9 2 2 4 2 3" xfId="18320"/>
    <cellStyle name="Normal 9 2 2 4 2 3 2" xfId="40907"/>
    <cellStyle name="Normal 9 2 2 4 2 4" xfId="15100"/>
    <cellStyle name="Normal 9 2 2 4 2 4 2" xfId="37687"/>
    <cellStyle name="Normal 9 2 2 4 2 5" xfId="8660"/>
    <cellStyle name="Normal 9 2 2 4 2 5 2" xfId="31247"/>
    <cellStyle name="Normal 9 2 2 4 2 6" xfId="24807"/>
    <cellStyle name="Normal 9 2 2 4 3" xfId="4132"/>
    <cellStyle name="Normal 9 2 2 4 3 2" xfId="20232"/>
    <cellStyle name="Normal 9 2 2 4 3 2 2" xfId="42819"/>
    <cellStyle name="Normal 9 2 2 4 3 3" xfId="10572"/>
    <cellStyle name="Normal 9 2 2 4 3 3 2" xfId="33159"/>
    <cellStyle name="Normal 9 2 2 4 3 4" xfId="26719"/>
    <cellStyle name="Normal 9 2 2 4 4" xfId="17012"/>
    <cellStyle name="Normal 9 2 2 4 4 2" xfId="39599"/>
    <cellStyle name="Normal 9 2 2 4 5" xfId="13792"/>
    <cellStyle name="Normal 9 2 2 4 5 2" xfId="36379"/>
    <cellStyle name="Normal 9 2 2 4 6" xfId="7352"/>
    <cellStyle name="Normal 9 2 2 4 6 2" xfId="29939"/>
    <cellStyle name="Normal 9 2 2 4 7" xfId="23499"/>
    <cellStyle name="Normal 9 2 2 5" xfId="1252"/>
    <cellStyle name="Normal 9 2 2 5 2" xfId="2566"/>
    <cellStyle name="Normal 9 2 2 5 2 2" xfId="5787"/>
    <cellStyle name="Normal 9 2 2 5 2 2 2" xfId="21887"/>
    <cellStyle name="Normal 9 2 2 5 2 2 2 2" xfId="44474"/>
    <cellStyle name="Normal 9 2 2 5 2 2 3" xfId="12227"/>
    <cellStyle name="Normal 9 2 2 5 2 2 3 2" xfId="34814"/>
    <cellStyle name="Normal 9 2 2 5 2 2 4" xfId="28374"/>
    <cellStyle name="Normal 9 2 2 5 2 3" xfId="18667"/>
    <cellStyle name="Normal 9 2 2 5 2 3 2" xfId="41254"/>
    <cellStyle name="Normal 9 2 2 5 2 4" xfId="15447"/>
    <cellStyle name="Normal 9 2 2 5 2 4 2" xfId="38034"/>
    <cellStyle name="Normal 9 2 2 5 2 5" xfId="9007"/>
    <cellStyle name="Normal 9 2 2 5 2 5 2" xfId="31594"/>
    <cellStyle name="Normal 9 2 2 5 2 6" xfId="25154"/>
    <cellStyle name="Normal 9 2 2 5 3" xfId="4479"/>
    <cellStyle name="Normal 9 2 2 5 3 2" xfId="20579"/>
    <cellStyle name="Normal 9 2 2 5 3 2 2" xfId="43166"/>
    <cellStyle name="Normal 9 2 2 5 3 3" xfId="10919"/>
    <cellStyle name="Normal 9 2 2 5 3 3 2" xfId="33506"/>
    <cellStyle name="Normal 9 2 2 5 3 4" xfId="27066"/>
    <cellStyle name="Normal 9 2 2 5 4" xfId="17359"/>
    <cellStyle name="Normal 9 2 2 5 4 2" xfId="39946"/>
    <cellStyle name="Normal 9 2 2 5 5" xfId="14139"/>
    <cellStyle name="Normal 9 2 2 5 5 2" xfId="36726"/>
    <cellStyle name="Normal 9 2 2 5 6" xfId="7699"/>
    <cellStyle name="Normal 9 2 2 5 6 2" xfId="30286"/>
    <cellStyle name="Normal 9 2 2 5 7" xfId="23846"/>
    <cellStyle name="Normal 9 2 2 6" xfId="1747"/>
    <cellStyle name="Normal 9 2 2 6 2" xfId="4970"/>
    <cellStyle name="Normal 9 2 2 6 2 2" xfId="21070"/>
    <cellStyle name="Normal 9 2 2 6 2 2 2" xfId="43657"/>
    <cellStyle name="Normal 9 2 2 6 2 3" xfId="11410"/>
    <cellStyle name="Normal 9 2 2 6 2 3 2" xfId="33997"/>
    <cellStyle name="Normal 9 2 2 6 2 4" xfId="27557"/>
    <cellStyle name="Normal 9 2 2 6 3" xfId="17850"/>
    <cellStyle name="Normal 9 2 2 6 3 2" xfId="40437"/>
    <cellStyle name="Normal 9 2 2 6 4" xfId="14630"/>
    <cellStyle name="Normal 9 2 2 6 4 2" xfId="37217"/>
    <cellStyle name="Normal 9 2 2 6 5" xfId="8190"/>
    <cellStyle name="Normal 9 2 2 6 5 2" xfId="30777"/>
    <cellStyle name="Normal 9 2 2 6 6" xfId="24337"/>
    <cellStyle name="Normal 9 2 2 7" xfId="1871"/>
    <cellStyle name="Normal 9 2 2 7 2" xfId="5093"/>
    <cellStyle name="Normal 9 2 2 7 2 2" xfId="21193"/>
    <cellStyle name="Normal 9 2 2 7 2 2 2" xfId="43780"/>
    <cellStyle name="Normal 9 2 2 7 2 3" xfId="11533"/>
    <cellStyle name="Normal 9 2 2 7 2 3 2" xfId="34120"/>
    <cellStyle name="Normal 9 2 2 7 2 4" xfId="27680"/>
    <cellStyle name="Normal 9 2 2 7 3" xfId="17973"/>
    <cellStyle name="Normal 9 2 2 7 3 2" xfId="40560"/>
    <cellStyle name="Normal 9 2 2 7 4" xfId="14753"/>
    <cellStyle name="Normal 9 2 2 7 4 2" xfId="37340"/>
    <cellStyle name="Normal 9 2 2 7 5" xfId="8313"/>
    <cellStyle name="Normal 9 2 2 7 5 2" xfId="30900"/>
    <cellStyle name="Normal 9 2 2 7 6" xfId="24460"/>
    <cellStyle name="Normal 9 2 2 8" xfId="2914"/>
    <cellStyle name="Normal 9 2 2 8 2" xfId="6135"/>
    <cellStyle name="Normal 9 2 2 8 2 2" xfId="22235"/>
    <cellStyle name="Normal 9 2 2 8 2 2 2" xfId="44822"/>
    <cellStyle name="Normal 9 2 2 8 2 3" xfId="12575"/>
    <cellStyle name="Normal 9 2 2 8 2 3 2" xfId="35162"/>
    <cellStyle name="Normal 9 2 2 8 2 4" xfId="28722"/>
    <cellStyle name="Normal 9 2 2 8 3" xfId="19015"/>
    <cellStyle name="Normal 9 2 2 8 3 2" xfId="41602"/>
    <cellStyle name="Normal 9 2 2 8 4" xfId="15795"/>
    <cellStyle name="Normal 9 2 2 8 4 2" xfId="38382"/>
    <cellStyle name="Normal 9 2 2 8 5" xfId="9355"/>
    <cellStyle name="Normal 9 2 2 8 5 2" xfId="31942"/>
    <cellStyle name="Normal 9 2 2 8 6" xfId="25502"/>
    <cellStyle name="Normal 9 2 2 9" xfId="3205"/>
    <cellStyle name="Normal 9 2 2 9 2" xfId="6425"/>
    <cellStyle name="Normal 9 2 2 9 2 2" xfId="22525"/>
    <cellStyle name="Normal 9 2 2 9 2 2 2" xfId="45112"/>
    <cellStyle name="Normal 9 2 2 9 2 3" xfId="12865"/>
    <cellStyle name="Normal 9 2 2 9 2 3 2" xfId="35452"/>
    <cellStyle name="Normal 9 2 2 9 2 4" xfId="29012"/>
    <cellStyle name="Normal 9 2 2 9 3" xfId="19305"/>
    <cellStyle name="Normal 9 2 2 9 3 2" xfId="41892"/>
    <cellStyle name="Normal 9 2 2 9 4" xfId="16085"/>
    <cellStyle name="Normal 9 2 2 9 4 2" xfId="38672"/>
    <cellStyle name="Normal 9 2 2 9 5" xfId="9645"/>
    <cellStyle name="Normal 9 2 2 9 5 2" xfId="32232"/>
    <cellStyle name="Normal 9 2 2 9 6" xfId="25792"/>
    <cellStyle name="Normal 9 2 3" xfId="273"/>
    <cellStyle name="Normal 9 2 3 10" xfId="3560"/>
    <cellStyle name="Normal 9 2 3 10 2" xfId="19660"/>
    <cellStyle name="Normal 9 2 3 10 2 2" xfId="42247"/>
    <cellStyle name="Normal 9 2 3 10 3" xfId="10000"/>
    <cellStyle name="Normal 9 2 3 10 3 2" xfId="32587"/>
    <cellStyle name="Normal 9 2 3 10 4" xfId="26147"/>
    <cellStyle name="Normal 9 2 3 11" xfId="16440"/>
    <cellStyle name="Normal 9 2 3 11 2" xfId="39027"/>
    <cellStyle name="Normal 9 2 3 12" xfId="13220"/>
    <cellStyle name="Normal 9 2 3 12 2" xfId="35807"/>
    <cellStyle name="Normal 9 2 3 13" xfId="6780"/>
    <cellStyle name="Normal 9 2 3 13 2" xfId="29367"/>
    <cellStyle name="Normal 9 2 3 14" xfId="22927"/>
    <cellStyle name="Normal 9 2 3 2" xfId="697"/>
    <cellStyle name="Normal 9 2 3 2 10" xfId="23308"/>
    <cellStyle name="Normal 9 2 3 2 2" xfId="1061"/>
    <cellStyle name="Normal 9 2 3 2 2 2" xfId="2375"/>
    <cellStyle name="Normal 9 2 3 2 2 2 2" xfId="5596"/>
    <cellStyle name="Normal 9 2 3 2 2 2 2 2" xfId="21696"/>
    <cellStyle name="Normal 9 2 3 2 2 2 2 2 2" xfId="44283"/>
    <cellStyle name="Normal 9 2 3 2 2 2 2 3" xfId="12036"/>
    <cellStyle name="Normal 9 2 3 2 2 2 2 3 2" xfId="34623"/>
    <cellStyle name="Normal 9 2 3 2 2 2 2 4" xfId="28183"/>
    <cellStyle name="Normal 9 2 3 2 2 2 3" xfId="18476"/>
    <cellStyle name="Normal 9 2 3 2 2 2 3 2" xfId="41063"/>
    <cellStyle name="Normal 9 2 3 2 2 2 4" xfId="15256"/>
    <cellStyle name="Normal 9 2 3 2 2 2 4 2" xfId="37843"/>
    <cellStyle name="Normal 9 2 3 2 2 2 5" xfId="8816"/>
    <cellStyle name="Normal 9 2 3 2 2 2 5 2" xfId="31403"/>
    <cellStyle name="Normal 9 2 3 2 2 2 6" xfId="24963"/>
    <cellStyle name="Normal 9 2 3 2 2 3" xfId="4288"/>
    <cellStyle name="Normal 9 2 3 2 2 3 2" xfId="20388"/>
    <cellStyle name="Normal 9 2 3 2 2 3 2 2" xfId="42975"/>
    <cellStyle name="Normal 9 2 3 2 2 3 3" xfId="10728"/>
    <cellStyle name="Normal 9 2 3 2 2 3 3 2" xfId="33315"/>
    <cellStyle name="Normal 9 2 3 2 2 3 4" xfId="26875"/>
    <cellStyle name="Normal 9 2 3 2 2 4" xfId="17168"/>
    <cellStyle name="Normal 9 2 3 2 2 4 2" xfId="39755"/>
    <cellStyle name="Normal 9 2 3 2 2 5" xfId="13948"/>
    <cellStyle name="Normal 9 2 3 2 2 5 2" xfId="36535"/>
    <cellStyle name="Normal 9 2 3 2 2 6" xfId="7508"/>
    <cellStyle name="Normal 9 2 3 2 2 6 2" xfId="30095"/>
    <cellStyle name="Normal 9 2 3 2 2 7" xfId="23655"/>
    <cellStyle name="Normal 9 2 3 2 3" xfId="1408"/>
    <cellStyle name="Normal 9 2 3 2 3 2" xfId="2722"/>
    <cellStyle name="Normal 9 2 3 2 3 2 2" xfId="5943"/>
    <cellStyle name="Normal 9 2 3 2 3 2 2 2" xfId="22043"/>
    <cellStyle name="Normal 9 2 3 2 3 2 2 2 2" xfId="44630"/>
    <cellStyle name="Normal 9 2 3 2 3 2 2 3" xfId="12383"/>
    <cellStyle name="Normal 9 2 3 2 3 2 2 3 2" xfId="34970"/>
    <cellStyle name="Normal 9 2 3 2 3 2 2 4" xfId="28530"/>
    <cellStyle name="Normal 9 2 3 2 3 2 3" xfId="18823"/>
    <cellStyle name="Normal 9 2 3 2 3 2 3 2" xfId="41410"/>
    <cellStyle name="Normal 9 2 3 2 3 2 4" xfId="15603"/>
    <cellStyle name="Normal 9 2 3 2 3 2 4 2" xfId="38190"/>
    <cellStyle name="Normal 9 2 3 2 3 2 5" xfId="9163"/>
    <cellStyle name="Normal 9 2 3 2 3 2 5 2" xfId="31750"/>
    <cellStyle name="Normal 9 2 3 2 3 2 6" xfId="25310"/>
    <cellStyle name="Normal 9 2 3 2 3 3" xfId="4635"/>
    <cellStyle name="Normal 9 2 3 2 3 3 2" xfId="20735"/>
    <cellStyle name="Normal 9 2 3 2 3 3 2 2" xfId="43322"/>
    <cellStyle name="Normal 9 2 3 2 3 3 3" xfId="11075"/>
    <cellStyle name="Normal 9 2 3 2 3 3 3 2" xfId="33662"/>
    <cellStyle name="Normal 9 2 3 2 3 3 4" xfId="27222"/>
    <cellStyle name="Normal 9 2 3 2 3 4" xfId="17515"/>
    <cellStyle name="Normal 9 2 3 2 3 4 2" xfId="40102"/>
    <cellStyle name="Normal 9 2 3 2 3 5" xfId="14295"/>
    <cellStyle name="Normal 9 2 3 2 3 5 2" xfId="36882"/>
    <cellStyle name="Normal 9 2 3 2 3 6" xfId="7855"/>
    <cellStyle name="Normal 9 2 3 2 3 6 2" xfId="30442"/>
    <cellStyle name="Normal 9 2 3 2 3 7" xfId="24002"/>
    <cellStyle name="Normal 9 2 3 2 4" xfId="1748"/>
    <cellStyle name="Normal 9 2 3 2 4 2" xfId="4971"/>
    <cellStyle name="Normal 9 2 3 2 4 2 2" xfId="21071"/>
    <cellStyle name="Normal 9 2 3 2 4 2 2 2" xfId="43658"/>
    <cellStyle name="Normal 9 2 3 2 4 2 3" xfId="11411"/>
    <cellStyle name="Normal 9 2 3 2 4 2 3 2" xfId="33998"/>
    <cellStyle name="Normal 9 2 3 2 4 2 4" xfId="27558"/>
    <cellStyle name="Normal 9 2 3 2 4 3" xfId="17851"/>
    <cellStyle name="Normal 9 2 3 2 4 3 2" xfId="40438"/>
    <cellStyle name="Normal 9 2 3 2 4 4" xfId="14631"/>
    <cellStyle name="Normal 9 2 3 2 4 4 2" xfId="37218"/>
    <cellStyle name="Normal 9 2 3 2 4 5" xfId="8191"/>
    <cellStyle name="Normal 9 2 3 2 4 5 2" xfId="30778"/>
    <cellStyle name="Normal 9 2 3 2 4 6" xfId="24338"/>
    <cellStyle name="Normal 9 2 3 2 5" xfId="2027"/>
    <cellStyle name="Normal 9 2 3 2 5 2" xfId="5249"/>
    <cellStyle name="Normal 9 2 3 2 5 2 2" xfId="21349"/>
    <cellStyle name="Normal 9 2 3 2 5 2 2 2" xfId="43936"/>
    <cellStyle name="Normal 9 2 3 2 5 2 3" xfId="11689"/>
    <cellStyle name="Normal 9 2 3 2 5 2 3 2" xfId="34276"/>
    <cellStyle name="Normal 9 2 3 2 5 2 4" xfId="27836"/>
    <cellStyle name="Normal 9 2 3 2 5 3" xfId="18129"/>
    <cellStyle name="Normal 9 2 3 2 5 3 2" xfId="40716"/>
    <cellStyle name="Normal 9 2 3 2 5 4" xfId="14909"/>
    <cellStyle name="Normal 9 2 3 2 5 4 2" xfId="37496"/>
    <cellStyle name="Normal 9 2 3 2 5 5" xfId="8469"/>
    <cellStyle name="Normal 9 2 3 2 5 5 2" xfId="31056"/>
    <cellStyle name="Normal 9 2 3 2 5 6" xfId="24616"/>
    <cellStyle name="Normal 9 2 3 2 6" xfId="3941"/>
    <cellStyle name="Normal 9 2 3 2 6 2" xfId="20041"/>
    <cellStyle name="Normal 9 2 3 2 6 2 2" xfId="42628"/>
    <cellStyle name="Normal 9 2 3 2 6 3" xfId="10381"/>
    <cellStyle name="Normal 9 2 3 2 6 3 2" xfId="32968"/>
    <cellStyle name="Normal 9 2 3 2 6 4" xfId="26528"/>
    <cellStyle name="Normal 9 2 3 2 7" xfId="16821"/>
    <cellStyle name="Normal 9 2 3 2 7 2" xfId="39408"/>
    <cellStyle name="Normal 9 2 3 2 8" xfId="13601"/>
    <cellStyle name="Normal 9 2 3 2 8 2" xfId="36188"/>
    <cellStyle name="Normal 9 2 3 2 9" xfId="7161"/>
    <cellStyle name="Normal 9 2 3 2 9 2" xfId="29748"/>
    <cellStyle name="Normal 9 2 3 3" xfId="940"/>
    <cellStyle name="Normal 9 2 3 3 2" xfId="2259"/>
    <cellStyle name="Normal 9 2 3 3 2 2" xfId="5480"/>
    <cellStyle name="Normal 9 2 3 3 2 2 2" xfId="21580"/>
    <cellStyle name="Normal 9 2 3 3 2 2 2 2" xfId="44167"/>
    <cellStyle name="Normal 9 2 3 3 2 2 3" xfId="11920"/>
    <cellStyle name="Normal 9 2 3 3 2 2 3 2" xfId="34507"/>
    <cellStyle name="Normal 9 2 3 3 2 2 4" xfId="28067"/>
    <cellStyle name="Normal 9 2 3 3 2 3" xfId="18360"/>
    <cellStyle name="Normal 9 2 3 3 2 3 2" xfId="40947"/>
    <cellStyle name="Normal 9 2 3 3 2 4" xfId="15140"/>
    <cellStyle name="Normal 9 2 3 3 2 4 2" xfId="37727"/>
    <cellStyle name="Normal 9 2 3 3 2 5" xfId="8700"/>
    <cellStyle name="Normal 9 2 3 3 2 5 2" xfId="31287"/>
    <cellStyle name="Normal 9 2 3 3 2 6" xfId="24847"/>
    <cellStyle name="Normal 9 2 3 3 3" xfId="4172"/>
    <cellStyle name="Normal 9 2 3 3 3 2" xfId="20272"/>
    <cellStyle name="Normal 9 2 3 3 3 2 2" xfId="42859"/>
    <cellStyle name="Normal 9 2 3 3 3 3" xfId="10612"/>
    <cellStyle name="Normal 9 2 3 3 3 3 2" xfId="33199"/>
    <cellStyle name="Normal 9 2 3 3 3 4" xfId="26759"/>
    <cellStyle name="Normal 9 2 3 3 4" xfId="17052"/>
    <cellStyle name="Normal 9 2 3 3 4 2" xfId="39639"/>
    <cellStyle name="Normal 9 2 3 3 5" xfId="13832"/>
    <cellStyle name="Normal 9 2 3 3 5 2" xfId="36419"/>
    <cellStyle name="Normal 9 2 3 3 6" xfId="7392"/>
    <cellStyle name="Normal 9 2 3 3 6 2" xfId="29979"/>
    <cellStyle name="Normal 9 2 3 3 7" xfId="23539"/>
    <cellStyle name="Normal 9 2 3 4" xfId="1292"/>
    <cellStyle name="Normal 9 2 3 4 2" xfId="2606"/>
    <cellStyle name="Normal 9 2 3 4 2 2" xfId="5827"/>
    <cellStyle name="Normal 9 2 3 4 2 2 2" xfId="21927"/>
    <cellStyle name="Normal 9 2 3 4 2 2 2 2" xfId="44514"/>
    <cellStyle name="Normal 9 2 3 4 2 2 3" xfId="12267"/>
    <cellStyle name="Normal 9 2 3 4 2 2 3 2" xfId="34854"/>
    <cellStyle name="Normal 9 2 3 4 2 2 4" xfId="28414"/>
    <cellStyle name="Normal 9 2 3 4 2 3" xfId="18707"/>
    <cellStyle name="Normal 9 2 3 4 2 3 2" xfId="41294"/>
    <cellStyle name="Normal 9 2 3 4 2 4" xfId="15487"/>
    <cellStyle name="Normal 9 2 3 4 2 4 2" xfId="38074"/>
    <cellStyle name="Normal 9 2 3 4 2 5" xfId="9047"/>
    <cellStyle name="Normal 9 2 3 4 2 5 2" xfId="31634"/>
    <cellStyle name="Normal 9 2 3 4 2 6" xfId="25194"/>
    <cellStyle name="Normal 9 2 3 4 3" xfId="4519"/>
    <cellStyle name="Normal 9 2 3 4 3 2" xfId="20619"/>
    <cellStyle name="Normal 9 2 3 4 3 2 2" xfId="43206"/>
    <cellStyle name="Normal 9 2 3 4 3 3" xfId="10959"/>
    <cellStyle name="Normal 9 2 3 4 3 3 2" xfId="33546"/>
    <cellStyle name="Normal 9 2 3 4 3 4" xfId="27106"/>
    <cellStyle name="Normal 9 2 3 4 4" xfId="17399"/>
    <cellStyle name="Normal 9 2 3 4 4 2" xfId="39986"/>
    <cellStyle name="Normal 9 2 3 4 5" xfId="14179"/>
    <cellStyle name="Normal 9 2 3 4 5 2" xfId="36766"/>
    <cellStyle name="Normal 9 2 3 4 6" xfId="7739"/>
    <cellStyle name="Normal 9 2 3 4 6 2" xfId="30326"/>
    <cellStyle name="Normal 9 2 3 4 7" xfId="23886"/>
    <cellStyle name="Normal 9 2 3 5" xfId="1749"/>
    <cellStyle name="Normal 9 2 3 5 2" xfId="4972"/>
    <cellStyle name="Normal 9 2 3 5 2 2" xfId="21072"/>
    <cellStyle name="Normal 9 2 3 5 2 2 2" xfId="43659"/>
    <cellStyle name="Normal 9 2 3 5 2 3" xfId="11412"/>
    <cellStyle name="Normal 9 2 3 5 2 3 2" xfId="33999"/>
    <cellStyle name="Normal 9 2 3 5 2 4" xfId="27559"/>
    <cellStyle name="Normal 9 2 3 5 3" xfId="17852"/>
    <cellStyle name="Normal 9 2 3 5 3 2" xfId="40439"/>
    <cellStyle name="Normal 9 2 3 5 4" xfId="14632"/>
    <cellStyle name="Normal 9 2 3 5 4 2" xfId="37219"/>
    <cellStyle name="Normal 9 2 3 5 5" xfId="8192"/>
    <cellStyle name="Normal 9 2 3 5 5 2" xfId="30779"/>
    <cellStyle name="Normal 9 2 3 5 6" xfId="24339"/>
    <cellStyle name="Normal 9 2 3 6" xfId="1911"/>
    <cellStyle name="Normal 9 2 3 6 2" xfId="5133"/>
    <cellStyle name="Normal 9 2 3 6 2 2" xfId="21233"/>
    <cellStyle name="Normal 9 2 3 6 2 2 2" xfId="43820"/>
    <cellStyle name="Normal 9 2 3 6 2 3" xfId="11573"/>
    <cellStyle name="Normal 9 2 3 6 2 3 2" xfId="34160"/>
    <cellStyle name="Normal 9 2 3 6 2 4" xfId="27720"/>
    <cellStyle name="Normal 9 2 3 6 3" xfId="18013"/>
    <cellStyle name="Normal 9 2 3 6 3 2" xfId="40600"/>
    <cellStyle name="Normal 9 2 3 6 4" xfId="14793"/>
    <cellStyle name="Normal 9 2 3 6 4 2" xfId="37380"/>
    <cellStyle name="Normal 9 2 3 6 5" xfId="8353"/>
    <cellStyle name="Normal 9 2 3 6 5 2" xfId="30940"/>
    <cellStyle name="Normal 9 2 3 6 6" xfId="24500"/>
    <cellStyle name="Normal 9 2 3 7" xfId="2980"/>
    <cellStyle name="Normal 9 2 3 7 2" xfId="6200"/>
    <cellStyle name="Normal 9 2 3 7 2 2" xfId="22300"/>
    <cellStyle name="Normal 9 2 3 7 2 2 2" xfId="44887"/>
    <cellStyle name="Normal 9 2 3 7 2 3" xfId="12640"/>
    <cellStyle name="Normal 9 2 3 7 2 3 2" xfId="35227"/>
    <cellStyle name="Normal 9 2 3 7 2 4" xfId="28787"/>
    <cellStyle name="Normal 9 2 3 7 3" xfId="19080"/>
    <cellStyle name="Normal 9 2 3 7 3 2" xfId="41667"/>
    <cellStyle name="Normal 9 2 3 7 4" xfId="15860"/>
    <cellStyle name="Normal 9 2 3 7 4 2" xfId="38447"/>
    <cellStyle name="Normal 9 2 3 7 5" xfId="9420"/>
    <cellStyle name="Normal 9 2 3 7 5 2" xfId="32007"/>
    <cellStyle name="Normal 9 2 3 7 6" xfId="25567"/>
    <cellStyle name="Normal 9 2 3 8" xfId="3270"/>
    <cellStyle name="Normal 9 2 3 8 2" xfId="6490"/>
    <cellStyle name="Normal 9 2 3 8 2 2" xfId="22590"/>
    <cellStyle name="Normal 9 2 3 8 2 2 2" xfId="45177"/>
    <cellStyle name="Normal 9 2 3 8 2 3" xfId="12930"/>
    <cellStyle name="Normal 9 2 3 8 2 3 2" xfId="35517"/>
    <cellStyle name="Normal 9 2 3 8 2 4" xfId="29077"/>
    <cellStyle name="Normal 9 2 3 8 3" xfId="19370"/>
    <cellStyle name="Normal 9 2 3 8 3 2" xfId="41957"/>
    <cellStyle name="Normal 9 2 3 8 4" xfId="16150"/>
    <cellStyle name="Normal 9 2 3 8 4 2" xfId="38737"/>
    <cellStyle name="Normal 9 2 3 8 5" xfId="9710"/>
    <cellStyle name="Normal 9 2 3 8 5 2" xfId="32297"/>
    <cellStyle name="Normal 9 2 3 8 6" xfId="25857"/>
    <cellStyle name="Normal 9 2 3 9" xfId="538"/>
    <cellStyle name="Normal 9 2 3 9 2" xfId="3825"/>
    <cellStyle name="Normal 9 2 3 9 2 2" xfId="19925"/>
    <cellStyle name="Normal 9 2 3 9 2 2 2" xfId="42512"/>
    <cellStyle name="Normal 9 2 3 9 2 3" xfId="10265"/>
    <cellStyle name="Normal 9 2 3 9 2 3 2" xfId="32852"/>
    <cellStyle name="Normal 9 2 3 9 2 4" xfId="26412"/>
    <cellStyle name="Normal 9 2 3 9 3" xfId="16705"/>
    <cellStyle name="Normal 9 2 3 9 3 2" xfId="39292"/>
    <cellStyle name="Normal 9 2 3 9 4" xfId="13485"/>
    <cellStyle name="Normal 9 2 3 9 4 2" xfId="36072"/>
    <cellStyle name="Normal 9 2 3 9 5" xfId="7045"/>
    <cellStyle name="Normal 9 2 3 9 5 2" xfId="29632"/>
    <cellStyle name="Normal 9 2 3 9 6" xfId="23192"/>
    <cellStyle name="Normal 9 2 4" xfId="364"/>
    <cellStyle name="Normal 9 2 4 10" xfId="16531"/>
    <cellStyle name="Normal 9 2 4 10 2" xfId="39118"/>
    <cellStyle name="Normal 9 2 4 11" xfId="13311"/>
    <cellStyle name="Normal 9 2 4 11 2" xfId="35898"/>
    <cellStyle name="Normal 9 2 4 12" xfId="6871"/>
    <cellStyle name="Normal 9 2 4 12 2" xfId="29458"/>
    <cellStyle name="Normal 9 2 4 13" xfId="23018"/>
    <cellStyle name="Normal 9 2 4 2" xfId="987"/>
    <cellStyle name="Normal 9 2 4 2 2" xfId="2301"/>
    <cellStyle name="Normal 9 2 4 2 2 2" xfId="5522"/>
    <cellStyle name="Normal 9 2 4 2 2 2 2" xfId="21622"/>
    <cellStyle name="Normal 9 2 4 2 2 2 2 2" xfId="44209"/>
    <cellStyle name="Normal 9 2 4 2 2 2 3" xfId="11962"/>
    <cellStyle name="Normal 9 2 4 2 2 2 3 2" xfId="34549"/>
    <cellStyle name="Normal 9 2 4 2 2 2 4" xfId="28109"/>
    <cellStyle name="Normal 9 2 4 2 2 3" xfId="18402"/>
    <cellStyle name="Normal 9 2 4 2 2 3 2" xfId="40989"/>
    <cellStyle name="Normal 9 2 4 2 2 4" xfId="15182"/>
    <cellStyle name="Normal 9 2 4 2 2 4 2" xfId="37769"/>
    <cellStyle name="Normal 9 2 4 2 2 5" xfId="8742"/>
    <cellStyle name="Normal 9 2 4 2 2 5 2" xfId="31329"/>
    <cellStyle name="Normal 9 2 4 2 2 6" xfId="24889"/>
    <cellStyle name="Normal 9 2 4 2 3" xfId="4214"/>
    <cellStyle name="Normal 9 2 4 2 3 2" xfId="20314"/>
    <cellStyle name="Normal 9 2 4 2 3 2 2" xfId="42901"/>
    <cellStyle name="Normal 9 2 4 2 3 3" xfId="10654"/>
    <cellStyle name="Normal 9 2 4 2 3 3 2" xfId="33241"/>
    <cellStyle name="Normal 9 2 4 2 3 4" xfId="26801"/>
    <cellStyle name="Normal 9 2 4 2 4" xfId="17094"/>
    <cellStyle name="Normal 9 2 4 2 4 2" xfId="39681"/>
    <cellStyle name="Normal 9 2 4 2 5" xfId="13874"/>
    <cellStyle name="Normal 9 2 4 2 5 2" xfId="36461"/>
    <cellStyle name="Normal 9 2 4 2 6" xfId="7434"/>
    <cellStyle name="Normal 9 2 4 2 6 2" xfId="30021"/>
    <cellStyle name="Normal 9 2 4 2 7" xfId="23581"/>
    <cellStyle name="Normal 9 2 4 3" xfId="1334"/>
    <cellStyle name="Normal 9 2 4 3 2" xfId="2648"/>
    <cellStyle name="Normal 9 2 4 3 2 2" xfId="5869"/>
    <cellStyle name="Normal 9 2 4 3 2 2 2" xfId="21969"/>
    <cellStyle name="Normal 9 2 4 3 2 2 2 2" xfId="44556"/>
    <cellStyle name="Normal 9 2 4 3 2 2 3" xfId="12309"/>
    <cellStyle name="Normal 9 2 4 3 2 2 3 2" xfId="34896"/>
    <cellStyle name="Normal 9 2 4 3 2 2 4" xfId="28456"/>
    <cellStyle name="Normal 9 2 4 3 2 3" xfId="18749"/>
    <cellStyle name="Normal 9 2 4 3 2 3 2" xfId="41336"/>
    <cellStyle name="Normal 9 2 4 3 2 4" xfId="15529"/>
    <cellStyle name="Normal 9 2 4 3 2 4 2" xfId="38116"/>
    <cellStyle name="Normal 9 2 4 3 2 5" xfId="9089"/>
    <cellStyle name="Normal 9 2 4 3 2 5 2" xfId="31676"/>
    <cellStyle name="Normal 9 2 4 3 2 6" xfId="25236"/>
    <cellStyle name="Normal 9 2 4 3 3" xfId="4561"/>
    <cellStyle name="Normal 9 2 4 3 3 2" xfId="20661"/>
    <cellStyle name="Normal 9 2 4 3 3 2 2" xfId="43248"/>
    <cellStyle name="Normal 9 2 4 3 3 3" xfId="11001"/>
    <cellStyle name="Normal 9 2 4 3 3 3 2" xfId="33588"/>
    <cellStyle name="Normal 9 2 4 3 3 4" xfId="27148"/>
    <cellStyle name="Normal 9 2 4 3 4" xfId="17441"/>
    <cellStyle name="Normal 9 2 4 3 4 2" xfId="40028"/>
    <cellStyle name="Normal 9 2 4 3 5" xfId="14221"/>
    <cellStyle name="Normal 9 2 4 3 5 2" xfId="36808"/>
    <cellStyle name="Normal 9 2 4 3 6" xfId="7781"/>
    <cellStyle name="Normal 9 2 4 3 6 2" xfId="30368"/>
    <cellStyle name="Normal 9 2 4 3 7" xfId="23928"/>
    <cellStyle name="Normal 9 2 4 4" xfId="1750"/>
    <cellStyle name="Normal 9 2 4 4 2" xfId="4973"/>
    <cellStyle name="Normal 9 2 4 4 2 2" xfId="21073"/>
    <cellStyle name="Normal 9 2 4 4 2 2 2" xfId="43660"/>
    <cellStyle name="Normal 9 2 4 4 2 3" xfId="11413"/>
    <cellStyle name="Normal 9 2 4 4 2 3 2" xfId="34000"/>
    <cellStyle name="Normal 9 2 4 4 2 4" xfId="27560"/>
    <cellStyle name="Normal 9 2 4 4 3" xfId="17853"/>
    <cellStyle name="Normal 9 2 4 4 3 2" xfId="40440"/>
    <cellStyle name="Normal 9 2 4 4 4" xfId="14633"/>
    <cellStyle name="Normal 9 2 4 4 4 2" xfId="37220"/>
    <cellStyle name="Normal 9 2 4 4 5" xfId="8193"/>
    <cellStyle name="Normal 9 2 4 4 5 2" xfId="30780"/>
    <cellStyle name="Normal 9 2 4 4 6" xfId="24340"/>
    <cellStyle name="Normal 9 2 4 5" xfId="1953"/>
    <cellStyle name="Normal 9 2 4 5 2" xfId="5175"/>
    <cellStyle name="Normal 9 2 4 5 2 2" xfId="21275"/>
    <cellStyle name="Normal 9 2 4 5 2 2 2" xfId="43862"/>
    <cellStyle name="Normal 9 2 4 5 2 3" xfId="11615"/>
    <cellStyle name="Normal 9 2 4 5 2 3 2" xfId="34202"/>
    <cellStyle name="Normal 9 2 4 5 2 4" xfId="27762"/>
    <cellStyle name="Normal 9 2 4 5 3" xfId="18055"/>
    <cellStyle name="Normal 9 2 4 5 3 2" xfId="40642"/>
    <cellStyle name="Normal 9 2 4 5 4" xfId="14835"/>
    <cellStyle name="Normal 9 2 4 5 4 2" xfId="37422"/>
    <cellStyle name="Normal 9 2 4 5 5" xfId="8395"/>
    <cellStyle name="Normal 9 2 4 5 5 2" xfId="30982"/>
    <cellStyle name="Normal 9 2 4 5 6" xfId="24542"/>
    <cellStyle name="Normal 9 2 4 6" xfId="3071"/>
    <cellStyle name="Normal 9 2 4 6 2" xfId="6291"/>
    <cellStyle name="Normal 9 2 4 6 2 2" xfId="22391"/>
    <cellStyle name="Normal 9 2 4 6 2 2 2" xfId="44978"/>
    <cellStyle name="Normal 9 2 4 6 2 3" xfId="12731"/>
    <cellStyle name="Normal 9 2 4 6 2 3 2" xfId="35318"/>
    <cellStyle name="Normal 9 2 4 6 2 4" xfId="28878"/>
    <cellStyle name="Normal 9 2 4 6 3" xfId="19171"/>
    <cellStyle name="Normal 9 2 4 6 3 2" xfId="41758"/>
    <cellStyle name="Normal 9 2 4 6 4" xfId="15951"/>
    <cellStyle name="Normal 9 2 4 6 4 2" xfId="38538"/>
    <cellStyle name="Normal 9 2 4 6 5" xfId="9511"/>
    <cellStyle name="Normal 9 2 4 6 5 2" xfId="32098"/>
    <cellStyle name="Normal 9 2 4 6 6" xfId="25658"/>
    <cellStyle name="Normal 9 2 4 7" xfId="3361"/>
    <cellStyle name="Normal 9 2 4 7 2" xfId="6581"/>
    <cellStyle name="Normal 9 2 4 7 2 2" xfId="22681"/>
    <cellStyle name="Normal 9 2 4 7 2 2 2" xfId="45268"/>
    <cellStyle name="Normal 9 2 4 7 2 3" xfId="13021"/>
    <cellStyle name="Normal 9 2 4 7 2 3 2" xfId="35608"/>
    <cellStyle name="Normal 9 2 4 7 2 4" xfId="29168"/>
    <cellStyle name="Normal 9 2 4 7 3" xfId="19461"/>
    <cellStyle name="Normal 9 2 4 7 3 2" xfId="42048"/>
    <cellStyle name="Normal 9 2 4 7 4" xfId="16241"/>
    <cellStyle name="Normal 9 2 4 7 4 2" xfId="38828"/>
    <cellStyle name="Normal 9 2 4 7 5" xfId="9801"/>
    <cellStyle name="Normal 9 2 4 7 5 2" xfId="32388"/>
    <cellStyle name="Normal 9 2 4 7 6" xfId="25948"/>
    <cellStyle name="Normal 9 2 4 8" xfId="623"/>
    <cellStyle name="Normal 9 2 4 8 2" xfId="3867"/>
    <cellStyle name="Normal 9 2 4 8 2 2" xfId="19967"/>
    <cellStyle name="Normal 9 2 4 8 2 2 2" xfId="42554"/>
    <cellStyle name="Normal 9 2 4 8 2 3" xfId="10307"/>
    <cellStyle name="Normal 9 2 4 8 2 3 2" xfId="32894"/>
    <cellStyle name="Normal 9 2 4 8 2 4" xfId="26454"/>
    <cellStyle name="Normal 9 2 4 8 3" xfId="16747"/>
    <cellStyle name="Normal 9 2 4 8 3 2" xfId="39334"/>
    <cellStyle name="Normal 9 2 4 8 4" xfId="13527"/>
    <cellStyle name="Normal 9 2 4 8 4 2" xfId="36114"/>
    <cellStyle name="Normal 9 2 4 8 5" xfId="7087"/>
    <cellStyle name="Normal 9 2 4 8 5 2" xfId="29674"/>
    <cellStyle name="Normal 9 2 4 8 6" xfId="23234"/>
    <cellStyle name="Normal 9 2 4 9" xfId="3651"/>
    <cellStyle name="Normal 9 2 4 9 2" xfId="19751"/>
    <cellStyle name="Normal 9 2 4 9 2 2" xfId="42338"/>
    <cellStyle name="Normal 9 2 4 9 3" xfId="10091"/>
    <cellStyle name="Normal 9 2 4 9 3 2" xfId="32678"/>
    <cellStyle name="Normal 9 2 4 9 4" xfId="26238"/>
    <cellStyle name="Normal 9 2 5" xfId="793"/>
    <cellStyle name="Normal 9 2 5 2" xfId="1145"/>
    <cellStyle name="Normal 9 2 5 2 2" xfId="2459"/>
    <cellStyle name="Normal 9 2 5 2 2 2" xfId="5680"/>
    <cellStyle name="Normal 9 2 5 2 2 2 2" xfId="21780"/>
    <cellStyle name="Normal 9 2 5 2 2 2 2 2" xfId="44367"/>
    <cellStyle name="Normal 9 2 5 2 2 2 3" xfId="12120"/>
    <cellStyle name="Normal 9 2 5 2 2 2 3 2" xfId="34707"/>
    <cellStyle name="Normal 9 2 5 2 2 2 4" xfId="28267"/>
    <cellStyle name="Normal 9 2 5 2 2 3" xfId="18560"/>
    <cellStyle name="Normal 9 2 5 2 2 3 2" xfId="41147"/>
    <cellStyle name="Normal 9 2 5 2 2 4" xfId="15340"/>
    <cellStyle name="Normal 9 2 5 2 2 4 2" xfId="37927"/>
    <cellStyle name="Normal 9 2 5 2 2 5" xfId="8900"/>
    <cellStyle name="Normal 9 2 5 2 2 5 2" xfId="31487"/>
    <cellStyle name="Normal 9 2 5 2 2 6" xfId="25047"/>
    <cellStyle name="Normal 9 2 5 2 3" xfId="4372"/>
    <cellStyle name="Normal 9 2 5 2 3 2" xfId="20472"/>
    <cellStyle name="Normal 9 2 5 2 3 2 2" xfId="43059"/>
    <cellStyle name="Normal 9 2 5 2 3 3" xfId="10812"/>
    <cellStyle name="Normal 9 2 5 2 3 3 2" xfId="33399"/>
    <cellStyle name="Normal 9 2 5 2 3 4" xfId="26959"/>
    <cellStyle name="Normal 9 2 5 2 4" xfId="17252"/>
    <cellStyle name="Normal 9 2 5 2 4 2" xfId="39839"/>
    <cellStyle name="Normal 9 2 5 2 5" xfId="14032"/>
    <cellStyle name="Normal 9 2 5 2 5 2" xfId="36619"/>
    <cellStyle name="Normal 9 2 5 2 6" xfId="7592"/>
    <cellStyle name="Normal 9 2 5 2 6 2" xfId="30179"/>
    <cellStyle name="Normal 9 2 5 2 7" xfId="23739"/>
    <cellStyle name="Normal 9 2 5 3" xfId="1492"/>
    <cellStyle name="Normal 9 2 5 3 2" xfId="2806"/>
    <cellStyle name="Normal 9 2 5 3 2 2" xfId="6027"/>
    <cellStyle name="Normal 9 2 5 3 2 2 2" xfId="22127"/>
    <cellStyle name="Normal 9 2 5 3 2 2 2 2" xfId="44714"/>
    <cellStyle name="Normal 9 2 5 3 2 2 3" xfId="12467"/>
    <cellStyle name="Normal 9 2 5 3 2 2 3 2" xfId="35054"/>
    <cellStyle name="Normal 9 2 5 3 2 2 4" xfId="28614"/>
    <cellStyle name="Normal 9 2 5 3 2 3" xfId="18907"/>
    <cellStyle name="Normal 9 2 5 3 2 3 2" xfId="41494"/>
    <cellStyle name="Normal 9 2 5 3 2 4" xfId="15687"/>
    <cellStyle name="Normal 9 2 5 3 2 4 2" xfId="38274"/>
    <cellStyle name="Normal 9 2 5 3 2 5" xfId="9247"/>
    <cellStyle name="Normal 9 2 5 3 2 5 2" xfId="31834"/>
    <cellStyle name="Normal 9 2 5 3 2 6" xfId="25394"/>
    <cellStyle name="Normal 9 2 5 3 3" xfId="4719"/>
    <cellStyle name="Normal 9 2 5 3 3 2" xfId="20819"/>
    <cellStyle name="Normal 9 2 5 3 3 2 2" xfId="43406"/>
    <cellStyle name="Normal 9 2 5 3 3 3" xfId="11159"/>
    <cellStyle name="Normal 9 2 5 3 3 3 2" xfId="33746"/>
    <cellStyle name="Normal 9 2 5 3 3 4" xfId="27306"/>
    <cellStyle name="Normal 9 2 5 3 4" xfId="17599"/>
    <cellStyle name="Normal 9 2 5 3 4 2" xfId="40186"/>
    <cellStyle name="Normal 9 2 5 3 5" xfId="14379"/>
    <cellStyle name="Normal 9 2 5 3 5 2" xfId="36966"/>
    <cellStyle name="Normal 9 2 5 3 6" xfId="7939"/>
    <cellStyle name="Normal 9 2 5 3 6 2" xfId="30526"/>
    <cellStyle name="Normal 9 2 5 3 7" xfId="24086"/>
    <cellStyle name="Normal 9 2 5 4" xfId="2112"/>
    <cellStyle name="Normal 9 2 5 4 2" xfId="5333"/>
    <cellStyle name="Normal 9 2 5 4 2 2" xfId="21433"/>
    <cellStyle name="Normal 9 2 5 4 2 2 2" xfId="44020"/>
    <cellStyle name="Normal 9 2 5 4 2 3" xfId="11773"/>
    <cellStyle name="Normal 9 2 5 4 2 3 2" xfId="34360"/>
    <cellStyle name="Normal 9 2 5 4 2 4" xfId="27920"/>
    <cellStyle name="Normal 9 2 5 4 3" xfId="18213"/>
    <cellStyle name="Normal 9 2 5 4 3 2" xfId="40800"/>
    <cellStyle name="Normal 9 2 5 4 4" xfId="14993"/>
    <cellStyle name="Normal 9 2 5 4 4 2" xfId="37580"/>
    <cellStyle name="Normal 9 2 5 4 5" xfId="8553"/>
    <cellStyle name="Normal 9 2 5 4 5 2" xfId="31140"/>
    <cellStyle name="Normal 9 2 5 4 6" xfId="24700"/>
    <cellStyle name="Normal 9 2 5 5" xfId="4025"/>
    <cellStyle name="Normal 9 2 5 5 2" xfId="20125"/>
    <cellStyle name="Normal 9 2 5 5 2 2" xfId="42712"/>
    <cellStyle name="Normal 9 2 5 5 3" xfId="10465"/>
    <cellStyle name="Normal 9 2 5 5 3 2" xfId="33052"/>
    <cellStyle name="Normal 9 2 5 5 4" xfId="26612"/>
    <cellStyle name="Normal 9 2 5 6" xfId="16905"/>
    <cellStyle name="Normal 9 2 5 6 2" xfId="39492"/>
    <cellStyle name="Normal 9 2 5 7" xfId="13685"/>
    <cellStyle name="Normal 9 2 5 7 2" xfId="36272"/>
    <cellStyle name="Normal 9 2 5 8" xfId="7245"/>
    <cellStyle name="Normal 9 2 5 8 2" xfId="29832"/>
    <cellStyle name="Normal 9 2 5 9" xfId="23392"/>
    <cellStyle name="Normal 9 2 6" xfId="863"/>
    <cellStyle name="Normal 9 2 6 2" xfId="2182"/>
    <cellStyle name="Normal 9 2 6 2 2" xfId="5403"/>
    <cellStyle name="Normal 9 2 6 2 2 2" xfId="21503"/>
    <cellStyle name="Normal 9 2 6 2 2 2 2" xfId="44090"/>
    <cellStyle name="Normal 9 2 6 2 2 3" xfId="11843"/>
    <cellStyle name="Normal 9 2 6 2 2 3 2" xfId="34430"/>
    <cellStyle name="Normal 9 2 6 2 2 4" xfId="27990"/>
    <cellStyle name="Normal 9 2 6 2 3" xfId="18283"/>
    <cellStyle name="Normal 9 2 6 2 3 2" xfId="40870"/>
    <cellStyle name="Normal 9 2 6 2 4" xfId="15063"/>
    <cellStyle name="Normal 9 2 6 2 4 2" xfId="37650"/>
    <cellStyle name="Normal 9 2 6 2 5" xfId="8623"/>
    <cellStyle name="Normal 9 2 6 2 5 2" xfId="31210"/>
    <cellStyle name="Normal 9 2 6 2 6" xfId="24770"/>
    <cellStyle name="Normal 9 2 6 3" xfId="4095"/>
    <cellStyle name="Normal 9 2 6 3 2" xfId="20195"/>
    <cellStyle name="Normal 9 2 6 3 2 2" xfId="42782"/>
    <cellStyle name="Normal 9 2 6 3 3" xfId="10535"/>
    <cellStyle name="Normal 9 2 6 3 3 2" xfId="33122"/>
    <cellStyle name="Normal 9 2 6 3 4" xfId="26682"/>
    <cellStyle name="Normal 9 2 6 4" xfId="16975"/>
    <cellStyle name="Normal 9 2 6 4 2" xfId="39562"/>
    <cellStyle name="Normal 9 2 6 5" xfId="13755"/>
    <cellStyle name="Normal 9 2 6 5 2" xfId="36342"/>
    <cellStyle name="Normal 9 2 6 6" xfId="7315"/>
    <cellStyle name="Normal 9 2 6 6 2" xfId="29902"/>
    <cellStyle name="Normal 9 2 6 7" xfId="23462"/>
    <cellStyle name="Normal 9 2 7" xfId="1215"/>
    <cellStyle name="Normal 9 2 7 2" xfId="2529"/>
    <cellStyle name="Normal 9 2 7 2 2" xfId="5750"/>
    <cellStyle name="Normal 9 2 7 2 2 2" xfId="21850"/>
    <cellStyle name="Normal 9 2 7 2 2 2 2" xfId="44437"/>
    <cellStyle name="Normal 9 2 7 2 2 3" xfId="12190"/>
    <cellStyle name="Normal 9 2 7 2 2 3 2" xfId="34777"/>
    <cellStyle name="Normal 9 2 7 2 2 4" xfId="28337"/>
    <cellStyle name="Normal 9 2 7 2 3" xfId="18630"/>
    <cellStyle name="Normal 9 2 7 2 3 2" xfId="41217"/>
    <cellStyle name="Normal 9 2 7 2 4" xfId="15410"/>
    <cellStyle name="Normal 9 2 7 2 4 2" xfId="37997"/>
    <cellStyle name="Normal 9 2 7 2 5" xfId="8970"/>
    <cellStyle name="Normal 9 2 7 2 5 2" xfId="31557"/>
    <cellStyle name="Normal 9 2 7 2 6" xfId="25117"/>
    <cellStyle name="Normal 9 2 7 3" xfId="4442"/>
    <cellStyle name="Normal 9 2 7 3 2" xfId="20542"/>
    <cellStyle name="Normal 9 2 7 3 2 2" xfId="43129"/>
    <cellStyle name="Normal 9 2 7 3 3" xfId="10882"/>
    <cellStyle name="Normal 9 2 7 3 3 2" xfId="33469"/>
    <cellStyle name="Normal 9 2 7 3 4" xfId="27029"/>
    <cellStyle name="Normal 9 2 7 4" xfId="17322"/>
    <cellStyle name="Normal 9 2 7 4 2" xfId="39909"/>
    <cellStyle name="Normal 9 2 7 5" xfId="14102"/>
    <cellStyle name="Normal 9 2 7 5 2" xfId="36689"/>
    <cellStyle name="Normal 9 2 7 6" xfId="7662"/>
    <cellStyle name="Normal 9 2 7 6 2" xfId="30249"/>
    <cellStyle name="Normal 9 2 7 7" xfId="23809"/>
    <cellStyle name="Normal 9 2 8" xfId="1751"/>
    <cellStyle name="Normal 9 2 8 2" xfId="4974"/>
    <cellStyle name="Normal 9 2 8 2 2" xfId="21074"/>
    <cellStyle name="Normal 9 2 8 2 2 2" xfId="43661"/>
    <cellStyle name="Normal 9 2 8 2 3" xfId="11414"/>
    <cellStyle name="Normal 9 2 8 2 3 2" xfId="34001"/>
    <cellStyle name="Normal 9 2 8 2 4" xfId="27561"/>
    <cellStyle name="Normal 9 2 8 3" xfId="17854"/>
    <cellStyle name="Normal 9 2 8 3 2" xfId="40441"/>
    <cellStyle name="Normal 9 2 8 4" xfId="14634"/>
    <cellStyle name="Normal 9 2 8 4 2" xfId="37221"/>
    <cellStyle name="Normal 9 2 8 5" xfId="8194"/>
    <cellStyle name="Normal 9 2 8 5 2" xfId="30781"/>
    <cellStyle name="Normal 9 2 8 6" xfId="24341"/>
    <cellStyle name="Normal 9 2 9" xfId="1834"/>
    <cellStyle name="Normal 9 2 9 2" xfId="5056"/>
    <cellStyle name="Normal 9 2 9 2 2" xfId="21156"/>
    <cellStyle name="Normal 9 2 9 2 2 2" xfId="43743"/>
    <cellStyle name="Normal 9 2 9 2 3" xfId="11496"/>
    <cellStyle name="Normal 9 2 9 2 3 2" xfId="34083"/>
    <cellStyle name="Normal 9 2 9 2 4" xfId="27643"/>
    <cellStyle name="Normal 9 2 9 3" xfId="17936"/>
    <cellStyle name="Normal 9 2 9 3 2" xfId="40523"/>
    <cellStyle name="Normal 9 2 9 4" xfId="14716"/>
    <cellStyle name="Normal 9 2 9 4 2" xfId="37303"/>
    <cellStyle name="Normal 9 2 9 5" xfId="8276"/>
    <cellStyle name="Normal 9 2 9 5 2" xfId="30863"/>
    <cellStyle name="Normal 9 2 9 6" xfId="24423"/>
    <cellStyle name="Normal 9 3" xfId="140"/>
    <cellStyle name="Normal 9 3 10" xfId="478"/>
    <cellStyle name="Normal 9 3 10 2" xfId="3765"/>
    <cellStyle name="Normal 9 3 10 2 2" xfId="19865"/>
    <cellStyle name="Normal 9 3 10 2 2 2" xfId="42452"/>
    <cellStyle name="Normal 9 3 10 2 3" xfId="10205"/>
    <cellStyle name="Normal 9 3 10 2 3 2" xfId="32792"/>
    <cellStyle name="Normal 9 3 10 2 4" xfId="26352"/>
    <cellStyle name="Normal 9 3 10 3" xfId="16645"/>
    <cellStyle name="Normal 9 3 10 3 2" xfId="39232"/>
    <cellStyle name="Normal 9 3 10 4" xfId="13425"/>
    <cellStyle name="Normal 9 3 10 4 2" xfId="36012"/>
    <cellStyle name="Normal 9 3 10 5" xfId="6985"/>
    <cellStyle name="Normal 9 3 10 5 2" xfId="29572"/>
    <cellStyle name="Normal 9 3 10 6" xfId="23132"/>
    <cellStyle name="Normal 9 3 11" xfId="3475"/>
    <cellStyle name="Normal 9 3 11 2" xfId="19575"/>
    <cellStyle name="Normal 9 3 11 2 2" xfId="42162"/>
    <cellStyle name="Normal 9 3 11 3" xfId="9915"/>
    <cellStyle name="Normal 9 3 11 3 2" xfId="32502"/>
    <cellStyle name="Normal 9 3 11 4" xfId="26062"/>
    <cellStyle name="Normal 9 3 12" xfId="16355"/>
    <cellStyle name="Normal 9 3 12 2" xfId="38942"/>
    <cellStyle name="Normal 9 3 13" xfId="13135"/>
    <cellStyle name="Normal 9 3 13 2" xfId="35722"/>
    <cellStyle name="Normal 9 3 14" xfId="6695"/>
    <cellStyle name="Normal 9 3 14 2" xfId="29282"/>
    <cellStyle name="Normal 9 3 15" xfId="22842"/>
    <cellStyle name="Normal 9 3 2" xfId="286"/>
    <cellStyle name="Normal 9 3 2 10" xfId="16453"/>
    <cellStyle name="Normal 9 3 2 10 2" xfId="39040"/>
    <cellStyle name="Normal 9 3 2 11" xfId="13233"/>
    <cellStyle name="Normal 9 3 2 11 2" xfId="35820"/>
    <cellStyle name="Normal 9 3 2 12" xfId="6793"/>
    <cellStyle name="Normal 9 3 2 12 2" xfId="29380"/>
    <cellStyle name="Normal 9 3 2 13" xfId="22940"/>
    <cellStyle name="Normal 9 3 2 2" xfId="1004"/>
    <cellStyle name="Normal 9 3 2 2 2" xfId="2318"/>
    <cellStyle name="Normal 9 3 2 2 2 2" xfId="5539"/>
    <cellStyle name="Normal 9 3 2 2 2 2 2" xfId="21639"/>
    <cellStyle name="Normal 9 3 2 2 2 2 2 2" xfId="44226"/>
    <cellStyle name="Normal 9 3 2 2 2 2 3" xfId="11979"/>
    <cellStyle name="Normal 9 3 2 2 2 2 3 2" xfId="34566"/>
    <cellStyle name="Normal 9 3 2 2 2 2 4" xfId="28126"/>
    <cellStyle name="Normal 9 3 2 2 2 3" xfId="18419"/>
    <cellStyle name="Normal 9 3 2 2 2 3 2" xfId="41006"/>
    <cellStyle name="Normal 9 3 2 2 2 4" xfId="15199"/>
    <cellStyle name="Normal 9 3 2 2 2 4 2" xfId="37786"/>
    <cellStyle name="Normal 9 3 2 2 2 5" xfId="8759"/>
    <cellStyle name="Normal 9 3 2 2 2 5 2" xfId="31346"/>
    <cellStyle name="Normal 9 3 2 2 2 6" xfId="24906"/>
    <cellStyle name="Normal 9 3 2 2 3" xfId="4231"/>
    <cellStyle name="Normal 9 3 2 2 3 2" xfId="20331"/>
    <cellStyle name="Normal 9 3 2 2 3 2 2" xfId="42918"/>
    <cellStyle name="Normal 9 3 2 2 3 3" xfId="10671"/>
    <cellStyle name="Normal 9 3 2 2 3 3 2" xfId="33258"/>
    <cellStyle name="Normal 9 3 2 2 3 4" xfId="26818"/>
    <cellStyle name="Normal 9 3 2 2 4" xfId="17111"/>
    <cellStyle name="Normal 9 3 2 2 4 2" xfId="39698"/>
    <cellStyle name="Normal 9 3 2 2 5" xfId="13891"/>
    <cellStyle name="Normal 9 3 2 2 5 2" xfId="36478"/>
    <cellStyle name="Normal 9 3 2 2 6" xfId="7451"/>
    <cellStyle name="Normal 9 3 2 2 6 2" xfId="30038"/>
    <cellStyle name="Normal 9 3 2 2 7" xfId="23598"/>
    <cellStyle name="Normal 9 3 2 3" xfId="1351"/>
    <cellStyle name="Normal 9 3 2 3 2" xfId="2665"/>
    <cellStyle name="Normal 9 3 2 3 2 2" xfId="5886"/>
    <cellStyle name="Normal 9 3 2 3 2 2 2" xfId="21986"/>
    <cellStyle name="Normal 9 3 2 3 2 2 2 2" xfId="44573"/>
    <cellStyle name="Normal 9 3 2 3 2 2 3" xfId="12326"/>
    <cellStyle name="Normal 9 3 2 3 2 2 3 2" xfId="34913"/>
    <cellStyle name="Normal 9 3 2 3 2 2 4" xfId="28473"/>
    <cellStyle name="Normal 9 3 2 3 2 3" xfId="18766"/>
    <cellStyle name="Normal 9 3 2 3 2 3 2" xfId="41353"/>
    <cellStyle name="Normal 9 3 2 3 2 4" xfId="15546"/>
    <cellStyle name="Normal 9 3 2 3 2 4 2" xfId="38133"/>
    <cellStyle name="Normal 9 3 2 3 2 5" xfId="9106"/>
    <cellStyle name="Normal 9 3 2 3 2 5 2" xfId="31693"/>
    <cellStyle name="Normal 9 3 2 3 2 6" xfId="25253"/>
    <cellStyle name="Normal 9 3 2 3 3" xfId="4578"/>
    <cellStyle name="Normal 9 3 2 3 3 2" xfId="20678"/>
    <cellStyle name="Normal 9 3 2 3 3 2 2" xfId="43265"/>
    <cellStyle name="Normal 9 3 2 3 3 3" xfId="11018"/>
    <cellStyle name="Normal 9 3 2 3 3 3 2" xfId="33605"/>
    <cellStyle name="Normal 9 3 2 3 3 4" xfId="27165"/>
    <cellStyle name="Normal 9 3 2 3 4" xfId="17458"/>
    <cellStyle name="Normal 9 3 2 3 4 2" xfId="40045"/>
    <cellStyle name="Normal 9 3 2 3 5" xfId="14238"/>
    <cellStyle name="Normal 9 3 2 3 5 2" xfId="36825"/>
    <cellStyle name="Normal 9 3 2 3 6" xfId="7798"/>
    <cellStyle name="Normal 9 3 2 3 6 2" xfId="30385"/>
    <cellStyle name="Normal 9 3 2 3 7" xfId="23945"/>
    <cellStyle name="Normal 9 3 2 4" xfId="1752"/>
    <cellStyle name="Normal 9 3 2 4 2" xfId="4975"/>
    <cellStyle name="Normal 9 3 2 4 2 2" xfId="21075"/>
    <cellStyle name="Normal 9 3 2 4 2 2 2" xfId="43662"/>
    <cellStyle name="Normal 9 3 2 4 2 3" xfId="11415"/>
    <cellStyle name="Normal 9 3 2 4 2 3 2" xfId="34002"/>
    <cellStyle name="Normal 9 3 2 4 2 4" xfId="27562"/>
    <cellStyle name="Normal 9 3 2 4 3" xfId="17855"/>
    <cellStyle name="Normal 9 3 2 4 3 2" xfId="40442"/>
    <cellStyle name="Normal 9 3 2 4 4" xfId="14635"/>
    <cellStyle name="Normal 9 3 2 4 4 2" xfId="37222"/>
    <cellStyle name="Normal 9 3 2 4 5" xfId="8195"/>
    <cellStyle name="Normal 9 3 2 4 5 2" xfId="30782"/>
    <cellStyle name="Normal 9 3 2 4 6" xfId="24342"/>
    <cellStyle name="Normal 9 3 2 5" xfId="1970"/>
    <cellStyle name="Normal 9 3 2 5 2" xfId="5192"/>
    <cellStyle name="Normal 9 3 2 5 2 2" xfId="21292"/>
    <cellStyle name="Normal 9 3 2 5 2 2 2" xfId="43879"/>
    <cellStyle name="Normal 9 3 2 5 2 3" xfId="11632"/>
    <cellStyle name="Normal 9 3 2 5 2 3 2" xfId="34219"/>
    <cellStyle name="Normal 9 3 2 5 2 4" xfId="27779"/>
    <cellStyle name="Normal 9 3 2 5 3" xfId="18072"/>
    <cellStyle name="Normal 9 3 2 5 3 2" xfId="40659"/>
    <cellStyle name="Normal 9 3 2 5 4" xfId="14852"/>
    <cellStyle name="Normal 9 3 2 5 4 2" xfId="37439"/>
    <cellStyle name="Normal 9 3 2 5 5" xfId="8412"/>
    <cellStyle name="Normal 9 3 2 5 5 2" xfId="30999"/>
    <cellStyle name="Normal 9 3 2 5 6" xfId="24559"/>
    <cellStyle name="Normal 9 3 2 6" xfId="2993"/>
    <cellStyle name="Normal 9 3 2 6 2" xfId="6213"/>
    <cellStyle name="Normal 9 3 2 6 2 2" xfId="22313"/>
    <cellStyle name="Normal 9 3 2 6 2 2 2" xfId="44900"/>
    <cellStyle name="Normal 9 3 2 6 2 3" xfId="12653"/>
    <cellStyle name="Normal 9 3 2 6 2 3 2" xfId="35240"/>
    <cellStyle name="Normal 9 3 2 6 2 4" xfId="28800"/>
    <cellStyle name="Normal 9 3 2 6 3" xfId="19093"/>
    <cellStyle name="Normal 9 3 2 6 3 2" xfId="41680"/>
    <cellStyle name="Normal 9 3 2 6 4" xfId="15873"/>
    <cellStyle name="Normal 9 3 2 6 4 2" xfId="38460"/>
    <cellStyle name="Normal 9 3 2 6 5" xfId="9433"/>
    <cellStyle name="Normal 9 3 2 6 5 2" xfId="32020"/>
    <cellStyle name="Normal 9 3 2 6 6" xfId="25580"/>
    <cellStyle name="Normal 9 3 2 7" xfId="3283"/>
    <cellStyle name="Normal 9 3 2 7 2" xfId="6503"/>
    <cellStyle name="Normal 9 3 2 7 2 2" xfId="22603"/>
    <cellStyle name="Normal 9 3 2 7 2 2 2" xfId="45190"/>
    <cellStyle name="Normal 9 3 2 7 2 3" xfId="12943"/>
    <cellStyle name="Normal 9 3 2 7 2 3 2" xfId="35530"/>
    <cellStyle name="Normal 9 3 2 7 2 4" xfId="29090"/>
    <cellStyle name="Normal 9 3 2 7 3" xfId="19383"/>
    <cellStyle name="Normal 9 3 2 7 3 2" xfId="41970"/>
    <cellStyle name="Normal 9 3 2 7 4" xfId="16163"/>
    <cellStyle name="Normal 9 3 2 7 4 2" xfId="38750"/>
    <cellStyle name="Normal 9 3 2 7 5" xfId="9723"/>
    <cellStyle name="Normal 9 3 2 7 5 2" xfId="32310"/>
    <cellStyle name="Normal 9 3 2 7 6" xfId="25870"/>
    <cellStyle name="Normal 9 3 2 8" xfId="640"/>
    <cellStyle name="Normal 9 3 2 8 2" xfId="3884"/>
    <cellStyle name="Normal 9 3 2 8 2 2" xfId="19984"/>
    <cellStyle name="Normal 9 3 2 8 2 2 2" xfId="42571"/>
    <cellStyle name="Normal 9 3 2 8 2 3" xfId="10324"/>
    <cellStyle name="Normal 9 3 2 8 2 3 2" xfId="32911"/>
    <cellStyle name="Normal 9 3 2 8 2 4" xfId="26471"/>
    <cellStyle name="Normal 9 3 2 8 3" xfId="16764"/>
    <cellStyle name="Normal 9 3 2 8 3 2" xfId="39351"/>
    <cellStyle name="Normal 9 3 2 8 4" xfId="13544"/>
    <cellStyle name="Normal 9 3 2 8 4 2" xfId="36131"/>
    <cellStyle name="Normal 9 3 2 8 5" xfId="7104"/>
    <cellStyle name="Normal 9 3 2 8 5 2" xfId="29691"/>
    <cellStyle name="Normal 9 3 2 8 6" xfId="23251"/>
    <cellStyle name="Normal 9 3 2 9" xfId="3573"/>
    <cellStyle name="Normal 9 3 2 9 2" xfId="19673"/>
    <cellStyle name="Normal 9 3 2 9 2 2" xfId="42260"/>
    <cellStyle name="Normal 9 3 2 9 3" xfId="10013"/>
    <cellStyle name="Normal 9 3 2 9 3 2" xfId="32600"/>
    <cellStyle name="Normal 9 3 2 9 4" xfId="26160"/>
    <cellStyle name="Normal 9 3 3" xfId="381"/>
    <cellStyle name="Normal 9 3 3 10" xfId="16548"/>
    <cellStyle name="Normal 9 3 3 10 2" xfId="39135"/>
    <cellStyle name="Normal 9 3 3 11" xfId="13328"/>
    <cellStyle name="Normal 9 3 3 11 2" xfId="35915"/>
    <cellStyle name="Normal 9 3 3 12" xfId="6888"/>
    <cellStyle name="Normal 9 3 3 12 2" xfId="29475"/>
    <cellStyle name="Normal 9 3 3 13" xfId="23035"/>
    <cellStyle name="Normal 9 3 3 2" xfId="1165"/>
    <cellStyle name="Normal 9 3 3 2 2" xfId="2479"/>
    <cellStyle name="Normal 9 3 3 2 2 2" xfId="5700"/>
    <cellStyle name="Normal 9 3 3 2 2 2 2" xfId="21800"/>
    <cellStyle name="Normal 9 3 3 2 2 2 2 2" xfId="44387"/>
    <cellStyle name="Normal 9 3 3 2 2 2 3" xfId="12140"/>
    <cellStyle name="Normal 9 3 3 2 2 2 3 2" xfId="34727"/>
    <cellStyle name="Normal 9 3 3 2 2 2 4" xfId="28287"/>
    <cellStyle name="Normal 9 3 3 2 2 3" xfId="18580"/>
    <cellStyle name="Normal 9 3 3 2 2 3 2" xfId="41167"/>
    <cellStyle name="Normal 9 3 3 2 2 4" xfId="15360"/>
    <cellStyle name="Normal 9 3 3 2 2 4 2" xfId="37947"/>
    <cellStyle name="Normal 9 3 3 2 2 5" xfId="8920"/>
    <cellStyle name="Normal 9 3 3 2 2 5 2" xfId="31507"/>
    <cellStyle name="Normal 9 3 3 2 2 6" xfId="25067"/>
    <cellStyle name="Normal 9 3 3 2 3" xfId="4392"/>
    <cellStyle name="Normal 9 3 3 2 3 2" xfId="20492"/>
    <cellStyle name="Normal 9 3 3 2 3 2 2" xfId="43079"/>
    <cellStyle name="Normal 9 3 3 2 3 3" xfId="10832"/>
    <cellStyle name="Normal 9 3 3 2 3 3 2" xfId="33419"/>
    <cellStyle name="Normal 9 3 3 2 3 4" xfId="26979"/>
    <cellStyle name="Normal 9 3 3 2 4" xfId="17272"/>
    <cellStyle name="Normal 9 3 3 2 4 2" xfId="39859"/>
    <cellStyle name="Normal 9 3 3 2 5" xfId="14052"/>
    <cellStyle name="Normal 9 3 3 2 5 2" xfId="36639"/>
    <cellStyle name="Normal 9 3 3 2 6" xfId="7612"/>
    <cellStyle name="Normal 9 3 3 2 6 2" xfId="30199"/>
    <cellStyle name="Normal 9 3 3 2 7" xfId="23759"/>
    <cellStyle name="Normal 9 3 3 3" xfId="1512"/>
    <cellStyle name="Normal 9 3 3 3 2" xfId="2826"/>
    <cellStyle name="Normal 9 3 3 3 2 2" xfId="6047"/>
    <cellStyle name="Normal 9 3 3 3 2 2 2" xfId="22147"/>
    <cellStyle name="Normal 9 3 3 3 2 2 2 2" xfId="44734"/>
    <cellStyle name="Normal 9 3 3 3 2 2 3" xfId="12487"/>
    <cellStyle name="Normal 9 3 3 3 2 2 3 2" xfId="35074"/>
    <cellStyle name="Normal 9 3 3 3 2 2 4" xfId="28634"/>
    <cellStyle name="Normal 9 3 3 3 2 3" xfId="18927"/>
    <cellStyle name="Normal 9 3 3 3 2 3 2" xfId="41514"/>
    <cellStyle name="Normal 9 3 3 3 2 4" xfId="15707"/>
    <cellStyle name="Normal 9 3 3 3 2 4 2" xfId="38294"/>
    <cellStyle name="Normal 9 3 3 3 2 5" xfId="9267"/>
    <cellStyle name="Normal 9 3 3 3 2 5 2" xfId="31854"/>
    <cellStyle name="Normal 9 3 3 3 2 6" xfId="25414"/>
    <cellStyle name="Normal 9 3 3 3 3" xfId="4739"/>
    <cellStyle name="Normal 9 3 3 3 3 2" xfId="20839"/>
    <cellStyle name="Normal 9 3 3 3 3 2 2" xfId="43426"/>
    <cellStyle name="Normal 9 3 3 3 3 3" xfId="11179"/>
    <cellStyle name="Normal 9 3 3 3 3 3 2" xfId="33766"/>
    <cellStyle name="Normal 9 3 3 3 3 4" xfId="27326"/>
    <cellStyle name="Normal 9 3 3 3 4" xfId="17619"/>
    <cellStyle name="Normal 9 3 3 3 4 2" xfId="40206"/>
    <cellStyle name="Normal 9 3 3 3 5" xfId="14399"/>
    <cellStyle name="Normal 9 3 3 3 5 2" xfId="36986"/>
    <cellStyle name="Normal 9 3 3 3 6" xfId="7959"/>
    <cellStyle name="Normal 9 3 3 3 6 2" xfId="30546"/>
    <cellStyle name="Normal 9 3 3 3 7" xfId="24106"/>
    <cellStyle name="Normal 9 3 3 4" xfId="1753"/>
    <cellStyle name="Normal 9 3 3 4 2" xfId="4976"/>
    <cellStyle name="Normal 9 3 3 4 2 2" xfId="21076"/>
    <cellStyle name="Normal 9 3 3 4 2 2 2" xfId="43663"/>
    <cellStyle name="Normal 9 3 3 4 2 3" xfId="11416"/>
    <cellStyle name="Normal 9 3 3 4 2 3 2" xfId="34003"/>
    <cellStyle name="Normal 9 3 3 4 2 4" xfId="27563"/>
    <cellStyle name="Normal 9 3 3 4 3" xfId="17856"/>
    <cellStyle name="Normal 9 3 3 4 3 2" xfId="40443"/>
    <cellStyle name="Normal 9 3 3 4 4" xfId="14636"/>
    <cellStyle name="Normal 9 3 3 4 4 2" xfId="37223"/>
    <cellStyle name="Normal 9 3 3 4 5" xfId="8196"/>
    <cellStyle name="Normal 9 3 3 4 5 2" xfId="30783"/>
    <cellStyle name="Normal 9 3 3 4 6" xfId="24343"/>
    <cellStyle name="Normal 9 3 3 5" xfId="2132"/>
    <cellStyle name="Normal 9 3 3 5 2" xfId="5353"/>
    <cellStyle name="Normal 9 3 3 5 2 2" xfId="21453"/>
    <cellStyle name="Normal 9 3 3 5 2 2 2" xfId="44040"/>
    <cellStyle name="Normal 9 3 3 5 2 3" xfId="11793"/>
    <cellStyle name="Normal 9 3 3 5 2 3 2" xfId="34380"/>
    <cellStyle name="Normal 9 3 3 5 2 4" xfId="27940"/>
    <cellStyle name="Normal 9 3 3 5 3" xfId="18233"/>
    <cellStyle name="Normal 9 3 3 5 3 2" xfId="40820"/>
    <cellStyle name="Normal 9 3 3 5 4" xfId="15013"/>
    <cellStyle name="Normal 9 3 3 5 4 2" xfId="37600"/>
    <cellStyle name="Normal 9 3 3 5 5" xfId="8573"/>
    <cellStyle name="Normal 9 3 3 5 5 2" xfId="31160"/>
    <cellStyle name="Normal 9 3 3 5 6" xfId="24720"/>
    <cellStyle name="Normal 9 3 3 6" xfId="3088"/>
    <cellStyle name="Normal 9 3 3 6 2" xfId="6308"/>
    <cellStyle name="Normal 9 3 3 6 2 2" xfId="22408"/>
    <cellStyle name="Normal 9 3 3 6 2 2 2" xfId="44995"/>
    <cellStyle name="Normal 9 3 3 6 2 3" xfId="12748"/>
    <cellStyle name="Normal 9 3 3 6 2 3 2" xfId="35335"/>
    <cellStyle name="Normal 9 3 3 6 2 4" xfId="28895"/>
    <cellStyle name="Normal 9 3 3 6 3" xfId="19188"/>
    <cellStyle name="Normal 9 3 3 6 3 2" xfId="41775"/>
    <cellStyle name="Normal 9 3 3 6 4" xfId="15968"/>
    <cellStyle name="Normal 9 3 3 6 4 2" xfId="38555"/>
    <cellStyle name="Normal 9 3 3 6 5" xfId="9528"/>
    <cellStyle name="Normal 9 3 3 6 5 2" xfId="32115"/>
    <cellStyle name="Normal 9 3 3 6 6" xfId="25675"/>
    <cellStyle name="Normal 9 3 3 7" xfId="3378"/>
    <cellStyle name="Normal 9 3 3 7 2" xfId="6598"/>
    <cellStyle name="Normal 9 3 3 7 2 2" xfId="22698"/>
    <cellStyle name="Normal 9 3 3 7 2 2 2" xfId="45285"/>
    <cellStyle name="Normal 9 3 3 7 2 3" xfId="13038"/>
    <cellStyle name="Normal 9 3 3 7 2 3 2" xfId="35625"/>
    <cellStyle name="Normal 9 3 3 7 2 4" xfId="29185"/>
    <cellStyle name="Normal 9 3 3 7 3" xfId="19478"/>
    <cellStyle name="Normal 9 3 3 7 3 2" xfId="42065"/>
    <cellStyle name="Normal 9 3 3 7 4" xfId="16258"/>
    <cellStyle name="Normal 9 3 3 7 4 2" xfId="38845"/>
    <cellStyle name="Normal 9 3 3 7 5" xfId="9818"/>
    <cellStyle name="Normal 9 3 3 7 5 2" xfId="32405"/>
    <cellStyle name="Normal 9 3 3 7 6" xfId="25965"/>
    <cellStyle name="Normal 9 3 3 8" xfId="813"/>
    <cellStyle name="Normal 9 3 3 8 2" xfId="4045"/>
    <cellStyle name="Normal 9 3 3 8 2 2" xfId="20145"/>
    <cellStyle name="Normal 9 3 3 8 2 2 2" xfId="42732"/>
    <cellStyle name="Normal 9 3 3 8 2 3" xfId="10485"/>
    <cellStyle name="Normal 9 3 3 8 2 3 2" xfId="33072"/>
    <cellStyle name="Normal 9 3 3 8 2 4" xfId="26632"/>
    <cellStyle name="Normal 9 3 3 8 3" xfId="16925"/>
    <cellStyle name="Normal 9 3 3 8 3 2" xfId="39512"/>
    <cellStyle name="Normal 9 3 3 8 4" xfId="13705"/>
    <cellStyle name="Normal 9 3 3 8 4 2" xfId="36292"/>
    <cellStyle name="Normal 9 3 3 8 5" xfId="7265"/>
    <cellStyle name="Normal 9 3 3 8 5 2" xfId="29852"/>
    <cellStyle name="Normal 9 3 3 8 6" xfId="23412"/>
    <cellStyle name="Normal 9 3 3 9" xfId="3668"/>
    <cellStyle name="Normal 9 3 3 9 2" xfId="19768"/>
    <cellStyle name="Normal 9 3 3 9 2 2" xfId="42355"/>
    <cellStyle name="Normal 9 3 3 9 3" xfId="10108"/>
    <cellStyle name="Normal 9 3 3 9 3 2" xfId="32695"/>
    <cellStyle name="Normal 9 3 3 9 4" xfId="26255"/>
    <cellStyle name="Normal 9 3 4" xfId="880"/>
    <cellStyle name="Normal 9 3 4 2" xfId="2199"/>
    <cellStyle name="Normal 9 3 4 2 2" xfId="5420"/>
    <cellStyle name="Normal 9 3 4 2 2 2" xfId="21520"/>
    <cellStyle name="Normal 9 3 4 2 2 2 2" xfId="44107"/>
    <cellStyle name="Normal 9 3 4 2 2 3" xfId="11860"/>
    <cellStyle name="Normal 9 3 4 2 2 3 2" xfId="34447"/>
    <cellStyle name="Normal 9 3 4 2 2 4" xfId="28007"/>
    <cellStyle name="Normal 9 3 4 2 3" xfId="18300"/>
    <cellStyle name="Normal 9 3 4 2 3 2" xfId="40887"/>
    <cellStyle name="Normal 9 3 4 2 4" xfId="15080"/>
    <cellStyle name="Normal 9 3 4 2 4 2" xfId="37667"/>
    <cellStyle name="Normal 9 3 4 2 5" xfId="8640"/>
    <cellStyle name="Normal 9 3 4 2 5 2" xfId="31227"/>
    <cellStyle name="Normal 9 3 4 2 6" xfId="24787"/>
    <cellStyle name="Normal 9 3 4 3" xfId="4112"/>
    <cellStyle name="Normal 9 3 4 3 2" xfId="20212"/>
    <cellStyle name="Normal 9 3 4 3 2 2" xfId="42799"/>
    <cellStyle name="Normal 9 3 4 3 3" xfId="10552"/>
    <cellStyle name="Normal 9 3 4 3 3 2" xfId="33139"/>
    <cellStyle name="Normal 9 3 4 3 4" xfId="26699"/>
    <cellStyle name="Normal 9 3 4 4" xfId="16992"/>
    <cellStyle name="Normal 9 3 4 4 2" xfId="39579"/>
    <cellStyle name="Normal 9 3 4 5" xfId="13772"/>
    <cellStyle name="Normal 9 3 4 5 2" xfId="36359"/>
    <cellStyle name="Normal 9 3 4 6" xfId="7332"/>
    <cellStyle name="Normal 9 3 4 6 2" xfId="29919"/>
    <cellStyle name="Normal 9 3 4 7" xfId="23479"/>
    <cellStyle name="Normal 9 3 5" xfId="1232"/>
    <cellStyle name="Normal 9 3 5 2" xfId="2546"/>
    <cellStyle name="Normal 9 3 5 2 2" xfId="5767"/>
    <cellStyle name="Normal 9 3 5 2 2 2" xfId="21867"/>
    <cellStyle name="Normal 9 3 5 2 2 2 2" xfId="44454"/>
    <cellStyle name="Normal 9 3 5 2 2 3" xfId="12207"/>
    <cellStyle name="Normal 9 3 5 2 2 3 2" xfId="34794"/>
    <cellStyle name="Normal 9 3 5 2 2 4" xfId="28354"/>
    <cellStyle name="Normal 9 3 5 2 3" xfId="18647"/>
    <cellStyle name="Normal 9 3 5 2 3 2" xfId="41234"/>
    <cellStyle name="Normal 9 3 5 2 4" xfId="15427"/>
    <cellStyle name="Normal 9 3 5 2 4 2" xfId="38014"/>
    <cellStyle name="Normal 9 3 5 2 5" xfId="8987"/>
    <cellStyle name="Normal 9 3 5 2 5 2" xfId="31574"/>
    <cellStyle name="Normal 9 3 5 2 6" xfId="25134"/>
    <cellStyle name="Normal 9 3 5 3" xfId="4459"/>
    <cellStyle name="Normal 9 3 5 3 2" xfId="20559"/>
    <cellStyle name="Normal 9 3 5 3 2 2" xfId="43146"/>
    <cellStyle name="Normal 9 3 5 3 3" xfId="10899"/>
    <cellStyle name="Normal 9 3 5 3 3 2" xfId="33486"/>
    <cellStyle name="Normal 9 3 5 3 4" xfId="27046"/>
    <cellStyle name="Normal 9 3 5 4" xfId="17339"/>
    <cellStyle name="Normal 9 3 5 4 2" xfId="39926"/>
    <cellStyle name="Normal 9 3 5 5" xfId="14119"/>
    <cellStyle name="Normal 9 3 5 5 2" xfId="36706"/>
    <cellStyle name="Normal 9 3 5 6" xfId="7679"/>
    <cellStyle name="Normal 9 3 5 6 2" xfId="30266"/>
    <cellStyle name="Normal 9 3 5 7" xfId="23826"/>
    <cellStyle name="Normal 9 3 6" xfId="1754"/>
    <cellStyle name="Normal 9 3 6 2" xfId="4977"/>
    <cellStyle name="Normal 9 3 6 2 2" xfId="21077"/>
    <cellStyle name="Normal 9 3 6 2 2 2" xfId="43664"/>
    <cellStyle name="Normal 9 3 6 2 3" xfId="11417"/>
    <cellStyle name="Normal 9 3 6 2 3 2" xfId="34004"/>
    <cellStyle name="Normal 9 3 6 2 4" xfId="27564"/>
    <cellStyle name="Normal 9 3 6 3" xfId="17857"/>
    <cellStyle name="Normal 9 3 6 3 2" xfId="40444"/>
    <cellStyle name="Normal 9 3 6 4" xfId="14637"/>
    <cellStyle name="Normal 9 3 6 4 2" xfId="37224"/>
    <cellStyle name="Normal 9 3 6 5" xfId="8197"/>
    <cellStyle name="Normal 9 3 6 5 2" xfId="30784"/>
    <cellStyle name="Normal 9 3 6 6" xfId="24344"/>
    <cellStyle name="Normal 9 3 7" xfId="1851"/>
    <cellStyle name="Normal 9 3 7 2" xfId="5073"/>
    <cellStyle name="Normal 9 3 7 2 2" xfId="21173"/>
    <cellStyle name="Normal 9 3 7 2 2 2" xfId="43760"/>
    <cellStyle name="Normal 9 3 7 2 3" xfId="11513"/>
    <cellStyle name="Normal 9 3 7 2 3 2" xfId="34100"/>
    <cellStyle name="Normal 9 3 7 2 4" xfId="27660"/>
    <cellStyle name="Normal 9 3 7 3" xfId="17953"/>
    <cellStyle name="Normal 9 3 7 3 2" xfId="40540"/>
    <cellStyle name="Normal 9 3 7 4" xfId="14733"/>
    <cellStyle name="Normal 9 3 7 4 2" xfId="37320"/>
    <cellStyle name="Normal 9 3 7 5" xfId="8293"/>
    <cellStyle name="Normal 9 3 7 5 2" xfId="30880"/>
    <cellStyle name="Normal 9 3 7 6" xfId="24440"/>
    <cellStyle name="Normal 9 3 8" xfId="2894"/>
    <cellStyle name="Normal 9 3 8 2" xfId="6115"/>
    <cellStyle name="Normal 9 3 8 2 2" xfId="22215"/>
    <cellStyle name="Normal 9 3 8 2 2 2" xfId="44802"/>
    <cellStyle name="Normal 9 3 8 2 3" xfId="12555"/>
    <cellStyle name="Normal 9 3 8 2 3 2" xfId="35142"/>
    <cellStyle name="Normal 9 3 8 2 4" xfId="28702"/>
    <cellStyle name="Normal 9 3 8 3" xfId="18995"/>
    <cellStyle name="Normal 9 3 8 3 2" xfId="41582"/>
    <cellStyle name="Normal 9 3 8 4" xfId="15775"/>
    <cellStyle name="Normal 9 3 8 4 2" xfId="38362"/>
    <cellStyle name="Normal 9 3 8 5" xfId="9335"/>
    <cellStyle name="Normal 9 3 8 5 2" xfId="31922"/>
    <cellStyle name="Normal 9 3 8 6" xfId="25482"/>
    <cellStyle name="Normal 9 3 9" xfId="3185"/>
    <cellStyle name="Normal 9 3 9 2" xfId="6405"/>
    <cellStyle name="Normal 9 3 9 2 2" xfId="22505"/>
    <cellStyle name="Normal 9 3 9 2 2 2" xfId="45092"/>
    <cellStyle name="Normal 9 3 9 2 3" xfId="12845"/>
    <cellStyle name="Normal 9 3 9 2 3 2" xfId="35432"/>
    <cellStyle name="Normal 9 3 9 2 4" xfId="28992"/>
    <cellStyle name="Normal 9 3 9 3" xfId="19285"/>
    <cellStyle name="Normal 9 3 9 3 2" xfId="41872"/>
    <cellStyle name="Normal 9 3 9 4" xfId="16065"/>
    <cellStyle name="Normal 9 3 9 4 2" xfId="38652"/>
    <cellStyle name="Normal 9 3 9 5" xfId="9625"/>
    <cellStyle name="Normal 9 3 9 5 2" xfId="32212"/>
    <cellStyle name="Normal 9 3 9 6" xfId="25772"/>
    <cellStyle name="Normal 9 4" xfId="231"/>
    <cellStyle name="Normal 9 4 10" xfId="518"/>
    <cellStyle name="Normal 9 4 10 2" xfId="3805"/>
    <cellStyle name="Normal 9 4 10 2 2" xfId="19905"/>
    <cellStyle name="Normal 9 4 10 2 2 2" xfId="42492"/>
    <cellStyle name="Normal 9 4 10 2 3" xfId="10245"/>
    <cellStyle name="Normal 9 4 10 2 3 2" xfId="32832"/>
    <cellStyle name="Normal 9 4 10 2 4" xfId="26392"/>
    <cellStyle name="Normal 9 4 10 3" xfId="16685"/>
    <cellStyle name="Normal 9 4 10 3 2" xfId="39272"/>
    <cellStyle name="Normal 9 4 10 4" xfId="13465"/>
    <cellStyle name="Normal 9 4 10 4 2" xfId="36052"/>
    <cellStyle name="Normal 9 4 10 5" xfId="7025"/>
    <cellStyle name="Normal 9 4 10 5 2" xfId="29612"/>
    <cellStyle name="Normal 9 4 10 6" xfId="23172"/>
    <cellStyle name="Normal 9 4 11" xfId="3519"/>
    <cellStyle name="Normal 9 4 11 2" xfId="19619"/>
    <cellStyle name="Normal 9 4 11 2 2" xfId="42206"/>
    <cellStyle name="Normal 9 4 11 3" xfId="9959"/>
    <cellStyle name="Normal 9 4 11 3 2" xfId="32546"/>
    <cellStyle name="Normal 9 4 11 4" xfId="26106"/>
    <cellStyle name="Normal 9 4 12" xfId="16399"/>
    <cellStyle name="Normal 9 4 12 2" xfId="38986"/>
    <cellStyle name="Normal 9 4 13" xfId="13179"/>
    <cellStyle name="Normal 9 4 13 2" xfId="35766"/>
    <cellStyle name="Normal 9 4 14" xfId="6739"/>
    <cellStyle name="Normal 9 4 14 2" xfId="29326"/>
    <cellStyle name="Normal 9 4 15" xfId="22886"/>
    <cellStyle name="Normal 9 4 2" xfId="329"/>
    <cellStyle name="Normal 9 4 2 10" xfId="16496"/>
    <cellStyle name="Normal 9 4 2 10 2" xfId="39083"/>
    <cellStyle name="Normal 9 4 2 11" xfId="13276"/>
    <cellStyle name="Normal 9 4 2 11 2" xfId="35863"/>
    <cellStyle name="Normal 9 4 2 12" xfId="6836"/>
    <cellStyle name="Normal 9 4 2 12 2" xfId="29423"/>
    <cellStyle name="Normal 9 4 2 13" xfId="22983"/>
    <cellStyle name="Normal 9 4 2 2" xfId="1041"/>
    <cellStyle name="Normal 9 4 2 2 2" xfId="2355"/>
    <cellStyle name="Normal 9 4 2 2 2 2" xfId="5576"/>
    <cellStyle name="Normal 9 4 2 2 2 2 2" xfId="21676"/>
    <cellStyle name="Normal 9 4 2 2 2 2 2 2" xfId="44263"/>
    <cellStyle name="Normal 9 4 2 2 2 2 3" xfId="12016"/>
    <cellStyle name="Normal 9 4 2 2 2 2 3 2" xfId="34603"/>
    <cellStyle name="Normal 9 4 2 2 2 2 4" xfId="28163"/>
    <cellStyle name="Normal 9 4 2 2 2 3" xfId="18456"/>
    <cellStyle name="Normal 9 4 2 2 2 3 2" xfId="41043"/>
    <cellStyle name="Normal 9 4 2 2 2 4" xfId="15236"/>
    <cellStyle name="Normal 9 4 2 2 2 4 2" xfId="37823"/>
    <cellStyle name="Normal 9 4 2 2 2 5" xfId="8796"/>
    <cellStyle name="Normal 9 4 2 2 2 5 2" xfId="31383"/>
    <cellStyle name="Normal 9 4 2 2 2 6" xfId="24943"/>
    <cellStyle name="Normal 9 4 2 2 3" xfId="4268"/>
    <cellStyle name="Normal 9 4 2 2 3 2" xfId="20368"/>
    <cellStyle name="Normal 9 4 2 2 3 2 2" xfId="42955"/>
    <cellStyle name="Normal 9 4 2 2 3 3" xfId="10708"/>
    <cellStyle name="Normal 9 4 2 2 3 3 2" xfId="33295"/>
    <cellStyle name="Normal 9 4 2 2 3 4" xfId="26855"/>
    <cellStyle name="Normal 9 4 2 2 4" xfId="17148"/>
    <cellStyle name="Normal 9 4 2 2 4 2" xfId="39735"/>
    <cellStyle name="Normal 9 4 2 2 5" xfId="13928"/>
    <cellStyle name="Normal 9 4 2 2 5 2" xfId="36515"/>
    <cellStyle name="Normal 9 4 2 2 6" xfId="7488"/>
    <cellStyle name="Normal 9 4 2 2 6 2" xfId="30075"/>
    <cellStyle name="Normal 9 4 2 2 7" xfId="23635"/>
    <cellStyle name="Normal 9 4 2 3" xfId="1388"/>
    <cellStyle name="Normal 9 4 2 3 2" xfId="2702"/>
    <cellStyle name="Normal 9 4 2 3 2 2" xfId="5923"/>
    <cellStyle name="Normal 9 4 2 3 2 2 2" xfId="22023"/>
    <cellStyle name="Normal 9 4 2 3 2 2 2 2" xfId="44610"/>
    <cellStyle name="Normal 9 4 2 3 2 2 3" xfId="12363"/>
    <cellStyle name="Normal 9 4 2 3 2 2 3 2" xfId="34950"/>
    <cellStyle name="Normal 9 4 2 3 2 2 4" xfId="28510"/>
    <cellStyle name="Normal 9 4 2 3 2 3" xfId="18803"/>
    <cellStyle name="Normal 9 4 2 3 2 3 2" xfId="41390"/>
    <cellStyle name="Normal 9 4 2 3 2 4" xfId="15583"/>
    <cellStyle name="Normal 9 4 2 3 2 4 2" xfId="38170"/>
    <cellStyle name="Normal 9 4 2 3 2 5" xfId="9143"/>
    <cellStyle name="Normal 9 4 2 3 2 5 2" xfId="31730"/>
    <cellStyle name="Normal 9 4 2 3 2 6" xfId="25290"/>
    <cellStyle name="Normal 9 4 2 3 3" xfId="4615"/>
    <cellStyle name="Normal 9 4 2 3 3 2" xfId="20715"/>
    <cellStyle name="Normal 9 4 2 3 3 2 2" xfId="43302"/>
    <cellStyle name="Normal 9 4 2 3 3 3" xfId="11055"/>
    <cellStyle name="Normal 9 4 2 3 3 3 2" xfId="33642"/>
    <cellStyle name="Normal 9 4 2 3 3 4" xfId="27202"/>
    <cellStyle name="Normal 9 4 2 3 4" xfId="17495"/>
    <cellStyle name="Normal 9 4 2 3 4 2" xfId="40082"/>
    <cellStyle name="Normal 9 4 2 3 5" xfId="14275"/>
    <cellStyle name="Normal 9 4 2 3 5 2" xfId="36862"/>
    <cellStyle name="Normal 9 4 2 3 6" xfId="7835"/>
    <cellStyle name="Normal 9 4 2 3 6 2" xfId="30422"/>
    <cellStyle name="Normal 9 4 2 3 7" xfId="23982"/>
    <cellStyle name="Normal 9 4 2 4" xfId="1755"/>
    <cellStyle name="Normal 9 4 2 4 2" xfId="4978"/>
    <cellStyle name="Normal 9 4 2 4 2 2" xfId="21078"/>
    <cellStyle name="Normal 9 4 2 4 2 2 2" xfId="43665"/>
    <cellStyle name="Normal 9 4 2 4 2 3" xfId="11418"/>
    <cellStyle name="Normal 9 4 2 4 2 3 2" xfId="34005"/>
    <cellStyle name="Normal 9 4 2 4 2 4" xfId="27565"/>
    <cellStyle name="Normal 9 4 2 4 3" xfId="17858"/>
    <cellStyle name="Normal 9 4 2 4 3 2" xfId="40445"/>
    <cellStyle name="Normal 9 4 2 4 4" xfId="14638"/>
    <cellStyle name="Normal 9 4 2 4 4 2" xfId="37225"/>
    <cellStyle name="Normal 9 4 2 4 5" xfId="8198"/>
    <cellStyle name="Normal 9 4 2 4 5 2" xfId="30785"/>
    <cellStyle name="Normal 9 4 2 4 6" xfId="24345"/>
    <cellStyle name="Normal 9 4 2 5" xfId="2007"/>
    <cellStyle name="Normal 9 4 2 5 2" xfId="5229"/>
    <cellStyle name="Normal 9 4 2 5 2 2" xfId="21329"/>
    <cellStyle name="Normal 9 4 2 5 2 2 2" xfId="43916"/>
    <cellStyle name="Normal 9 4 2 5 2 3" xfId="11669"/>
    <cellStyle name="Normal 9 4 2 5 2 3 2" xfId="34256"/>
    <cellStyle name="Normal 9 4 2 5 2 4" xfId="27816"/>
    <cellStyle name="Normal 9 4 2 5 3" xfId="18109"/>
    <cellStyle name="Normal 9 4 2 5 3 2" xfId="40696"/>
    <cellStyle name="Normal 9 4 2 5 4" xfId="14889"/>
    <cellStyle name="Normal 9 4 2 5 4 2" xfId="37476"/>
    <cellStyle name="Normal 9 4 2 5 5" xfId="8449"/>
    <cellStyle name="Normal 9 4 2 5 5 2" xfId="31036"/>
    <cellStyle name="Normal 9 4 2 5 6" xfId="24596"/>
    <cellStyle name="Normal 9 4 2 6" xfId="3036"/>
    <cellStyle name="Normal 9 4 2 6 2" xfId="6256"/>
    <cellStyle name="Normal 9 4 2 6 2 2" xfId="22356"/>
    <cellStyle name="Normal 9 4 2 6 2 2 2" xfId="44943"/>
    <cellStyle name="Normal 9 4 2 6 2 3" xfId="12696"/>
    <cellStyle name="Normal 9 4 2 6 2 3 2" xfId="35283"/>
    <cellStyle name="Normal 9 4 2 6 2 4" xfId="28843"/>
    <cellStyle name="Normal 9 4 2 6 3" xfId="19136"/>
    <cellStyle name="Normal 9 4 2 6 3 2" xfId="41723"/>
    <cellStyle name="Normal 9 4 2 6 4" xfId="15916"/>
    <cellStyle name="Normal 9 4 2 6 4 2" xfId="38503"/>
    <cellStyle name="Normal 9 4 2 6 5" xfId="9476"/>
    <cellStyle name="Normal 9 4 2 6 5 2" xfId="32063"/>
    <cellStyle name="Normal 9 4 2 6 6" xfId="25623"/>
    <cellStyle name="Normal 9 4 2 7" xfId="3326"/>
    <cellStyle name="Normal 9 4 2 7 2" xfId="6546"/>
    <cellStyle name="Normal 9 4 2 7 2 2" xfId="22646"/>
    <cellStyle name="Normal 9 4 2 7 2 2 2" xfId="45233"/>
    <cellStyle name="Normal 9 4 2 7 2 3" xfId="12986"/>
    <cellStyle name="Normal 9 4 2 7 2 3 2" xfId="35573"/>
    <cellStyle name="Normal 9 4 2 7 2 4" xfId="29133"/>
    <cellStyle name="Normal 9 4 2 7 3" xfId="19426"/>
    <cellStyle name="Normal 9 4 2 7 3 2" xfId="42013"/>
    <cellStyle name="Normal 9 4 2 7 4" xfId="16206"/>
    <cellStyle name="Normal 9 4 2 7 4 2" xfId="38793"/>
    <cellStyle name="Normal 9 4 2 7 5" xfId="9766"/>
    <cellStyle name="Normal 9 4 2 7 5 2" xfId="32353"/>
    <cellStyle name="Normal 9 4 2 7 6" xfId="25913"/>
    <cellStyle name="Normal 9 4 2 8" xfId="677"/>
    <cellStyle name="Normal 9 4 2 8 2" xfId="3921"/>
    <cellStyle name="Normal 9 4 2 8 2 2" xfId="20021"/>
    <cellStyle name="Normal 9 4 2 8 2 2 2" xfId="42608"/>
    <cellStyle name="Normal 9 4 2 8 2 3" xfId="10361"/>
    <cellStyle name="Normal 9 4 2 8 2 3 2" xfId="32948"/>
    <cellStyle name="Normal 9 4 2 8 2 4" xfId="26508"/>
    <cellStyle name="Normal 9 4 2 8 3" xfId="16801"/>
    <cellStyle name="Normal 9 4 2 8 3 2" xfId="39388"/>
    <cellStyle name="Normal 9 4 2 8 4" xfId="13581"/>
    <cellStyle name="Normal 9 4 2 8 4 2" xfId="36168"/>
    <cellStyle name="Normal 9 4 2 8 5" xfId="7141"/>
    <cellStyle name="Normal 9 4 2 8 5 2" xfId="29728"/>
    <cellStyle name="Normal 9 4 2 8 6" xfId="23288"/>
    <cellStyle name="Normal 9 4 2 9" xfId="3616"/>
    <cellStyle name="Normal 9 4 2 9 2" xfId="19716"/>
    <cellStyle name="Normal 9 4 2 9 2 2" xfId="42303"/>
    <cellStyle name="Normal 9 4 2 9 3" xfId="10056"/>
    <cellStyle name="Normal 9 4 2 9 3 2" xfId="32643"/>
    <cellStyle name="Normal 9 4 2 9 4" xfId="26203"/>
    <cellStyle name="Normal 9 4 3" xfId="425"/>
    <cellStyle name="Normal 9 4 3 10" xfId="16592"/>
    <cellStyle name="Normal 9 4 3 10 2" xfId="39179"/>
    <cellStyle name="Normal 9 4 3 11" xfId="13372"/>
    <cellStyle name="Normal 9 4 3 11 2" xfId="35959"/>
    <cellStyle name="Normal 9 4 3 12" xfId="6932"/>
    <cellStyle name="Normal 9 4 3 12 2" xfId="29519"/>
    <cellStyle name="Normal 9 4 3 13" xfId="23079"/>
    <cellStyle name="Normal 9 4 3 2" xfId="1125"/>
    <cellStyle name="Normal 9 4 3 2 2" xfId="2439"/>
    <cellStyle name="Normal 9 4 3 2 2 2" xfId="5660"/>
    <cellStyle name="Normal 9 4 3 2 2 2 2" xfId="21760"/>
    <cellStyle name="Normal 9 4 3 2 2 2 2 2" xfId="44347"/>
    <cellStyle name="Normal 9 4 3 2 2 2 3" xfId="12100"/>
    <cellStyle name="Normal 9 4 3 2 2 2 3 2" xfId="34687"/>
    <cellStyle name="Normal 9 4 3 2 2 2 4" xfId="28247"/>
    <cellStyle name="Normal 9 4 3 2 2 3" xfId="18540"/>
    <cellStyle name="Normal 9 4 3 2 2 3 2" xfId="41127"/>
    <cellStyle name="Normal 9 4 3 2 2 4" xfId="15320"/>
    <cellStyle name="Normal 9 4 3 2 2 4 2" xfId="37907"/>
    <cellStyle name="Normal 9 4 3 2 2 5" xfId="8880"/>
    <cellStyle name="Normal 9 4 3 2 2 5 2" xfId="31467"/>
    <cellStyle name="Normal 9 4 3 2 2 6" xfId="25027"/>
    <cellStyle name="Normal 9 4 3 2 3" xfId="4352"/>
    <cellStyle name="Normal 9 4 3 2 3 2" xfId="20452"/>
    <cellStyle name="Normal 9 4 3 2 3 2 2" xfId="43039"/>
    <cellStyle name="Normal 9 4 3 2 3 3" xfId="10792"/>
    <cellStyle name="Normal 9 4 3 2 3 3 2" xfId="33379"/>
    <cellStyle name="Normal 9 4 3 2 3 4" xfId="26939"/>
    <cellStyle name="Normal 9 4 3 2 4" xfId="17232"/>
    <cellStyle name="Normal 9 4 3 2 4 2" xfId="39819"/>
    <cellStyle name="Normal 9 4 3 2 5" xfId="14012"/>
    <cellStyle name="Normal 9 4 3 2 5 2" xfId="36599"/>
    <cellStyle name="Normal 9 4 3 2 6" xfId="7572"/>
    <cellStyle name="Normal 9 4 3 2 6 2" xfId="30159"/>
    <cellStyle name="Normal 9 4 3 2 7" xfId="23719"/>
    <cellStyle name="Normal 9 4 3 3" xfId="1472"/>
    <cellStyle name="Normal 9 4 3 3 2" xfId="2786"/>
    <cellStyle name="Normal 9 4 3 3 2 2" xfId="6007"/>
    <cellStyle name="Normal 9 4 3 3 2 2 2" xfId="22107"/>
    <cellStyle name="Normal 9 4 3 3 2 2 2 2" xfId="44694"/>
    <cellStyle name="Normal 9 4 3 3 2 2 3" xfId="12447"/>
    <cellStyle name="Normal 9 4 3 3 2 2 3 2" xfId="35034"/>
    <cellStyle name="Normal 9 4 3 3 2 2 4" xfId="28594"/>
    <cellStyle name="Normal 9 4 3 3 2 3" xfId="18887"/>
    <cellStyle name="Normal 9 4 3 3 2 3 2" xfId="41474"/>
    <cellStyle name="Normal 9 4 3 3 2 4" xfId="15667"/>
    <cellStyle name="Normal 9 4 3 3 2 4 2" xfId="38254"/>
    <cellStyle name="Normal 9 4 3 3 2 5" xfId="9227"/>
    <cellStyle name="Normal 9 4 3 3 2 5 2" xfId="31814"/>
    <cellStyle name="Normal 9 4 3 3 2 6" xfId="25374"/>
    <cellStyle name="Normal 9 4 3 3 3" xfId="4699"/>
    <cellStyle name="Normal 9 4 3 3 3 2" xfId="20799"/>
    <cellStyle name="Normal 9 4 3 3 3 2 2" xfId="43386"/>
    <cellStyle name="Normal 9 4 3 3 3 3" xfId="11139"/>
    <cellStyle name="Normal 9 4 3 3 3 3 2" xfId="33726"/>
    <cellStyle name="Normal 9 4 3 3 3 4" xfId="27286"/>
    <cellStyle name="Normal 9 4 3 3 4" xfId="17579"/>
    <cellStyle name="Normal 9 4 3 3 4 2" xfId="40166"/>
    <cellStyle name="Normal 9 4 3 3 5" xfId="14359"/>
    <cellStyle name="Normal 9 4 3 3 5 2" xfId="36946"/>
    <cellStyle name="Normal 9 4 3 3 6" xfId="7919"/>
    <cellStyle name="Normal 9 4 3 3 6 2" xfId="30506"/>
    <cellStyle name="Normal 9 4 3 3 7" xfId="24066"/>
    <cellStyle name="Normal 9 4 3 4" xfId="1756"/>
    <cellStyle name="Normal 9 4 3 4 2" xfId="4979"/>
    <cellStyle name="Normal 9 4 3 4 2 2" xfId="21079"/>
    <cellStyle name="Normal 9 4 3 4 2 2 2" xfId="43666"/>
    <cellStyle name="Normal 9 4 3 4 2 3" xfId="11419"/>
    <cellStyle name="Normal 9 4 3 4 2 3 2" xfId="34006"/>
    <cellStyle name="Normal 9 4 3 4 2 4" xfId="27566"/>
    <cellStyle name="Normal 9 4 3 4 3" xfId="17859"/>
    <cellStyle name="Normal 9 4 3 4 3 2" xfId="40446"/>
    <cellStyle name="Normal 9 4 3 4 4" xfId="14639"/>
    <cellStyle name="Normal 9 4 3 4 4 2" xfId="37226"/>
    <cellStyle name="Normal 9 4 3 4 5" xfId="8199"/>
    <cellStyle name="Normal 9 4 3 4 5 2" xfId="30786"/>
    <cellStyle name="Normal 9 4 3 4 6" xfId="24346"/>
    <cellStyle name="Normal 9 4 3 5" xfId="2092"/>
    <cellStyle name="Normal 9 4 3 5 2" xfId="5313"/>
    <cellStyle name="Normal 9 4 3 5 2 2" xfId="21413"/>
    <cellStyle name="Normal 9 4 3 5 2 2 2" xfId="44000"/>
    <cellStyle name="Normal 9 4 3 5 2 3" xfId="11753"/>
    <cellStyle name="Normal 9 4 3 5 2 3 2" xfId="34340"/>
    <cellStyle name="Normal 9 4 3 5 2 4" xfId="27900"/>
    <cellStyle name="Normal 9 4 3 5 3" xfId="18193"/>
    <cellStyle name="Normal 9 4 3 5 3 2" xfId="40780"/>
    <cellStyle name="Normal 9 4 3 5 4" xfId="14973"/>
    <cellStyle name="Normal 9 4 3 5 4 2" xfId="37560"/>
    <cellStyle name="Normal 9 4 3 5 5" xfId="8533"/>
    <cellStyle name="Normal 9 4 3 5 5 2" xfId="31120"/>
    <cellStyle name="Normal 9 4 3 5 6" xfId="24680"/>
    <cellStyle name="Normal 9 4 3 6" xfId="3132"/>
    <cellStyle name="Normal 9 4 3 6 2" xfId="6352"/>
    <cellStyle name="Normal 9 4 3 6 2 2" xfId="22452"/>
    <cellStyle name="Normal 9 4 3 6 2 2 2" xfId="45039"/>
    <cellStyle name="Normal 9 4 3 6 2 3" xfId="12792"/>
    <cellStyle name="Normal 9 4 3 6 2 3 2" xfId="35379"/>
    <cellStyle name="Normal 9 4 3 6 2 4" xfId="28939"/>
    <cellStyle name="Normal 9 4 3 6 3" xfId="19232"/>
    <cellStyle name="Normal 9 4 3 6 3 2" xfId="41819"/>
    <cellStyle name="Normal 9 4 3 6 4" xfId="16012"/>
    <cellStyle name="Normal 9 4 3 6 4 2" xfId="38599"/>
    <cellStyle name="Normal 9 4 3 6 5" xfId="9572"/>
    <cellStyle name="Normal 9 4 3 6 5 2" xfId="32159"/>
    <cellStyle name="Normal 9 4 3 6 6" xfId="25719"/>
    <cellStyle name="Normal 9 4 3 7" xfId="3422"/>
    <cellStyle name="Normal 9 4 3 7 2" xfId="6642"/>
    <cellStyle name="Normal 9 4 3 7 2 2" xfId="22742"/>
    <cellStyle name="Normal 9 4 3 7 2 2 2" xfId="45329"/>
    <cellStyle name="Normal 9 4 3 7 2 3" xfId="13082"/>
    <cellStyle name="Normal 9 4 3 7 2 3 2" xfId="35669"/>
    <cellStyle name="Normal 9 4 3 7 2 4" xfId="29229"/>
    <cellStyle name="Normal 9 4 3 7 3" xfId="19522"/>
    <cellStyle name="Normal 9 4 3 7 3 2" xfId="42109"/>
    <cellStyle name="Normal 9 4 3 7 4" xfId="16302"/>
    <cellStyle name="Normal 9 4 3 7 4 2" xfId="38889"/>
    <cellStyle name="Normal 9 4 3 7 5" xfId="9862"/>
    <cellStyle name="Normal 9 4 3 7 5 2" xfId="32449"/>
    <cellStyle name="Normal 9 4 3 7 6" xfId="26009"/>
    <cellStyle name="Normal 9 4 3 8" xfId="773"/>
    <cellStyle name="Normal 9 4 3 8 2" xfId="4005"/>
    <cellStyle name="Normal 9 4 3 8 2 2" xfId="20105"/>
    <cellStyle name="Normal 9 4 3 8 2 2 2" xfId="42692"/>
    <cellStyle name="Normal 9 4 3 8 2 3" xfId="10445"/>
    <cellStyle name="Normal 9 4 3 8 2 3 2" xfId="33032"/>
    <cellStyle name="Normal 9 4 3 8 2 4" xfId="26592"/>
    <cellStyle name="Normal 9 4 3 8 3" xfId="16885"/>
    <cellStyle name="Normal 9 4 3 8 3 2" xfId="39472"/>
    <cellStyle name="Normal 9 4 3 8 4" xfId="13665"/>
    <cellStyle name="Normal 9 4 3 8 4 2" xfId="36252"/>
    <cellStyle name="Normal 9 4 3 8 5" xfId="7225"/>
    <cellStyle name="Normal 9 4 3 8 5 2" xfId="29812"/>
    <cellStyle name="Normal 9 4 3 8 6" xfId="23372"/>
    <cellStyle name="Normal 9 4 3 9" xfId="3712"/>
    <cellStyle name="Normal 9 4 3 9 2" xfId="19812"/>
    <cellStyle name="Normal 9 4 3 9 2 2" xfId="42399"/>
    <cellStyle name="Normal 9 4 3 9 3" xfId="10152"/>
    <cellStyle name="Normal 9 4 3 9 3 2" xfId="32739"/>
    <cellStyle name="Normal 9 4 3 9 4" xfId="26299"/>
    <cellStyle name="Normal 9 4 4" xfId="920"/>
    <cellStyle name="Normal 9 4 4 2" xfId="2239"/>
    <cellStyle name="Normal 9 4 4 2 2" xfId="5460"/>
    <cellStyle name="Normal 9 4 4 2 2 2" xfId="21560"/>
    <cellStyle name="Normal 9 4 4 2 2 2 2" xfId="44147"/>
    <cellStyle name="Normal 9 4 4 2 2 3" xfId="11900"/>
    <cellStyle name="Normal 9 4 4 2 2 3 2" xfId="34487"/>
    <cellStyle name="Normal 9 4 4 2 2 4" xfId="28047"/>
    <cellStyle name="Normal 9 4 4 2 3" xfId="18340"/>
    <cellStyle name="Normal 9 4 4 2 3 2" xfId="40927"/>
    <cellStyle name="Normal 9 4 4 2 4" xfId="15120"/>
    <cellStyle name="Normal 9 4 4 2 4 2" xfId="37707"/>
    <cellStyle name="Normal 9 4 4 2 5" xfId="8680"/>
    <cellStyle name="Normal 9 4 4 2 5 2" xfId="31267"/>
    <cellStyle name="Normal 9 4 4 2 6" xfId="24827"/>
    <cellStyle name="Normal 9 4 4 3" xfId="4152"/>
    <cellStyle name="Normal 9 4 4 3 2" xfId="20252"/>
    <cellStyle name="Normal 9 4 4 3 2 2" xfId="42839"/>
    <cellStyle name="Normal 9 4 4 3 3" xfId="10592"/>
    <cellStyle name="Normal 9 4 4 3 3 2" xfId="33179"/>
    <cellStyle name="Normal 9 4 4 3 4" xfId="26739"/>
    <cellStyle name="Normal 9 4 4 4" xfId="17032"/>
    <cellStyle name="Normal 9 4 4 4 2" xfId="39619"/>
    <cellStyle name="Normal 9 4 4 5" xfId="13812"/>
    <cellStyle name="Normal 9 4 4 5 2" xfId="36399"/>
    <cellStyle name="Normal 9 4 4 6" xfId="7372"/>
    <cellStyle name="Normal 9 4 4 6 2" xfId="29959"/>
    <cellStyle name="Normal 9 4 4 7" xfId="23519"/>
    <cellStyle name="Normal 9 4 5" xfId="1272"/>
    <cellStyle name="Normal 9 4 5 2" xfId="2586"/>
    <cellStyle name="Normal 9 4 5 2 2" xfId="5807"/>
    <cellStyle name="Normal 9 4 5 2 2 2" xfId="21907"/>
    <cellStyle name="Normal 9 4 5 2 2 2 2" xfId="44494"/>
    <cellStyle name="Normal 9 4 5 2 2 3" xfId="12247"/>
    <cellStyle name="Normal 9 4 5 2 2 3 2" xfId="34834"/>
    <cellStyle name="Normal 9 4 5 2 2 4" xfId="28394"/>
    <cellStyle name="Normal 9 4 5 2 3" xfId="18687"/>
    <cellStyle name="Normal 9 4 5 2 3 2" xfId="41274"/>
    <cellStyle name="Normal 9 4 5 2 4" xfId="15467"/>
    <cellStyle name="Normal 9 4 5 2 4 2" xfId="38054"/>
    <cellStyle name="Normal 9 4 5 2 5" xfId="9027"/>
    <cellStyle name="Normal 9 4 5 2 5 2" xfId="31614"/>
    <cellStyle name="Normal 9 4 5 2 6" xfId="25174"/>
    <cellStyle name="Normal 9 4 5 3" xfId="4499"/>
    <cellStyle name="Normal 9 4 5 3 2" xfId="20599"/>
    <cellStyle name="Normal 9 4 5 3 2 2" xfId="43186"/>
    <cellStyle name="Normal 9 4 5 3 3" xfId="10939"/>
    <cellStyle name="Normal 9 4 5 3 3 2" xfId="33526"/>
    <cellStyle name="Normal 9 4 5 3 4" xfId="27086"/>
    <cellStyle name="Normal 9 4 5 4" xfId="17379"/>
    <cellStyle name="Normal 9 4 5 4 2" xfId="39966"/>
    <cellStyle name="Normal 9 4 5 5" xfId="14159"/>
    <cellStyle name="Normal 9 4 5 5 2" xfId="36746"/>
    <cellStyle name="Normal 9 4 5 6" xfId="7719"/>
    <cellStyle name="Normal 9 4 5 6 2" xfId="30306"/>
    <cellStyle name="Normal 9 4 5 7" xfId="23866"/>
    <cellStyle name="Normal 9 4 6" xfId="1757"/>
    <cellStyle name="Normal 9 4 6 2" xfId="4980"/>
    <cellStyle name="Normal 9 4 6 2 2" xfId="21080"/>
    <cellStyle name="Normal 9 4 6 2 2 2" xfId="43667"/>
    <cellStyle name="Normal 9 4 6 2 3" xfId="11420"/>
    <cellStyle name="Normal 9 4 6 2 3 2" xfId="34007"/>
    <cellStyle name="Normal 9 4 6 2 4" xfId="27567"/>
    <cellStyle name="Normal 9 4 6 3" xfId="17860"/>
    <cellStyle name="Normal 9 4 6 3 2" xfId="40447"/>
    <cellStyle name="Normal 9 4 6 4" xfId="14640"/>
    <cellStyle name="Normal 9 4 6 4 2" xfId="37227"/>
    <cellStyle name="Normal 9 4 6 5" xfId="8200"/>
    <cellStyle name="Normal 9 4 6 5 2" xfId="30787"/>
    <cellStyle name="Normal 9 4 6 6" xfId="24347"/>
    <cellStyle name="Normal 9 4 7" xfId="1891"/>
    <cellStyle name="Normal 9 4 7 2" xfId="5113"/>
    <cellStyle name="Normal 9 4 7 2 2" xfId="21213"/>
    <cellStyle name="Normal 9 4 7 2 2 2" xfId="43800"/>
    <cellStyle name="Normal 9 4 7 2 3" xfId="11553"/>
    <cellStyle name="Normal 9 4 7 2 3 2" xfId="34140"/>
    <cellStyle name="Normal 9 4 7 2 4" xfId="27700"/>
    <cellStyle name="Normal 9 4 7 3" xfId="17993"/>
    <cellStyle name="Normal 9 4 7 3 2" xfId="40580"/>
    <cellStyle name="Normal 9 4 7 4" xfId="14773"/>
    <cellStyle name="Normal 9 4 7 4 2" xfId="37360"/>
    <cellStyle name="Normal 9 4 7 5" xfId="8333"/>
    <cellStyle name="Normal 9 4 7 5 2" xfId="30920"/>
    <cellStyle name="Normal 9 4 7 6" xfId="24480"/>
    <cellStyle name="Normal 9 4 8" xfId="2938"/>
    <cellStyle name="Normal 9 4 8 2" xfId="6159"/>
    <cellStyle name="Normal 9 4 8 2 2" xfId="22259"/>
    <cellStyle name="Normal 9 4 8 2 2 2" xfId="44846"/>
    <cellStyle name="Normal 9 4 8 2 3" xfId="12599"/>
    <cellStyle name="Normal 9 4 8 2 3 2" xfId="35186"/>
    <cellStyle name="Normal 9 4 8 2 4" xfId="28746"/>
    <cellStyle name="Normal 9 4 8 3" xfId="19039"/>
    <cellStyle name="Normal 9 4 8 3 2" xfId="41626"/>
    <cellStyle name="Normal 9 4 8 4" xfId="15819"/>
    <cellStyle name="Normal 9 4 8 4 2" xfId="38406"/>
    <cellStyle name="Normal 9 4 8 5" xfId="9379"/>
    <cellStyle name="Normal 9 4 8 5 2" xfId="31966"/>
    <cellStyle name="Normal 9 4 8 6" xfId="25526"/>
    <cellStyle name="Normal 9 4 9" xfId="3229"/>
    <cellStyle name="Normal 9 4 9 2" xfId="6449"/>
    <cellStyle name="Normal 9 4 9 2 2" xfId="22549"/>
    <cellStyle name="Normal 9 4 9 2 2 2" xfId="45136"/>
    <cellStyle name="Normal 9 4 9 2 3" xfId="12889"/>
    <cellStyle name="Normal 9 4 9 2 3 2" xfId="35476"/>
    <cellStyle name="Normal 9 4 9 2 4" xfId="29036"/>
    <cellStyle name="Normal 9 4 9 3" xfId="19329"/>
    <cellStyle name="Normal 9 4 9 3 2" xfId="41916"/>
    <cellStyle name="Normal 9 4 9 4" xfId="16109"/>
    <cellStyle name="Normal 9 4 9 4 2" xfId="38696"/>
    <cellStyle name="Normal 9 4 9 5" xfId="9669"/>
    <cellStyle name="Normal 9 4 9 5 2" xfId="32256"/>
    <cellStyle name="Normal 9 4 9 6" xfId="25816"/>
    <cellStyle name="Normal 9 5" xfId="264"/>
    <cellStyle name="Normal 9 5 10" xfId="16431"/>
    <cellStyle name="Normal 9 5 10 2" xfId="39018"/>
    <cellStyle name="Normal 9 5 11" xfId="13211"/>
    <cellStyle name="Normal 9 5 11 2" xfId="35798"/>
    <cellStyle name="Normal 9 5 12" xfId="6771"/>
    <cellStyle name="Normal 9 5 12 2" xfId="29358"/>
    <cellStyle name="Normal 9 5 13" xfId="22918"/>
    <cellStyle name="Normal 9 5 2" xfId="970"/>
    <cellStyle name="Normal 9 5 2 2" xfId="1758"/>
    <cellStyle name="Normal 9 5 2 2 2" xfId="4981"/>
    <cellStyle name="Normal 9 5 2 2 2 2" xfId="21081"/>
    <cellStyle name="Normal 9 5 2 2 2 2 2" xfId="43668"/>
    <cellStyle name="Normal 9 5 2 2 2 3" xfId="11421"/>
    <cellStyle name="Normal 9 5 2 2 2 3 2" xfId="34008"/>
    <cellStyle name="Normal 9 5 2 2 2 4" xfId="27568"/>
    <cellStyle name="Normal 9 5 2 2 3" xfId="17861"/>
    <cellStyle name="Normal 9 5 2 2 3 2" xfId="40448"/>
    <cellStyle name="Normal 9 5 2 2 4" xfId="14641"/>
    <cellStyle name="Normal 9 5 2 2 4 2" xfId="37228"/>
    <cellStyle name="Normal 9 5 2 2 5" xfId="8201"/>
    <cellStyle name="Normal 9 5 2 2 5 2" xfId="30788"/>
    <cellStyle name="Normal 9 5 2 2 6" xfId="24348"/>
    <cellStyle name="Normal 9 5 2 3" xfId="2288"/>
    <cellStyle name="Normal 9 5 2 3 2" xfId="5509"/>
    <cellStyle name="Normal 9 5 2 3 2 2" xfId="21609"/>
    <cellStyle name="Normal 9 5 2 3 2 2 2" xfId="44196"/>
    <cellStyle name="Normal 9 5 2 3 2 3" xfId="11949"/>
    <cellStyle name="Normal 9 5 2 3 2 3 2" xfId="34536"/>
    <cellStyle name="Normal 9 5 2 3 2 4" xfId="28096"/>
    <cellStyle name="Normal 9 5 2 3 3" xfId="18389"/>
    <cellStyle name="Normal 9 5 2 3 3 2" xfId="40976"/>
    <cellStyle name="Normal 9 5 2 3 4" xfId="15169"/>
    <cellStyle name="Normal 9 5 2 3 4 2" xfId="37756"/>
    <cellStyle name="Normal 9 5 2 3 5" xfId="8729"/>
    <cellStyle name="Normal 9 5 2 3 5 2" xfId="31316"/>
    <cellStyle name="Normal 9 5 2 3 6" xfId="24876"/>
    <cellStyle name="Normal 9 5 2 4" xfId="4201"/>
    <cellStyle name="Normal 9 5 2 4 2" xfId="20301"/>
    <cellStyle name="Normal 9 5 2 4 2 2" xfId="42888"/>
    <cellStyle name="Normal 9 5 2 4 3" xfId="10641"/>
    <cellStyle name="Normal 9 5 2 4 3 2" xfId="33228"/>
    <cellStyle name="Normal 9 5 2 4 4" xfId="26788"/>
    <cellStyle name="Normal 9 5 2 5" xfId="17081"/>
    <cellStyle name="Normal 9 5 2 5 2" xfId="39668"/>
    <cellStyle name="Normal 9 5 2 6" xfId="13861"/>
    <cellStyle name="Normal 9 5 2 6 2" xfId="36448"/>
    <cellStyle name="Normal 9 5 2 7" xfId="7421"/>
    <cellStyle name="Normal 9 5 2 7 2" xfId="30008"/>
    <cellStyle name="Normal 9 5 2 8" xfId="23568"/>
    <cellStyle name="Normal 9 5 3" xfId="1321"/>
    <cellStyle name="Normal 9 5 3 2" xfId="2635"/>
    <cellStyle name="Normal 9 5 3 2 2" xfId="5856"/>
    <cellStyle name="Normal 9 5 3 2 2 2" xfId="21956"/>
    <cellStyle name="Normal 9 5 3 2 2 2 2" xfId="44543"/>
    <cellStyle name="Normal 9 5 3 2 2 3" xfId="12296"/>
    <cellStyle name="Normal 9 5 3 2 2 3 2" xfId="34883"/>
    <cellStyle name="Normal 9 5 3 2 2 4" xfId="28443"/>
    <cellStyle name="Normal 9 5 3 2 3" xfId="18736"/>
    <cellStyle name="Normal 9 5 3 2 3 2" xfId="41323"/>
    <cellStyle name="Normal 9 5 3 2 4" xfId="15516"/>
    <cellStyle name="Normal 9 5 3 2 4 2" xfId="38103"/>
    <cellStyle name="Normal 9 5 3 2 5" xfId="9076"/>
    <cellStyle name="Normal 9 5 3 2 5 2" xfId="31663"/>
    <cellStyle name="Normal 9 5 3 2 6" xfId="25223"/>
    <cellStyle name="Normal 9 5 3 3" xfId="4548"/>
    <cellStyle name="Normal 9 5 3 3 2" xfId="20648"/>
    <cellStyle name="Normal 9 5 3 3 2 2" xfId="43235"/>
    <cellStyle name="Normal 9 5 3 3 3" xfId="10988"/>
    <cellStyle name="Normal 9 5 3 3 3 2" xfId="33575"/>
    <cellStyle name="Normal 9 5 3 3 4" xfId="27135"/>
    <cellStyle name="Normal 9 5 3 4" xfId="17428"/>
    <cellStyle name="Normal 9 5 3 4 2" xfId="40015"/>
    <cellStyle name="Normal 9 5 3 5" xfId="14208"/>
    <cellStyle name="Normal 9 5 3 5 2" xfId="36795"/>
    <cellStyle name="Normal 9 5 3 6" xfId="7768"/>
    <cellStyle name="Normal 9 5 3 6 2" xfId="30355"/>
    <cellStyle name="Normal 9 5 3 7" xfId="23915"/>
    <cellStyle name="Normal 9 5 4" xfId="1759"/>
    <cellStyle name="Normal 9 5 4 2" xfId="4982"/>
    <cellStyle name="Normal 9 5 4 2 2" xfId="21082"/>
    <cellStyle name="Normal 9 5 4 2 2 2" xfId="43669"/>
    <cellStyle name="Normal 9 5 4 2 3" xfId="11422"/>
    <cellStyle name="Normal 9 5 4 2 3 2" xfId="34009"/>
    <cellStyle name="Normal 9 5 4 2 4" xfId="27569"/>
    <cellStyle name="Normal 9 5 4 3" xfId="17862"/>
    <cellStyle name="Normal 9 5 4 3 2" xfId="40449"/>
    <cellStyle name="Normal 9 5 4 4" xfId="14642"/>
    <cellStyle name="Normal 9 5 4 4 2" xfId="37229"/>
    <cellStyle name="Normal 9 5 4 5" xfId="8202"/>
    <cellStyle name="Normal 9 5 4 5 2" xfId="30789"/>
    <cellStyle name="Normal 9 5 4 6" xfId="24349"/>
    <cellStyle name="Normal 9 5 5" xfId="1940"/>
    <cellStyle name="Normal 9 5 5 2" xfId="5162"/>
    <cellStyle name="Normal 9 5 5 2 2" xfId="21262"/>
    <cellStyle name="Normal 9 5 5 2 2 2" xfId="43849"/>
    <cellStyle name="Normal 9 5 5 2 3" xfId="11602"/>
    <cellStyle name="Normal 9 5 5 2 3 2" xfId="34189"/>
    <cellStyle name="Normal 9 5 5 2 4" xfId="27749"/>
    <cellStyle name="Normal 9 5 5 3" xfId="18042"/>
    <cellStyle name="Normal 9 5 5 3 2" xfId="40629"/>
    <cellStyle name="Normal 9 5 5 4" xfId="14822"/>
    <cellStyle name="Normal 9 5 5 4 2" xfId="37409"/>
    <cellStyle name="Normal 9 5 5 5" xfId="8382"/>
    <cellStyle name="Normal 9 5 5 5 2" xfId="30969"/>
    <cellStyle name="Normal 9 5 5 6" xfId="24529"/>
    <cellStyle name="Normal 9 5 6" xfId="2971"/>
    <cellStyle name="Normal 9 5 6 2" xfId="6191"/>
    <cellStyle name="Normal 9 5 6 2 2" xfId="22291"/>
    <cellStyle name="Normal 9 5 6 2 2 2" xfId="44878"/>
    <cellStyle name="Normal 9 5 6 2 3" xfId="12631"/>
    <cellStyle name="Normal 9 5 6 2 3 2" xfId="35218"/>
    <cellStyle name="Normal 9 5 6 2 4" xfId="28778"/>
    <cellStyle name="Normal 9 5 6 3" xfId="19071"/>
    <cellStyle name="Normal 9 5 6 3 2" xfId="41658"/>
    <cellStyle name="Normal 9 5 6 4" xfId="15851"/>
    <cellStyle name="Normal 9 5 6 4 2" xfId="38438"/>
    <cellStyle name="Normal 9 5 6 5" xfId="9411"/>
    <cellStyle name="Normal 9 5 6 5 2" xfId="31998"/>
    <cellStyle name="Normal 9 5 6 6" xfId="25558"/>
    <cellStyle name="Normal 9 5 7" xfId="3261"/>
    <cellStyle name="Normal 9 5 7 2" xfId="6481"/>
    <cellStyle name="Normal 9 5 7 2 2" xfId="22581"/>
    <cellStyle name="Normal 9 5 7 2 2 2" xfId="45168"/>
    <cellStyle name="Normal 9 5 7 2 3" xfId="12921"/>
    <cellStyle name="Normal 9 5 7 2 3 2" xfId="35508"/>
    <cellStyle name="Normal 9 5 7 2 4" xfId="29068"/>
    <cellStyle name="Normal 9 5 7 3" xfId="19361"/>
    <cellStyle name="Normal 9 5 7 3 2" xfId="41948"/>
    <cellStyle name="Normal 9 5 7 4" xfId="16141"/>
    <cellStyle name="Normal 9 5 7 4 2" xfId="38728"/>
    <cellStyle name="Normal 9 5 7 5" xfId="9701"/>
    <cellStyle name="Normal 9 5 7 5 2" xfId="32288"/>
    <cellStyle name="Normal 9 5 7 6" xfId="25848"/>
    <cellStyle name="Normal 9 5 8" xfId="585"/>
    <cellStyle name="Normal 9 5 8 2" xfId="3854"/>
    <cellStyle name="Normal 9 5 8 2 2" xfId="19954"/>
    <cellStyle name="Normal 9 5 8 2 2 2" xfId="42541"/>
    <cellStyle name="Normal 9 5 8 2 3" xfId="10294"/>
    <cellStyle name="Normal 9 5 8 2 3 2" xfId="32881"/>
    <cellStyle name="Normal 9 5 8 2 4" xfId="26441"/>
    <cellStyle name="Normal 9 5 8 3" xfId="16734"/>
    <cellStyle name="Normal 9 5 8 3 2" xfId="39321"/>
    <cellStyle name="Normal 9 5 8 4" xfId="13514"/>
    <cellStyle name="Normal 9 5 8 4 2" xfId="36101"/>
    <cellStyle name="Normal 9 5 8 5" xfId="7074"/>
    <cellStyle name="Normal 9 5 8 5 2" xfId="29661"/>
    <cellStyle name="Normal 9 5 8 6" xfId="23221"/>
    <cellStyle name="Normal 9 5 9" xfId="3551"/>
    <cellStyle name="Normal 9 5 9 2" xfId="19651"/>
    <cellStyle name="Normal 9 5 9 2 2" xfId="42238"/>
    <cellStyle name="Normal 9 5 9 3" xfId="9991"/>
    <cellStyle name="Normal 9 5 9 3 2" xfId="32578"/>
    <cellStyle name="Normal 9 5 9 4" xfId="26138"/>
    <cellStyle name="Normal 9 6" xfId="348"/>
    <cellStyle name="Normal 9 6 10" xfId="16515"/>
    <cellStyle name="Normal 9 6 10 2" xfId="39102"/>
    <cellStyle name="Normal 9 6 11" xfId="13295"/>
    <cellStyle name="Normal 9 6 11 2" xfId="35882"/>
    <cellStyle name="Normal 9 6 12" xfId="6855"/>
    <cellStyle name="Normal 9 6 12 2" xfId="29442"/>
    <cellStyle name="Normal 9 6 13" xfId="23002"/>
    <cellStyle name="Normal 9 6 2" xfId="1086"/>
    <cellStyle name="Normal 9 6 2 2" xfId="2400"/>
    <cellStyle name="Normal 9 6 2 2 2" xfId="5621"/>
    <cellStyle name="Normal 9 6 2 2 2 2" xfId="21721"/>
    <cellStyle name="Normal 9 6 2 2 2 2 2" xfId="44308"/>
    <cellStyle name="Normal 9 6 2 2 2 3" xfId="12061"/>
    <cellStyle name="Normal 9 6 2 2 2 3 2" xfId="34648"/>
    <cellStyle name="Normal 9 6 2 2 2 4" xfId="28208"/>
    <cellStyle name="Normal 9 6 2 2 3" xfId="18501"/>
    <cellStyle name="Normal 9 6 2 2 3 2" xfId="41088"/>
    <cellStyle name="Normal 9 6 2 2 4" xfId="15281"/>
    <cellStyle name="Normal 9 6 2 2 4 2" xfId="37868"/>
    <cellStyle name="Normal 9 6 2 2 5" xfId="8841"/>
    <cellStyle name="Normal 9 6 2 2 5 2" xfId="31428"/>
    <cellStyle name="Normal 9 6 2 2 6" xfId="24988"/>
    <cellStyle name="Normal 9 6 2 3" xfId="4313"/>
    <cellStyle name="Normal 9 6 2 3 2" xfId="20413"/>
    <cellStyle name="Normal 9 6 2 3 2 2" xfId="43000"/>
    <cellStyle name="Normal 9 6 2 3 3" xfId="10753"/>
    <cellStyle name="Normal 9 6 2 3 3 2" xfId="33340"/>
    <cellStyle name="Normal 9 6 2 3 4" xfId="26900"/>
    <cellStyle name="Normal 9 6 2 4" xfId="17193"/>
    <cellStyle name="Normal 9 6 2 4 2" xfId="39780"/>
    <cellStyle name="Normal 9 6 2 5" xfId="13973"/>
    <cellStyle name="Normal 9 6 2 5 2" xfId="36560"/>
    <cellStyle name="Normal 9 6 2 6" xfId="7533"/>
    <cellStyle name="Normal 9 6 2 6 2" xfId="30120"/>
    <cellStyle name="Normal 9 6 2 7" xfId="23680"/>
    <cellStyle name="Normal 9 6 3" xfId="1433"/>
    <cellStyle name="Normal 9 6 3 2" xfId="2747"/>
    <cellStyle name="Normal 9 6 3 2 2" xfId="5968"/>
    <cellStyle name="Normal 9 6 3 2 2 2" xfId="22068"/>
    <cellStyle name="Normal 9 6 3 2 2 2 2" xfId="44655"/>
    <cellStyle name="Normal 9 6 3 2 2 3" xfId="12408"/>
    <cellStyle name="Normal 9 6 3 2 2 3 2" xfId="34995"/>
    <cellStyle name="Normal 9 6 3 2 2 4" xfId="28555"/>
    <cellStyle name="Normal 9 6 3 2 3" xfId="18848"/>
    <cellStyle name="Normal 9 6 3 2 3 2" xfId="41435"/>
    <cellStyle name="Normal 9 6 3 2 4" xfId="15628"/>
    <cellStyle name="Normal 9 6 3 2 4 2" xfId="38215"/>
    <cellStyle name="Normal 9 6 3 2 5" xfId="9188"/>
    <cellStyle name="Normal 9 6 3 2 5 2" xfId="31775"/>
    <cellStyle name="Normal 9 6 3 2 6" xfId="25335"/>
    <cellStyle name="Normal 9 6 3 3" xfId="4660"/>
    <cellStyle name="Normal 9 6 3 3 2" xfId="20760"/>
    <cellStyle name="Normal 9 6 3 3 2 2" xfId="43347"/>
    <cellStyle name="Normal 9 6 3 3 3" xfId="11100"/>
    <cellStyle name="Normal 9 6 3 3 3 2" xfId="33687"/>
    <cellStyle name="Normal 9 6 3 3 4" xfId="27247"/>
    <cellStyle name="Normal 9 6 3 4" xfId="17540"/>
    <cellStyle name="Normal 9 6 3 4 2" xfId="40127"/>
    <cellStyle name="Normal 9 6 3 5" xfId="14320"/>
    <cellStyle name="Normal 9 6 3 5 2" xfId="36907"/>
    <cellStyle name="Normal 9 6 3 6" xfId="7880"/>
    <cellStyle name="Normal 9 6 3 6 2" xfId="30467"/>
    <cellStyle name="Normal 9 6 3 7" xfId="24027"/>
    <cellStyle name="Normal 9 6 4" xfId="1760"/>
    <cellStyle name="Normal 9 6 4 2" xfId="4983"/>
    <cellStyle name="Normal 9 6 4 2 2" xfId="21083"/>
    <cellStyle name="Normal 9 6 4 2 2 2" xfId="43670"/>
    <cellStyle name="Normal 9 6 4 2 3" xfId="11423"/>
    <cellStyle name="Normal 9 6 4 2 3 2" xfId="34010"/>
    <cellStyle name="Normal 9 6 4 2 4" xfId="27570"/>
    <cellStyle name="Normal 9 6 4 3" xfId="17863"/>
    <cellStyle name="Normal 9 6 4 3 2" xfId="40450"/>
    <cellStyle name="Normal 9 6 4 4" xfId="14643"/>
    <cellStyle name="Normal 9 6 4 4 2" xfId="37230"/>
    <cellStyle name="Normal 9 6 4 5" xfId="8203"/>
    <cellStyle name="Normal 9 6 4 5 2" xfId="30790"/>
    <cellStyle name="Normal 9 6 4 6" xfId="24350"/>
    <cellStyle name="Normal 9 6 5" xfId="2053"/>
    <cellStyle name="Normal 9 6 5 2" xfId="5274"/>
    <cellStyle name="Normal 9 6 5 2 2" xfId="21374"/>
    <cellStyle name="Normal 9 6 5 2 2 2" xfId="43961"/>
    <cellStyle name="Normal 9 6 5 2 3" xfId="11714"/>
    <cellStyle name="Normal 9 6 5 2 3 2" xfId="34301"/>
    <cellStyle name="Normal 9 6 5 2 4" xfId="27861"/>
    <cellStyle name="Normal 9 6 5 3" xfId="18154"/>
    <cellStyle name="Normal 9 6 5 3 2" xfId="40741"/>
    <cellStyle name="Normal 9 6 5 4" xfId="14934"/>
    <cellStyle name="Normal 9 6 5 4 2" xfId="37521"/>
    <cellStyle name="Normal 9 6 5 5" xfId="8494"/>
    <cellStyle name="Normal 9 6 5 5 2" xfId="31081"/>
    <cellStyle name="Normal 9 6 5 6" xfId="24641"/>
    <cellStyle name="Normal 9 6 6" xfId="3055"/>
    <cellStyle name="Normal 9 6 6 2" xfId="6275"/>
    <cellStyle name="Normal 9 6 6 2 2" xfId="22375"/>
    <cellStyle name="Normal 9 6 6 2 2 2" xfId="44962"/>
    <cellStyle name="Normal 9 6 6 2 3" xfId="12715"/>
    <cellStyle name="Normal 9 6 6 2 3 2" xfId="35302"/>
    <cellStyle name="Normal 9 6 6 2 4" xfId="28862"/>
    <cellStyle name="Normal 9 6 6 3" xfId="19155"/>
    <cellStyle name="Normal 9 6 6 3 2" xfId="41742"/>
    <cellStyle name="Normal 9 6 6 4" xfId="15935"/>
    <cellStyle name="Normal 9 6 6 4 2" xfId="38522"/>
    <cellStyle name="Normal 9 6 6 5" xfId="9495"/>
    <cellStyle name="Normal 9 6 6 5 2" xfId="32082"/>
    <cellStyle name="Normal 9 6 6 6" xfId="25642"/>
    <cellStyle name="Normal 9 6 7" xfId="3345"/>
    <cellStyle name="Normal 9 6 7 2" xfId="6565"/>
    <cellStyle name="Normal 9 6 7 2 2" xfId="22665"/>
    <cellStyle name="Normal 9 6 7 2 2 2" xfId="45252"/>
    <cellStyle name="Normal 9 6 7 2 3" xfId="13005"/>
    <cellStyle name="Normal 9 6 7 2 3 2" xfId="35592"/>
    <cellStyle name="Normal 9 6 7 2 4" xfId="29152"/>
    <cellStyle name="Normal 9 6 7 3" xfId="19445"/>
    <cellStyle name="Normal 9 6 7 3 2" xfId="42032"/>
    <cellStyle name="Normal 9 6 7 4" xfId="16225"/>
    <cellStyle name="Normal 9 6 7 4 2" xfId="38812"/>
    <cellStyle name="Normal 9 6 7 5" xfId="9785"/>
    <cellStyle name="Normal 9 6 7 5 2" xfId="32372"/>
    <cellStyle name="Normal 9 6 7 6" xfId="25932"/>
    <cellStyle name="Normal 9 6 8" xfId="734"/>
    <cellStyle name="Normal 9 6 8 2" xfId="3966"/>
    <cellStyle name="Normal 9 6 8 2 2" xfId="20066"/>
    <cellStyle name="Normal 9 6 8 2 2 2" xfId="42653"/>
    <cellStyle name="Normal 9 6 8 2 3" xfId="10406"/>
    <cellStyle name="Normal 9 6 8 2 3 2" xfId="32993"/>
    <cellStyle name="Normal 9 6 8 2 4" xfId="26553"/>
    <cellStyle name="Normal 9 6 8 3" xfId="16846"/>
    <cellStyle name="Normal 9 6 8 3 2" xfId="39433"/>
    <cellStyle name="Normal 9 6 8 4" xfId="13626"/>
    <cellStyle name="Normal 9 6 8 4 2" xfId="36213"/>
    <cellStyle name="Normal 9 6 8 5" xfId="7186"/>
    <cellStyle name="Normal 9 6 8 5 2" xfId="29773"/>
    <cellStyle name="Normal 9 6 8 6" xfId="23333"/>
    <cellStyle name="Normal 9 6 9" xfId="3635"/>
    <cellStyle name="Normal 9 6 9 2" xfId="19735"/>
    <cellStyle name="Normal 9 6 9 2 2" xfId="42322"/>
    <cellStyle name="Normal 9 6 9 3" xfId="10075"/>
    <cellStyle name="Normal 9 6 9 3 2" xfId="32662"/>
    <cellStyle name="Normal 9 6 9 4" xfId="26222"/>
    <cellStyle name="Normal 9 7" xfId="753"/>
    <cellStyle name="Normal 9 7 10" xfId="23352"/>
    <cellStyle name="Normal 9 7 2" xfId="1105"/>
    <cellStyle name="Normal 9 7 2 2" xfId="2419"/>
    <cellStyle name="Normal 9 7 2 2 2" xfId="5640"/>
    <cellStyle name="Normal 9 7 2 2 2 2" xfId="21740"/>
    <cellStyle name="Normal 9 7 2 2 2 2 2" xfId="44327"/>
    <cellStyle name="Normal 9 7 2 2 2 3" xfId="12080"/>
    <cellStyle name="Normal 9 7 2 2 2 3 2" xfId="34667"/>
    <cellStyle name="Normal 9 7 2 2 2 4" xfId="28227"/>
    <cellStyle name="Normal 9 7 2 2 3" xfId="18520"/>
    <cellStyle name="Normal 9 7 2 2 3 2" xfId="41107"/>
    <cellStyle name="Normal 9 7 2 2 4" xfId="15300"/>
    <cellStyle name="Normal 9 7 2 2 4 2" xfId="37887"/>
    <cellStyle name="Normal 9 7 2 2 5" xfId="8860"/>
    <cellStyle name="Normal 9 7 2 2 5 2" xfId="31447"/>
    <cellStyle name="Normal 9 7 2 2 6" xfId="25007"/>
    <cellStyle name="Normal 9 7 2 3" xfId="4332"/>
    <cellStyle name="Normal 9 7 2 3 2" xfId="20432"/>
    <cellStyle name="Normal 9 7 2 3 2 2" xfId="43019"/>
    <cellStyle name="Normal 9 7 2 3 3" xfId="10772"/>
    <cellStyle name="Normal 9 7 2 3 3 2" xfId="33359"/>
    <cellStyle name="Normal 9 7 2 3 4" xfId="26919"/>
    <cellStyle name="Normal 9 7 2 4" xfId="17212"/>
    <cellStyle name="Normal 9 7 2 4 2" xfId="39799"/>
    <cellStyle name="Normal 9 7 2 5" xfId="13992"/>
    <cellStyle name="Normal 9 7 2 5 2" xfId="36579"/>
    <cellStyle name="Normal 9 7 2 6" xfId="7552"/>
    <cellStyle name="Normal 9 7 2 6 2" xfId="30139"/>
    <cellStyle name="Normal 9 7 2 7" xfId="23699"/>
    <cellStyle name="Normal 9 7 3" xfId="1452"/>
    <cellStyle name="Normal 9 7 3 2" xfId="2766"/>
    <cellStyle name="Normal 9 7 3 2 2" xfId="5987"/>
    <cellStyle name="Normal 9 7 3 2 2 2" xfId="22087"/>
    <cellStyle name="Normal 9 7 3 2 2 2 2" xfId="44674"/>
    <cellStyle name="Normal 9 7 3 2 2 3" xfId="12427"/>
    <cellStyle name="Normal 9 7 3 2 2 3 2" xfId="35014"/>
    <cellStyle name="Normal 9 7 3 2 2 4" xfId="28574"/>
    <cellStyle name="Normal 9 7 3 2 3" xfId="18867"/>
    <cellStyle name="Normal 9 7 3 2 3 2" xfId="41454"/>
    <cellStyle name="Normal 9 7 3 2 4" xfId="15647"/>
    <cellStyle name="Normal 9 7 3 2 4 2" xfId="38234"/>
    <cellStyle name="Normal 9 7 3 2 5" xfId="9207"/>
    <cellStyle name="Normal 9 7 3 2 5 2" xfId="31794"/>
    <cellStyle name="Normal 9 7 3 2 6" xfId="25354"/>
    <cellStyle name="Normal 9 7 3 3" xfId="4679"/>
    <cellStyle name="Normal 9 7 3 3 2" xfId="20779"/>
    <cellStyle name="Normal 9 7 3 3 2 2" xfId="43366"/>
    <cellStyle name="Normal 9 7 3 3 3" xfId="11119"/>
    <cellStyle name="Normal 9 7 3 3 3 2" xfId="33706"/>
    <cellStyle name="Normal 9 7 3 3 4" xfId="27266"/>
    <cellStyle name="Normal 9 7 3 4" xfId="17559"/>
    <cellStyle name="Normal 9 7 3 4 2" xfId="40146"/>
    <cellStyle name="Normal 9 7 3 5" xfId="14339"/>
    <cellStyle name="Normal 9 7 3 5 2" xfId="36926"/>
    <cellStyle name="Normal 9 7 3 6" xfId="7899"/>
    <cellStyle name="Normal 9 7 3 6 2" xfId="30486"/>
    <cellStyle name="Normal 9 7 3 7" xfId="24046"/>
    <cellStyle name="Normal 9 7 4" xfId="1761"/>
    <cellStyle name="Normal 9 7 4 2" xfId="4984"/>
    <cellStyle name="Normal 9 7 4 2 2" xfId="21084"/>
    <cellStyle name="Normal 9 7 4 2 2 2" xfId="43671"/>
    <cellStyle name="Normal 9 7 4 2 3" xfId="11424"/>
    <cellStyle name="Normal 9 7 4 2 3 2" xfId="34011"/>
    <cellStyle name="Normal 9 7 4 2 4" xfId="27571"/>
    <cellStyle name="Normal 9 7 4 3" xfId="17864"/>
    <cellStyle name="Normal 9 7 4 3 2" xfId="40451"/>
    <cellStyle name="Normal 9 7 4 4" xfId="14644"/>
    <cellStyle name="Normal 9 7 4 4 2" xfId="37231"/>
    <cellStyle name="Normal 9 7 4 5" xfId="8204"/>
    <cellStyle name="Normal 9 7 4 5 2" xfId="30791"/>
    <cellStyle name="Normal 9 7 4 6" xfId="24351"/>
    <cellStyle name="Normal 9 7 5" xfId="2072"/>
    <cellStyle name="Normal 9 7 5 2" xfId="5293"/>
    <cellStyle name="Normal 9 7 5 2 2" xfId="21393"/>
    <cellStyle name="Normal 9 7 5 2 2 2" xfId="43980"/>
    <cellStyle name="Normal 9 7 5 2 3" xfId="11733"/>
    <cellStyle name="Normal 9 7 5 2 3 2" xfId="34320"/>
    <cellStyle name="Normal 9 7 5 2 4" xfId="27880"/>
    <cellStyle name="Normal 9 7 5 3" xfId="18173"/>
    <cellStyle name="Normal 9 7 5 3 2" xfId="40760"/>
    <cellStyle name="Normal 9 7 5 4" xfId="14953"/>
    <cellStyle name="Normal 9 7 5 4 2" xfId="37540"/>
    <cellStyle name="Normal 9 7 5 5" xfId="8513"/>
    <cellStyle name="Normal 9 7 5 5 2" xfId="31100"/>
    <cellStyle name="Normal 9 7 5 6" xfId="24660"/>
    <cellStyle name="Normal 9 7 6" xfId="3985"/>
    <cellStyle name="Normal 9 7 6 2" xfId="20085"/>
    <cellStyle name="Normal 9 7 6 2 2" xfId="42672"/>
    <cellStyle name="Normal 9 7 6 3" xfId="10425"/>
    <cellStyle name="Normal 9 7 6 3 2" xfId="33012"/>
    <cellStyle name="Normal 9 7 6 4" xfId="26572"/>
    <cellStyle name="Normal 9 7 7" xfId="16865"/>
    <cellStyle name="Normal 9 7 7 2" xfId="39452"/>
    <cellStyle name="Normal 9 7 8" xfId="13645"/>
    <cellStyle name="Normal 9 7 8 2" xfId="36232"/>
    <cellStyle name="Normal 9 7 9" xfId="7205"/>
    <cellStyle name="Normal 9 7 9 2" xfId="29792"/>
    <cellStyle name="Normal 9 8" xfId="847"/>
    <cellStyle name="Normal 9 8 2" xfId="2166"/>
    <cellStyle name="Normal 9 8 2 2" xfId="5387"/>
    <cellStyle name="Normal 9 8 2 2 2" xfId="21487"/>
    <cellStyle name="Normal 9 8 2 2 2 2" xfId="44074"/>
    <cellStyle name="Normal 9 8 2 2 3" xfId="11827"/>
    <cellStyle name="Normal 9 8 2 2 3 2" xfId="34414"/>
    <cellStyle name="Normal 9 8 2 2 4" xfId="27974"/>
    <cellStyle name="Normal 9 8 2 3" xfId="18267"/>
    <cellStyle name="Normal 9 8 2 3 2" xfId="40854"/>
    <cellStyle name="Normal 9 8 2 4" xfId="15047"/>
    <cellStyle name="Normal 9 8 2 4 2" xfId="37634"/>
    <cellStyle name="Normal 9 8 2 5" xfId="8607"/>
    <cellStyle name="Normal 9 8 2 5 2" xfId="31194"/>
    <cellStyle name="Normal 9 8 2 6" xfId="24754"/>
    <cellStyle name="Normal 9 8 3" xfId="4079"/>
    <cellStyle name="Normal 9 8 3 2" xfId="20179"/>
    <cellStyle name="Normal 9 8 3 2 2" xfId="42766"/>
    <cellStyle name="Normal 9 8 3 3" xfId="10519"/>
    <cellStyle name="Normal 9 8 3 3 2" xfId="33106"/>
    <cellStyle name="Normal 9 8 3 4" xfId="26666"/>
    <cellStyle name="Normal 9 8 4" xfId="16959"/>
    <cellStyle name="Normal 9 8 4 2" xfId="39546"/>
    <cellStyle name="Normal 9 8 5" xfId="13739"/>
    <cellStyle name="Normal 9 8 5 2" xfId="36326"/>
    <cellStyle name="Normal 9 8 6" xfId="7299"/>
    <cellStyle name="Normal 9 8 6 2" xfId="29886"/>
    <cellStyle name="Normal 9 8 7" xfId="23446"/>
    <cellStyle name="Normal 9 9" xfId="1199"/>
    <cellStyle name="Normal 9 9 2" xfId="2513"/>
    <cellStyle name="Normal 9 9 2 2" xfId="5734"/>
    <cellStyle name="Normal 9 9 2 2 2" xfId="21834"/>
    <cellStyle name="Normal 9 9 2 2 2 2" xfId="44421"/>
    <cellStyle name="Normal 9 9 2 2 3" xfId="12174"/>
    <cellStyle name="Normal 9 9 2 2 3 2" xfId="34761"/>
    <cellStyle name="Normal 9 9 2 2 4" xfId="28321"/>
    <cellStyle name="Normal 9 9 2 3" xfId="18614"/>
    <cellStyle name="Normal 9 9 2 3 2" xfId="41201"/>
    <cellStyle name="Normal 9 9 2 4" xfId="15394"/>
    <cellStyle name="Normal 9 9 2 4 2" xfId="37981"/>
    <cellStyle name="Normal 9 9 2 5" xfId="8954"/>
    <cellStyle name="Normal 9 9 2 5 2" xfId="31541"/>
    <cellStyle name="Normal 9 9 2 6" xfId="25101"/>
    <cellStyle name="Normal 9 9 3" xfId="4426"/>
    <cellStyle name="Normal 9 9 3 2" xfId="20526"/>
    <cellStyle name="Normal 9 9 3 2 2" xfId="43113"/>
    <cellStyle name="Normal 9 9 3 3" xfId="10866"/>
    <cellStyle name="Normal 9 9 3 3 2" xfId="33453"/>
    <cellStyle name="Normal 9 9 3 4" xfId="27013"/>
    <cellStyle name="Normal 9 9 4" xfId="17306"/>
    <cellStyle name="Normal 9 9 4 2" xfId="39893"/>
    <cellStyle name="Normal 9 9 5" xfId="14086"/>
    <cellStyle name="Normal 9 9 5 2" xfId="36673"/>
    <cellStyle name="Normal 9 9 6" xfId="7646"/>
    <cellStyle name="Normal 9 9 6 2" xfId="30233"/>
    <cellStyle name="Normal 9 9 7" xfId="23793"/>
    <cellStyle name="Note" xfId="37" builtinId="10" customBuiltin="1"/>
    <cellStyle name="Note 14" xfId="94"/>
    <cellStyle name="Note 14 10" xfId="841"/>
    <cellStyle name="Note 14 10 2" xfId="2160"/>
    <cellStyle name="Note 14 10 2 2" xfId="5381"/>
    <cellStyle name="Note 14 10 2 2 2" xfId="21481"/>
    <cellStyle name="Note 14 10 2 2 2 2" xfId="44068"/>
    <cellStyle name="Note 14 10 2 2 3" xfId="11821"/>
    <cellStyle name="Note 14 10 2 2 3 2" xfId="34408"/>
    <cellStyle name="Note 14 10 2 2 4" xfId="27968"/>
    <cellStyle name="Note 14 10 2 3" xfId="18261"/>
    <cellStyle name="Note 14 10 2 3 2" xfId="40848"/>
    <cellStyle name="Note 14 10 2 4" xfId="15041"/>
    <cellStyle name="Note 14 10 2 4 2" xfId="37628"/>
    <cellStyle name="Note 14 10 2 5" xfId="8601"/>
    <cellStyle name="Note 14 10 2 5 2" xfId="31188"/>
    <cellStyle name="Note 14 10 2 6" xfId="24748"/>
    <cellStyle name="Note 14 10 3" xfId="4073"/>
    <cellStyle name="Note 14 10 3 2" xfId="20173"/>
    <cellStyle name="Note 14 10 3 2 2" xfId="42760"/>
    <cellStyle name="Note 14 10 3 3" xfId="10513"/>
    <cellStyle name="Note 14 10 3 3 2" xfId="33100"/>
    <cellStyle name="Note 14 10 3 4" xfId="26660"/>
    <cellStyle name="Note 14 10 4" xfId="16953"/>
    <cellStyle name="Note 14 10 4 2" xfId="39540"/>
    <cellStyle name="Note 14 10 5" xfId="13733"/>
    <cellStyle name="Note 14 10 5 2" xfId="36320"/>
    <cellStyle name="Note 14 10 6" xfId="7293"/>
    <cellStyle name="Note 14 10 6 2" xfId="29880"/>
    <cellStyle name="Note 14 10 7" xfId="23440"/>
    <cellStyle name="Note 14 11" xfId="1193"/>
    <cellStyle name="Note 14 11 2" xfId="2507"/>
    <cellStyle name="Note 14 11 2 2" xfId="5728"/>
    <cellStyle name="Note 14 11 2 2 2" xfId="21828"/>
    <cellStyle name="Note 14 11 2 2 2 2" xfId="44415"/>
    <cellStyle name="Note 14 11 2 2 3" xfId="12168"/>
    <cellStyle name="Note 14 11 2 2 3 2" xfId="34755"/>
    <cellStyle name="Note 14 11 2 2 4" xfId="28315"/>
    <cellStyle name="Note 14 11 2 3" xfId="18608"/>
    <cellStyle name="Note 14 11 2 3 2" xfId="41195"/>
    <cellStyle name="Note 14 11 2 4" xfId="15388"/>
    <cellStyle name="Note 14 11 2 4 2" xfId="37975"/>
    <cellStyle name="Note 14 11 2 5" xfId="8948"/>
    <cellStyle name="Note 14 11 2 5 2" xfId="31535"/>
    <cellStyle name="Note 14 11 2 6" xfId="25095"/>
    <cellStyle name="Note 14 11 3" xfId="4420"/>
    <cellStyle name="Note 14 11 3 2" xfId="20520"/>
    <cellStyle name="Note 14 11 3 2 2" xfId="43107"/>
    <cellStyle name="Note 14 11 3 3" xfId="10860"/>
    <cellStyle name="Note 14 11 3 3 2" xfId="33447"/>
    <cellStyle name="Note 14 11 3 4" xfId="27007"/>
    <cellStyle name="Note 14 11 4" xfId="17300"/>
    <cellStyle name="Note 14 11 4 2" xfId="39887"/>
    <cellStyle name="Note 14 11 5" xfId="14080"/>
    <cellStyle name="Note 14 11 5 2" xfId="36667"/>
    <cellStyle name="Note 14 11 6" xfId="7640"/>
    <cellStyle name="Note 14 11 6 2" xfId="30227"/>
    <cellStyle name="Note 14 11 7" xfId="23787"/>
    <cellStyle name="Note 14 12" xfId="1762"/>
    <cellStyle name="Note 14 12 2" xfId="4985"/>
    <cellStyle name="Note 14 12 2 2" xfId="21085"/>
    <cellStyle name="Note 14 12 2 2 2" xfId="43672"/>
    <cellStyle name="Note 14 12 2 3" xfId="11425"/>
    <cellStyle name="Note 14 12 2 3 2" xfId="34012"/>
    <cellStyle name="Note 14 12 2 4" xfId="27572"/>
    <cellStyle name="Note 14 12 3" xfId="17865"/>
    <cellStyle name="Note 14 12 3 2" xfId="40452"/>
    <cellStyle name="Note 14 12 4" xfId="14645"/>
    <cellStyle name="Note 14 12 4 2" xfId="37232"/>
    <cellStyle name="Note 14 12 5" xfId="8205"/>
    <cellStyle name="Note 14 12 5 2" xfId="30792"/>
    <cellStyle name="Note 14 12 6" xfId="24352"/>
    <cellStyle name="Note 14 13" xfId="1812"/>
    <cellStyle name="Note 14 13 2" xfId="5034"/>
    <cellStyle name="Note 14 13 2 2" xfId="21134"/>
    <cellStyle name="Note 14 13 2 2 2" xfId="43721"/>
    <cellStyle name="Note 14 13 2 3" xfId="11474"/>
    <cellStyle name="Note 14 13 2 3 2" xfId="34061"/>
    <cellStyle name="Note 14 13 2 4" xfId="27621"/>
    <cellStyle name="Note 14 13 3" xfId="17914"/>
    <cellStyle name="Note 14 13 3 2" xfId="40501"/>
    <cellStyle name="Note 14 13 4" xfId="14694"/>
    <cellStyle name="Note 14 13 4 2" xfId="37281"/>
    <cellStyle name="Note 14 13 5" xfId="8254"/>
    <cellStyle name="Note 14 13 5 2" xfId="30841"/>
    <cellStyle name="Note 14 13 6" xfId="24401"/>
    <cellStyle name="Note 14 14" xfId="2855"/>
    <cellStyle name="Note 14 14 2" xfId="6076"/>
    <cellStyle name="Note 14 14 2 2" xfId="22176"/>
    <cellStyle name="Note 14 14 2 2 2" xfId="44763"/>
    <cellStyle name="Note 14 14 2 3" xfId="12516"/>
    <cellStyle name="Note 14 14 2 3 2" xfId="35103"/>
    <cellStyle name="Note 14 14 2 4" xfId="28663"/>
    <cellStyle name="Note 14 14 3" xfId="18956"/>
    <cellStyle name="Note 14 14 3 2" xfId="41543"/>
    <cellStyle name="Note 14 14 4" xfId="15736"/>
    <cellStyle name="Note 14 14 4 2" xfId="38323"/>
    <cellStyle name="Note 14 14 5" xfId="9296"/>
    <cellStyle name="Note 14 14 5 2" xfId="31883"/>
    <cellStyle name="Note 14 14 6" xfId="25443"/>
    <cellStyle name="Note 14 15" xfId="3146"/>
    <cellStyle name="Note 14 15 2" xfId="6366"/>
    <cellStyle name="Note 14 15 2 2" xfId="22466"/>
    <cellStyle name="Note 14 15 2 2 2" xfId="45053"/>
    <cellStyle name="Note 14 15 2 3" xfId="12806"/>
    <cellStyle name="Note 14 15 2 3 2" xfId="35393"/>
    <cellStyle name="Note 14 15 2 4" xfId="28953"/>
    <cellStyle name="Note 14 15 3" xfId="19246"/>
    <cellStyle name="Note 14 15 3 2" xfId="41833"/>
    <cellStyle name="Note 14 15 4" xfId="16026"/>
    <cellStyle name="Note 14 15 4 2" xfId="38613"/>
    <cellStyle name="Note 14 15 5" xfId="9586"/>
    <cellStyle name="Note 14 15 5 2" xfId="32173"/>
    <cellStyle name="Note 14 15 6" xfId="25733"/>
    <cellStyle name="Note 14 16" xfId="439"/>
    <cellStyle name="Note 14 16 2" xfId="3726"/>
    <cellStyle name="Note 14 16 2 2" xfId="19826"/>
    <cellStyle name="Note 14 16 2 2 2" xfId="42413"/>
    <cellStyle name="Note 14 16 2 3" xfId="10166"/>
    <cellStyle name="Note 14 16 2 3 2" xfId="32753"/>
    <cellStyle name="Note 14 16 2 4" xfId="26313"/>
    <cellStyle name="Note 14 16 3" xfId="16606"/>
    <cellStyle name="Note 14 16 3 2" xfId="39193"/>
    <cellStyle name="Note 14 16 4" xfId="13386"/>
    <cellStyle name="Note 14 16 4 2" xfId="35973"/>
    <cellStyle name="Note 14 16 5" xfId="6946"/>
    <cellStyle name="Note 14 16 5 2" xfId="29533"/>
    <cellStyle name="Note 14 16 6" xfId="23093"/>
    <cellStyle name="Note 14 17" xfId="3436"/>
    <cellStyle name="Note 14 17 2" xfId="19536"/>
    <cellStyle name="Note 14 17 2 2" xfId="42123"/>
    <cellStyle name="Note 14 17 3" xfId="9876"/>
    <cellStyle name="Note 14 17 3 2" xfId="32463"/>
    <cellStyle name="Note 14 17 4" xfId="26023"/>
    <cellStyle name="Note 14 18" xfId="16316"/>
    <cellStyle name="Note 14 18 2" xfId="38903"/>
    <cellStyle name="Note 14 19" xfId="13096"/>
    <cellStyle name="Note 14 19 2" xfId="35683"/>
    <cellStyle name="Note 14 2" xfId="101"/>
    <cellStyle name="Note 14 2 10" xfId="1763"/>
    <cellStyle name="Note 14 2 10 2" xfId="4986"/>
    <cellStyle name="Note 14 2 10 2 2" xfId="21086"/>
    <cellStyle name="Note 14 2 10 2 2 2" xfId="43673"/>
    <cellStyle name="Note 14 2 10 2 3" xfId="11426"/>
    <cellStyle name="Note 14 2 10 2 3 2" xfId="34013"/>
    <cellStyle name="Note 14 2 10 2 4" xfId="27573"/>
    <cellStyle name="Note 14 2 10 3" xfId="17866"/>
    <cellStyle name="Note 14 2 10 3 2" xfId="40453"/>
    <cellStyle name="Note 14 2 10 4" xfId="14646"/>
    <cellStyle name="Note 14 2 10 4 2" xfId="37233"/>
    <cellStyle name="Note 14 2 10 5" xfId="8206"/>
    <cellStyle name="Note 14 2 10 5 2" xfId="30793"/>
    <cellStyle name="Note 14 2 10 6" xfId="24353"/>
    <cellStyle name="Note 14 2 11" xfId="1817"/>
    <cellStyle name="Note 14 2 11 2" xfId="5039"/>
    <cellStyle name="Note 14 2 11 2 2" xfId="21139"/>
    <cellStyle name="Note 14 2 11 2 2 2" xfId="43726"/>
    <cellStyle name="Note 14 2 11 2 3" xfId="11479"/>
    <cellStyle name="Note 14 2 11 2 3 2" xfId="34066"/>
    <cellStyle name="Note 14 2 11 2 4" xfId="27626"/>
    <cellStyle name="Note 14 2 11 3" xfId="17919"/>
    <cellStyle name="Note 14 2 11 3 2" xfId="40506"/>
    <cellStyle name="Note 14 2 11 4" xfId="14699"/>
    <cellStyle name="Note 14 2 11 4 2" xfId="37286"/>
    <cellStyle name="Note 14 2 11 5" xfId="8259"/>
    <cellStyle name="Note 14 2 11 5 2" xfId="30846"/>
    <cellStyle name="Note 14 2 11 6" xfId="24406"/>
    <cellStyle name="Note 14 2 12" xfId="2860"/>
    <cellStyle name="Note 14 2 12 2" xfId="6081"/>
    <cellStyle name="Note 14 2 12 2 2" xfId="22181"/>
    <cellStyle name="Note 14 2 12 2 2 2" xfId="44768"/>
    <cellStyle name="Note 14 2 12 2 3" xfId="12521"/>
    <cellStyle name="Note 14 2 12 2 3 2" xfId="35108"/>
    <cellStyle name="Note 14 2 12 2 4" xfId="28668"/>
    <cellStyle name="Note 14 2 12 3" xfId="18961"/>
    <cellStyle name="Note 14 2 12 3 2" xfId="41548"/>
    <cellStyle name="Note 14 2 12 4" xfId="15741"/>
    <cellStyle name="Note 14 2 12 4 2" xfId="38328"/>
    <cellStyle name="Note 14 2 12 5" xfId="9301"/>
    <cellStyle name="Note 14 2 12 5 2" xfId="31888"/>
    <cellStyle name="Note 14 2 12 6" xfId="25448"/>
    <cellStyle name="Note 14 2 13" xfId="3151"/>
    <cellStyle name="Note 14 2 13 2" xfId="6371"/>
    <cellStyle name="Note 14 2 13 2 2" xfId="22471"/>
    <cellStyle name="Note 14 2 13 2 2 2" xfId="45058"/>
    <cellStyle name="Note 14 2 13 2 3" xfId="12811"/>
    <cellStyle name="Note 14 2 13 2 3 2" xfId="35398"/>
    <cellStyle name="Note 14 2 13 2 4" xfId="28958"/>
    <cellStyle name="Note 14 2 13 3" xfId="19251"/>
    <cellStyle name="Note 14 2 13 3 2" xfId="41838"/>
    <cellStyle name="Note 14 2 13 4" xfId="16031"/>
    <cellStyle name="Note 14 2 13 4 2" xfId="38618"/>
    <cellStyle name="Note 14 2 13 5" xfId="9591"/>
    <cellStyle name="Note 14 2 13 5 2" xfId="32178"/>
    <cellStyle name="Note 14 2 13 6" xfId="25738"/>
    <cellStyle name="Note 14 2 14" xfId="444"/>
    <cellStyle name="Note 14 2 14 2" xfId="3731"/>
    <cellStyle name="Note 14 2 14 2 2" xfId="19831"/>
    <cellStyle name="Note 14 2 14 2 2 2" xfId="42418"/>
    <cellStyle name="Note 14 2 14 2 3" xfId="10171"/>
    <cellStyle name="Note 14 2 14 2 3 2" xfId="32758"/>
    <cellStyle name="Note 14 2 14 2 4" xfId="26318"/>
    <cellStyle name="Note 14 2 14 3" xfId="16611"/>
    <cellStyle name="Note 14 2 14 3 2" xfId="39198"/>
    <cellStyle name="Note 14 2 14 4" xfId="13391"/>
    <cellStyle name="Note 14 2 14 4 2" xfId="35978"/>
    <cellStyle name="Note 14 2 14 5" xfId="6951"/>
    <cellStyle name="Note 14 2 14 5 2" xfId="29538"/>
    <cellStyle name="Note 14 2 14 6" xfId="23098"/>
    <cellStyle name="Note 14 2 15" xfId="3441"/>
    <cellStyle name="Note 14 2 15 2" xfId="19541"/>
    <cellStyle name="Note 14 2 15 2 2" xfId="42128"/>
    <cellStyle name="Note 14 2 15 3" xfId="9881"/>
    <cellStyle name="Note 14 2 15 3 2" xfId="32468"/>
    <cellStyle name="Note 14 2 15 4" xfId="26028"/>
    <cellStyle name="Note 14 2 16" xfId="16321"/>
    <cellStyle name="Note 14 2 16 2" xfId="38908"/>
    <cellStyle name="Note 14 2 17" xfId="13101"/>
    <cellStyle name="Note 14 2 17 2" xfId="35688"/>
    <cellStyle name="Note 14 2 18" xfId="6661"/>
    <cellStyle name="Note 14 2 18 2" xfId="29248"/>
    <cellStyle name="Note 14 2 19" xfId="22808"/>
    <cellStyle name="Note 14 2 2" xfId="120"/>
    <cellStyle name="Note 14 2 2 10" xfId="2876"/>
    <cellStyle name="Note 14 2 2 10 2" xfId="6097"/>
    <cellStyle name="Note 14 2 2 10 2 2" xfId="22197"/>
    <cellStyle name="Note 14 2 2 10 2 2 2" xfId="44784"/>
    <cellStyle name="Note 14 2 2 10 2 3" xfId="12537"/>
    <cellStyle name="Note 14 2 2 10 2 3 2" xfId="35124"/>
    <cellStyle name="Note 14 2 2 10 2 4" xfId="28684"/>
    <cellStyle name="Note 14 2 2 10 3" xfId="18977"/>
    <cellStyle name="Note 14 2 2 10 3 2" xfId="41564"/>
    <cellStyle name="Note 14 2 2 10 4" xfId="15757"/>
    <cellStyle name="Note 14 2 2 10 4 2" xfId="38344"/>
    <cellStyle name="Note 14 2 2 10 5" xfId="9317"/>
    <cellStyle name="Note 14 2 2 10 5 2" xfId="31904"/>
    <cellStyle name="Note 14 2 2 10 6" xfId="25464"/>
    <cellStyle name="Note 14 2 2 11" xfId="3167"/>
    <cellStyle name="Note 14 2 2 11 2" xfId="6387"/>
    <cellStyle name="Note 14 2 2 11 2 2" xfId="22487"/>
    <cellStyle name="Note 14 2 2 11 2 2 2" xfId="45074"/>
    <cellStyle name="Note 14 2 2 11 2 3" xfId="12827"/>
    <cellStyle name="Note 14 2 2 11 2 3 2" xfId="35414"/>
    <cellStyle name="Note 14 2 2 11 2 4" xfId="28974"/>
    <cellStyle name="Note 14 2 2 11 3" xfId="19267"/>
    <cellStyle name="Note 14 2 2 11 3 2" xfId="41854"/>
    <cellStyle name="Note 14 2 2 11 4" xfId="16047"/>
    <cellStyle name="Note 14 2 2 11 4 2" xfId="38634"/>
    <cellStyle name="Note 14 2 2 11 5" xfId="9607"/>
    <cellStyle name="Note 14 2 2 11 5 2" xfId="32194"/>
    <cellStyle name="Note 14 2 2 11 6" xfId="25754"/>
    <cellStyle name="Note 14 2 2 12" xfId="460"/>
    <cellStyle name="Note 14 2 2 12 2" xfId="3747"/>
    <cellStyle name="Note 14 2 2 12 2 2" xfId="19847"/>
    <cellStyle name="Note 14 2 2 12 2 2 2" xfId="42434"/>
    <cellStyle name="Note 14 2 2 12 2 3" xfId="10187"/>
    <cellStyle name="Note 14 2 2 12 2 3 2" xfId="32774"/>
    <cellStyle name="Note 14 2 2 12 2 4" xfId="26334"/>
    <cellStyle name="Note 14 2 2 12 3" xfId="16627"/>
    <cellStyle name="Note 14 2 2 12 3 2" xfId="39214"/>
    <cellStyle name="Note 14 2 2 12 4" xfId="13407"/>
    <cellStyle name="Note 14 2 2 12 4 2" xfId="35994"/>
    <cellStyle name="Note 14 2 2 12 5" xfId="6967"/>
    <cellStyle name="Note 14 2 2 12 5 2" xfId="29554"/>
    <cellStyle name="Note 14 2 2 12 6" xfId="23114"/>
    <cellStyle name="Note 14 2 2 13" xfId="3457"/>
    <cellStyle name="Note 14 2 2 13 2" xfId="19557"/>
    <cellStyle name="Note 14 2 2 13 2 2" xfId="42144"/>
    <cellStyle name="Note 14 2 2 13 3" xfId="9897"/>
    <cellStyle name="Note 14 2 2 13 3 2" xfId="32484"/>
    <cellStyle name="Note 14 2 2 13 4" xfId="26044"/>
    <cellStyle name="Note 14 2 2 14" xfId="16337"/>
    <cellStyle name="Note 14 2 2 14 2" xfId="38924"/>
    <cellStyle name="Note 14 2 2 15" xfId="13117"/>
    <cellStyle name="Note 14 2 2 15 2" xfId="35704"/>
    <cellStyle name="Note 14 2 2 16" xfId="6677"/>
    <cellStyle name="Note 14 2 2 16 2" xfId="29264"/>
    <cellStyle name="Note 14 2 2 17" xfId="22824"/>
    <cellStyle name="Note 14 2 2 2" xfId="205"/>
    <cellStyle name="Note 14 2 2 2 10" xfId="497"/>
    <cellStyle name="Note 14 2 2 2 10 2" xfId="3784"/>
    <cellStyle name="Note 14 2 2 2 10 2 2" xfId="19884"/>
    <cellStyle name="Note 14 2 2 2 10 2 2 2" xfId="42471"/>
    <cellStyle name="Note 14 2 2 2 10 2 3" xfId="10224"/>
    <cellStyle name="Note 14 2 2 2 10 2 3 2" xfId="32811"/>
    <cellStyle name="Note 14 2 2 2 10 2 4" xfId="26371"/>
    <cellStyle name="Note 14 2 2 2 10 3" xfId="16664"/>
    <cellStyle name="Note 14 2 2 2 10 3 2" xfId="39251"/>
    <cellStyle name="Note 14 2 2 2 10 4" xfId="13444"/>
    <cellStyle name="Note 14 2 2 2 10 4 2" xfId="36031"/>
    <cellStyle name="Note 14 2 2 2 10 5" xfId="7004"/>
    <cellStyle name="Note 14 2 2 2 10 5 2" xfId="29591"/>
    <cellStyle name="Note 14 2 2 2 10 6" xfId="23151"/>
    <cellStyle name="Note 14 2 2 2 11" xfId="3494"/>
    <cellStyle name="Note 14 2 2 2 11 2" xfId="19594"/>
    <cellStyle name="Note 14 2 2 2 11 2 2" xfId="42181"/>
    <cellStyle name="Note 14 2 2 2 11 3" xfId="9934"/>
    <cellStyle name="Note 14 2 2 2 11 3 2" xfId="32521"/>
    <cellStyle name="Note 14 2 2 2 11 4" xfId="26081"/>
    <cellStyle name="Note 14 2 2 2 12" xfId="16374"/>
    <cellStyle name="Note 14 2 2 2 12 2" xfId="38961"/>
    <cellStyle name="Note 14 2 2 2 13" xfId="13154"/>
    <cellStyle name="Note 14 2 2 2 13 2" xfId="35741"/>
    <cellStyle name="Note 14 2 2 2 14" xfId="6714"/>
    <cellStyle name="Note 14 2 2 2 14 2" xfId="29301"/>
    <cellStyle name="Note 14 2 2 2 15" xfId="22861"/>
    <cellStyle name="Note 14 2 2 2 2" xfId="304"/>
    <cellStyle name="Note 14 2 2 2 2 10" xfId="16471"/>
    <cellStyle name="Note 14 2 2 2 2 10 2" xfId="39058"/>
    <cellStyle name="Note 14 2 2 2 2 11" xfId="13251"/>
    <cellStyle name="Note 14 2 2 2 2 11 2" xfId="35838"/>
    <cellStyle name="Note 14 2 2 2 2 12" xfId="6811"/>
    <cellStyle name="Note 14 2 2 2 2 12 2" xfId="29398"/>
    <cellStyle name="Note 14 2 2 2 2 13" xfId="22958"/>
    <cellStyle name="Note 14 2 2 2 2 2" xfId="1023"/>
    <cellStyle name="Note 14 2 2 2 2 2 2" xfId="2337"/>
    <cellStyle name="Note 14 2 2 2 2 2 2 2" xfId="5558"/>
    <cellStyle name="Note 14 2 2 2 2 2 2 2 2" xfId="21658"/>
    <cellStyle name="Note 14 2 2 2 2 2 2 2 2 2" xfId="44245"/>
    <cellStyle name="Note 14 2 2 2 2 2 2 2 3" xfId="11998"/>
    <cellStyle name="Note 14 2 2 2 2 2 2 2 3 2" xfId="34585"/>
    <cellStyle name="Note 14 2 2 2 2 2 2 2 4" xfId="28145"/>
    <cellStyle name="Note 14 2 2 2 2 2 2 3" xfId="18438"/>
    <cellStyle name="Note 14 2 2 2 2 2 2 3 2" xfId="41025"/>
    <cellStyle name="Note 14 2 2 2 2 2 2 4" xfId="15218"/>
    <cellStyle name="Note 14 2 2 2 2 2 2 4 2" xfId="37805"/>
    <cellStyle name="Note 14 2 2 2 2 2 2 5" xfId="8778"/>
    <cellStyle name="Note 14 2 2 2 2 2 2 5 2" xfId="31365"/>
    <cellStyle name="Note 14 2 2 2 2 2 2 6" xfId="24925"/>
    <cellStyle name="Note 14 2 2 2 2 2 3" xfId="4250"/>
    <cellStyle name="Note 14 2 2 2 2 2 3 2" xfId="20350"/>
    <cellStyle name="Note 14 2 2 2 2 2 3 2 2" xfId="42937"/>
    <cellStyle name="Note 14 2 2 2 2 2 3 3" xfId="10690"/>
    <cellStyle name="Note 14 2 2 2 2 2 3 3 2" xfId="33277"/>
    <cellStyle name="Note 14 2 2 2 2 2 3 4" xfId="26837"/>
    <cellStyle name="Note 14 2 2 2 2 2 4" xfId="17130"/>
    <cellStyle name="Note 14 2 2 2 2 2 4 2" xfId="39717"/>
    <cellStyle name="Note 14 2 2 2 2 2 5" xfId="13910"/>
    <cellStyle name="Note 14 2 2 2 2 2 5 2" xfId="36497"/>
    <cellStyle name="Note 14 2 2 2 2 2 6" xfId="7470"/>
    <cellStyle name="Note 14 2 2 2 2 2 6 2" xfId="30057"/>
    <cellStyle name="Note 14 2 2 2 2 2 7" xfId="23617"/>
    <cellStyle name="Note 14 2 2 2 2 3" xfId="1370"/>
    <cellStyle name="Note 14 2 2 2 2 3 2" xfId="2684"/>
    <cellStyle name="Note 14 2 2 2 2 3 2 2" xfId="5905"/>
    <cellStyle name="Note 14 2 2 2 2 3 2 2 2" xfId="22005"/>
    <cellStyle name="Note 14 2 2 2 2 3 2 2 2 2" xfId="44592"/>
    <cellStyle name="Note 14 2 2 2 2 3 2 2 3" xfId="12345"/>
    <cellStyle name="Note 14 2 2 2 2 3 2 2 3 2" xfId="34932"/>
    <cellStyle name="Note 14 2 2 2 2 3 2 2 4" xfId="28492"/>
    <cellStyle name="Note 14 2 2 2 2 3 2 3" xfId="18785"/>
    <cellStyle name="Note 14 2 2 2 2 3 2 3 2" xfId="41372"/>
    <cellStyle name="Note 14 2 2 2 2 3 2 4" xfId="15565"/>
    <cellStyle name="Note 14 2 2 2 2 3 2 4 2" xfId="38152"/>
    <cellStyle name="Note 14 2 2 2 2 3 2 5" xfId="9125"/>
    <cellStyle name="Note 14 2 2 2 2 3 2 5 2" xfId="31712"/>
    <cellStyle name="Note 14 2 2 2 2 3 2 6" xfId="25272"/>
    <cellStyle name="Note 14 2 2 2 2 3 3" xfId="4597"/>
    <cellStyle name="Note 14 2 2 2 2 3 3 2" xfId="20697"/>
    <cellStyle name="Note 14 2 2 2 2 3 3 2 2" xfId="43284"/>
    <cellStyle name="Note 14 2 2 2 2 3 3 3" xfId="11037"/>
    <cellStyle name="Note 14 2 2 2 2 3 3 3 2" xfId="33624"/>
    <cellStyle name="Note 14 2 2 2 2 3 3 4" xfId="27184"/>
    <cellStyle name="Note 14 2 2 2 2 3 4" xfId="17477"/>
    <cellStyle name="Note 14 2 2 2 2 3 4 2" xfId="40064"/>
    <cellStyle name="Note 14 2 2 2 2 3 5" xfId="14257"/>
    <cellStyle name="Note 14 2 2 2 2 3 5 2" xfId="36844"/>
    <cellStyle name="Note 14 2 2 2 2 3 6" xfId="7817"/>
    <cellStyle name="Note 14 2 2 2 2 3 6 2" xfId="30404"/>
    <cellStyle name="Note 14 2 2 2 2 3 7" xfId="23964"/>
    <cellStyle name="Note 14 2 2 2 2 4" xfId="1764"/>
    <cellStyle name="Note 14 2 2 2 2 4 2" xfId="4987"/>
    <cellStyle name="Note 14 2 2 2 2 4 2 2" xfId="21087"/>
    <cellStyle name="Note 14 2 2 2 2 4 2 2 2" xfId="43674"/>
    <cellStyle name="Note 14 2 2 2 2 4 2 3" xfId="11427"/>
    <cellStyle name="Note 14 2 2 2 2 4 2 3 2" xfId="34014"/>
    <cellStyle name="Note 14 2 2 2 2 4 2 4" xfId="27574"/>
    <cellStyle name="Note 14 2 2 2 2 4 3" xfId="17867"/>
    <cellStyle name="Note 14 2 2 2 2 4 3 2" xfId="40454"/>
    <cellStyle name="Note 14 2 2 2 2 4 4" xfId="14647"/>
    <cellStyle name="Note 14 2 2 2 2 4 4 2" xfId="37234"/>
    <cellStyle name="Note 14 2 2 2 2 4 5" xfId="8207"/>
    <cellStyle name="Note 14 2 2 2 2 4 5 2" xfId="30794"/>
    <cellStyle name="Note 14 2 2 2 2 4 6" xfId="24354"/>
    <cellStyle name="Note 14 2 2 2 2 5" xfId="1989"/>
    <cellStyle name="Note 14 2 2 2 2 5 2" xfId="5211"/>
    <cellStyle name="Note 14 2 2 2 2 5 2 2" xfId="21311"/>
    <cellStyle name="Note 14 2 2 2 2 5 2 2 2" xfId="43898"/>
    <cellStyle name="Note 14 2 2 2 2 5 2 3" xfId="11651"/>
    <cellStyle name="Note 14 2 2 2 2 5 2 3 2" xfId="34238"/>
    <cellStyle name="Note 14 2 2 2 2 5 2 4" xfId="27798"/>
    <cellStyle name="Note 14 2 2 2 2 5 3" xfId="18091"/>
    <cellStyle name="Note 14 2 2 2 2 5 3 2" xfId="40678"/>
    <cellStyle name="Note 14 2 2 2 2 5 4" xfId="14871"/>
    <cellStyle name="Note 14 2 2 2 2 5 4 2" xfId="37458"/>
    <cellStyle name="Note 14 2 2 2 2 5 5" xfId="8431"/>
    <cellStyle name="Note 14 2 2 2 2 5 5 2" xfId="31018"/>
    <cellStyle name="Note 14 2 2 2 2 5 6" xfId="24578"/>
    <cellStyle name="Note 14 2 2 2 2 6" xfId="3011"/>
    <cellStyle name="Note 14 2 2 2 2 6 2" xfId="6231"/>
    <cellStyle name="Note 14 2 2 2 2 6 2 2" xfId="22331"/>
    <cellStyle name="Note 14 2 2 2 2 6 2 2 2" xfId="44918"/>
    <cellStyle name="Note 14 2 2 2 2 6 2 3" xfId="12671"/>
    <cellStyle name="Note 14 2 2 2 2 6 2 3 2" xfId="35258"/>
    <cellStyle name="Note 14 2 2 2 2 6 2 4" xfId="28818"/>
    <cellStyle name="Note 14 2 2 2 2 6 3" xfId="19111"/>
    <cellStyle name="Note 14 2 2 2 2 6 3 2" xfId="41698"/>
    <cellStyle name="Note 14 2 2 2 2 6 4" xfId="15891"/>
    <cellStyle name="Note 14 2 2 2 2 6 4 2" xfId="38478"/>
    <cellStyle name="Note 14 2 2 2 2 6 5" xfId="9451"/>
    <cellStyle name="Note 14 2 2 2 2 6 5 2" xfId="32038"/>
    <cellStyle name="Note 14 2 2 2 2 6 6" xfId="25598"/>
    <cellStyle name="Note 14 2 2 2 2 7" xfId="3301"/>
    <cellStyle name="Note 14 2 2 2 2 7 2" xfId="6521"/>
    <cellStyle name="Note 14 2 2 2 2 7 2 2" xfId="22621"/>
    <cellStyle name="Note 14 2 2 2 2 7 2 2 2" xfId="45208"/>
    <cellStyle name="Note 14 2 2 2 2 7 2 3" xfId="12961"/>
    <cellStyle name="Note 14 2 2 2 2 7 2 3 2" xfId="35548"/>
    <cellStyle name="Note 14 2 2 2 2 7 2 4" xfId="29108"/>
    <cellStyle name="Note 14 2 2 2 2 7 3" xfId="19401"/>
    <cellStyle name="Note 14 2 2 2 2 7 3 2" xfId="41988"/>
    <cellStyle name="Note 14 2 2 2 2 7 4" xfId="16181"/>
    <cellStyle name="Note 14 2 2 2 2 7 4 2" xfId="38768"/>
    <cellStyle name="Note 14 2 2 2 2 7 5" xfId="9741"/>
    <cellStyle name="Note 14 2 2 2 2 7 5 2" xfId="32328"/>
    <cellStyle name="Note 14 2 2 2 2 7 6" xfId="25888"/>
    <cellStyle name="Note 14 2 2 2 2 8" xfId="659"/>
    <cellStyle name="Note 14 2 2 2 2 8 2" xfId="3903"/>
    <cellStyle name="Note 14 2 2 2 2 8 2 2" xfId="20003"/>
    <cellStyle name="Note 14 2 2 2 2 8 2 2 2" xfId="42590"/>
    <cellStyle name="Note 14 2 2 2 2 8 2 3" xfId="10343"/>
    <cellStyle name="Note 14 2 2 2 2 8 2 3 2" xfId="32930"/>
    <cellStyle name="Note 14 2 2 2 2 8 2 4" xfId="26490"/>
    <cellStyle name="Note 14 2 2 2 2 8 3" xfId="16783"/>
    <cellStyle name="Note 14 2 2 2 2 8 3 2" xfId="39370"/>
    <cellStyle name="Note 14 2 2 2 2 8 4" xfId="13563"/>
    <cellStyle name="Note 14 2 2 2 2 8 4 2" xfId="36150"/>
    <cellStyle name="Note 14 2 2 2 2 8 5" xfId="7123"/>
    <cellStyle name="Note 14 2 2 2 2 8 5 2" xfId="29710"/>
    <cellStyle name="Note 14 2 2 2 2 8 6" xfId="23270"/>
    <cellStyle name="Note 14 2 2 2 2 9" xfId="3591"/>
    <cellStyle name="Note 14 2 2 2 2 9 2" xfId="19691"/>
    <cellStyle name="Note 14 2 2 2 2 9 2 2" xfId="42278"/>
    <cellStyle name="Note 14 2 2 2 2 9 3" xfId="10031"/>
    <cellStyle name="Note 14 2 2 2 2 9 3 2" xfId="32618"/>
    <cellStyle name="Note 14 2 2 2 2 9 4" xfId="26178"/>
    <cellStyle name="Note 14 2 2 2 3" xfId="400"/>
    <cellStyle name="Note 14 2 2 2 3 10" xfId="16567"/>
    <cellStyle name="Note 14 2 2 2 3 10 2" xfId="39154"/>
    <cellStyle name="Note 14 2 2 2 3 11" xfId="13347"/>
    <cellStyle name="Note 14 2 2 2 3 11 2" xfId="35934"/>
    <cellStyle name="Note 14 2 2 2 3 12" xfId="6907"/>
    <cellStyle name="Note 14 2 2 2 3 12 2" xfId="29494"/>
    <cellStyle name="Note 14 2 2 2 3 13" xfId="23054"/>
    <cellStyle name="Note 14 2 2 2 3 2" xfId="1182"/>
    <cellStyle name="Note 14 2 2 2 3 2 2" xfId="2496"/>
    <cellStyle name="Note 14 2 2 2 3 2 2 2" xfId="5717"/>
    <cellStyle name="Note 14 2 2 2 3 2 2 2 2" xfId="21817"/>
    <cellStyle name="Note 14 2 2 2 3 2 2 2 2 2" xfId="44404"/>
    <cellStyle name="Note 14 2 2 2 3 2 2 2 3" xfId="12157"/>
    <cellStyle name="Note 14 2 2 2 3 2 2 2 3 2" xfId="34744"/>
    <cellStyle name="Note 14 2 2 2 3 2 2 2 4" xfId="28304"/>
    <cellStyle name="Note 14 2 2 2 3 2 2 3" xfId="18597"/>
    <cellStyle name="Note 14 2 2 2 3 2 2 3 2" xfId="41184"/>
    <cellStyle name="Note 14 2 2 2 3 2 2 4" xfId="15377"/>
    <cellStyle name="Note 14 2 2 2 3 2 2 4 2" xfId="37964"/>
    <cellStyle name="Note 14 2 2 2 3 2 2 5" xfId="8937"/>
    <cellStyle name="Note 14 2 2 2 3 2 2 5 2" xfId="31524"/>
    <cellStyle name="Note 14 2 2 2 3 2 2 6" xfId="25084"/>
    <cellStyle name="Note 14 2 2 2 3 2 3" xfId="4409"/>
    <cellStyle name="Note 14 2 2 2 3 2 3 2" xfId="20509"/>
    <cellStyle name="Note 14 2 2 2 3 2 3 2 2" xfId="43096"/>
    <cellStyle name="Note 14 2 2 2 3 2 3 3" xfId="10849"/>
    <cellStyle name="Note 14 2 2 2 3 2 3 3 2" xfId="33436"/>
    <cellStyle name="Note 14 2 2 2 3 2 3 4" xfId="26996"/>
    <cellStyle name="Note 14 2 2 2 3 2 4" xfId="17289"/>
    <cellStyle name="Note 14 2 2 2 3 2 4 2" xfId="39876"/>
    <cellStyle name="Note 14 2 2 2 3 2 5" xfId="14069"/>
    <cellStyle name="Note 14 2 2 2 3 2 5 2" xfId="36656"/>
    <cellStyle name="Note 14 2 2 2 3 2 6" xfId="7629"/>
    <cellStyle name="Note 14 2 2 2 3 2 6 2" xfId="30216"/>
    <cellStyle name="Note 14 2 2 2 3 2 7" xfId="23776"/>
    <cellStyle name="Note 14 2 2 2 3 3" xfId="1529"/>
    <cellStyle name="Note 14 2 2 2 3 3 2" xfId="2843"/>
    <cellStyle name="Note 14 2 2 2 3 3 2 2" xfId="6064"/>
    <cellStyle name="Note 14 2 2 2 3 3 2 2 2" xfId="22164"/>
    <cellStyle name="Note 14 2 2 2 3 3 2 2 2 2" xfId="44751"/>
    <cellStyle name="Note 14 2 2 2 3 3 2 2 3" xfId="12504"/>
    <cellStyle name="Note 14 2 2 2 3 3 2 2 3 2" xfId="35091"/>
    <cellStyle name="Note 14 2 2 2 3 3 2 2 4" xfId="28651"/>
    <cellStyle name="Note 14 2 2 2 3 3 2 3" xfId="18944"/>
    <cellStyle name="Note 14 2 2 2 3 3 2 3 2" xfId="41531"/>
    <cellStyle name="Note 14 2 2 2 3 3 2 4" xfId="15724"/>
    <cellStyle name="Note 14 2 2 2 3 3 2 4 2" xfId="38311"/>
    <cellStyle name="Note 14 2 2 2 3 3 2 5" xfId="9284"/>
    <cellStyle name="Note 14 2 2 2 3 3 2 5 2" xfId="31871"/>
    <cellStyle name="Note 14 2 2 2 3 3 2 6" xfId="25431"/>
    <cellStyle name="Note 14 2 2 2 3 3 3" xfId="4756"/>
    <cellStyle name="Note 14 2 2 2 3 3 3 2" xfId="20856"/>
    <cellStyle name="Note 14 2 2 2 3 3 3 2 2" xfId="43443"/>
    <cellStyle name="Note 14 2 2 2 3 3 3 3" xfId="11196"/>
    <cellStyle name="Note 14 2 2 2 3 3 3 3 2" xfId="33783"/>
    <cellStyle name="Note 14 2 2 2 3 3 3 4" xfId="27343"/>
    <cellStyle name="Note 14 2 2 2 3 3 4" xfId="17636"/>
    <cellStyle name="Note 14 2 2 2 3 3 4 2" xfId="40223"/>
    <cellStyle name="Note 14 2 2 2 3 3 5" xfId="14416"/>
    <cellStyle name="Note 14 2 2 2 3 3 5 2" xfId="37003"/>
    <cellStyle name="Note 14 2 2 2 3 3 6" xfId="7976"/>
    <cellStyle name="Note 14 2 2 2 3 3 6 2" xfId="30563"/>
    <cellStyle name="Note 14 2 2 2 3 3 7" xfId="24123"/>
    <cellStyle name="Note 14 2 2 2 3 4" xfId="1765"/>
    <cellStyle name="Note 14 2 2 2 3 4 2" xfId="4988"/>
    <cellStyle name="Note 14 2 2 2 3 4 2 2" xfId="21088"/>
    <cellStyle name="Note 14 2 2 2 3 4 2 2 2" xfId="43675"/>
    <cellStyle name="Note 14 2 2 2 3 4 2 3" xfId="11428"/>
    <cellStyle name="Note 14 2 2 2 3 4 2 3 2" xfId="34015"/>
    <cellStyle name="Note 14 2 2 2 3 4 2 4" xfId="27575"/>
    <cellStyle name="Note 14 2 2 2 3 4 3" xfId="17868"/>
    <cellStyle name="Note 14 2 2 2 3 4 3 2" xfId="40455"/>
    <cellStyle name="Note 14 2 2 2 3 4 4" xfId="14648"/>
    <cellStyle name="Note 14 2 2 2 3 4 4 2" xfId="37235"/>
    <cellStyle name="Note 14 2 2 2 3 4 5" xfId="8208"/>
    <cellStyle name="Note 14 2 2 2 3 4 5 2" xfId="30795"/>
    <cellStyle name="Note 14 2 2 2 3 4 6" xfId="24355"/>
    <cellStyle name="Note 14 2 2 2 3 5" xfId="2149"/>
    <cellStyle name="Note 14 2 2 2 3 5 2" xfId="5370"/>
    <cellStyle name="Note 14 2 2 2 3 5 2 2" xfId="21470"/>
    <cellStyle name="Note 14 2 2 2 3 5 2 2 2" xfId="44057"/>
    <cellStyle name="Note 14 2 2 2 3 5 2 3" xfId="11810"/>
    <cellStyle name="Note 14 2 2 2 3 5 2 3 2" xfId="34397"/>
    <cellStyle name="Note 14 2 2 2 3 5 2 4" xfId="27957"/>
    <cellStyle name="Note 14 2 2 2 3 5 3" xfId="18250"/>
    <cellStyle name="Note 14 2 2 2 3 5 3 2" xfId="40837"/>
    <cellStyle name="Note 14 2 2 2 3 5 4" xfId="15030"/>
    <cellStyle name="Note 14 2 2 2 3 5 4 2" xfId="37617"/>
    <cellStyle name="Note 14 2 2 2 3 5 5" xfId="8590"/>
    <cellStyle name="Note 14 2 2 2 3 5 5 2" xfId="31177"/>
    <cellStyle name="Note 14 2 2 2 3 5 6" xfId="24737"/>
    <cellStyle name="Note 14 2 2 2 3 6" xfId="3107"/>
    <cellStyle name="Note 14 2 2 2 3 6 2" xfId="6327"/>
    <cellStyle name="Note 14 2 2 2 3 6 2 2" xfId="22427"/>
    <cellStyle name="Note 14 2 2 2 3 6 2 2 2" xfId="45014"/>
    <cellStyle name="Note 14 2 2 2 3 6 2 3" xfId="12767"/>
    <cellStyle name="Note 14 2 2 2 3 6 2 3 2" xfId="35354"/>
    <cellStyle name="Note 14 2 2 2 3 6 2 4" xfId="28914"/>
    <cellStyle name="Note 14 2 2 2 3 6 3" xfId="19207"/>
    <cellStyle name="Note 14 2 2 2 3 6 3 2" xfId="41794"/>
    <cellStyle name="Note 14 2 2 2 3 6 4" xfId="15987"/>
    <cellStyle name="Note 14 2 2 2 3 6 4 2" xfId="38574"/>
    <cellStyle name="Note 14 2 2 2 3 6 5" xfId="9547"/>
    <cellStyle name="Note 14 2 2 2 3 6 5 2" xfId="32134"/>
    <cellStyle name="Note 14 2 2 2 3 6 6" xfId="25694"/>
    <cellStyle name="Note 14 2 2 2 3 7" xfId="3397"/>
    <cellStyle name="Note 14 2 2 2 3 7 2" xfId="6617"/>
    <cellStyle name="Note 14 2 2 2 3 7 2 2" xfId="22717"/>
    <cellStyle name="Note 14 2 2 2 3 7 2 2 2" xfId="45304"/>
    <cellStyle name="Note 14 2 2 2 3 7 2 3" xfId="13057"/>
    <cellStyle name="Note 14 2 2 2 3 7 2 3 2" xfId="35644"/>
    <cellStyle name="Note 14 2 2 2 3 7 2 4" xfId="29204"/>
    <cellStyle name="Note 14 2 2 2 3 7 3" xfId="19497"/>
    <cellStyle name="Note 14 2 2 2 3 7 3 2" xfId="42084"/>
    <cellStyle name="Note 14 2 2 2 3 7 4" xfId="16277"/>
    <cellStyle name="Note 14 2 2 2 3 7 4 2" xfId="38864"/>
    <cellStyle name="Note 14 2 2 2 3 7 5" xfId="9837"/>
    <cellStyle name="Note 14 2 2 2 3 7 5 2" xfId="32424"/>
    <cellStyle name="Note 14 2 2 2 3 7 6" xfId="25984"/>
    <cellStyle name="Note 14 2 2 2 3 8" xfId="830"/>
    <cellStyle name="Note 14 2 2 2 3 8 2" xfId="4062"/>
    <cellStyle name="Note 14 2 2 2 3 8 2 2" xfId="20162"/>
    <cellStyle name="Note 14 2 2 2 3 8 2 2 2" xfId="42749"/>
    <cellStyle name="Note 14 2 2 2 3 8 2 3" xfId="10502"/>
    <cellStyle name="Note 14 2 2 2 3 8 2 3 2" xfId="33089"/>
    <cellStyle name="Note 14 2 2 2 3 8 2 4" xfId="26649"/>
    <cellStyle name="Note 14 2 2 2 3 8 3" xfId="16942"/>
    <cellStyle name="Note 14 2 2 2 3 8 3 2" xfId="39529"/>
    <cellStyle name="Note 14 2 2 2 3 8 4" xfId="13722"/>
    <cellStyle name="Note 14 2 2 2 3 8 4 2" xfId="36309"/>
    <cellStyle name="Note 14 2 2 2 3 8 5" xfId="7282"/>
    <cellStyle name="Note 14 2 2 2 3 8 5 2" xfId="29869"/>
    <cellStyle name="Note 14 2 2 2 3 8 6" xfId="23429"/>
    <cellStyle name="Note 14 2 2 2 3 9" xfId="3687"/>
    <cellStyle name="Note 14 2 2 2 3 9 2" xfId="19787"/>
    <cellStyle name="Note 14 2 2 2 3 9 2 2" xfId="42374"/>
    <cellStyle name="Note 14 2 2 2 3 9 3" xfId="10127"/>
    <cellStyle name="Note 14 2 2 2 3 9 3 2" xfId="32714"/>
    <cellStyle name="Note 14 2 2 2 3 9 4" xfId="26274"/>
    <cellStyle name="Note 14 2 2 2 4" xfId="899"/>
    <cellStyle name="Note 14 2 2 2 4 2" xfId="2218"/>
    <cellStyle name="Note 14 2 2 2 4 2 2" xfId="5439"/>
    <cellStyle name="Note 14 2 2 2 4 2 2 2" xfId="21539"/>
    <cellStyle name="Note 14 2 2 2 4 2 2 2 2" xfId="44126"/>
    <cellStyle name="Note 14 2 2 2 4 2 2 3" xfId="11879"/>
    <cellStyle name="Note 14 2 2 2 4 2 2 3 2" xfId="34466"/>
    <cellStyle name="Note 14 2 2 2 4 2 2 4" xfId="28026"/>
    <cellStyle name="Note 14 2 2 2 4 2 3" xfId="18319"/>
    <cellStyle name="Note 14 2 2 2 4 2 3 2" xfId="40906"/>
    <cellStyle name="Note 14 2 2 2 4 2 4" xfId="15099"/>
    <cellStyle name="Note 14 2 2 2 4 2 4 2" xfId="37686"/>
    <cellStyle name="Note 14 2 2 2 4 2 5" xfId="8659"/>
    <cellStyle name="Note 14 2 2 2 4 2 5 2" xfId="31246"/>
    <cellStyle name="Note 14 2 2 2 4 2 6" xfId="24806"/>
    <cellStyle name="Note 14 2 2 2 4 3" xfId="4131"/>
    <cellStyle name="Note 14 2 2 2 4 3 2" xfId="20231"/>
    <cellStyle name="Note 14 2 2 2 4 3 2 2" xfId="42818"/>
    <cellStyle name="Note 14 2 2 2 4 3 3" xfId="10571"/>
    <cellStyle name="Note 14 2 2 2 4 3 3 2" xfId="33158"/>
    <cellStyle name="Note 14 2 2 2 4 3 4" xfId="26718"/>
    <cellStyle name="Note 14 2 2 2 4 4" xfId="17011"/>
    <cellStyle name="Note 14 2 2 2 4 4 2" xfId="39598"/>
    <cellStyle name="Note 14 2 2 2 4 5" xfId="13791"/>
    <cellStyle name="Note 14 2 2 2 4 5 2" xfId="36378"/>
    <cellStyle name="Note 14 2 2 2 4 6" xfId="7351"/>
    <cellStyle name="Note 14 2 2 2 4 6 2" xfId="29938"/>
    <cellStyle name="Note 14 2 2 2 4 7" xfId="23498"/>
    <cellStyle name="Note 14 2 2 2 5" xfId="1251"/>
    <cellStyle name="Note 14 2 2 2 5 2" xfId="2565"/>
    <cellStyle name="Note 14 2 2 2 5 2 2" xfId="5786"/>
    <cellStyle name="Note 14 2 2 2 5 2 2 2" xfId="21886"/>
    <cellStyle name="Note 14 2 2 2 5 2 2 2 2" xfId="44473"/>
    <cellStyle name="Note 14 2 2 2 5 2 2 3" xfId="12226"/>
    <cellStyle name="Note 14 2 2 2 5 2 2 3 2" xfId="34813"/>
    <cellStyle name="Note 14 2 2 2 5 2 2 4" xfId="28373"/>
    <cellStyle name="Note 14 2 2 2 5 2 3" xfId="18666"/>
    <cellStyle name="Note 14 2 2 2 5 2 3 2" xfId="41253"/>
    <cellStyle name="Note 14 2 2 2 5 2 4" xfId="15446"/>
    <cellStyle name="Note 14 2 2 2 5 2 4 2" xfId="38033"/>
    <cellStyle name="Note 14 2 2 2 5 2 5" xfId="9006"/>
    <cellStyle name="Note 14 2 2 2 5 2 5 2" xfId="31593"/>
    <cellStyle name="Note 14 2 2 2 5 2 6" xfId="25153"/>
    <cellStyle name="Note 14 2 2 2 5 3" xfId="4478"/>
    <cellStyle name="Note 14 2 2 2 5 3 2" xfId="20578"/>
    <cellStyle name="Note 14 2 2 2 5 3 2 2" xfId="43165"/>
    <cellStyle name="Note 14 2 2 2 5 3 3" xfId="10918"/>
    <cellStyle name="Note 14 2 2 2 5 3 3 2" xfId="33505"/>
    <cellStyle name="Note 14 2 2 2 5 3 4" xfId="27065"/>
    <cellStyle name="Note 14 2 2 2 5 4" xfId="17358"/>
    <cellStyle name="Note 14 2 2 2 5 4 2" xfId="39945"/>
    <cellStyle name="Note 14 2 2 2 5 5" xfId="14138"/>
    <cellStyle name="Note 14 2 2 2 5 5 2" xfId="36725"/>
    <cellStyle name="Note 14 2 2 2 5 6" xfId="7698"/>
    <cellStyle name="Note 14 2 2 2 5 6 2" xfId="30285"/>
    <cellStyle name="Note 14 2 2 2 5 7" xfId="23845"/>
    <cellStyle name="Note 14 2 2 2 6" xfId="1766"/>
    <cellStyle name="Note 14 2 2 2 6 2" xfId="4989"/>
    <cellStyle name="Note 14 2 2 2 6 2 2" xfId="21089"/>
    <cellStyle name="Note 14 2 2 2 6 2 2 2" xfId="43676"/>
    <cellStyle name="Note 14 2 2 2 6 2 3" xfId="11429"/>
    <cellStyle name="Note 14 2 2 2 6 2 3 2" xfId="34016"/>
    <cellStyle name="Note 14 2 2 2 6 2 4" xfId="27576"/>
    <cellStyle name="Note 14 2 2 2 6 3" xfId="17869"/>
    <cellStyle name="Note 14 2 2 2 6 3 2" xfId="40456"/>
    <cellStyle name="Note 14 2 2 2 6 4" xfId="14649"/>
    <cellStyle name="Note 14 2 2 2 6 4 2" xfId="37236"/>
    <cellStyle name="Note 14 2 2 2 6 5" xfId="8209"/>
    <cellStyle name="Note 14 2 2 2 6 5 2" xfId="30796"/>
    <cellStyle name="Note 14 2 2 2 6 6" xfId="24356"/>
    <cellStyle name="Note 14 2 2 2 7" xfId="1870"/>
    <cellStyle name="Note 14 2 2 2 7 2" xfId="5092"/>
    <cellStyle name="Note 14 2 2 2 7 2 2" xfId="21192"/>
    <cellStyle name="Note 14 2 2 2 7 2 2 2" xfId="43779"/>
    <cellStyle name="Note 14 2 2 2 7 2 3" xfId="11532"/>
    <cellStyle name="Note 14 2 2 2 7 2 3 2" xfId="34119"/>
    <cellStyle name="Note 14 2 2 2 7 2 4" xfId="27679"/>
    <cellStyle name="Note 14 2 2 2 7 3" xfId="17972"/>
    <cellStyle name="Note 14 2 2 2 7 3 2" xfId="40559"/>
    <cellStyle name="Note 14 2 2 2 7 4" xfId="14752"/>
    <cellStyle name="Note 14 2 2 2 7 4 2" xfId="37339"/>
    <cellStyle name="Note 14 2 2 2 7 5" xfId="8312"/>
    <cellStyle name="Note 14 2 2 2 7 5 2" xfId="30899"/>
    <cellStyle name="Note 14 2 2 2 7 6" xfId="24459"/>
    <cellStyle name="Note 14 2 2 2 8" xfId="2913"/>
    <cellStyle name="Note 14 2 2 2 8 2" xfId="6134"/>
    <cellStyle name="Note 14 2 2 2 8 2 2" xfId="22234"/>
    <cellStyle name="Note 14 2 2 2 8 2 2 2" xfId="44821"/>
    <cellStyle name="Note 14 2 2 2 8 2 3" xfId="12574"/>
    <cellStyle name="Note 14 2 2 2 8 2 3 2" xfId="35161"/>
    <cellStyle name="Note 14 2 2 2 8 2 4" xfId="28721"/>
    <cellStyle name="Note 14 2 2 2 8 3" xfId="19014"/>
    <cellStyle name="Note 14 2 2 2 8 3 2" xfId="41601"/>
    <cellStyle name="Note 14 2 2 2 8 4" xfId="15794"/>
    <cellStyle name="Note 14 2 2 2 8 4 2" xfId="38381"/>
    <cellStyle name="Note 14 2 2 2 8 5" xfId="9354"/>
    <cellStyle name="Note 14 2 2 2 8 5 2" xfId="31941"/>
    <cellStyle name="Note 14 2 2 2 8 6" xfId="25501"/>
    <cellStyle name="Note 14 2 2 2 9" xfId="3204"/>
    <cellStyle name="Note 14 2 2 2 9 2" xfId="6424"/>
    <cellStyle name="Note 14 2 2 2 9 2 2" xfId="22524"/>
    <cellStyle name="Note 14 2 2 2 9 2 2 2" xfId="45111"/>
    <cellStyle name="Note 14 2 2 2 9 2 3" xfId="12864"/>
    <cellStyle name="Note 14 2 2 2 9 2 3 2" xfId="35451"/>
    <cellStyle name="Note 14 2 2 2 9 2 4" xfId="29011"/>
    <cellStyle name="Note 14 2 2 2 9 3" xfId="19304"/>
    <cellStyle name="Note 14 2 2 2 9 3 2" xfId="41891"/>
    <cellStyle name="Note 14 2 2 2 9 4" xfId="16084"/>
    <cellStyle name="Note 14 2 2 2 9 4 2" xfId="38671"/>
    <cellStyle name="Note 14 2 2 2 9 5" xfId="9644"/>
    <cellStyle name="Note 14 2 2 2 9 5 2" xfId="32231"/>
    <cellStyle name="Note 14 2 2 2 9 6" xfId="25791"/>
    <cellStyle name="Note 14 2 2 3" xfId="263"/>
    <cellStyle name="Note 14 2 2 3 10" xfId="3550"/>
    <cellStyle name="Note 14 2 2 3 10 2" xfId="19650"/>
    <cellStyle name="Note 14 2 2 3 10 2 2" xfId="42237"/>
    <cellStyle name="Note 14 2 2 3 10 3" xfId="9990"/>
    <cellStyle name="Note 14 2 2 3 10 3 2" xfId="32577"/>
    <cellStyle name="Note 14 2 2 3 10 4" xfId="26137"/>
    <cellStyle name="Note 14 2 2 3 11" xfId="16430"/>
    <cellStyle name="Note 14 2 2 3 11 2" xfId="39017"/>
    <cellStyle name="Note 14 2 2 3 12" xfId="13210"/>
    <cellStyle name="Note 14 2 2 3 12 2" xfId="35797"/>
    <cellStyle name="Note 14 2 2 3 13" xfId="6770"/>
    <cellStyle name="Note 14 2 2 3 13 2" xfId="29357"/>
    <cellStyle name="Note 14 2 2 3 14" xfId="22917"/>
    <cellStyle name="Note 14 2 2 3 2" xfId="696"/>
    <cellStyle name="Note 14 2 2 3 2 10" xfId="23307"/>
    <cellStyle name="Note 14 2 2 3 2 2" xfId="1060"/>
    <cellStyle name="Note 14 2 2 3 2 2 2" xfId="2374"/>
    <cellStyle name="Note 14 2 2 3 2 2 2 2" xfId="5595"/>
    <cellStyle name="Note 14 2 2 3 2 2 2 2 2" xfId="21695"/>
    <cellStyle name="Note 14 2 2 3 2 2 2 2 2 2" xfId="44282"/>
    <cellStyle name="Note 14 2 2 3 2 2 2 2 3" xfId="12035"/>
    <cellStyle name="Note 14 2 2 3 2 2 2 2 3 2" xfId="34622"/>
    <cellStyle name="Note 14 2 2 3 2 2 2 2 4" xfId="28182"/>
    <cellStyle name="Note 14 2 2 3 2 2 2 3" xfId="18475"/>
    <cellStyle name="Note 14 2 2 3 2 2 2 3 2" xfId="41062"/>
    <cellStyle name="Note 14 2 2 3 2 2 2 4" xfId="15255"/>
    <cellStyle name="Note 14 2 2 3 2 2 2 4 2" xfId="37842"/>
    <cellStyle name="Note 14 2 2 3 2 2 2 5" xfId="8815"/>
    <cellStyle name="Note 14 2 2 3 2 2 2 5 2" xfId="31402"/>
    <cellStyle name="Note 14 2 2 3 2 2 2 6" xfId="24962"/>
    <cellStyle name="Note 14 2 2 3 2 2 3" xfId="4287"/>
    <cellStyle name="Note 14 2 2 3 2 2 3 2" xfId="20387"/>
    <cellStyle name="Note 14 2 2 3 2 2 3 2 2" xfId="42974"/>
    <cellStyle name="Note 14 2 2 3 2 2 3 3" xfId="10727"/>
    <cellStyle name="Note 14 2 2 3 2 2 3 3 2" xfId="33314"/>
    <cellStyle name="Note 14 2 2 3 2 2 3 4" xfId="26874"/>
    <cellStyle name="Note 14 2 2 3 2 2 4" xfId="17167"/>
    <cellStyle name="Note 14 2 2 3 2 2 4 2" xfId="39754"/>
    <cellStyle name="Note 14 2 2 3 2 2 5" xfId="13947"/>
    <cellStyle name="Note 14 2 2 3 2 2 5 2" xfId="36534"/>
    <cellStyle name="Note 14 2 2 3 2 2 6" xfId="7507"/>
    <cellStyle name="Note 14 2 2 3 2 2 6 2" xfId="30094"/>
    <cellStyle name="Note 14 2 2 3 2 2 7" xfId="23654"/>
    <cellStyle name="Note 14 2 2 3 2 3" xfId="1407"/>
    <cellStyle name="Note 14 2 2 3 2 3 2" xfId="2721"/>
    <cellStyle name="Note 14 2 2 3 2 3 2 2" xfId="5942"/>
    <cellStyle name="Note 14 2 2 3 2 3 2 2 2" xfId="22042"/>
    <cellStyle name="Note 14 2 2 3 2 3 2 2 2 2" xfId="44629"/>
    <cellStyle name="Note 14 2 2 3 2 3 2 2 3" xfId="12382"/>
    <cellStyle name="Note 14 2 2 3 2 3 2 2 3 2" xfId="34969"/>
    <cellStyle name="Note 14 2 2 3 2 3 2 2 4" xfId="28529"/>
    <cellStyle name="Note 14 2 2 3 2 3 2 3" xfId="18822"/>
    <cellStyle name="Note 14 2 2 3 2 3 2 3 2" xfId="41409"/>
    <cellStyle name="Note 14 2 2 3 2 3 2 4" xfId="15602"/>
    <cellStyle name="Note 14 2 2 3 2 3 2 4 2" xfId="38189"/>
    <cellStyle name="Note 14 2 2 3 2 3 2 5" xfId="9162"/>
    <cellStyle name="Note 14 2 2 3 2 3 2 5 2" xfId="31749"/>
    <cellStyle name="Note 14 2 2 3 2 3 2 6" xfId="25309"/>
    <cellStyle name="Note 14 2 2 3 2 3 3" xfId="4634"/>
    <cellStyle name="Note 14 2 2 3 2 3 3 2" xfId="20734"/>
    <cellStyle name="Note 14 2 2 3 2 3 3 2 2" xfId="43321"/>
    <cellStyle name="Note 14 2 2 3 2 3 3 3" xfId="11074"/>
    <cellStyle name="Note 14 2 2 3 2 3 3 3 2" xfId="33661"/>
    <cellStyle name="Note 14 2 2 3 2 3 3 4" xfId="27221"/>
    <cellStyle name="Note 14 2 2 3 2 3 4" xfId="17514"/>
    <cellStyle name="Note 14 2 2 3 2 3 4 2" xfId="40101"/>
    <cellStyle name="Note 14 2 2 3 2 3 5" xfId="14294"/>
    <cellStyle name="Note 14 2 2 3 2 3 5 2" xfId="36881"/>
    <cellStyle name="Note 14 2 2 3 2 3 6" xfId="7854"/>
    <cellStyle name="Note 14 2 2 3 2 3 6 2" xfId="30441"/>
    <cellStyle name="Note 14 2 2 3 2 3 7" xfId="24001"/>
    <cellStyle name="Note 14 2 2 3 2 4" xfId="1767"/>
    <cellStyle name="Note 14 2 2 3 2 4 2" xfId="4990"/>
    <cellStyle name="Note 14 2 2 3 2 4 2 2" xfId="21090"/>
    <cellStyle name="Note 14 2 2 3 2 4 2 2 2" xfId="43677"/>
    <cellStyle name="Note 14 2 2 3 2 4 2 3" xfId="11430"/>
    <cellStyle name="Note 14 2 2 3 2 4 2 3 2" xfId="34017"/>
    <cellStyle name="Note 14 2 2 3 2 4 2 4" xfId="27577"/>
    <cellStyle name="Note 14 2 2 3 2 4 3" xfId="17870"/>
    <cellStyle name="Note 14 2 2 3 2 4 3 2" xfId="40457"/>
    <cellStyle name="Note 14 2 2 3 2 4 4" xfId="14650"/>
    <cellStyle name="Note 14 2 2 3 2 4 4 2" xfId="37237"/>
    <cellStyle name="Note 14 2 2 3 2 4 5" xfId="8210"/>
    <cellStyle name="Note 14 2 2 3 2 4 5 2" xfId="30797"/>
    <cellStyle name="Note 14 2 2 3 2 4 6" xfId="24357"/>
    <cellStyle name="Note 14 2 2 3 2 5" xfId="2026"/>
    <cellStyle name="Note 14 2 2 3 2 5 2" xfId="5248"/>
    <cellStyle name="Note 14 2 2 3 2 5 2 2" xfId="21348"/>
    <cellStyle name="Note 14 2 2 3 2 5 2 2 2" xfId="43935"/>
    <cellStyle name="Note 14 2 2 3 2 5 2 3" xfId="11688"/>
    <cellStyle name="Note 14 2 2 3 2 5 2 3 2" xfId="34275"/>
    <cellStyle name="Note 14 2 2 3 2 5 2 4" xfId="27835"/>
    <cellStyle name="Note 14 2 2 3 2 5 3" xfId="18128"/>
    <cellStyle name="Note 14 2 2 3 2 5 3 2" xfId="40715"/>
    <cellStyle name="Note 14 2 2 3 2 5 4" xfId="14908"/>
    <cellStyle name="Note 14 2 2 3 2 5 4 2" xfId="37495"/>
    <cellStyle name="Note 14 2 2 3 2 5 5" xfId="8468"/>
    <cellStyle name="Note 14 2 2 3 2 5 5 2" xfId="31055"/>
    <cellStyle name="Note 14 2 2 3 2 5 6" xfId="24615"/>
    <cellStyle name="Note 14 2 2 3 2 6" xfId="3940"/>
    <cellStyle name="Note 14 2 2 3 2 6 2" xfId="20040"/>
    <cellStyle name="Note 14 2 2 3 2 6 2 2" xfId="42627"/>
    <cellStyle name="Note 14 2 2 3 2 6 3" xfId="10380"/>
    <cellStyle name="Note 14 2 2 3 2 6 3 2" xfId="32967"/>
    <cellStyle name="Note 14 2 2 3 2 6 4" xfId="26527"/>
    <cellStyle name="Note 14 2 2 3 2 7" xfId="16820"/>
    <cellStyle name="Note 14 2 2 3 2 7 2" xfId="39407"/>
    <cellStyle name="Note 14 2 2 3 2 8" xfId="13600"/>
    <cellStyle name="Note 14 2 2 3 2 8 2" xfId="36187"/>
    <cellStyle name="Note 14 2 2 3 2 9" xfId="7160"/>
    <cellStyle name="Note 14 2 2 3 2 9 2" xfId="29747"/>
    <cellStyle name="Note 14 2 2 3 3" xfId="939"/>
    <cellStyle name="Note 14 2 2 3 3 2" xfId="2258"/>
    <cellStyle name="Note 14 2 2 3 3 2 2" xfId="5479"/>
    <cellStyle name="Note 14 2 2 3 3 2 2 2" xfId="21579"/>
    <cellStyle name="Note 14 2 2 3 3 2 2 2 2" xfId="44166"/>
    <cellStyle name="Note 14 2 2 3 3 2 2 3" xfId="11919"/>
    <cellStyle name="Note 14 2 2 3 3 2 2 3 2" xfId="34506"/>
    <cellStyle name="Note 14 2 2 3 3 2 2 4" xfId="28066"/>
    <cellStyle name="Note 14 2 2 3 3 2 3" xfId="18359"/>
    <cellStyle name="Note 14 2 2 3 3 2 3 2" xfId="40946"/>
    <cellStyle name="Note 14 2 2 3 3 2 4" xfId="15139"/>
    <cellStyle name="Note 14 2 2 3 3 2 4 2" xfId="37726"/>
    <cellStyle name="Note 14 2 2 3 3 2 5" xfId="8699"/>
    <cellStyle name="Note 14 2 2 3 3 2 5 2" xfId="31286"/>
    <cellStyle name="Note 14 2 2 3 3 2 6" xfId="24846"/>
    <cellStyle name="Note 14 2 2 3 3 3" xfId="4171"/>
    <cellStyle name="Note 14 2 2 3 3 3 2" xfId="20271"/>
    <cellStyle name="Note 14 2 2 3 3 3 2 2" xfId="42858"/>
    <cellStyle name="Note 14 2 2 3 3 3 3" xfId="10611"/>
    <cellStyle name="Note 14 2 2 3 3 3 3 2" xfId="33198"/>
    <cellStyle name="Note 14 2 2 3 3 3 4" xfId="26758"/>
    <cellStyle name="Note 14 2 2 3 3 4" xfId="17051"/>
    <cellStyle name="Note 14 2 2 3 3 4 2" xfId="39638"/>
    <cellStyle name="Note 14 2 2 3 3 5" xfId="13831"/>
    <cellStyle name="Note 14 2 2 3 3 5 2" xfId="36418"/>
    <cellStyle name="Note 14 2 2 3 3 6" xfId="7391"/>
    <cellStyle name="Note 14 2 2 3 3 6 2" xfId="29978"/>
    <cellStyle name="Note 14 2 2 3 3 7" xfId="23538"/>
    <cellStyle name="Note 14 2 2 3 4" xfId="1291"/>
    <cellStyle name="Note 14 2 2 3 4 2" xfId="2605"/>
    <cellStyle name="Note 14 2 2 3 4 2 2" xfId="5826"/>
    <cellStyle name="Note 14 2 2 3 4 2 2 2" xfId="21926"/>
    <cellStyle name="Note 14 2 2 3 4 2 2 2 2" xfId="44513"/>
    <cellStyle name="Note 14 2 2 3 4 2 2 3" xfId="12266"/>
    <cellStyle name="Note 14 2 2 3 4 2 2 3 2" xfId="34853"/>
    <cellStyle name="Note 14 2 2 3 4 2 2 4" xfId="28413"/>
    <cellStyle name="Note 14 2 2 3 4 2 3" xfId="18706"/>
    <cellStyle name="Note 14 2 2 3 4 2 3 2" xfId="41293"/>
    <cellStyle name="Note 14 2 2 3 4 2 4" xfId="15486"/>
    <cellStyle name="Note 14 2 2 3 4 2 4 2" xfId="38073"/>
    <cellStyle name="Note 14 2 2 3 4 2 5" xfId="9046"/>
    <cellStyle name="Note 14 2 2 3 4 2 5 2" xfId="31633"/>
    <cellStyle name="Note 14 2 2 3 4 2 6" xfId="25193"/>
    <cellStyle name="Note 14 2 2 3 4 3" xfId="4518"/>
    <cellStyle name="Note 14 2 2 3 4 3 2" xfId="20618"/>
    <cellStyle name="Note 14 2 2 3 4 3 2 2" xfId="43205"/>
    <cellStyle name="Note 14 2 2 3 4 3 3" xfId="10958"/>
    <cellStyle name="Note 14 2 2 3 4 3 3 2" xfId="33545"/>
    <cellStyle name="Note 14 2 2 3 4 3 4" xfId="27105"/>
    <cellStyle name="Note 14 2 2 3 4 4" xfId="17398"/>
    <cellStyle name="Note 14 2 2 3 4 4 2" xfId="39985"/>
    <cellStyle name="Note 14 2 2 3 4 5" xfId="14178"/>
    <cellStyle name="Note 14 2 2 3 4 5 2" xfId="36765"/>
    <cellStyle name="Note 14 2 2 3 4 6" xfId="7738"/>
    <cellStyle name="Note 14 2 2 3 4 6 2" xfId="30325"/>
    <cellStyle name="Note 14 2 2 3 4 7" xfId="23885"/>
    <cellStyle name="Note 14 2 2 3 5" xfId="1768"/>
    <cellStyle name="Note 14 2 2 3 5 2" xfId="4991"/>
    <cellStyle name="Note 14 2 2 3 5 2 2" xfId="21091"/>
    <cellStyle name="Note 14 2 2 3 5 2 2 2" xfId="43678"/>
    <cellStyle name="Note 14 2 2 3 5 2 3" xfId="11431"/>
    <cellStyle name="Note 14 2 2 3 5 2 3 2" xfId="34018"/>
    <cellStyle name="Note 14 2 2 3 5 2 4" xfId="27578"/>
    <cellStyle name="Note 14 2 2 3 5 3" xfId="17871"/>
    <cellStyle name="Note 14 2 2 3 5 3 2" xfId="40458"/>
    <cellStyle name="Note 14 2 2 3 5 4" xfId="14651"/>
    <cellStyle name="Note 14 2 2 3 5 4 2" xfId="37238"/>
    <cellStyle name="Note 14 2 2 3 5 5" xfId="8211"/>
    <cellStyle name="Note 14 2 2 3 5 5 2" xfId="30798"/>
    <cellStyle name="Note 14 2 2 3 5 6" xfId="24358"/>
    <cellStyle name="Note 14 2 2 3 6" xfId="1910"/>
    <cellStyle name="Note 14 2 2 3 6 2" xfId="5132"/>
    <cellStyle name="Note 14 2 2 3 6 2 2" xfId="21232"/>
    <cellStyle name="Note 14 2 2 3 6 2 2 2" xfId="43819"/>
    <cellStyle name="Note 14 2 2 3 6 2 3" xfId="11572"/>
    <cellStyle name="Note 14 2 2 3 6 2 3 2" xfId="34159"/>
    <cellStyle name="Note 14 2 2 3 6 2 4" xfId="27719"/>
    <cellStyle name="Note 14 2 2 3 6 3" xfId="18012"/>
    <cellStyle name="Note 14 2 2 3 6 3 2" xfId="40599"/>
    <cellStyle name="Note 14 2 2 3 6 4" xfId="14792"/>
    <cellStyle name="Note 14 2 2 3 6 4 2" xfId="37379"/>
    <cellStyle name="Note 14 2 2 3 6 5" xfId="8352"/>
    <cellStyle name="Note 14 2 2 3 6 5 2" xfId="30939"/>
    <cellStyle name="Note 14 2 2 3 6 6" xfId="24499"/>
    <cellStyle name="Note 14 2 2 3 7" xfId="2970"/>
    <cellStyle name="Note 14 2 2 3 7 2" xfId="6190"/>
    <cellStyle name="Note 14 2 2 3 7 2 2" xfId="22290"/>
    <cellStyle name="Note 14 2 2 3 7 2 2 2" xfId="44877"/>
    <cellStyle name="Note 14 2 2 3 7 2 3" xfId="12630"/>
    <cellStyle name="Note 14 2 2 3 7 2 3 2" xfId="35217"/>
    <cellStyle name="Note 14 2 2 3 7 2 4" xfId="28777"/>
    <cellStyle name="Note 14 2 2 3 7 3" xfId="19070"/>
    <cellStyle name="Note 14 2 2 3 7 3 2" xfId="41657"/>
    <cellStyle name="Note 14 2 2 3 7 4" xfId="15850"/>
    <cellStyle name="Note 14 2 2 3 7 4 2" xfId="38437"/>
    <cellStyle name="Note 14 2 2 3 7 5" xfId="9410"/>
    <cellStyle name="Note 14 2 2 3 7 5 2" xfId="31997"/>
    <cellStyle name="Note 14 2 2 3 7 6" xfId="25557"/>
    <cellStyle name="Note 14 2 2 3 8" xfId="3260"/>
    <cellStyle name="Note 14 2 2 3 8 2" xfId="6480"/>
    <cellStyle name="Note 14 2 2 3 8 2 2" xfId="22580"/>
    <cellStyle name="Note 14 2 2 3 8 2 2 2" xfId="45167"/>
    <cellStyle name="Note 14 2 2 3 8 2 3" xfId="12920"/>
    <cellStyle name="Note 14 2 2 3 8 2 3 2" xfId="35507"/>
    <cellStyle name="Note 14 2 2 3 8 2 4" xfId="29067"/>
    <cellStyle name="Note 14 2 2 3 8 3" xfId="19360"/>
    <cellStyle name="Note 14 2 2 3 8 3 2" xfId="41947"/>
    <cellStyle name="Note 14 2 2 3 8 4" xfId="16140"/>
    <cellStyle name="Note 14 2 2 3 8 4 2" xfId="38727"/>
    <cellStyle name="Note 14 2 2 3 8 5" xfId="9700"/>
    <cellStyle name="Note 14 2 2 3 8 5 2" xfId="32287"/>
    <cellStyle name="Note 14 2 2 3 8 6" xfId="25847"/>
    <cellStyle name="Note 14 2 2 3 9" xfId="537"/>
    <cellStyle name="Note 14 2 2 3 9 2" xfId="3824"/>
    <cellStyle name="Note 14 2 2 3 9 2 2" xfId="19924"/>
    <cellStyle name="Note 14 2 2 3 9 2 2 2" xfId="42511"/>
    <cellStyle name="Note 14 2 2 3 9 2 3" xfId="10264"/>
    <cellStyle name="Note 14 2 2 3 9 2 3 2" xfId="32851"/>
    <cellStyle name="Note 14 2 2 3 9 2 4" xfId="26411"/>
    <cellStyle name="Note 14 2 2 3 9 3" xfId="16704"/>
    <cellStyle name="Note 14 2 2 3 9 3 2" xfId="39291"/>
    <cellStyle name="Note 14 2 2 3 9 4" xfId="13484"/>
    <cellStyle name="Note 14 2 2 3 9 4 2" xfId="36071"/>
    <cellStyle name="Note 14 2 2 3 9 5" xfId="7044"/>
    <cellStyle name="Note 14 2 2 3 9 5 2" xfId="29631"/>
    <cellStyle name="Note 14 2 2 3 9 6" xfId="23191"/>
    <cellStyle name="Note 14 2 2 4" xfId="363"/>
    <cellStyle name="Note 14 2 2 4 10" xfId="16530"/>
    <cellStyle name="Note 14 2 2 4 10 2" xfId="39117"/>
    <cellStyle name="Note 14 2 2 4 11" xfId="13310"/>
    <cellStyle name="Note 14 2 2 4 11 2" xfId="35897"/>
    <cellStyle name="Note 14 2 2 4 12" xfId="6870"/>
    <cellStyle name="Note 14 2 2 4 12 2" xfId="29457"/>
    <cellStyle name="Note 14 2 2 4 13" xfId="23017"/>
    <cellStyle name="Note 14 2 2 4 2" xfId="986"/>
    <cellStyle name="Note 14 2 2 4 2 2" xfId="2300"/>
    <cellStyle name="Note 14 2 2 4 2 2 2" xfId="5521"/>
    <cellStyle name="Note 14 2 2 4 2 2 2 2" xfId="21621"/>
    <cellStyle name="Note 14 2 2 4 2 2 2 2 2" xfId="44208"/>
    <cellStyle name="Note 14 2 2 4 2 2 2 3" xfId="11961"/>
    <cellStyle name="Note 14 2 2 4 2 2 2 3 2" xfId="34548"/>
    <cellStyle name="Note 14 2 2 4 2 2 2 4" xfId="28108"/>
    <cellStyle name="Note 14 2 2 4 2 2 3" xfId="18401"/>
    <cellStyle name="Note 14 2 2 4 2 2 3 2" xfId="40988"/>
    <cellStyle name="Note 14 2 2 4 2 2 4" xfId="15181"/>
    <cellStyle name="Note 14 2 2 4 2 2 4 2" xfId="37768"/>
    <cellStyle name="Note 14 2 2 4 2 2 5" xfId="8741"/>
    <cellStyle name="Note 14 2 2 4 2 2 5 2" xfId="31328"/>
    <cellStyle name="Note 14 2 2 4 2 2 6" xfId="24888"/>
    <cellStyle name="Note 14 2 2 4 2 3" xfId="4213"/>
    <cellStyle name="Note 14 2 2 4 2 3 2" xfId="20313"/>
    <cellStyle name="Note 14 2 2 4 2 3 2 2" xfId="42900"/>
    <cellStyle name="Note 14 2 2 4 2 3 3" xfId="10653"/>
    <cellStyle name="Note 14 2 2 4 2 3 3 2" xfId="33240"/>
    <cellStyle name="Note 14 2 2 4 2 3 4" xfId="26800"/>
    <cellStyle name="Note 14 2 2 4 2 4" xfId="17093"/>
    <cellStyle name="Note 14 2 2 4 2 4 2" xfId="39680"/>
    <cellStyle name="Note 14 2 2 4 2 5" xfId="13873"/>
    <cellStyle name="Note 14 2 2 4 2 5 2" xfId="36460"/>
    <cellStyle name="Note 14 2 2 4 2 6" xfId="7433"/>
    <cellStyle name="Note 14 2 2 4 2 6 2" xfId="30020"/>
    <cellStyle name="Note 14 2 2 4 2 7" xfId="23580"/>
    <cellStyle name="Note 14 2 2 4 3" xfId="1333"/>
    <cellStyle name="Note 14 2 2 4 3 2" xfId="2647"/>
    <cellStyle name="Note 14 2 2 4 3 2 2" xfId="5868"/>
    <cellStyle name="Note 14 2 2 4 3 2 2 2" xfId="21968"/>
    <cellStyle name="Note 14 2 2 4 3 2 2 2 2" xfId="44555"/>
    <cellStyle name="Note 14 2 2 4 3 2 2 3" xfId="12308"/>
    <cellStyle name="Note 14 2 2 4 3 2 2 3 2" xfId="34895"/>
    <cellStyle name="Note 14 2 2 4 3 2 2 4" xfId="28455"/>
    <cellStyle name="Note 14 2 2 4 3 2 3" xfId="18748"/>
    <cellStyle name="Note 14 2 2 4 3 2 3 2" xfId="41335"/>
    <cellStyle name="Note 14 2 2 4 3 2 4" xfId="15528"/>
    <cellStyle name="Note 14 2 2 4 3 2 4 2" xfId="38115"/>
    <cellStyle name="Note 14 2 2 4 3 2 5" xfId="9088"/>
    <cellStyle name="Note 14 2 2 4 3 2 5 2" xfId="31675"/>
    <cellStyle name="Note 14 2 2 4 3 2 6" xfId="25235"/>
    <cellStyle name="Note 14 2 2 4 3 3" xfId="4560"/>
    <cellStyle name="Note 14 2 2 4 3 3 2" xfId="20660"/>
    <cellStyle name="Note 14 2 2 4 3 3 2 2" xfId="43247"/>
    <cellStyle name="Note 14 2 2 4 3 3 3" xfId="11000"/>
    <cellStyle name="Note 14 2 2 4 3 3 3 2" xfId="33587"/>
    <cellStyle name="Note 14 2 2 4 3 3 4" xfId="27147"/>
    <cellStyle name="Note 14 2 2 4 3 4" xfId="17440"/>
    <cellStyle name="Note 14 2 2 4 3 4 2" xfId="40027"/>
    <cellStyle name="Note 14 2 2 4 3 5" xfId="14220"/>
    <cellStyle name="Note 14 2 2 4 3 5 2" xfId="36807"/>
    <cellStyle name="Note 14 2 2 4 3 6" xfId="7780"/>
    <cellStyle name="Note 14 2 2 4 3 6 2" xfId="30367"/>
    <cellStyle name="Note 14 2 2 4 3 7" xfId="23927"/>
    <cellStyle name="Note 14 2 2 4 4" xfId="1769"/>
    <cellStyle name="Note 14 2 2 4 4 2" xfId="4992"/>
    <cellStyle name="Note 14 2 2 4 4 2 2" xfId="21092"/>
    <cellStyle name="Note 14 2 2 4 4 2 2 2" xfId="43679"/>
    <cellStyle name="Note 14 2 2 4 4 2 3" xfId="11432"/>
    <cellStyle name="Note 14 2 2 4 4 2 3 2" xfId="34019"/>
    <cellStyle name="Note 14 2 2 4 4 2 4" xfId="27579"/>
    <cellStyle name="Note 14 2 2 4 4 3" xfId="17872"/>
    <cellStyle name="Note 14 2 2 4 4 3 2" xfId="40459"/>
    <cellStyle name="Note 14 2 2 4 4 4" xfId="14652"/>
    <cellStyle name="Note 14 2 2 4 4 4 2" xfId="37239"/>
    <cellStyle name="Note 14 2 2 4 4 5" xfId="8212"/>
    <cellStyle name="Note 14 2 2 4 4 5 2" xfId="30799"/>
    <cellStyle name="Note 14 2 2 4 4 6" xfId="24359"/>
    <cellStyle name="Note 14 2 2 4 5" xfId="1952"/>
    <cellStyle name="Note 14 2 2 4 5 2" xfId="5174"/>
    <cellStyle name="Note 14 2 2 4 5 2 2" xfId="21274"/>
    <cellStyle name="Note 14 2 2 4 5 2 2 2" xfId="43861"/>
    <cellStyle name="Note 14 2 2 4 5 2 3" xfId="11614"/>
    <cellStyle name="Note 14 2 2 4 5 2 3 2" xfId="34201"/>
    <cellStyle name="Note 14 2 2 4 5 2 4" xfId="27761"/>
    <cellStyle name="Note 14 2 2 4 5 3" xfId="18054"/>
    <cellStyle name="Note 14 2 2 4 5 3 2" xfId="40641"/>
    <cellStyle name="Note 14 2 2 4 5 4" xfId="14834"/>
    <cellStyle name="Note 14 2 2 4 5 4 2" xfId="37421"/>
    <cellStyle name="Note 14 2 2 4 5 5" xfId="8394"/>
    <cellStyle name="Note 14 2 2 4 5 5 2" xfId="30981"/>
    <cellStyle name="Note 14 2 2 4 5 6" xfId="24541"/>
    <cellStyle name="Note 14 2 2 4 6" xfId="3070"/>
    <cellStyle name="Note 14 2 2 4 6 2" xfId="6290"/>
    <cellStyle name="Note 14 2 2 4 6 2 2" xfId="22390"/>
    <cellStyle name="Note 14 2 2 4 6 2 2 2" xfId="44977"/>
    <cellStyle name="Note 14 2 2 4 6 2 3" xfId="12730"/>
    <cellStyle name="Note 14 2 2 4 6 2 3 2" xfId="35317"/>
    <cellStyle name="Note 14 2 2 4 6 2 4" xfId="28877"/>
    <cellStyle name="Note 14 2 2 4 6 3" xfId="19170"/>
    <cellStyle name="Note 14 2 2 4 6 3 2" xfId="41757"/>
    <cellStyle name="Note 14 2 2 4 6 4" xfId="15950"/>
    <cellStyle name="Note 14 2 2 4 6 4 2" xfId="38537"/>
    <cellStyle name="Note 14 2 2 4 6 5" xfId="9510"/>
    <cellStyle name="Note 14 2 2 4 6 5 2" xfId="32097"/>
    <cellStyle name="Note 14 2 2 4 6 6" xfId="25657"/>
    <cellStyle name="Note 14 2 2 4 7" xfId="3360"/>
    <cellStyle name="Note 14 2 2 4 7 2" xfId="6580"/>
    <cellStyle name="Note 14 2 2 4 7 2 2" xfId="22680"/>
    <cellStyle name="Note 14 2 2 4 7 2 2 2" xfId="45267"/>
    <cellStyle name="Note 14 2 2 4 7 2 3" xfId="13020"/>
    <cellStyle name="Note 14 2 2 4 7 2 3 2" xfId="35607"/>
    <cellStyle name="Note 14 2 2 4 7 2 4" xfId="29167"/>
    <cellStyle name="Note 14 2 2 4 7 3" xfId="19460"/>
    <cellStyle name="Note 14 2 2 4 7 3 2" xfId="42047"/>
    <cellStyle name="Note 14 2 2 4 7 4" xfId="16240"/>
    <cellStyle name="Note 14 2 2 4 7 4 2" xfId="38827"/>
    <cellStyle name="Note 14 2 2 4 7 5" xfId="9800"/>
    <cellStyle name="Note 14 2 2 4 7 5 2" xfId="32387"/>
    <cellStyle name="Note 14 2 2 4 7 6" xfId="25947"/>
    <cellStyle name="Note 14 2 2 4 8" xfId="622"/>
    <cellStyle name="Note 14 2 2 4 8 2" xfId="3866"/>
    <cellStyle name="Note 14 2 2 4 8 2 2" xfId="19966"/>
    <cellStyle name="Note 14 2 2 4 8 2 2 2" xfId="42553"/>
    <cellStyle name="Note 14 2 2 4 8 2 3" xfId="10306"/>
    <cellStyle name="Note 14 2 2 4 8 2 3 2" xfId="32893"/>
    <cellStyle name="Note 14 2 2 4 8 2 4" xfId="26453"/>
    <cellStyle name="Note 14 2 2 4 8 3" xfId="16746"/>
    <cellStyle name="Note 14 2 2 4 8 3 2" xfId="39333"/>
    <cellStyle name="Note 14 2 2 4 8 4" xfId="13526"/>
    <cellStyle name="Note 14 2 2 4 8 4 2" xfId="36113"/>
    <cellStyle name="Note 14 2 2 4 8 5" xfId="7086"/>
    <cellStyle name="Note 14 2 2 4 8 5 2" xfId="29673"/>
    <cellStyle name="Note 14 2 2 4 8 6" xfId="23233"/>
    <cellStyle name="Note 14 2 2 4 9" xfId="3650"/>
    <cellStyle name="Note 14 2 2 4 9 2" xfId="19750"/>
    <cellStyle name="Note 14 2 2 4 9 2 2" xfId="42337"/>
    <cellStyle name="Note 14 2 2 4 9 3" xfId="10090"/>
    <cellStyle name="Note 14 2 2 4 9 3 2" xfId="32677"/>
    <cellStyle name="Note 14 2 2 4 9 4" xfId="26237"/>
    <cellStyle name="Note 14 2 2 5" xfId="792"/>
    <cellStyle name="Note 14 2 2 5 2" xfId="1144"/>
    <cellStyle name="Note 14 2 2 5 2 2" xfId="2458"/>
    <cellStyle name="Note 14 2 2 5 2 2 2" xfId="5679"/>
    <cellStyle name="Note 14 2 2 5 2 2 2 2" xfId="21779"/>
    <cellStyle name="Note 14 2 2 5 2 2 2 2 2" xfId="44366"/>
    <cellStyle name="Note 14 2 2 5 2 2 2 3" xfId="12119"/>
    <cellStyle name="Note 14 2 2 5 2 2 2 3 2" xfId="34706"/>
    <cellStyle name="Note 14 2 2 5 2 2 2 4" xfId="28266"/>
    <cellStyle name="Note 14 2 2 5 2 2 3" xfId="18559"/>
    <cellStyle name="Note 14 2 2 5 2 2 3 2" xfId="41146"/>
    <cellStyle name="Note 14 2 2 5 2 2 4" xfId="15339"/>
    <cellStyle name="Note 14 2 2 5 2 2 4 2" xfId="37926"/>
    <cellStyle name="Note 14 2 2 5 2 2 5" xfId="8899"/>
    <cellStyle name="Note 14 2 2 5 2 2 5 2" xfId="31486"/>
    <cellStyle name="Note 14 2 2 5 2 2 6" xfId="25046"/>
    <cellStyle name="Note 14 2 2 5 2 3" xfId="4371"/>
    <cellStyle name="Note 14 2 2 5 2 3 2" xfId="20471"/>
    <cellStyle name="Note 14 2 2 5 2 3 2 2" xfId="43058"/>
    <cellStyle name="Note 14 2 2 5 2 3 3" xfId="10811"/>
    <cellStyle name="Note 14 2 2 5 2 3 3 2" xfId="33398"/>
    <cellStyle name="Note 14 2 2 5 2 3 4" xfId="26958"/>
    <cellStyle name="Note 14 2 2 5 2 4" xfId="17251"/>
    <cellStyle name="Note 14 2 2 5 2 4 2" xfId="39838"/>
    <cellStyle name="Note 14 2 2 5 2 5" xfId="14031"/>
    <cellStyle name="Note 14 2 2 5 2 5 2" xfId="36618"/>
    <cellStyle name="Note 14 2 2 5 2 6" xfId="7591"/>
    <cellStyle name="Note 14 2 2 5 2 6 2" xfId="30178"/>
    <cellStyle name="Note 14 2 2 5 2 7" xfId="23738"/>
    <cellStyle name="Note 14 2 2 5 3" xfId="1491"/>
    <cellStyle name="Note 14 2 2 5 3 2" xfId="2805"/>
    <cellStyle name="Note 14 2 2 5 3 2 2" xfId="6026"/>
    <cellStyle name="Note 14 2 2 5 3 2 2 2" xfId="22126"/>
    <cellStyle name="Note 14 2 2 5 3 2 2 2 2" xfId="44713"/>
    <cellStyle name="Note 14 2 2 5 3 2 2 3" xfId="12466"/>
    <cellStyle name="Note 14 2 2 5 3 2 2 3 2" xfId="35053"/>
    <cellStyle name="Note 14 2 2 5 3 2 2 4" xfId="28613"/>
    <cellStyle name="Note 14 2 2 5 3 2 3" xfId="18906"/>
    <cellStyle name="Note 14 2 2 5 3 2 3 2" xfId="41493"/>
    <cellStyle name="Note 14 2 2 5 3 2 4" xfId="15686"/>
    <cellStyle name="Note 14 2 2 5 3 2 4 2" xfId="38273"/>
    <cellStyle name="Note 14 2 2 5 3 2 5" xfId="9246"/>
    <cellStyle name="Note 14 2 2 5 3 2 5 2" xfId="31833"/>
    <cellStyle name="Note 14 2 2 5 3 2 6" xfId="25393"/>
    <cellStyle name="Note 14 2 2 5 3 3" xfId="4718"/>
    <cellStyle name="Note 14 2 2 5 3 3 2" xfId="20818"/>
    <cellStyle name="Note 14 2 2 5 3 3 2 2" xfId="43405"/>
    <cellStyle name="Note 14 2 2 5 3 3 3" xfId="11158"/>
    <cellStyle name="Note 14 2 2 5 3 3 3 2" xfId="33745"/>
    <cellStyle name="Note 14 2 2 5 3 3 4" xfId="27305"/>
    <cellStyle name="Note 14 2 2 5 3 4" xfId="17598"/>
    <cellStyle name="Note 14 2 2 5 3 4 2" xfId="40185"/>
    <cellStyle name="Note 14 2 2 5 3 5" xfId="14378"/>
    <cellStyle name="Note 14 2 2 5 3 5 2" xfId="36965"/>
    <cellStyle name="Note 14 2 2 5 3 6" xfId="7938"/>
    <cellStyle name="Note 14 2 2 5 3 6 2" xfId="30525"/>
    <cellStyle name="Note 14 2 2 5 3 7" xfId="24085"/>
    <cellStyle name="Note 14 2 2 5 4" xfId="2111"/>
    <cellStyle name="Note 14 2 2 5 4 2" xfId="5332"/>
    <cellStyle name="Note 14 2 2 5 4 2 2" xfId="21432"/>
    <cellStyle name="Note 14 2 2 5 4 2 2 2" xfId="44019"/>
    <cellStyle name="Note 14 2 2 5 4 2 3" xfId="11772"/>
    <cellStyle name="Note 14 2 2 5 4 2 3 2" xfId="34359"/>
    <cellStyle name="Note 14 2 2 5 4 2 4" xfId="27919"/>
    <cellStyle name="Note 14 2 2 5 4 3" xfId="18212"/>
    <cellStyle name="Note 14 2 2 5 4 3 2" xfId="40799"/>
    <cellStyle name="Note 14 2 2 5 4 4" xfId="14992"/>
    <cellStyle name="Note 14 2 2 5 4 4 2" xfId="37579"/>
    <cellStyle name="Note 14 2 2 5 4 5" xfId="8552"/>
    <cellStyle name="Note 14 2 2 5 4 5 2" xfId="31139"/>
    <cellStyle name="Note 14 2 2 5 4 6" xfId="24699"/>
    <cellStyle name="Note 14 2 2 5 5" xfId="4024"/>
    <cellStyle name="Note 14 2 2 5 5 2" xfId="20124"/>
    <cellStyle name="Note 14 2 2 5 5 2 2" xfId="42711"/>
    <cellStyle name="Note 14 2 2 5 5 3" xfId="10464"/>
    <cellStyle name="Note 14 2 2 5 5 3 2" xfId="33051"/>
    <cellStyle name="Note 14 2 2 5 5 4" xfId="26611"/>
    <cellStyle name="Note 14 2 2 5 6" xfId="16904"/>
    <cellStyle name="Note 14 2 2 5 6 2" xfId="39491"/>
    <cellStyle name="Note 14 2 2 5 7" xfId="13684"/>
    <cellStyle name="Note 14 2 2 5 7 2" xfId="36271"/>
    <cellStyle name="Note 14 2 2 5 8" xfId="7244"/>
    <cellStyle name="Note 14 2 2 5 8 2" xfId="29831"/>
    <cellStyle name="Note 14 2 2 5 9" xfId="23391"/>
    <cellStyle name="Note 14 2 2 6" xfId="862"/>
    <cellStyle name="Note 14 2 2 6 2" xfId="2181"/>
    <cellStyle name="Note 14 2 2 6 2 2" xfId="5402"/>
    <cellStyle name="Note 14 2 2 6 2 2 2" xfId="21502"/>
    <cellStyle name="Note 14 2 2 6 2 2 2 2" xfId="44089"/>
    <cellStyle name="Note 14 2 2 6 2 2 3" xfId="11842"/>
    <cellStyle name="Note 14 2 2 6 2 2 3 2" xfId="34429"/>
    <cellStyle name="Note 14 2 2 6 2 2 4" xfId="27989"/>
    <cellStyle name="Note 14 2 2 6 2 3" xfId="18282"/>
    <cellStyle name="Note 14 2 2 6 2 3 2" xfId="40869"/>
    <cellStyle name="Note 14 2 2 6 2 4" xfId="15062"/>
    <cellStyle name="Note 14 2 2 6 2 4 2" xfId="37649"/>
    <cellStyle name="Note 14 2 2 6 2 5" xfId="8622"/>
    <cellStyle name="Note 14 2 2 6 2 5 2" xfId="31209"/>
    <cellStyle name="Note 14 2 2 6 2 6" xfId="24769"/>
    <cellStyle name="Note 14 2 2 6 3" xfId="4094"/>
    <cellStyle name="Note 14 2 2 6 3 2" xfId="20194"/>
    <cellStyle name="Note 14 2 2 6 3 2 2" xfId="42781"/>
    <cellStyle name="Note 14 2 2 6 3 3" xfId="10534"/>
    <cellStyle name="Note 14 2 2 6 3 3 2" xfId="33121"/>
    <cellStyle name="Note 14 2 2 6 3 4" xfId="26681"/>
    <cellStyle name="Note 14 2 2 6 4" xfId="16974"/>
    <cellStyle name="Note 14 2 2 6 4 2" xfId="39561"/>
    <cellStyle name="Note 14 2 2 6 5" xfId="13754"/>
    <cellStyle name="Note 14 2 2 6 5 2" xfId="36341"/>
    <cellStyle name="Note 14 2 2 6 6" xfId="7314"/>
    <cellStyle name="Note 14 2 2 6 6 2" xfId="29901"/>
    <cellStyle name="Note 14 2 2 6 7" xfId="23461"/>
    <cellStyle name="Note 14 2 2 7" xfId="1214"/>
    <cellStyle name="Note 14 2 2 7 2" xfId="2528"/>
    <cellStyle name="Note 14 2 2 7 2 2" xfId="5749"/>
    <cellStyle name="Note 14 2 2 7 2 2 2" xfId="21849"/>
    <cellStyle name="Note 14 2 2 7 2 2 2 2" xfId="44436"/>
    <cellStyle name="Note 14 2 2 7 2 2 3" xfId="12189"/>
    <cellStyle name="Note 14 2 2 7 2 2 3 2" xfId="34776"/>
    <cellStyle name="Note 14 2 2 7 2 2 4" xfId="28336"/>
    <cellStyle name="Note 14 2 2 7 2 3" xfId="18629"/>
    <cellStyle name="Note 14 2 2 7 2 3 2" xfId="41216"/>
    <cellStyle name="Note 14 2 2 7 2 4" xfId="15409"/>
    <cellStyle name="Note 14 2 2 7 2 4 2" xfId="37996"/>
    <cellStyle name="Note 14 2 2 7 2 5" xfId="8969"/>
    <cellStyle name="Note 14 2 2 7 2 5 2" xfId="31556"/>
    <cellStyle name="Note 14 2 2 7 2 6" xfId="25116"/>
    <cellStyle name="Note 14 2 2 7 3" xfId="4441"/>
    <cellStyle name="Note 14 2 2 7 3 2" xfId="20541"/>
    <cellStyle name="Note 14 2 2 7 3 2 2" xfId="43128"/>
    <cellStyle name="Note 14 2 2 7 3 3" xfId="10881"/>
    <cellStyle name="Note 14 2 2 7 3 3 2" xfId="33468"/>
    <cellStyle name="Note 14 2 2 7 3 4" xfId="27028"/>
    <cellStyle name="Note 14 2 2 7 4" xfId="17321"/>
    <cellStyle name="Note 14 2 2 7 4 2" xfId="39908"/>
    <cellStyle name="Note 14 2 2 7 5" xfId="14101"/>
    <cellStyle name="Note 14 2 2 7 5 2" xfId="36688"/>
    <cellStyle name="Note 14 2 2 7 6" xfId="7661"/>
    <cellStyle name="Note 14 2 2 7 6 2" xfId="30248"/>
    <cellStyle name="Note 14 2 2 7 7" xfId="23808"/>
    <cellStyle name="Note 14 2 2 8" xfId="1770"/>
    <cellStyle name="Note 14 2 2 8 2" xfId="4993"/>
    <cellStyle name="Note 14 2 2 8 2 2" xfId="21093"/>
    <cellStyle name="Note 14 2 2 8 2 2 2" xfId="43680"/>
    <cellStyle name="Note 14 2 2 8 2 3" xfId="11433"/>
    <cellStyle name="Note 14 2 2 8 2 3 2" xfId="34020"/>
    <cellStyle name="Note 14 2 2 8 2 4" xfId="27580"/>
    <cellStyle name="Note 14 2 2 8 3" xfId="17873"/>
    <cellStyle name="Note 14 2 2 8 3 2" xfId="40460"/>
    <cellStyle name="Note 14 2 2 8 4" xfId="14653"/>
    <cellStyle name="Note 14 2 2 8 4 2" xfId="37240"/>
    <cellStyle name="Note 14 2 2 8 5" xfId="8213"/>
    <cellStyle name="Note 14 2 2 8 5 2" xfId="30800"/>
    <cellStyle name="Note 14 2 2 8 6" xfId="24360"/>
    <cellStyle name="Note 14 2 2 9" xfId="1833"/>
    <cellStyle name="Note 14 2 2 9 2" xfId="5055"/>
    <cellStyle name="Note 14 2 2 9 2 2" xfId="21155"/>
    <cellStyle name="Note 14 2 2 9 2 2 2" xfId="43742"/>
    <cellStyle name="Note 14 2 2 9 2 3" xfId="11495"/>
    <cellStyle name="Note 14 2 2 9 2 3 2" xfId="34082"/>
    <cellStyle name="Note 14 2 2 9 2 4" xfId="27642"/>
    <cellStyle name="Note 14 2 2 9 3" xfId="17935"/>
    <cellStyle name="Note 14 2 2 9 3 2" xfId="40522"/>
    <cellStyle name="Note 14 2 2 9 4" xfId="14715"/>
    <cellStyle name="Note 14 2 2 9 4 2" xfId="37302"/>
    <cellStyle name="Note 14 2 2 9 5" xfId="8275"/>
    <cellStyle name="Note 14 2 2 9 5 2" xfId="30862"/>
    <cellStyle name="Note 14 2 2 9 6" xfId="24422"/>
    <cellStyle name="Note 14 2 3" xfId="139"/>
    <cellStyle name="Note 14 2 3 10" xfId="477"/>
    <cellStyle name="Note 14 2 3 10 2" xfId="3764"/>
    <cellStyle name="Note 14 2 3 10 2 2" xfId="19864"/>
    <cellStyle name="Note 14 2 3 10 2 2 2" xfId="42451"/>
    <cellStyle name="Note 14 2 3 10 2 3" xfId="10204"/>
    <cellStyle name="Note 14 2 3 10 2 3 2" xfId="32791"/>
    <cellStyle name="Note 14 2 3 10 2 4" xfId="26351"/>
    <cellStyle name="Note 14 2 3 10 3" xfId="16644"/>
    <cellStyle name="Note 14 2 3 10 3 2" xfId="39231"/>
    <cellStyle name="Note 14 2 3 10 4" xfId="13424"/>
    <cellStyle name="Note 14 2 3 10 4 2" xfId="36011"/>
    <cellStyle name="Note 14 2 3 10 5" xfId="6984"/>
    <cellStyle name="Note 14 2 3 10 5 2" xfId="29571"/>
    <cellStyle name="Note 14 2 3 10 6" xfId="23131"/>
    <cellStyle name="Note 14 2 3 11" xfId="3474"/>
    <cellStyle name="Note 14 2 3 11 2" xfId="19574"/>
    <cellStyle name="Note 14 2 3 11 2 2" xfId="42161"/>
    <cellStyle name="Note 14 2 3 11 3" xfId="9914"/>
    <cellStyle name="Note 14 2 3 11 3 2" xfId="32501"/>
    <cellStyle name="Note 14 2 3 11 4" xfId="26061"/>
    <cellStyle name="Note 14 2 3 12" xfId="16354"/>
    <cellStyle name="Note 14 2 3 12 2" xfId="38941"/>
    <cellStyle name="Note 14 2 3 13" xfId="13134"/>
    <cellStyle name="Note 14 2 3 13 2" xfId="35721"/>
    <cellStyle name="Note 14 2 3 14" xfId="6694"/>
    <cellStyle name="Note 14 2 3 14 2" xfId="29281"/>
    <cellStyle name="Note 14 2 3 15" xfId="22841"/>
    <cellStyle name="Note 14 2 3 2" xfId="285"/>
    <cellStyle name="Note 14 2 3 2 10" xfId="16452"/>
    <cellStyle name="Note 14 2 3 2 10 2" xfId="39039"/>
    <cellStyle name="Note 14 2 3 2 11" xfId="13232"/>
    <cellStyle name="Note 14 2 3 2 11 2" xfId="35819"/>
    <cellStyle name="Note 14 2 3 2 12" xfId="6792"/>
    <cellStyle name="Note 14 2 3 2 12 2" xfId="29379"/>
    <cellStyle name="Note 14 2 3 2 13" xfId="22939"/>
    <cellStyle name="Note 14 2 3 2 2" xfId="1003"/>
    <cellStyle name="Note 14 2 3 2 2 2" xfId="2317"/>
    <cellStyle name="Note 14 2 3 2 2 2 2" xfId="5538"/>
    <cellStyle name="Note 14 2 3 2 2 2 2 2" xfId="21638"/>
    <cellStyle name="Note 14 2 3 2 2 2 2 2 2" xfId="44225"/>
    <cellStyle name="Note 14 2 3 2 2 2 2 3" xfId="11978"/>
    <cellStyle name="Note 14 2 3 2 2 2 2 3 2" xfId="34565"/>
    <cellStyle name="Note 14 2 3 2 2 2 2 4" xfId="28125"/>
    <cellStyle name="Note 14 2 3 2 2 2 3" xfId="18418"/>
    <cellStyle name="Note 14 2 3 2 2 2 3 2" xfId="41005"/>
    <cellStyle name="Note 14 2 3 2 2 2 4" xfId="15198"/>
    <cellStyle name="Note 14 2 3 2 2 2 4 2" xfId="37785"/>
    <cellStyle name="Note 14 2 3 2 2 2 5" xfId="8758"/>
    <cellStyle name="Note 14 2 3 2 2 2 5 2" xfId="31345"/>
    <cellStyle name="Note 14 2 3 2 2 2 6" xfId="24905"/>
    <cellStyle name="Note 14 2 3 2 2 3" xfId="4230"/>
    <cellStyle name="Note 14 2 3 2 2 3 2" xfId="20330"/>
    <cellStyle name="Note 14 2 3 2 2 3 2 2" xfId="42917"/>
    <cellStyle name="Note 14 2 3 2 2 3 3" xfId="10670"/>
    <cellStyle name="Note 14 2 3 2 2 3 3 2" xfId="33257"/>
    <cellStyle name="Note 14 2 3 2 2 3 4" xfId="26817"/>
    <cellStyle name="Note 14 2 3 2 2 4" xfId="17110"/>
    <cellStyle name="Note 14 2 3 2 2 4 2" xfId="39697"/>
    <cellStyle name="Note 14 2 3 2 2 5" xfId="13890"/>
    <cellStyle name="Note 14 2 3 2 2 5 2" xfId="36477"/>
    <cellStyle name="Note 14 2 3 2 2 6" xfId="7450"/>
    <cellStyle name="Note 14 2 3 2 2 6 2" xfId="30037"/>
    <cellStyle name="Note 14 2 3 2 2 7" xfId="23597"/>
    <cellStyle name="Note 14 2 3 2 3" xfId="1350"/>
    <cellStyle name="Note 14 2 3 2 3 2" xfId="2664"/>
    <cellStyle name="Note 14 2 3 2 3 2 2" xfId="5885"/>
    <cellStyle name="Note 14 2 3 2 3 2 2 2" xfId="21985"/>
    <cellStyle name="Note 14 2 3 2 3 2 2 2 2" xfId="44572"/>
    <cellStyle name="Note 14 2 3 2 3 2 2 3" xfId="12325"/>
    <cellStyle name="Note 14 2 3 2 3 2 2 3 2" xfId="34912"/>
    <cellStyle name="Note 14 2 3 2 3 2 2 4" xfId="28472"/>
    <cellStyle name="Note 14 2 3 2 3 2 3" xfId="18765"/>
    <cellStyle name="Note 14 2 3 2 3 2 3 2" xfId="41352"/>
    <cellStyle name="Note 14 2 3 2 3 2 4" xfId="15545"/>
    <cellStyle name="Note 14 2 3 2 3 2 4 2" xfId="38132"/>
    <cellStyle name="Note 14 2 3 2 3 2 5" xfId="9105"/>
    <cellStyle name="Note 14 2 3 2 3 2 5 2" xfId="31692"/>
    <cellStyle name="Note 14 2 3 2 3 2 6" xfId="25252"/>
    <cellStyle name="Note 14 2 3 2 3 3" xfId="4577"/>
    <cellStyle name="Note 14 2 3 2 3 3 2" xfId="20677"/>
    <cellStyle name="Note 14 2 3 2 3 3 2 2" xfId="43264"/>
    <cellStyle name="Note 14 2 3 2 3 3 3" xfId="11017"/>
    <cellStyle name="Note 14 2 3 2 3 3 3 2" xfId="33604"/>
    <cellStyle name="Note 14 2 3 2 3 3 4" xfId="27164"/>
    <cellStyle name="Note 14 2 3 2 3 4" xfId="17457"/>
    <cellStyle name="Note 14 2 3 2 3 4 2" xfId="40044"/>
    <cellStyle name="Note 14 2 3 2 3 5" xfId="14237"/>
    <cellStyle name="Note 14 2 3 2 3 5 2" xfId="36824"/>
    <cellStyle name="Note 14 2 3 2 3 6" xfId="7797"/>
    <cellStyle name="Note 14 2 3 2 3 6 2" xfId="30384"/>
    <cellStyle name="Note 14 2 3 2 3 7" xfId="23944"/>
    <cellStyle name="Note 14 2 3 2 4" xfId="1771"/>
    <cellStyle name="Note 14 2 3 2 4 2" xfId="4994"/>
    <cellStyle name="Note 14 2 3 2 4 2 2" xfId="21094"/>
    <cellStyle name="Note 14 2 3 2 4 2 2 2" xfId="43681"/>
    <cellStyle name="Note 14 2 3 2 4 2 3" xfId="11434"/>
    <cellStyle name="Note 14 2 3 2 4 2 3 2" xfId="34021"/>
    <cellStyle name="Note 14 2 3 2 4 2 4" xfId="27581"/>
    <cellStyle name="Note 14 2 3 2 4 3" xfId="17874"/>
    <cellStyle name="Note 14 2 3 2 4 3 2" xfId="40461"/>
    <cellStyle name="Note 14 2 3 2 4 4" xfId="14654"/>
    <cellStyle name="Note 14 2 3 2 4 4 2" xfId="37241"/>
    <cellStyle name="Note 14 2 3 2 4 5" xfId="8214"/>
    <cellStyle name="Note 14 2 3 2 4 5 2" xfId="30801"/>
    <cellStyle name="Note 14 2 3 2 4 6" xfId="24361"/>
    <cellStyle name="Note 14 2 3 2 5" xfId="1969"/>
    <cellStyle name="Note 14 2 3 2 5 2" xfId="5191"/>
    <cellStyle name="Note 14 2 3 2 5 2 2" xfId="21291"/>
    <cellStyle name="Note 14 2 3 2 5 2 2 2" xfId="43878"/>
    <cellStyle name="Note 14 2 3 2 5 2 3" xfId="11631"/>
    <cellStyle name="Note 14 2 3 2 5 2 3 2" xfId="34218"/>
    <cellStyle name="Note 14 2 3 2 5 2 4" xfId="27778"/>
    <cellStyle name="Note 14 2 3 2 5 3" xfId="18071"/>
    <cellStyle name="Note 14 2 3 2 5 3 2" xfId="40658"/>
    <cellStyle name="Note 14 2 3 2 5 4" xfId="14851"/>
    <cellStyle name="Note 14 2 3 2 5 4 2" xfId="37438"/>
    <cellStyle name="Note 14 2 3 2 5 5" xfId="8411"/>
    <cellStyle name="Note 14 2 3 2 5 5 2" xfId="30998"/>
    <cellStyle name="Note 14 2 3 2 5 6" xfId="24558"/>
    <cellStyle name="Note 14 2 3 2 6" xfId="2992"/>
    <cellStyle name="Note 14 2 3 2 6 2" xfId="6212"/>
    <cellStyle name="Note 14 2 3 2 6 2 2" xfId="22312"/>
    <cellStyle name="Note 14 2 3 2 6 2 2 2" xfId="44899"/>
    <cellStyle name="Note 14 2 3 2 6 2 3" xfId="12652"/>
    <cellStyle name="Note 14 2 3 2 6 2 3 2" xfId="35239"/>
    <cellStyle name="Note 14 2 3 2 6 2 4" xfId="28799"/>
    <cellStyle name="Note 14 2 3 2 6 3" xfId="19092"/>
    <cellStyle name="Note 14 2 3 2 6 3 2" xfId="41679"/>
    <cellStyle name="Note 14 2 3 2 6 4" xfId="15872"/>
    <cellStyle name="Note 14 2 3 2 6 4 2" xfId="38459"/>
    <cellStyle name="Note 14 2 3 2 6 5" xfId="9432"/>
    <cellStyle name="Note 14 2 3 2 6 5 2" xfId="32019"/>
    <cellStyle name="Note 14 2 3 2 6 6" xfId="25579"/>
    <cellStyle name="Note 14 2 3 2 7" xfId="3282"/>
    <cellStyle name="Note 14 2 3 2 7 2" xfId="6502"/>
    <cellStyle name="Note 14 2 3 2 7 2 2" xfId="22602"/>
    <cellStyle name="Note 14 2 3 2 7 2 2 2" xfId="45189"/>
    <cellStyle name="Note 14 2 3 2 7 2 3" xfId="12942"/>
    <cellStyle name="Note 14 2 3 2 7 2 3 2" xfId="35529"/>
    <cellStyle name="Note 14 2 3 2 7 2 4" xfId="29089"/>
    <cellStyle name="Note 14 2 3 2 7 3" xfId="19382"/>
    <cellStyle name="Note 14 2 3 2 7 3 2" xfId="41969"/>
    <cellStyle name="Note 14 2 3 2 7 4" xfId="16162"/>
    <cellStyle name="Note 14 2 3 2 7 4 2" xfId="38749"/>
    <cellStyle name="Note 14 2 3 2 7 5" xfId="9722"/>
    <cellStyle name="Note 14 2 3 2 7 5 2" xfId="32309"/>
    <cellStyle name="Note 14 2 3 2 7 6" xfId="25869"/>
    <cellStyle name="Note 14 2 3 2 8" xfId="639"/>
    <cellStyle name="Note 14 2 3 2 8 2" xfId="3883"/>
    <cellStyle name="Note 14 2 3 2 8 2 2" xfId="19983"/>
    <cellStyle name="Note 14 2 3 2 8 2 2 2" xfId="42570"/>
    <cellStyle name="Note 14 2 3 2 8 2 3" xfId="10323"/>
    <cellStyle name="Note 14 2 3 2 8 2 3 2" xfId="32910"/>
    <cellStyle name="Note 14 2 3 2 8 2 4" xfId="26470"/>
    <cellStyle name="Note 14 2 3 2 8 3" xfId="16763"/>
    <cellStyle name="Note 14 2 3 2 8 3 2" xfId="39350"/>
    <cellStyle name="Note 14 2 3 2 8 4" xfId="13543"/>
    <cellStyle name="Note 14 2 3 2 8 4 2" xfId="36130"/>
    <cellStyle name="Note 14 2 3 2 8 5" xfId="7103"/>
    <cellStyle name="Note 14 2 3 2 8 5 2" xfId="29690"/>
    <cellStyle name="Note 14 2 3 2 8 6" xfId="23250"/>
    <cellStyle name="Note 14 2 3 2 9" xfId="3572"/>
    <cellStyle name="Note 14 2 3 2 9 2" xfId="19672"/>
    <cellStyle name="Note 14 2 3 2 9 2 2" xfId="42259"/>
    <cellStyle name="Note 14 2 3 2 9 3" xfId="10012"/>
    <cellStyle name="Note 14 2 3 2 9 3 2" xfId="32599"/>
    <cellStyle name="Note 14 2 3 2 9 4" xfId="26159"/>
    <cellStyle name="Note 14 2 3 3" xfId="380"/>
    <cellStyle name="Note 14 2 3 3 10" xfId="16547"/>
    <cellStyle name="Note 14 2 3 3 10 2" xfId="39134"/>
    <cellStyle name="Note 14 2 3 3 11" xfId="13327"/>
    <cellStyle name="Note 14 2 3 3 11 2" xfId="35914"/>
    <cellStyle name="Note 14 2 3 3 12" xfId="6887"/>
    <cellStyle name="Note 14 2 3 3 12 2" xfId="29474"/>
    <cellStyle name="Note 14 2 3 3 13" xfId="23034"/>
    <cellStyle name="Note 14 2 3 3 2" xfId="1164"/>
    <cellStyle name="Note 14 2 3 3 2 2" xfId="2478"/>
    <cellStyle name="Note 14 2 3 3 2 2 2" xfId="5699"/>
    <cellStyle name="Note 14 2 3 3 2 2 2 2" xfId="21799"/>
    <cellStyle name="Note 14 2 3 3 2 2 2 2 2" xfId="44386"/>
    <cellStyle name="Note 14 2 3 3 2 2 2 3" xfId="12139"/>
    <cellStyle name="Note 14 2 3 3 2 2 2 3 2" xfId="34726"/>
    <cellStyle name="Note 14 2 3 3 2 2 2 4" xfId="28286"/>
    <cellStyle name="Note 14 2 3 3 2 2 3" xfId="18579"/>
    <cellStyle name="Note 14 2 3 3 2 2 3 2" xfId="41166"/>
    <cellStyle name="Note 14 2 3 3 2 2 4" xfId="15359"/>
    <cellStyle name="Note 14 2 3 3 2 2 4 2" xfId="37946"/>
    <cellStyle name="Note 14 2 3 3 2 2 5" xfId="8919"/>
    <cellStyle name="Note 14 2 3 3 2 2 5 2" xfId="31506"/>
    <cellStyle name="Note 14 2 3 3 2 2 6" xfId="25066"/>
    <cellStyle name="Note 14 2 3 3 2 3" xfId="4391"/>
    <cellStyle name="Note 14 2 3 3 2 3 2" xfId="20491"/>
    <cellStyle name="Note 14 2 3 3 2 3 2 2" xfId="43078"/>
    <cellStyle name="Note 14 2 3 3 2 3 3" xfId="10831"/>
    <cellStyle name="Note 14 2 3 3 2 3 3 2" xfId="33418"/>
    <cellStyle name="Note 14 2 3 3 2 3 4" xfId="26978"/>
    <cellStyle name="Note 14 2 3 3 2 4" xfId="17271"/>
    <cellStyle name="Note 14 2 3 3 2 4 2" xfId="39858"/>
    <cellStyle name="Note 14 2 3 3 2 5" xfId="14051"/>
    <cellStyle name="Note 14 2 3 3 2 5 2" xfId="36638"/>
    <cellStyle name="Note 14 2 3 3 2 6" xfId="7611"/>
    <cellStyle name="Note 14 2 3 3 2 6 2" xfId="30198"/>
    <cellStyle name="Note 14 2 3 3 2 7" xfId="23758"/>
    <cellStyle name="Note 14 2 3 3 3" xfId="1511"/>
    <cellStyle name="Note 14 2 3 3 3 2" xfId="2825"/>
    <cellStyle name="Note 14 2 3 3 3 2 2" xfId="6046"/>
    <cellStyle name="Note 14 2 3 3 3 2 2 2" xfId="22146"/>
    <cellStyle name="Note 14 2 3 3 3 2 2 2 2" xfId="44733"/>
    <cellStyle name="Note 14 2 3 3 3 2 2 3" xfId="12486"/>
    <cellStyle name="Note 14 2 3 3 3 2 2 3 2" xfId="35073"/>
    <cellStyle name="Note 14 2 3 3 3 2 2 4" xfId="28633"/>
    <cellStyle name="Note 14 2 3 3 3 2 3" xfId="18926"/>
    <cellStyle name="Note 14 2 3 3 3 2 3 2" xfId="41513"/>
    <cellStyle name="Note 14 2 3 3 3 2 4" xfId="15706"/>
    <cellStyle name="Note 14 2 3 3 3 2 4 2" xfId="38293"/>
    <cellStyle name="Note 14 2 3 3 3 2 5" xfId="9266"/>
    <cellStyle name="Note 14 2 3 3 3 2 5 2" xfId="31853"/>
    <cellStyle name="Note 14 2 3 3 3 2 6" xfId="25413"/>
    <cellStyle name="Note 14 2 3 3 3 3" xfId="4738"/>
    <cellStyle name="Note 14 2 3 3 3 3 2" xfId="20838"/>
    <cellStyle name="Note 14 2 3 3 3 3 2 2" xfId="43425"/>
    <cellStyle name="Note 14 2 3 3 3 3 3" xfId="11178"/>
    <cellStyle name="Note 14 2 3 3 3 3 3 2" xfId="33765"/>
    <cellStyle name="Note 14 2 3 3 3 3 4" xfId="27325"/>
    <cellStyle name="Note 14 2 3 3 3 4" xfId="17618"/>
    <cellStyle name="Note 14 2 3 3 3 4 2" xfId="40205"/>
    <cellStyle name="Note 14 2 3 3 3 5" xfId="14398"/>
    <cellStyle name="Note 14 2 3 3 3 5 2" xfId="36985"/>
    <cellStyle name="Note 14 2 3 3 3 6" xfId="7958"/>
    <cellStyle name="Note 14 2 3 3 3 6 2" xfId="30545"/>
    <cellStyle name="Note 14 2 3 3 3 7" xfId="24105"/>
    <cellStyle name="Note 14 2 3 3 4" xfId="1772"/>
    <cellStyle name="Note 14 2 3 3 4 2" xfId="4995"/>
    <cellStyle name="Note 14 2 3 3 4 2 2" xfId="21095"/>
    <cellStyle name="Note 14 2 3 3 4 2 2 2" xfId="43682"/>
    <cellStyle name="Note 14 2 3 3 4 2 3" xfId="11435"/>
    <cellStyle name="Note 14 2 3 3 4 2 3 2" xfId="34022"/>
    <cellStyle name="Note 14 2 3 3 4 2 4" xfId="27582"/>
    <cellStyle name="Note 14 2 3 3 4 3" xfId="17875"/>
    <cellStyle name="Note 14 2 3 3 4 3 2" xfId="40462"/>
    <cellStyle name="Note 14 2 3 3 4 4" xfId="14655"/>
    <cellStyle name="Note 14 2 3 3 4 4 2" xfId="37242"/>
    <cellStyle name="Note 14 2 3 3 4 5" xfId="8215"/>
    <cellStyle name="Note 14 2 3 3 4 5 2" xfId="30802"/>
    <cellStyle name="Note 14 2 3 3 4 6" xfId="24362"/>
    <cellStyle name="Note 14 2 3 3 5" xfId="2131"/>
    <cellStyle name="Note 14 2 3 3 5 2" xfId="5352"/>
    <cellStyle name="Note 14 2 3 3 5 2 2" xfId="21452"/>
    <cellStyle name="Note 14 2 3 3 5 2 2 2" xfId="44039"/>
    <cellStyle name="Note 14 2 3 3 5 2 3" xfId="11792"/>
    <cellStyle name="Note 14 2 3 3 5 2 3 2" xfId="34379"/>
    <cellStyle name="Note 14 2 3 3 5 2 4" xfId="27939"/>
    <cellStyle name="Note 14 2 3 3 5 3" xfId="18232"/>
    <cellStyle name="Note 14 2 3 3 5 3 2" xfId="40819"/>
    <cellStyle name="Note 14 2 3 3 5 4" xfId="15012"/>
    <cellStyle name="Note 14 2 3 3 5 4 2" xfId="37599"/>
    <cellStyle name="Note 14 2 3 3 5 5" xfId="8572"/>
    <cellStyle name="Note 14 2 3 3 5 5 2" xfId="31159"/>
    <cellStyle name="Note 14 2 3 3 5 6" xfId="24719"/>
    <cellStyle name="Note 14 2 3 3 6" xfId="3087"/>
    <cellStyle name="Note 14 2 3 3 6 2" xfId="6307"/>
    <cellStyle name="Note 14 2 3 3 6 2 2" xfId="22407"/>
    <cellStyle name="Note 14 2 3 3 6 2 2 2" xfId="44994"/>
    <cellStyle name="Note 14 2 3 3 6 2 3" xfId="12747"/>
    <cellStyle name="Note 14 2 3 3 6 2 3 2" xfId="35334"/>
    <cellStyle name="Note 14 2 3 3 6 2 4" xfId="28894"/>
    <cellStyle name="Note 14 2 3 3 6 3" xfId="19187"/>
    <cellStyle name="Note 14 2 3 3 6 3 2" xfId="41774"/>
    <cellStyle name="Note 14 2 3 3 6 4" xfId="15967"/>
    <cellStyle name="Note 14 2 3 3 6 4 2" xfId="38554"/>
    <cellStyle name="Note 14 2 3 3 6 5" xfId="9527"/>
    <cellStyle name="Note 14 2 3 3 6 5 2" xfId="32114"/>
    <cellStyle name="Note 14 2 3 3 6 6" xfId="25674"/>
    <cellStyle name="Note 14 2 3 3 7" xfId="3377"/>
    <cellStyle name="Note 14 2 3 3 7 2" xfId="6597"/>
    <cellStyle name="Note 14 2 3 3 7 2 2" xfId="22697"/>
    <cellStyle name="Note 14 2 3 3 7 2 2 2" xfId="45284"/>
    <cellStyle name="Note 14 2 3 3 7 2 3" xfId="13037"/>
    <cellStyle name="Note 14 2 3 3 7 2 3 2" xfId="35624"/>
    <cellStyle name="Note 14 2 3 3 7 2 4" xfId="29184"/>
    <cellStyle name="Note 14 2 3 3 7 3" xfId="19477"/>
    <cellStyle name="Note 14 2 3 3 7 3 2" xfId="42064"/>
    <cellStyle name="Note 14 2 3 3 7 4" xfId="16257"/>
    <cellStyle name="Note 14 2 3 3 7 4 2" xfId="38844"/>
    <cellStyle name="Note 14 2 3 3 7 5" xfId="9817"/>
    <cellStyle name="Note 14 2 3 3 7 5 2" xfId="32404"/>
    <cellStyle name="Note 14 2 3 3 7 6" xfId="25964"/>
    <cellStyle name="Note 14 2 3 3 8" xfId="812"/>
    <cellStyle name="Note 14 2 3 3 8 2" xfId="4044"/>
    <cellStyle name="Note 14 2 3 3 8 2 2" xfId="20144"/>
    <cellStyle name="Note 14 2 3 3 8 2 2 2" xfId="42731"/>
    <cellStyle name="Note 14 2 3 3 8 2 3" xfId="10484"/>
    <cellStyle name="Note 14 2 3 3 8 2 3 2" xfId="33071"/>
    <cellStyle name="Note 14 2 3 3 8 2 4" xfId="26631"/>
    <cellStyle name="Note 14 2 3 3 8 3" xfId="16924"/>
    <cellStyle name="Note 14 2 3 3 8 3 2" xfId="39511"/>
    <cellStyle name="Note 14 2 3 3 8 4" xfId="13704"/>
    <cellStyle name="Note 14 2 3 3 8 4 2" xfId="36291"/>
    <cellStyle name="Note 14 2 3 3 8 5" xfId="7264"/>
    <cellStyle name="Note 14 2 3 3 8 5 2" xfId="29851"/>
    <cellStyle name="Note 14 2 3 3 8 6" xfId="23411"/>
    <cellStyle name="Note 14 2 3 3 9" xfId="3667"/>
    <cellStyle name="Note 14 2 3 3 9 2" xfId="19767"/>
    <cellStyle name="Note 14 2 3 3 9 2 2" xfId="42354"/>
    <cellStyle name="Note 14 2 3 3 9 3" xfId="10107"/>
    <cellStyle name="Note 14 2 3 3 9 3 2" xfId="32694"/>
    <cellStyle name="Note 14 2 3 3 9 4" xfId="26254"/>
    <cellStyle name="Note 14 2 3 4" xfId="879"/>
    <cellStyle name="Note 14 2 3 4 2" xfId="2198"/>
    <cellStyle name="Note 14 2 3 4 2 2" xfId="5419"/>
    <cellStyle name="Note 14 2 3 4 2 2 2" xfId="21519"/>
    <cellStyle name="Note 14 2 3 4 2 2 2 2" xfId="44106"/>
    <cellStyle name="Note 14 2 3 4 2 2 3" xfId="11859"/>
    <cellStyle name="Note 14 2 3 4 2 2 3 2" xfId="34446"/>
    <cellStyle name="Note 14 2 3 4 2 2 4" xfId="28006"/>
    <cellStyle name="Note 14 2 3 4 2 3" xfId="18299"/>
    <cellStyle name="Note 14 2 3 4 2 3 2" xfId="40886"/>
    <cellStyle name="Note 14 2 3 4 2 4" xfId="15079"/>
    <cellStyle name="Note 14 2 3 4 2 4 2" xfId="37666"/>
    <cellStyle name="Note 14 2 3 4 2 5" xfId="8639"/>
    <cellStyle name="Note 14 2 3 4 2 5 2" xfId="31226"/>
    <cellStyle name="Note 14 2 3 4 2 6" xfId="24786"/>
    <cellStyle name="Note 14 2 3 4 3" xfId="4111"/>
    <cellStyle name="Note 14 2 3 4 3 2" xfId="20211"/>
    <cellStyle name="Note 14 2 3 4 3 2 2" xfId="42798"/>
    <cellStyle name="Note 14 2 3 4 3 3" xfId="10551"/>
    <cellStyle name="Note 14 2 3 4 3 3 2" xfId="33138"/>
    <cellStyle name="Note 14 2 3 4 3 4" xfId="26698"/>
    <cellStyle name="Note 14 2 3 4 4" xfId="16991"/>
    <cellStyle name="Note 14 2 3 4 4 2" xfId="39578"/>
    <cellStyle name="Note 14 2 3 4 5" xfId="13771"/>
    <cellStyle name="Note 14 2 3 4 5 2" xfId="36358"/>
    <cellStyle name="Note 14 2 3 4 6" xfId="7331"/>
    <cellStyle name="Note 14 2 3 4 6 2" xfId="29918"/>
    <cellStyle name="Note 14 2 3 4 7" xfId="23478"/>
    <cellStyle name="Note 14 2 3 5" xfId="1231"/>
    <cellStyle name="Note 14 2 3 5 2" xfId="2545"/>
    <cellStyle name="Note 14 2 3 5 2 2" xfId="5766"/>
    <cellStyle name="Note 14 2 3 5 2 2 2" xfId="21866"/>
    <cellStyle name="Note 14 2 3 5 2 2 2 2" xfId="44453"/>
    <cellStyle name="Note 14 2 3 5 2 2 3" xfId="12206"/>
    <cellStyle name="Note 14 2 3 5 2 2 3 2" xfId="34793"/>
    <cellStyle name="Note 14 2 3 5 2 2 4" xfId="28353"/>
    <cellStyle name="Note 14 2 3 5 2 3" xfId="18646"/>
    <cellStyle name="Note 14 2 3 5 2 3 2" xfId="41233"/>
    <cellStyle name="Note 14 2 3 5 2 4" xfId="15426"/>
    <cellStyle name="Note 14 2 3 5 2 4 2" xfId="38013"/>
    <cellStyle name="Note 14 2 3 5 2 5" xfId="8986"/>
    <cellStyle name="Note 14 2 3 5 2 5 2" xfId="31573"/>
    <cellStyle name="Note 14 2 3 5 2 6" xfId="25133"/>
    <cellStyle name="Note 14 2 3 5 3" xfId="4458"/>
    <cellStyle name="Note 14 2 3 5 3 2" xfId="20558"/>
    <cellStyle name="Note 14 2 3 5 3 2 2" xfId="43145"/>
    <cellStyle name="Note 14 2 3 5 3 3" xfId="10898"/>
    <cellStyle name="Note 14 2 3 5 3 3 2" xfId="33485"/>
    <cellStyle name="Note 14 2 3 5 3 4" xfId="27045"/>
    <cellStyle name="Note 14 2 3 5 4" xfId="17338"/>
    <cellStyle name="Note 14 2 3 5 4 2" xfId="39925"/>
    <cellStyle name="Note 14 2 3 5 5" xfId="14118"/>
    <cellStyle name="Note 14 2 3 5 5 2" xfId="36705"/>
    <cellStyle name="Note 14 2 3 5 6" xfId="7678"/>
    <cellStyle name="Note 14 2 3 5 6 2" xfId="30265"/>
    <cellStyle name="Note 14 2 3 5 7" xfId="23825"/>
    <cellStyle name="Note 14 2 3 6" xfId="1773"/>
    <cellStyle name="Note 14 2 3 6 2" xfId="4996"/>
    <cellStyle name="Note 14 2 3 6 2 2" xfId="21096"/>
    <cellStyle name="Note 14 2 3 6 2 2 2" xfId="43683"/>
    <cellStyle name="Note 14 2 3 6 2 3" xfId="11436"/>
    <cellStyle name="Note 14 2 3 6 2 3 2" xfId="34023"/>
    <cellStyle name="Note 14 2 3 6 2 4" xfId="27583"/>
    <cellStyle name="Note 14 2 3 6 3" xfId="17876"/>
    <cellStyle name="Note 14 2 3 6 3 2" xfId="40463"/>
    <cellStyle name="Note 14 2 3 6 4" xfId="14656"/>
    <cellStyle name="Note 14 2 3 6 4 2" xfId="37243"/>
    <cellStyle name="Note 14 2 3 6 5" xfId="8216"/>
    <cellStyle name="Note 14 2 3 6 5 2" xfId="30803"/>
    <cellStyle name="Note 14 2 3 6 6" xfId="24363"/>
    <cellStyle name="Note 14 2 3 7" xfId="1850"/>
    <cellStyle name="Note 14 2 3 7 2" xfId="5072"/>
    <cellStyle name="Note 14 2 3 7 2 2" xfId="21172"/>
    <cellStyle name="Note 14 2 3 7 2 2 2" xfId="43759"/>
    <cellStyle name="Note 14 2 3 7 2 3" xfId="11512"/>
    <cellStyle name="Note 14 2 3 7 2 3 2" xfId="34099"/>
    <cellStyle name="Note 14 2 3 7 2 4" xfId="27659"/>
    <cellStyle name="Note 14 2 3 7 3" xfId="17952"/>
    <cellStyle name="Note 14 2 3 7 3 2" xfId="40539"/>
    <cellStyle name="Note 14 2 3 7 4" xfId="14732"/>
    <cellStyle name="Note 14 2 3 7 4 2" xfId="37319"/>
    <cellStyle name="Note 14 2 3 7 5" xfId="8292"/>
    <cellStyle name="Note 14 2 3 7 5 2" xfId="30879"/>
    <cellStyle name="Note 14 2 3 7 6" xfId="24439"/>
    <cellStyle name="Note 14 2 3 8" xfId="2893"/>
    <cellStyle name="Note 14 2 3 8 2" xfId="6114"/>
    <cellStyle name="Note 14 2 3 8 2 2" xfId="22214"/>
    <cellStyle name="Note 14 2 3 8 2 2 2" xfId="44801"/>
    <cellStyle name="Note 14 2 3 8 2 3" xfId="12554"/>
    <cellStyle name="Note 14 2 3 8 2 3 2" xfId="35141"/>
    <cellStyle name="Note 14 2 3 8 2 4" xfId="28701"/>
    <cellStyle name="Note 14 2 3 8 3" xfId="18994"/>
    <cellStyle name="Note 14 2 3 8 3 2" xfId="41581"/>
    <cellStyle name="Note 14 2 3 8 4" xfId="15774"/>
    <cellStyle name="Note 14 2 3 8 4 2" xfId="38361"/>
    <cellStyle name="Note 14 2 3 8 5" xfId="9334"/>
    <cellStyle name="Note 14 2 3 8 5 2" xfId="31921"/>
    <cellStyle name="Note 14 2 3 8 6" xfId="25481"/>
    <cellStyle name="Note 14 2 3 9" xfId="3184"/>
    <cellStyle name="Note 14 2 3 9 2" xfId="6404"/>
    <cellStyle name="Note 14 2 3 9 2 2" xfId="22504"/>
    <cellStyle name="Note 14 2 3 9 2 2 2" xfId="45091"/>
    <cellStyle name="Note 14 2 3 9 2 3" xfId="12844"/>
    <cellStyle name="Note 14 2 3 9 2 3 2" xfId="35431"/>
    <cellStyle name="Note 14 2 3 9 2 4" xfId="28991"/>
    <cellStyle name="Note 14 2 3 9 3" xfId="19284"/>
    <cellStyle name="Note 14 2 3 9 3 2" xfId="41871"/>
    <cellStyle name="Note 14 2 3 9 4" xfId="16064"/>
    <cellStyle name="Note 14 2 3 9 4 2" xfId="38651"/>
    <cellStyle name="Note 14 2 3 9 5" xfId="9624"/>
    <cellStyle name="Note 14 2 3 9 5 2" xfId="32211"/>
    <cellStyle name="Note 14 2 3 9 6" xfId="25771"/>
    <cellStyle name="Note 14 2 4" xfId="230"/>
    <cellStyle name="Note 14 2 4 10" xfId="517"/>
    <cellStyle name="Note 14 2 4 10 2" xfId="3804"/>
    <cellStyle name="Note 14 2 4 10 2 2" xfId="19904"/>
    <cellStyle name="Note 14 2 4 10 2 2 2" xfId="42491"/>
    <cellStyle name="Note 14 2 4 10 2 3" xfId="10244"/>
    <cellStyle name="Note 14 2 4 10 2 3 2" xfId="32831"/>
    <cellStyle name="Note 14 2 4 10 2 4" xfId="26391"/>
    <cellStyle name="Note 14 2 4 10 3" xfId="16684"/>
    <cellStyle name="Note 14 2 4 10 3 2" xfId="39271"/>
    <cellStyle name="Note 14 2 4 10 4" xfId="13464"/>
    <cellStyle name="Note 14 2 4 10 4 2" xfId="36051"/>
    <cellStyle name="Note 14 2 4 10 5" xfId="7024"/>
    <cellStyle name="Note 14 2 4 10 5 2" xfId="29611"/>
    <cellStyle name="Note 14 2 4 10 6" xfId="23171"/>
    <cellStyle name="Note 14 2 4 11" xfId="3518"/>
    <cellStyle name="Note 14 2 4 11 2" xfId="19618"/>
    <cellStyle name="Note 14 2 4 11 2 2" xfId="42205"/>
    <cellStyle name="Note 14 2 4 11 3" xfId="9958"/>
    <cellStyle name="Note 14 2 4 11 3 2" xfId="32545"/>
    <cellStyle name="Note 14 2 4 11 4" xfId="26105"/>
    <cellStyle name="Note 14 2 4 12" xfId="16398"/>
    <cellStyle name="Note 14 2 4 12 2" xfId="38985"/>
    <cellStyle name="Note 14 2 4 13" xfId="13178"/>
    <cellStyle name="Note 14 2 4 13 2" xfId="35765"/>
    <cellStyle name="Note 14 2 4 14" xfId="6738"/>
    <cellStyle name="Note 14 2 4 14 2" xfId="29325"/>
    <cellStyle name="Note 14 2 4 15" xfId="22885"/>
    <cellStyle name="Note 14 2 4 2" xfId="328"/>
    <cellStyle name="Note 14 2 4 2 10" xfId="16495"/>
    <cellStyle name="Note 14 2 4 2 10 2" xfId="39082"/>
    <cellStyle name="Note 14 2 4 2 11" xfId="13275"/>
    <cellStyle name="Note 14 2 4 2 11 2" xfId="35862"/>
    <cellStyle name="Note 14 2 4 2 12" xfId="6835"/>
    <cellStyle name="Note 14 2 4 2 12 2" xfId="29422"/>
    <cellStyle name="Note 14 2 4 2 13" xfId="22982"/>
    <cellStyle name="Note 14 2 4 2 2" xfId="1040"/>
    <cellStyle name="Note 14 2 4 2 2 2" xfId="2354"/>
    <cellStyle name="Note 14 2 4 2 2 2 2" xfId="5575"/>
    <cellStyle name="Note 14 2 4 2 2 2 2 2" xfId="21675"/>
    <cellStyle name="Note 14 2 4 2 2 2 2 2 2" xfId="44262"/>
    <cellStyle name="Note 14 2 4 2 2 2 2 3" xfId="12015"/>
    <cellStyle name="Note 14 2 4 2 2 2 2 3 2" xfId="34602"/>
    <cellStyle name="Note 14 2 4 2 2 2 2 4" xfId="28162"/>
    <cellStyle name="Note 14 2 4 2 2 2 3" xfId="18455"/>
    <cellStyle name="Note 14 2 4 2 2 2 3 2" xfId="41042"/>
    <cellStyle name="Note 14 2 4 2 2 2 4" xfId="15235"/>
    <cellStyle name="Note 14 2 4 2 2 2 4 2" xfId="37822"/>
    <cellStyle name="Note 14 2 4 2 2 2 5" xfId="8795"/>
    <cellStyle name="Note 14 2 4 2 2 2 5 2" xfId="31382"/>
    <cellStyle name="Note 14 2 4 2 2 2 6" xfId="24942"/>
    <cellStyle name="Note 14 2 4 2 2 3" xfId="4267"/>
    <cellStyle name="Note 14 2 4 2 2 3 2" xfId="20367"/>
    <cellStyle name="Note 14 2 4 2 2 3 2 2" xfId="42954"/>
    <cellStyle name="Note 14 2 4 2 2 3 3" xfId="10707"/>
    <cellStyle name="Note 14 2 4 2 2 3 3 2" xfId="33294"/>
    <cellStyle name="Note 14 2 4 2 2 3 4" xfId="26854"/>
    <cellStyle name="Note 14 2 4 2 2 4" xfId="17147"/>
    <cellStyle name="Note 14 2 4 2 2 4 2" xfId="39734"/>
    <cellStyle name="Note 14 2 4 2 2 5" xfId="13927"/>
    <cellStyle name="Note 14 2 4 2 2 5 2" xfId="36514"/>
    <cellStyle name="Note 14 2 4 2 2 6" xfId="7487"/>
    <cellStyle name="Note 14 2 4 2 2 6 2" xfId="30074"/>
    <cellStyle name="Note 14 2 4 2 2 7" xfId="23634"/>
    <cellStyle name="Note 14 2 4 2 3" xfId="1387"/>
    <cellStyle name="Note 14 2 4 2 3 2" xfId="2701"/>
    <cellStyle name="Note 14 2 4 2 3 2 2" xfId="5922"/>
    <cellStyle name="Note 14 2 4 2 3 2 2 2" xfId="22022"/>
    <cellStyle name="Note 14 2 4 2 3 2 2 2 2" xfId="44609"/>
    <cellStyle name="Note 14 2 4 2 3 2 2 3" xfId="12362"/>
    <cellStyle name="Note 14 2 4 2 3 2 2 3 2" xfId="34949"/>
    <cellStyle name="Note 14 2 4 2 3 2 2 4" xfId="28509"/>
    <cellStyle name="Note 14 2 4 2 3 2 3" xfId="18802"/>
    <cellStyle name="Note 14 2 4 2 3 2 3 2" xfId="41389"/>
    <cellStyle name="Note 14 2 4 2 3 2 4" xfId="15582"/>
    <cellStyle name="Note 14 2 4 2 3 2 4 2" xfId="38169"/>
    <cellStyle name="Note 14 2 4 2 3 2 5" xfId="9142"/>
    <cellStyle name="Note 14 2 4 2 3 2 5 2" xfId="31729"/>
    <cellStyle name="Note 14 2 4 2 3 2 6" xfId="25289"/>
    <cellStyle name="Note 14 2 4 2 3 3" xfId="4614"/>
    <cellStyle name="Note 14 2 4 2 3 3 2" xfId="20714"/>
    <cellStyle name="Note 14 2 4 2 3 3 2 2" xfId="43301"/>
    <cellStyle name="Note 14 2 4 2 3 3 3" xfId="11054"/>
    <cellStyle name="Note 14 2 4 2 3 3 3 2" xfId="33641"/>
    <cellStyle name="Note 14 2 4 2 3 3 4" xfId="27201"/>
    <cellStyle name="Note 14 2 4 2 3 4" xfId="17494"/>
    <cellStyle name="Note 14 2 4 2 3 4 2" xfId="40081"/>
    <cellStyle name="Note 14 2 4 2 3 5" xfId="14274"/>
    <cellStyle name="Note 14 2 4 2 3 5 2" xfId="36861"/>
    <cellStyle name="Note 14 2 4 2 3 6" xfId="7834"/>
    <cellStyle name="Note 14 2 4 2 3 6 2" xfId="30421"/>
    <cellStyle name="Note 14 2 4 2 3 7" xfId="23981"/>
    <cellStyle name="Note 14 2 4 2 4" xfId="1774"/>
    <cellStyle name="Note 14 2 4 2 4 2" xfId="4997"/>
    <cellStyle name="Note 14 2 4 2 4 2 2" xfId="21097"/>
    <cellStyle name="Note 14 2 4 2 4 2 2 2" xfId="43684"/>
    <cellStyle name="Note 14 2 4 2 4 2 3" xfId="11437"/>
    <cellStyle name="Note 14 2 4 2 4 2 3 2" xfId="34024"/>
    <cellStyle name="Note 14 2 4 2 4 2 4" xfId="27584"/>
    <cellStyle name="Note 14 2 4 2 4 3" xfId="17877"/>
    <cellStyle name="Note 14 2 4 2 4 3 2" xfId="40464"/>
    <cellStyle name="Note 14 2 4 2 4 4" xfId="14657"/>
    <cellStyle name="Note 14 2 4 2 4 4 2" xfId="37244"/>
    <cellStyle name="Note 14 2 4 2 4 5" xfId="8217"/>
    <cellStyle name="Note 14 2 4 2 4 5 2" xfId="30804"/>
    <cellStyle name="Note 14 2 4 2 4 6" xfId="24364"/>
    <cellStyle name="Note 14 2 4 2 5" xfId="2006"/>
    <cellStyle name="Note 14 2 4 2 5 2" xfId="5228"/>
    <cellStyle name="Note 14 2 4 2 5 2 2" xfId="21328"/>
    <cellStyle name="Note 14 2 4 2 5 2 2 2" xfId="43915"/>
    <cellStyle name="Note 14 2 4 2 5 2 3" xfId="11668"/>
    <cellStyle name="Note 14 2 4 2 5 2 3 2" xfId="34255"/>
    <cellStyle name="Note 14 2 4 2 5 2 4" xfId="27815"/>
    <cellStyle name="Note 14 2 4 2 5 3" xfId="18108"/>
    <cellStyle name="Note 14 2 4 2 5 3 2" xfId="40695"/>
    <cellStyle name="Note 14 2 4 2 5 4" xfId="14888"/>
    <cellStyle name="Note 14 2 4 2 5 4 2" xfId="37475"/>
    <cellStyle name="Note 14 2 4 2 5 5" xfId="8448"/>
    <cellStyle name="Note 14 2 4 2 5 5 2" xfId="31035"/>
    <cellStyle name="Note 14 2 4 2 5 6" xfId="24595"/>
    <cellStyle name="Note 14 2 4 2 6" xfId="3035"/>
    <cellStyle name="Note 14 2 4 2 6 2" xfId="6255"/>
    <cellStyle name="Note 14 2 4 2 6 2 2" xfId="22355"/>
    <cellStyle name="Note 14 2 4 2 6 2 2 2" xfId="44942"/>
    <cellStyle name="Note 14 2 4 2 6 2 3" xfId="12695"/>
    <cellStyle name="Note 14 2 4 2 6 2 3 2" xfId="35282"/>
    <cellStyle name="Note 14 2 4 2 6 2 4" xfId="28842"/>
    <cellStyle name="Note 14 2 4 2 6 3" xfId="19135"/>
    <cellStyle name="Note 14 2 4 2 6 3 2" xfId="41722"/>
    <cellStyle name="Note 14 2 4 2 6 4" xfId="15915"/>
    <cellStyle name="Note 14 2 4 2 6 4 2" xfId="38502"/>
    <cellStyle name="Note 14 2 4 2 6 5" xfId="9475"/>
    <cellStyle name="Note 14 2 4 2 6 5 2" xfId="32062"/>
    <cellStyle name="Note 14 2 4 2 6 6" xfId="25622"/>
    <cellStyle name="Note 14 2 4 2 7" xfId="3325"/>
    <cellStyle name="Note 14 2 4 2 7 2" xfId="6545"/>
    <cellStyle name="Note 14 2 4 2 7 2 2" xfId="22645"/>
    <cellStyle name="Note 14 2 4 2 7 2 2 2" xfId="45232"/>
    <cellStyle name="Note 14 2 4 2 7 2 3" xfId="12985"/>
    <cellStyle name="Note 14 2 4 2 7 2 3 2" xfId="35572"/>
    <cellStyle name="Note 14 2 4 2 7 2 4" xfId="29132"/>
    <cellStyle name="Note 14 2 4 2 7 3" xfId="19425"/>
    <cellStyle name="Note 14 2 4 2 7 3 2" xfId="42012"/>
    <cellStyle name="Note 14 2 4 2 7 4" xfId="16205"/>
    <cellStyle name="Note 14 2 4 2 7 4 2" xfId="38792"/>
    <cellStyle name="Note 14 2 4 2 7 5" xfId="9765"/>
    <cellStyle name="Note 14 2 4 2 7 5 2" xfId="32352"/>
    <cellStyle name="Note 14 2 4 2 7 6" xfId="25912"/>
    <cellStyle name="Note 14 2 4 2 8" xfId="676"/>
    <cellStyle name="Note 14 2 4 2 8 2" xfId="3920"/>
    <cellStyle name="Note 14 2 4 2 8 2 2" xfId="20020"/>
    <cellStyle name="Note 14 2 4 2 8 2 2 2" xfId="42607"/>
    <cellStyle name="Note 14 2 4 2 8 2 3" xfId="10360"/>
    <cellStyle name="Note 14 2 4 2 8 2 3 2" xfId="32947"/>
    <cellStyle name="Note 14 2 4 2 8 2 4" xfId="26507"/>
    <cellStyle name="Note 14 2 4 2 8 3" xfId="16800"/>
    <cellStyle name="Note 14 2 4 2 8 3 2" xfId="39387"/>
    <cellStyle name="Note 14 2 4 2 8 4" xfId="13580"/>
    <cellStyle name="Note 14 2 4 2 8 4 2" xfId="36167"/>
    <cellStyle name="Note 14 2 4 2 8 5" xfId="7140"/>
    <cellStyle name="Note 14 2 4 2 8 5 2" xfId="29727"/>
    <cellStyle name="Note 14 2 4 2 8 6" xfId="23287"/>
    <cellStyle name="Note 14 2 4 2 9" xfId="3615"/>
    <cellStyle name="Note 14 2 4 2 9 2" xfId="19715"/>
    <cellStyle name="Note 14 2 4 2 9 2 2" xfId="42302"/>
    <cellStyle name="Note 14 2 4 2 9 3" xfId="10055"/>
    <cellStyle name="Note 14 2 4 2 9 3 2" xfId="32642"/>
    <cellStyle name="Note 14 2 4 2 9 4" xfId="26202"/>
    <cellStyle name="Note 14 2 4 3" xfId="424"/>
    <cellStyle name="Note 14 2 4 3 10" xfId="16591"/>
    <cellStyle name="Note 14 2 4 3 10 2" xfId="39178"/>
    <cellStyle name="Note 14 2 4 3 11" xfId="13371"/>
    <cellStyle name="Note 14 2 4 3 11 2" xfId="35958"/>
    <cellStyle name="Note 14 2 4 3 12" xfId="6931"/>
    <cellStyle name="Note 14 2 4 3 12 2" xfId="29518"/>
    <cellStyle name="Note 14 2 4 3 13" xfId="23078"/>
    <cellStyle name="Note 14 2 4 3 2" xfId="1124"/>
    <cellStyle name="Note 14 2 4 3 2 2" xfId="2438"/>
    <cellStyle name="Note 14 2 4 3 2 2 2" xfId="5659"/>
    <cellStyle name="Note 14 2 4 3 2 2 2 2" xfId="21759"/>
    <cellStyle name="Note 14 2 4 3 2 2 2 2 2" xfId="44346"/>
    <cellStyle name="Note 14 2 4 3 2 2 2 3" xfId="12099"/>
    <cellStyle name="Note 14 2 4 3 2 2 2 3 2" xfId="34686"/>
    <cellStyle name="Note 14 2 4 3 2 2 2 4" xfId="28246"/>
    <cellStyle name="Note 14 2 4 3 2 2 3" xfId="18539"/>
    <cellStyle name="Note 14 2 4 3 2 2 3 2" xfId="41126"/>
    <cellStyle name="Note 14 2 4 3 2 2 4" xfId="15319"/>
    <cellStyle name="Note 14 2 4 3 2 2 4 2" xfId="37906"/>
    <cellStyle name="Note 14 2 4 3 2 2 5" xfId="8879"/>
    <cellStyle name="Note 14 2 4 3 2 2 5 2" xfId="31466"/>
    <cellStyle name="Note 14 2 4 3 2 2 6" xfId="25026"/>
    <cellStyle name="Note 14 2 4 3 2 3" xfId="4351"/>
    <cellStyle name="Note 14 2 4 3 2 3 2" xfId="20451"/>
    <cellStyle name="Note 14 2 4 3 2 3 2 2" xfId="43038"/>
    <cellStyle name="Note 14 2 4 3 2 3 3" xfId="10791"/>
    <cellStyle name="Note 14 2 4 3 2 3 3 2" xfId="33378"/>
    <cellStyle name="Note 14 2 4 3 2 3 4" xfId="26938"/>
    <cellStyle name="Note 14 2 4 3 2 4" xfId="17231"/>
    <cellStyle name="Note 14 2 4 3 2 4 2" xfId="39818"/>
    <cellStyle name="Note 14 2 4 3 2 5" xfId="14011"/>
    <cellStyle name="Note 14 2 4 3 2 5 2" xfId="36598"/>
    <cellStyle name="Note 14 2 4 3 2 6" xfId="7571"/>
    <cellStyle name="Note 14 2 4 3 2 6 2" xfId="30158"/>
    <cellStyle name="Note 14 2 4 3 2 7" xfId="23718"/>
    <cellStyle name="Note 14 2 4 3 3" xfId="1471"/>
    <cellStyle name="Note 14 2 4 3 3 2" xfId="2785"/>
    <cellStyle name="Note 14 2 4 3 3 2 2" xfId="6006"/>
    <cellStyle name="Note 14 2 4 3 3 2 2 2" xfId="22106"/>
    <cellStyle name="Note 14 2 4 3 3 2 2 2 2" xfId="44693"/>
    <cellStyle name="Note 14 2 4 3 3 2 2 3" xfId="12446"/>
    <cellStyle name="Note 14 2 4 3 3 2 2 3 2" xfId="35033"/>
    <cellStyle name="Note 14 2 4 3 3 2 2 4" xfId="28593"/>
    <cellStyle name="Note 14 2 4 3 3 2 3" xfId="18886"/>
    <cellStyle name="Note 14 2 4 3 3 2 3 2" xfId="41473"/>
    <cellStyle name="Note 14 2 4 3 3 2 4" xfId="15666"/>
    <cellStyle name="Note 14 2 4 3 3 2 4 2" xfId="38253"/>
    <cellStyle name="Note 14 2 4 3 3 2 5" xfId="9226"/>
    <cellStyle name="Note 14 2 4 3 3 2 5 2" xfId="31813"/>
    <cellStyle name="Note 14 2 4 3 3 2 6" xfId="25373"/>
    <cellStyle name="Note 14 2 4 3 3 3" xfId="4698"/>
    <cellStyle name="Note 14 2 4 3 3 3 2" xfId="20798"/>
    <cellStyle name="Note 14 2 4 3 3 3 2 2" xfId="43385"/>
    <cellStyle name="Note 14 2 4 3 3 3 3" xfId="11138"/>
    <cellStyle name="Note 14 2 4 3 3 3 3 2" xfId="33725"/>
    <cellStyle name="Note 14 2 4 3 3 3 4" xfId="27285"/>
    <cellStyle name="Note 14 2 4 3 3 4" xfId="17578"/>
    <cellStyle name="Note 14 2 4 3 3 4 2" xfId="40165"/>
    <cellStyle name="Note 14 2 4 3 3 5" xfId="14358"/>
    <cellStyle name="Note 14 2 4 3 3 5 2" xfId="36945"/>
    <cellStyle name="Note 14 2 4 3 3 6" xfId="7918"/>
    <cellStyle name="Note 14 2 4 3 3 6 2" xfId="30505"/>
    <cellStyle name="Note 14 2 4 3 3 7" xfId="24065"/>
    <cellStyle name="Note 14 2 4 3 4" xfId="1775"/>
    <cellStyle name="Note 14 2 4 3 4 2" xfId="4998"/>
    <cellStyle name="Note 14 2 4 3 4 2 2" xfId="21098"/>
    <cellStyle name="Note 14 2 4 3 4 2 2 2" xfId="43685"/>
    <cellStyle name="Note 14 2 4 3 4 2 3" xfId="11438"/>
    <cellStyle name="Note 14 2 4 3 4 2 3 2" xfId="34025"/>
    <cellStyle name="Note 14 2 4 3 4 2 4" xfId="27585"/>
    <cellStyle name="Note 14 2 4 3 4 3" xfId="17878"/>
    <cellStyle name="Note 14 2 4 3 4 3 2" xfId="40465"/>
    <cellStyle name="Note 14 2 4 3 4 4" xfId="14658"/>
    <cellStyle name="Note 14 2 4 3 4 4 2" xfId="37245"/>
    <cellStyle name="Note 14 2 4 3 4 5" xfId="8218"/>
    <cellStyle name="Note 14 2 4 3 4 5 2" xfId="30805"/>
    <cellStyle name="Note 14 2 4 3 4 6" xfId="24365"/>
    <cellStyle name="Note 14 2 4 3 5" xfId="2091"/>
    <cellStyle name="Note 14 2 4 3 5 2" xfId="5312"/>
    <cellStyle name="Note 14 2 4 3 5 2 2" xfId="21412"/>
    <cellStyle name="Note 14 2 4 3 5 2 2 2" xfId="43999"/>
    <cellStyle name="Note 14 2 4 3 5 2 3" xfId="11752"/>
    <cellStyle name="Note 14 2 4 3 5 2 3 2" xfId="34339"/>
    <cellStyle name="Note 14 2 4 3 5 2 4" xfId="27899"/>
    <cellStyle name="Note 14 2 4 3 5 3" xfId="18192"/>
    <cellStyle name="Note 14 2 4 3 5 3 2" xfId="40779"/>
    <cellStyle name="Note 14 2 4 3 5 4" xfId="14972"/>
    <cellStyle name="Note 14 2 4 3 5 4 2" xfId="37559"/>
    <cellStyle name="Note 14 2 4 3 5 5" xfId="8532"/>
    <cellStyle name="Note 14 2 4 3 5 5 2" xfId="31119"/>
    <cellStyle name="Note 14 2 4 3 5 6" xfId="24679"/>
    <cellStyle name="Note 14 2 4 3 6" xfId="3131"/>
    <cellStyle name="Note 14 2 4 3 6 2" xfId="6351"/>
    <cellStyle name="Note 14 2 4 3 6 2 2" xfId="22451"/>
    <cellStyle name="Note 14 2 4 3 6 2 2 2" xfId="45038"/>
    <cellStyle name="Note 14 2 4 3 6 2 3" xfId="12791"/>
    <cellStyle name="Note 14 2 4 3 6 2 3 2" xfId="35378"/>
    <cellStyle name="Note 14 2 4 3 6 2 4" xfId="28938"/>
    <cellStyle name="Note 14 2 4 3 6 3" xfId="19231"/>
    <cellStyle name="Note 14 2 4 3 6 3 2" xfId="41818"/>
    <cellStyle name="Note 14 2 4 3 6 4" xfId="16011"/>
    <cellStyle name="Note 14 2 4 3 6 4 2" xfId="38598"/>
    <cellStyle name="Note 14 2 4 3 6 5" xfId="9571"/>
    <cellStyle name="Note 14 2 4 3 6 5 2" xfId="32158"/>
    <cellStyle name="Note 14 2 4 3 6 6" xfId="25718"/>
    <cellStyle name="Note 14 2 4 3 7" xfId="3421"/>
    <cellStyle name="Note 14 2 4 3 7 2" xfId="6641"/>
    <cellStyle name="Note 14 2 4 3 7 2 2" xfId="22741"/>
    <cellStyle name="Note 14 2 4 3 7 2 2 2" xfId="45328"/>
    <cellStyle name="Note 14 2 4 3 7 2 3" xfId="13081"/>
    <cellStyle name="Note 14 2 4 3 7 2 3 2" xfId="35668"/>
    <cellStyle name="Note 14 2 4 3 7 2 4" xfId="29228"/>
    <cellStyle name="Note 14 2 4 3 7 3" xfId="19521"/>
    <cellStyle name="Note 14 2 4 3 7 3 2" xfId="42108"/>
    <cellStyle name="Note 14 2 4 3 7 4" xfId="16301"/>
    <cellStyle name="Note 14 2 4 3 7 4 2" xfId="38888"/>
    <cellStyle name="Note 14 2 4 3 7 5" xfId="9861"/>
    <cellStyle name="Note 14 2 4 3 7 5 2" xfId="32448"/>
    <cellStyle name="Note 14 2 4 3 7 6" xfId="26008"/>
    <cellStyle name="Note 14 2 4 3 8" xfId="772"/>
    <cellStyle name="Note 14 2 4 3 8 2" xfId="4004"/>
    <cellStyle name="Note 14 2 4 3 8 2 2" xfId="20104"/>
    <cellStyle name="Note 14 2 4 3 8 2 2 2" xfId="42691"/>
    <cellStyle name="Note 14 2 4 3 8 2 3" xfId="10444"/>
    <cellStyle name="Note 14 2 4 3 8 2 3 2" xfId="33031"/>
    <cellStyle name="Note 14 2 4 3 8 2 4" xfId="26591"/>
    <cellStyle name="Note 14 2 4 3 8 3" xfId="16884"/>
    <cellStyle name="Note 14 2 4 3 8 3 2" xfId="39471"/>
    <cellStyle name="Note 14 2 4 3 8 4" xfId="13664"/>
    <cellStyle name="Note 14 2 4 3 8 4 2" xfId="36251"/>
    <cellStyle name="Note 14 2 4 3 8 5" xfId="7224"/>
    <cellStyle name="Note 14 2 4 3 8 5 2" xfId="29811"/>
    <cellStyle name="Note 14 2 4 3 8 6" xfId="23371"/>
    <cellStyle name="Note 14 2 4 3 9" xfId="3711"/>
    <cellStyle name="Note 14 2 4 3 9 2" xfId="19811"/>
    <cellStyle name="Note 14 2 4 3 9 2 2" xfId="42398"/>
    <cellStyle name="Note 14 2 4 3 9 3" xfId="10151"/>
    <cellStyle name="Note 14 2 4 3 9 3 2" xfId="32738"/>
    <cellStyle name="Note 14 2 4 3 9 4" xfId="26298"/>
    <cellStyle name="Note 14 2 4 4" xfId="919"/>
    <cellStyle name="Note 14 2 4 4 2" xfId="2238"/>
    <cellStyle name="Note 14 2 4 4 2 2" xfId="5459"/>
    <cellStyle name="Note 14 2 4 4 2 2 2" xfId="21559"/>
    <cellStyle name="Note 14 2 4 4 2 2 2 2" xfId="44146"/>
    <cellStyle name="Note 14 2 4 4 2 2 3" xfId="11899"/>
    <cellStyle name="Note 14 2 4 4 2 2 3 2" xfId="34486"/>
    <cellStyle name="Note 14 2 4 4 2 2 4" xfId="28046"/>
    <cellStyle name="Note 14 2 4 4 2 3" xfId="18339"/>
    <cellStyle name="Note 14 2 4 4 2 3 2" xfId="40926"/>
    <cellStyle name="Note 14 2 4 4 2 4" xfId="15119"/>
    <cellStyle name="Note 14 2 4 4 2 4 2" xfId="37706"/>
    <cellStyle name="Note 14 2 4 4 2 5" xfId="8679"/>
    <cellStyle name="Note 14 2 4 4 2 5 2" xfId="31266"/>
    <cellStyle name="Note 14 2 4 4 2 6" xfId="24826"/>
    <cellStyle name="Note 14 2 4 4 3" xfId="4151"/>
    <cellStyle name="Note 14 2 4 4 3 2" xfId="20251"/>
    <cellStyle name="Note 14 2 4 4 3 2 2" xfId="42838"/>
    <cellStyle name="Note 14 2 4 4 3 3" xfId="10591"/>
    <cellStyle name="Note 14 2 4 4 3 3 2" xfId="33178"/>
    <cellStyle name="Note 14 2 4 4 3 4" xfId="26738"/>
    <cellStyle name="Note 14 2 4 4 4" xfId="17031"/>
    <cellStyle name="Note 14 2 4 4 4 2" xfId="39618"/>
    <cellStyle name="Note 14 2 4 4 5" xfId="13811"/>
    <cellStyle name="Note 14 2 4 4 5 2" xfId="36398"/>
    <cellStyle name="Note 14 2 4 4 6" xfId="7371"/>
    <cellStyle name="Note 14 2 4 4 6 2" xfId="29958"/>
    <cellStyle name="Note 14 2 4 4 7" xfId="23518"/>
    <cellStyle name="Note 14 2 4 5" xfId="1271"/>
    <cellStyle name="Note 14 2 4 5 2" xfId="2585"/>
    <cellStyle name="Note 14 2 4 5 2 2" xfId="5806"/>
    <cellStyle name="Note 14 2 4 5 2 2 2" xfId="21906"/>
    <cellStyle name="Note 14 2 4 5 2 2 2 2" xfId="44493"/>
    <cellStyle name="Note 14 2 4 5 2 2 3" xfId="12246"/>
    <cellStyle name="Note 14 2 4 5 2 2 3 2" xfId="34833"/>
    <cellStyle name="Note 14 2 4 5 2 2 4" xfId="28393"/>
    <cellStyle name="Note 14 2 4 5 2 3" xfId="18686"/>
    <cellStyle name="Note 14 2 4 5 2 3 2" xfId="41273"/>
    <cellStyle name="Note 14 2 4 5 2 4" xfId="15466"/>
    <cellStyle name="Note 14 2 4 5 2 4 2" xfId="38053"/>
    <cellStyle name="Note 14 2 4 5 2 5" xfId="9026"/>
    <cellStyle name="Note 14 2 4 5 2 5 2" xfId="31613"/>
    <cellStyle name="Note 14 2 4 5 2 6" xfId="25173"/>
    <cellStyle name="Note 14 2 4 5 3" xfId="4498"/>
    <cellStyle name="Note 14 2 4 5 3 2" xfId="20598"/>
    <cellStyle name="Note 14 2 4 5 3 2 2" xfId="43185"/>
    <cellStyle name="Note 14 2 4 5 3 3" xfId="10938"/>
    <cellStyle name="Note 14 2 4 5 3 3 2" xfId="33525"/>
    <cellStyle name="Note 14 2 4 5 3 4" xfId="27085"/>
    <cellStyle name="Note 14 2 4 5 4" xfId="17378"/>
    <cellStyle name="Note 14 2 4 5 4 2" xfId="39965"/>
    <cellStyle name="Note 14 2 4 5 5" xfId="14158"/>
    <cellStyle name="Note 14 2 4 5 5 2" xfId="36745"/>
    <cellStyle name="Note 14 2 4 5 6" xfId="7718"/>
    <cellStyle name="Note 14 2 4 5 6 2" xfId="30305"/>
    <cellStyle name="Note 14 2 4 5 7" xfId="23865"/>
    <cellStyle name="Note 14 2 4 6" xfId="1776"/>
    <cellStyle name="Note 14 2 4 6 2" xfId="4999"/>
    <cellStyle name="Note 14 2 4 6 2 2" xfId="21099"/>
    <cellStyle name="Note 14 2 4 6 2 2 2" xfId="43686"/>
    <cellStyle name="Note 14 2 4 6 2 3" xfId="11439"/>
    <cellStyle name="Note 14 2 4 6 2 3 2" xfId="34026"/>
    <cellStyle name="Note 14 2 4 6 2 4" xfId="27586"/>
    <cellStyle name="Note 14 2 4 6 3" xfId="17879"/>
    <cellStyle name="Note 14 2 4 6 3 2" xfId="40466"/>
    <cellStyle name="Note 14 2 4 6 4" xfId="14659"/>
    <cellStyle name="Note 14 2 4 6 4 2" xfId="37246"/>
    <cellStyle name="Note 14 2 4 6 5" xfId="8219"/>
    <cellStyle name="Note 14 2 4 6 5 2" xfId="30806"/>
    <cellStyle name="Note 14 2 4 6 6" xfId="24366"/>
    <cellStyle name="Note 14 2 4 7" xfId="1890"/>
    <cellStyle name="Note 14 2 4 7 2" xfId="5112"/>
    <cellStyle name="Note 14 2 4 7 2 2" xfId="21212"/>
    <cellStyle name="Note 14 2 4 7 2 2 2" xfId="43799"/>
    <cellStyle name="Note 14 2 4 7 2 3" xfId="11552"/>
    <cellStyle name="Note 14 2 4 7 2 3 2" xfId="34139"/>
    <cellStyle name="Note 14 2 4 7 2 4" xfId="27699"/>
    <cellStyle name="Note 14 2 4 7 3" xfId="17992"/>
    <cellStyle name="Note 14 2 4 7 3 2" xfId="40579"/>
    <cellStyle name="Note 14 2 4 7 4" xfId="14772"/>
    <cellStyle name="Note 14 2 4 7 4 2" xfId="37359"/>
    <cellStyle name="Note 14 2 4 7 5" xfId="8332"/>
    <cellStyle name="Note 14 2 4 7 5 2" xfId="30919"/>
    <cellStyle name="Note 14 2 4 7 6" xfId="24479"/>
    <cellStyle name="Note 14 2 4 8" xfId="2937"/>
    <cellStyle name="Note 14 2 4 8 2" xfId="6158"/>
    <cellStyle name="Note 14 2 4 8 2 2" xfId="22258"/>
    <cellStyle name="Note 14 2 4 8 2 2 2" xfId="44845"/>
    <cellStyle name="Note 14 2 4 8 2 3" xfId="12598"/>
    <cellStyle name="Note 14 2 4 8 2 3 2" xfId="35185"/>
    <cellStyle name="Note 14 2 4 8 2 4" xfId="28745"/>
    <cellStyle name="Note 14 2 4 8 3" xfId="19038"/>
    <cellStyle name="Note 14 2 4 8 3 2" xfId="41625"/>
    <cellStyle name="Note 14 2 4 8 4" xfId="15818"/>
    <cellStyle name="Note 14 2 4 8 4 2" xfId="38405"/>
    <cellStyle name="Note 14 2 4 8 5" xfId="9378"/>
    <cellStyle name="Note 14 2 4 8 5 2" xfId="31965"/>
    <cellStyle name="Note 14 2 4 8 6" xfId="25525"/>
    <cellStyle name="Note 14 2 4 9" xfId="3228"/>
    <cellStyle name="Note 14 2 4 9 2" xfId="6448"/>
    <cellStyle name="Note 14 2 4 9 2 2" xfId="22548"/>
    <cellStyle name="Note 14 2 4 9 2 2 2" xfId="45135"/>
    <cellStyle name="Note 14 2 4 9 2 3" xfId="12888"/>
    <cellStyle name="Note 14 2 4 9 2 3 2" xfId="35475"/>
    <cellStyle name="Note 14 2 4 9 2 4" xfId="29035"/>
    <cellStyle name="Note 14 2 4 9 3" xfId="19328"/>
    <cellStyle name="Note 14 2 4 9 3 2" xfId="41915"/>
    <cellStyle name="Note 14 2 4 9 4" xfId="16108"/>
    <cellStyle name="Note 14 2 4 9 4 2" xfId="38695"/>
    <cellStyle name="Note 14 2 4 9 5" xfId="9668"/>
    <cellStyle name="Note 14 2 4 9 5 2" xfId="32255"/>
    <cellStyle name="Note 14 2 4 9 6" xfId="25815"/>
    <cellStyle name="Note 14 2 5" xfId="253"/>
    <cellStyle name="Note 14 2 5 10" xfId="16421"/>
    <cellStyle name="Note 14 2 5 10 2" xfId="39008"/>
    <cellStyle name="Note 14 2 5 11" xfId="13201"/>
    <cellStyle name="Note 14 2 5 11 2" xfId="35788"/>
    <cellStyle name="Note 14 2 5 12" xfId="6761"/>
    <cellStyle name="Note 14 2 5 12 2" xfId="29348"/>
    <cellStyle name="Note 14 2 5 13" xfId="22908"/>
    <cellStyle name="Note 14 2 5 2" xfId="969"/>
    <cellStyle name="Note 14 2 5 2 2" xfId="1777"/>
    <cellStyle name="Note 14 2 5 2 2 2" xfId="5000"/>
    <cellStyle name="Note 14 2 5 2 2 2 2" xfId="21100"/>
    <cellStyle name="Note 14 2 5 2 2 2 2 2" xfId="43687"/>
    <cellStyle name="Note 14 2 5 2 2 2 3" xfId="11440"/>
    <cellStyle name="Note 14 2 5 2 2 2 3 2" xfId="34027"/>
    <cellStyle name="Note 14 2 5 2 2 2 4" xfId="27587"/>
    <cellStyle name="Note 14 2 5 2 2 3" xfId="17880"/>
    <cellStyle name="Note 14 2 5 2 2 3 2" xfId="40467"/>
    <cellStyle name="Note 14 2 5 2 2 4" xfId="14660"/>
    <cellStyle name="Note 14 2 5 2 2 4 2" xfId="37247"/>
    <cellStyle name="Note 14 2 5 2 2 5" xfId="8220"/>
    <cellStyle name="Note 14 2 5 2 2 5 2" xfId="30807"/>
    <cellStyle name="Note 14 2 5 2 2 6" xfId="24367"/>
    <cellStyle name="Note 14 2 5 2 3" xfId="2287"/>
    <cellStyle name="Note 14 2 5 2 3 2" xfId="5508"/>
    <cellStyle name="Note 14 2 5 2 3 2 2" xfId="21608"/>
    <cellStyle name="Note 14 2 5 2 3 2 2 2" xfId="44195"/>
    <cellStyle name="Note 14 2 5 2 3 2 3" xfId="11948"/>
    <cellStyle name="Note 14 2 5 2 3 2 3 2" xfId="34535"/>
    <cellStyle name="Note 14 2 5 2 3 2 4" xfId="28095"/>
    <cellStyle name="Note 14 2 5 2 3 3" xfId="18388"/>
    <cellStyle name="Note 14 2 5 2 3 3 2" xfId="40975"/>
    <cellStyle name="Note 14 2 5 2 3 4" xfId="15168"/>
    <cellStyle name="Note 14 2 5 2 3 4 2" xfId="37755"/>
    <cellStyle name="Note 14 2 5 2 3 5" xfId="8728"/>
    <cellStyle name="Note 14 2 5 2 3 5 2" xfId="31315"/>
    <cellStyle name="Note 14 2 5 2 3 6" xfId="24875"/>
    <cellStyle name="Note 14 2 5 2 4" xfId="4200"/>
    <cellStyle name="Note 14 2 5 2 4 2" xfId="20300"/>
    <cellStyle name="Note 14 2 5 2 4 2 2" xfId="42887"/>
    <cellStyle name="Note 14 2 5 2 4 3" xfId="10640"/>
    <cellStyle name="Note 14 2 5 2 4 3 2" xfId="33227"/>
    <cellStyle name="Note 14 2 5 2 4 4" xfId="26787"/>
    <cellStyle name="Note 14 2 5 2 5" xfId="17080"/>
    <cellStyle name="Note 14 2 5 2 5 2" xfId="39667"/>
    <cellStyle name="Note 14 2 5 2 6" xfId="13860"/>
    <cellStyle name="Note 14 2 5 2 6 2" xfId="36447"/>
    <cellStyle name="Note 14 2 5 2 7" xfId="7420"/>
    <cellStyle name="Note 14 2 5 2 7 2" xfId="30007"/>
    <cellStyle name="Note 14 2 5 2 8" xfId="23567"/>
    <cellStyle name="Note 14 2 5 3" xfId="1320"/>
    <cellStyle name="Note 14 2 5 3 2" xfId="2634"/>
    <cellStyle name="Note 14 2 5 3 2 2" xfId="5855"/>
    <cellStyle name="Note 14 2 5 3 2 2 2" xfId="21955"/>
    <cellStyle name="Note 14 2 5 3 2 2 2 2" xfId="44542"/>
    <cellStyle name="Note 14 2 5 3 2 2 3" xfId="12295"/>
    <cellStyle name="Note 14 2 5 3 2 2 3 2" xfId="34882"/>
    <cellStyle name="Note 14 2 5 3 2 2 4" xfId="28442"/>
    <cellStyle name="Note 14 2 5 3 2 3" xfId="18735"/>
    <cellStyle name="Note 14 2 5 3 2 3 2" xfId="41322"/>
    <cellStyle name="Note 14 2 5 3 2 4" xfId="15515"/>
    <cellStyle name="Note 14 2 5 3 2 4 2" xfId="38102"/>
    <cellStyle name="Note 14 2 5 3 2 5" xfId="9075"/>
    <cellStyle name="Note 14 2 5 3 2 5 2" xfId="31662"/>
    <cellStyle name="Note 14 2 5 3 2 6" xfId="25222"/>
    <cellStyle name="Note 14 2 5 3 3" xfId="4547"/>
    <cellStyle name="Note 14 2 5 3 3 2" xfId="20647"/>
    <cellStyle name="Note 14 2 5 3 3 2 2" xfId="43234"/>
    <cellStyle name="Note 14 2 5 3 3 3" xfId="10987"/>
    <cellStyle name="Note 14 2 5 3 3 3 2" xfId="33574"/>
    <cellStyle name="Note 14 2 5 3 3 4" xfId="27134"/>
    <cellStyle name="Note 14 2 5 3 4" xfId="17427"/>
    <cellStyle name="Note 14 2 5 3 4 2" xfId="40014"/>
    <cellStyle name="Note 14 2 5 3 5" xfId="14207"/>
    <cellStyle name="Note 14 2 5 3 5 2" xfId="36794"/>
    <cellStyle name="Note 14 2 5 3 6" xfId="7767"/>
    <cellStyle name="Note 14 2 5 3 6 2" xfId="30354"/>
    <cellStyle name="Note 14 2 5 3 7" xfId="23914"/>
    <cellStyle name="Note 14 2 5 4" xfId="1778"/>
    <cellStyle name="Note 14 2 5 4 2" xfId="5001"/>
    <cellStyle name="Note 14 2 5 4 2 2" xfId="21101"/>
    <cellStyle name="Note 14 2 5 4 2 2 2" xfId="43688"/>
    <cellStyle name="Note 14 2 5 4 2 3" xfId="11441"/>
    <cellStyle name="Note 14 2 5 4 2 3 2" xfId="34028"/>
    <cellStyle name="Note 14 2 5 4 2 4" xfId="27588"/>
    <cellStyle name="Note 14 2 5 4 3" xfId="17881"/>
    <cellStyle name="Note 14 2 5 4 3 2" xfId="40468"/>
    <cellStyle name="Note 14 2 5 4 4" xfId="14661"/>
    <cellStyle name="Note 14 2 5 4 4 2" xfId="37248"/>
    <cellStyle name="Note 14 2 5 4 5" xfId="8221"/>
    <cellStyle name="Note 14 2 5 4 5 2" xfId="30808"/>
    <cellStyle name="Note 14 2 5 4 6" xfId="24368"/>
    <cellStyle name="Note 14 2 5 5" xfId="1939"/>
    <cellStyle name="Note 14 2 5 5 2" xfId="5161"/>
    <cellStyle name="Note 14 2 5 5 2 2" xfId="21261"/>
    <cellStyle name="Note 14 2 5 5 2 2 2" xfId="43848"/>
    <cellStyle name="Note 14 2 5 5 2 3" xfId="11601"/>
    <cellStyle name="Note 14 2 5 5 2 3 2" xfId="34188"/>
    <cellStyle name="Note 14 2 5 5 2 4" xfId="27748"/>
    <cellStyle name="Note 14 2 5 5 3" xfId="18041"/>
    <cellStyle name="Note 14 2 5 5 3 2" xfId="40628"/>
    <cellStyle name="Note 14 2 5 5 4" xfId="14821"/>
    <cellStyle name="Note 14 2 5 5 4 2" xfId="37408"/>
    <cellStyle name="Note 14 2 5 5 5" xfId="8381"/>
    <cellStyle name="Note 14 2 5 5 5 2" xfId="30968"/>
    <cellStyle name="Note 14 2 5 5 6" xfId="24528"/>
    <cellStyle name="Note 14 2 5 6" xfId="2960"/>
    <cellStyle name="Note 14 2 5 6 2" xfId="6181"/>
    <cellStyle name="Note 14 2 5 6 2 2" xfId="22281"/>
    <cellStyle name="Note 14 2 5 6 2 2 2" xfId="44868"/>
    <cellStyle name="Note 14 2 5 6 2 3" xfId="12621"/>
    <cellStyle name="Note 14 2 5 6 2 3 2" xfId="35208"/>
    <cellStyle name="Note 14 2 5 6 2 4" xfId="28768"/>
    <cellStyle name="Note 14 2 5 6 3" xfId="19061"/>
    <cellStyle name="Note 14 2 5 6 3 2" xfId="41648"/>
    <cellStyle name="Note 14 2 5 6 4" xfId="15841"/>
    <cellStyle name="Note 14 2 5 6 4 2" xfId="38428"/>
    <cellStyle name="Note 14 2 5 6 5" xfId="9401"/>
    <cellStyle name="Note 14 2 5 6 5 2" xfId="31988"/>
    <cellStyle name="Note 14 2 5 6 6" xfId="25548"/>
    <cellStyle name="Note 14 2 5 7" xfId="3251"/>
    <cellStyle name="Note 14 2 5 7 2" xfId="6471"/>
    <cellStyle name="Note 14 2 5 7 2 2" xfId="22571"/>
    <cellStyle name="Note 14 2 5 7 2 2 2" xfId="45158"/>
    <cellStyle name="Note 14 2 5 7 2 3" xfId="12911"/>
    <cellStyle name="Note 14 2 5 7 2 3 2" xfId="35498"/>
    <cellStyle name="Note 14 2 5 7 2 4" xfId="29058"/>
    <cellStyle name="Note 14 2 5 7 3" xfId="19351"/>
    <cellStyle name="Note 14 2 5 7 3 2" xfId="41938"/>
    <cellStyle name="Note 14 2 5 7 4" xfId="16131"/>
    <cellStyle name="Note 14 2 5 7 4 2" xfId="38718"/>
    <cellStyle name="Note 14 2 5 7 5" xfId="9691"/>
    <cellStyle name="Note 14 2 5 7 5 2" xfId="32278"/>
    <cellStyle name="Note 14 2 5 7 6" xfId="25838"/>
    <cellStyle name="Note 14 2 5 8" xfId="583"/>
    <cellStyle name="Note 14 2 5 8 2" xfId="3853"/>
    <cellStyle name="Note 14 2 5 8 2 2" xfId="19953"/>
    <cellStyle name="Note 14 2 5 8 2 2 2" xfId="42540"/>
    <cellStyle name="Note 14 2 5 8 2 3" xfId="10293"/>
    <cellStyle name="Note 14 2 5 8 2 3 2" xfId="32880"/>
    <cellStyle name="Note 14 2 5 8 2 4" xfId="26440"/>
    <cellStyle name="Note 14 2 5 8 3" xfId="16733"/>
    <cellStyle name="Note 14 2 5 8 3 2" xfId="39320"/>
    <cellStyle name="Note 14 2 5 8 4" xfId="13513"/>
    <cellStyle name="Note 14 2 5 8 4 2" xfId="36100"/>
    <cellStyle name="Note 14 2 5 8 5" xfId="7073"/>
    <cellStyle name="Note 14 2 5 8 5 2" xfId="29660"/>
    <cellStyle name="Note 14 2 5 8 6" xfId="23220"/>
    <cellStyle name="Note 14 2 5 9" xfId="3541"/>
    <cellStyle name="Note 14 2 5 9 2" xfId="19641"/>
    <cellStyle name="Note 14 2 5 9 2 2" xfId="42228"/>
    <cellStyle name="Note 14 2 5 9 3" xfId="9981"/>
    <cellStyle name="Note 14 2 5 9 3 2" xfId="32568"/>
    <cellStyle name="Note 14 2 5 9 4" xfId="26128"/>
    <cellStyle name="Note 14 2 6" xfId="347"/>
    <cellStyle name="Note 14 2 6 10" xfId="16514"/>
    <cellStyle name="Note 14 2 6 10 2" xfId="39101"/>
    <cellStyle name="Note 14 2 6 11" xfId="13294"/>
    <cellStyle name="Note 14 2 6 11 2" xfId="35881"/>
    <cellStyle name="Note 14 2 6 12" xfId="6854"/>
    <cellStyle name="Note 14 2 6 12 2" xfId="29441"/>
    <cellStyle name="Note 14 2 6 13" xfId="23001"/>
    <cellStyle name="Note 14 2 6 2" xfId="1085"/>
    <cellStyle name="Note 14 2 6 2 2" xfId="2399"/>
    <cellStyle name="Note 14 2 6 2 2 2" xfId="5620"/>
    <cellStyle name="Note 14 2 6 2 2 2 2" xfId="21720"/>
    <cellStyle name="Note 14 2 6 2 2 2 2 2" xfId="44307"/>
    <cellStyle name="Note 14 2 6 2 2 2 3" xfId="12060"/>
    <cellStyle name="Note 14 2 6 2 2 2 3 2" xfId="34647"/>
    <cellStyle name="Note 14 2 6 2 2 2 4" xfId="28207"/>
    <cellStyle name="Note 14 2 6 2 2 3" xfId="18500"/>
    <cellStyle name="Note 14 2 6 2 2 3 2" xfId="41087"/>
    <cellStyle name="Note 14 2 6 2 2 4" xfId="15280"/>
    <cellStyle name="Note 14 2 6 2 2 4 2" xfId="37867"/>
    <cellStyle name="Note 14 2 6 2 2 5" xfId="8840"/>
    <cellStyle name="Note 14 2 6 2 2 5 2" xfId="31427"/>
    <cellStyle name="Note 14 2 6 2 2 6" xfId="24987"/>
    <cellStyle name="Note 14 2 6 2 3" xfId="4312"/>
    <cellStyle name="Note 14 2 6 2 3 2" xfId="20412"/>
    <cellStyle name="Note 14 2 6 2 3 2 2" xfId="42999"/>
    <cellStyle name="Note 14 2 6 2 3 3" xfId="10752"/>
    <cellStyle name="Note 14 2 6 2 3 3 2" xfId="33339"/>
    <cellStyle name="Note 14 2 6 2 3 4" xfId="26899"/>
    <cellStyle name="Note 14 2 6 2 4" xfId="17192"/>
    <cellStyle name="Note 14 2 6 2 4 2" xfId="39779"/>
    <cellStyle name="Note 14 2 6 2 5" xfId="13972"/>
    <cellStyle name="Note 14 2 6 2 5 2" xfId="36559"/>
    <cellStyle name="Note 14 2 6 2 6" xfId="7532"/>
    <cellStyle name="Note 14 2 6 2 6 2" xfId="30119"/>
    <cellStyle name="Note 14 2 6 2 7" xfId="23679"/>
    <cellStyle name="Note 14 2 6 3" xfId="1432"/>
    <cellStyle name="Note 14 2 6 3 2" xfId="2746"/>
    <cellStyle name="Note 14 2 6 3 2 2" xfId="5967"/>
    <cellStyle name="Note 14 2 6 3 2 2 2" xfId="22067"/>
    <cellStyle name="Note 14 2 6 3 2 2 2 2" xfId="44654"/>
    <cellStyle name="Note 14 2 6 3 2 2 3" xfId="12407"/>
    <cellStyle name="Note 14 2 6 3 2 2 3 2" xfId="34994"/>
    <cellStyle name="Note 14 2 6 3 2 2 4" xfId="28554"/>
    <cellStyle name="Note 14 2 6 3 2 3" xfId="18847"/>
    <cellStyle name="Note 14 2 6 3 2 3 2" xfId="41434"/>
    <cellStyle name="Note 14 2 6 3 2 4" xfId="15627"/>
    <cellStyle name="Note 14 2 6 3 2 4 2" xfId="38214"/>
    <cellStyle name="Note 14 2 6 3 2 5" xfId="9187"/>
    <cellStyle name="Note 14 2 6 3 2 5 2" xfId="31774"/>
    <cellStyle name="Note 14 2 6 3 2 6" xfId="25334"/>
    <cellStyle name="Note 14 2 6 3 3" xfId="4659"/>
    <cellStyle name="Note 14 2 6 3 3 2" xfId="20759"/>
    <cellStyle name="Note 14 2 6 3 3 2 2" xfId="43346"/>
    <cellStyle name="Note 14 2 6 3 3 3" xfId="11099"/>
    <cellStyle name="Note 14 2 6 3 3 3 2" xfId="33686"/>
    <cellStyle name="Note 14 2 6 3 3 4" xfId="27246"/>
    <cellStyle name="Note 14 2 6 3 4" xfId="17539"/>
    <cellStyle name="Note 14 2 6 3 4 2" xfId="40126"/>
    <cellStyle name="Note 14 2 6 3 5" xfId="14319"/>
    <cellStyle name="Note 14 2 6 3 5 2" xfId="36906"/>
    <cellStyle name="Note 14 2 6 3 6" xfId="7879"/>
    <cellStyle name="Note 14 2 6 3 6 2" xfId="30466"/>
    <cellStyle name="Note 14 2 6 3 7" xfId="24026"/>
    <cellStyle name="Note 14 2 6 4" xfId="1779"/>
    <cellStyle name="Note 14 2 6 4 2" xfId="5002"/>
    <cellStyle name="Note 14 2 6 4 2 2" xfId="21102"/>
    <cellStyle name="Note 14 2 6 4 2 2 2" xfId="43689"/>
    <cellStyle name="Note 14 2 6 4 2 3" xfId="11442"/>
    <cellStyle name="Note 14 2 6 4 2 3 2" xfId="34029"/>
    <cellStyle name="Note 14 2 6 4 2 4" xfId="27589"/>
    <cellStyle name="Note 14 2 6 4 3" xfId="17882"/>
    <cellStyle name="Note 14 2 6 4 3 2" xfId="40469"/>
    <cellStyle name="Note 14 2 6 4 4" xfId="14662"/>
    <cellStyle name="Note 14 2 6 4 4 2" xfId="37249"/>
    <cellStyle name="Note 14 2 6 4 5" xfId="8222"/>
    <cellStyle name="Note 14 2 6 4 5 2" xfId="30809"/>
    <cellStyle name="Note 14 2 6 4 6" xfId="24369"/>
    <cellStyle name="Note 14 2 6 5" xfId="2052"/>
    <cellStyle name="Note 14 2 6 5 2" xfId="5273"/>
    <cellStyle name="Note 14 2 6 5 2 2" xfId="21373"/>
    <cellStyle name="Note 14 2 6 5 2 2 2" xfId="43960"/>
    <cellStyle name="Note 14 2 6 5 2 3" xfId="11713"/>
    <cellStyle name="Note 14 2 6 5 2 3 2" xfId="34300"/>
    <cellStyle name="Note 14 2 6 5 2 4" xfId="27860"/>
    <cellStyle name="Note 14 2 6 5 3" xfId="18153"/>
    <cellStyle name="Note 14 2 6 5 3 2" xfId="40740"/>
    <cellStyle name="Note 14 2 6 5 4" xfId="14933"/>
    <cellStyle name="Note 14 2 6 5 4 2" xfId="37520"/>
    <cellStyle name="Note 14 2 6 5 5" xfId="8493"/>
    <cellStyle name="Note 14 2 6 5 5 2" xfId="31080"/>
    <cellStyle name="Note 14 2 6 5 6" xfId="24640"/>
    <cellStyle name="Note 14 2 6 6" xfId="3054"/>
    <cellStyle name="Note 14 2 6 6 2" xfId="6274"/>
    <cellStyle name="Note 14 2 6 6 2 2" xfId="22374"/>
    <cellStyle name="Note 14 2 6 6 2 2 2" xfId="44961"/>
    <cellStyle name="Note 14 2 6 6 2 3" xfId="12714"/>
    <cellStyle name="Note 14 2 6 6 2 3 2" xfId="35301"/>
    <cellStyle name="Note 14 2 6 6 2 4" xfId="28861"/>
    <cellStyle name="Note 14 2 6 6 3" xfId="19154"/>
    <cellStyle name="Note 14 2 6 6 3 2" xfId="41741"/>
    <cellStyle name="Note 14 2 6 6 4" xfId="15934"/>
    <cellStyle name="Note 14 2 6 6 4 2" xfId="38521"/>
    <cellStyle name="Note 14 2 6 6 5" xfId="9494"/>
    <cellStyle name="Note 14 2 6 6 5 2" xfId="32081"/>
    <cellStyle name="Note 14 2 6 6 6" xfId="25641"/>
    <cellStyle name="Note 14 2 6 7" xfId="3344"/>
    <cellStyle name="Note 14 2 6 7 2" xfId="6564"/>
    <cellStyle name="Note 14 2 6 7 2 2" xfId="22664"/>
    <cellStyle name="Note 14 2 6 7 2 2 2" xfId="45251"/>
    <cellStyle name="Note 14 2 6 7 2 3" xfId="13004"/>
    <cellStyle name="Note 14 2 6 7 2 3 2" xfId="35591"/>
    <cellStyle name="Note 14 2 6 7 2 4" xfId="29151"/>
    <cellStyle name="Note 14 2 6 7 3" xfId="19444"/>
    <cellStyle name="Note 14 2 6 7 3 2" xfId="42031"/>
    <cellStyle name="Note 14 2 6 7 4" xfId="16224"/>
    <cellStyle name="Note 14 2 6 7 4 2" xfId="38811"/>
    <cellStyle name="Note 14 2 6 7 5" xfId="9784"/>
    <cellStyle name="Note 14 2 6 7 5 2" xfId="32371"/>
    <cellStyle name="Note 14 2 6 7 6" xfId="25931"/>
    <cellStyle name="Note 14 2 6 8" xfId="733"/>
    <cellStyle name="Note 14 2 6 8 2" xfId="3965"/>
    <cellStyle name="Note 14 2 6 8 2 2" xfId="20065"/>
    <cellStyle name="Note 14 2 6 8 2 2 2" xfId="42652"/>
    <cellStyle name="Note 14 2 6 8 2 3" xfId="10405"/>
    <cellStyle name="Note 14 2 6 8 2 3 2" xfId="32992"/>
    <cellStyle name="Note 14 2 6 8 2 4" xfId="26552"/>
    <cellStyle name="Note 14 2 6 8 3" xfId="16845"/>
    <cellStyle name="Note 14 2 6 8 3 2" xfId="39432"/>
    <cellStyle name="Note 14 2 6 8 4" xfId="13625"/>
    <cellStyle name="Note 14 2 6 8 4 2" xfId="36212"/>
    <cellStyle name="Note 14 2 6 8 5" xfId="7185"/>
    <cellStyle name="Note 14 2 6 8 5 2" xfId="29772"/>
    <cellStyle name="Note 14 2 6 8 6" xfId="23332"/>
    <cellStyle name="Note 14 2 6 9" xfId="3634"/>
    <cellStyle name="Note 14 2 6 9 2" xfId="19734"/>
    <cellStyle name="Note 14 2 6 9 2 2" xfId="42321"/>
    <cellStyle name="Note 14 2 6 9 3" xfId="10074"/>
    <cellStyle name="Note 14 2 6 9 3 2" xfId="32661"/>
    <cellStyle name="Note 14 2 6 9 4" xfId="26221"/>
    <cellStyle name="Note 14 2 7" xfId="752"/>
    <cellStyle name="Note 14 2 7 10" xfId="23351"/>
    <cellStyle name="Note 14 2 7 2" xfId="1104"/>
    <cellStyle name="Note 14 2 7 2 2" xfId="2418"/>
    <cellStyle name="Note 14 2 7 2 2 2" xfId="5639"/>
    <cellStyle name="Note 14 2 7 2 2 2 2" xfId="21739"/>
    <cellStyle name="Note 14 2 7 2 2 2 2 2" xfId="44326"/>
    <cellStyle name="Note 14 2 7 2 2 2 3" xfId="12079"/>
    <cellStyle name="Note 14 2 7 2 2 2 3 2" xfId="34666"/>
    <cellStyle name="Note 14 2 7 2 2 2 4" xfId="28226"/>
    <cellStyle name="Note 14 2 7 2 2 3" xfId="18519"/>
    <cellStyle name="Note 14 2 7 2 2 3 2" xfId="41106"/>
    <cellStyle name="Note 14 2 7 2 2 4" xfId="15299"/>
    <cellStyle name="Note 14 2 7 2 2 4 2" xfId="37886"/>
    <cellStyle name="Note 14 2 7 2 2 5" xfId="8859"/>
    <cellStyle name="Note 14 2 7 2 2 5 2" xfId="31446"/>
    <cellStyle name="Note 14 2 7 2 2 6" xfId="25006"/>
    <cellStyle name="Note 14 2 7 2 3" xfId="4331"/>
    <cellStyle name="Note 14 2 7 2 3 2" xfId="20431"/>
    <cellStyle name="Note 14 2 7 2 3 2 2" xfId="43018"/>
    <cellStyle name="Note 14 2 7 2 3 3" xfId="10771"/>
    <cellStyle name="Note 14 2 7 2 3 3 2" xfId="33358"/>
    <cellStyle name="Note 14 2 7 2 3 4" xfId="26918"/>
    <cellStyle name="Note 14 2 7 2 4" xfId="17211"/>
    <cellStyle name="Note 14 2 7 2 4 2" xfId="39798"/>
    <cellStyle name="Note 14 2 7 2 5" xfId="13991"/>
    <cellStyle name="Note 14 2 7 2 5 2" xfId="36578"/>
    <cellStyle name="Note 14 2 7 2 6" xfId="7551"/>
    <cellStyle name="Note 14 2 7 2 6 2" xfId="30138"/>
    <cellStyle name="Note 14 2 7 2 7" xfId="23698"/>
    <cellStyle name="Note 14 2 7 3" xfId="1451"/>
    <cellStyle name="Note 14 2 7 3 2" xfId="2765"/>
    <cellStyle name="Note 14 2 7 3 2 2" xfId="5986"/>
    <cellStyle name="Note 14 2 7 3 2 2 2" xfId="22086"/>
    <cellStyle name="Note 14 2 7 3 2 2 2 2" xfId="44673"/>
    <cellStyle name="Note 14 2 7 3 2 2 3" xfId="12426"/>
    <cellStyle name="Note 14 2 7 3 2 2 3 2" xfId="35013"/>
    <cellStyle name="Note 14 2 7 3 2 2 4" xfId="28573"/>
    <cellStyle name="Note 14 2 7 3 2 3" xfId="18866"/>
    <cellStyle name="Note 14 2 7 3 2 3 2" xfId="41453"/>
    <cellStyle name="Note 14 2 7 3 2 4" xfId="15646"/>
    <cellStyle name="Note 14 2 7 3 2 4 2" xfId="38233"/>
    <cellStyle name="Note 14 2 7 3 2 5" xfId="9206"/>
    <cellStyle name="Note 14 2 7 3 2 5 2" xfId="31793"/>
    <cellStyle name="Note 14 2 7 3 2 6" xfId="25353"/>
    <cellStyle name="Note 14 2 7 3 3" xfId="4678"/>
    <cellStyle name="Note 14 2 7 3 3 2" xfId="20778"/>
    <cellStyle name="Note 14 2 7 3 3 2 2" xfId="43365"/>
    <cellStyle name="Note 14 2 7 3 3 3" xfId="11118"/>
    <cellStyle name="Note 14 2 7 3 3 3 2" xfId="33705"/>
    <cellStyle name="Note 14 2 7 3 3 4" xfId="27265"/>
    <cellStyle name="Note 14 2 7 3 4" xfId="17558"/>
    <cellStyle name="Note 14 2 7 3 4 2" xfId="40145"/>
    <cellStyle name="Note 14 2 7 3 5" xfId="14338"/>
    <cellStyle name="Note 14 2 7 3 5 2" xfId="36925"/>
    <cellStyle name="Note 14 2 7 3 6" xfId="7898"/>
    <cellStyle name="Note 14 2 7 3 6 2" xfId="30485"/>
    <cellStyle name="Note 14 2 7 3 7" xfId="24045"/>
    <cellStyle name="Note 14 2 7 4" xfId="1780"/>
    <cellStyle name="Note 14 2 7 4 2" xfId="5003"/>
    <cellStyle name="Note 14 2 7 4 2 2" xfId="21103"/>
    <cellStyle name="Note 14 2 7 4 2 2 2" xfId="43690"/>
    <cellStyle name="Note 14 2 7 4 2 3" xfId="11443"/>
    <cellStyle name="Note 14 2 7 4 2 3 2" xfId="34030"/>
    <cellStyle name="Note 14 2 7 4 2 4" xfId="27590"/>
    <cellStyle name="Note 14 2 7 4 3" xfId="17883"/>
    <cellStyle name="Note 14 2 7 4 3 2" xfId="40470"/>
    <cellStyle name="Note 14 2 7 4 4" xfId="14663"/>
    <cellStyle name="Note 14 2 7 4 4 2" xfId="37250"/>
    <cellStyle name="Note 14 2 7 4 5" xfId="8223"/>
    <cellStyle name="Note 14 2 7 4 5 2" xfId="30810"/>
    <cellStyle name="Note 14 2 7 4 6" xfId="24370"/>
    <cellStyle name="Note 14 2 7 5" xfId="2071"/>
    <cellStyle name="Note 14 2 7 5 2" xfId="5292"/>
    <cellStyle name="Note 14 2 7 5 2 2" xfId="21392"/>
    <cellStyle name="Note 14 2 7 5 2 2 2" xfId="43979"/>
    <cellStyle name="Note 14 2 7 5 2 3" xfId="11732"/>
    <cellStyle name="Note 14 2 7 5 2 3 2" xfId="34319"/>
    <cellStyle name="Note 14 2 7 5 2 4" xfId="27879"/>
    <cellStyle name="Note 14 2 7 5 3" xfId="18172"/>
    <cellStyle name="Note 14 2 7 5 3 2" xfId="40759"/>
    <cellStyle name="Note 14 2 7 5 4" xfId="14952"/>
    <cellStyle name="Note 14 2 7 5 4 2" xfId="37539"/>
    <cellStyle name="Note 14 2 7 5 5" xfId="8512"/>
    <cellStyle name="Note 14 2 7 5 5 2" xfId="31099"/>
    <cellStyle name="Note 14 2 7 5 6" xfId="24659"/>
    <cellStyle name="Note 14 2 7 6" xfId="3984"/>
    <cellStyle name="Note 14 2 7 6 2" xfId="20084"/>
    <cellStyle name="Note 14 2 7 6 2 2" xfId="42671"/>
    <cellStyle name="Note 14 2 7 6 3" xfId="10424"/>
    <cellStyle name="Note 14 2 7 6 3 2" xfId="33011"/>
    <cellStyle name="Note 14 2 7 6 4" xfId="26571"/>
    <cellStyle name="Note 14 2 7 7" xfId="16864"/>
    <cellStyle name="Note 14 2 7 7 2" xfId="39451"/>
    <cellStyle name="Note 14 2 7 8" xfId="13644"/>
    <cellStyle name="Note 14 2 7 8 2" xfId="36231"/>
    <cellStyle name="Note 14 2 7 9" xfId="7204"/>
    <cellStyle name="Note 14 2 7 9 2" xfId="29791"/>
    <cellStyle name="Note 14 2 8" xfId="846"/>
    <cellStyle name="Note 14 2 8 2" xfId="2165"/>
    <cellStyle name="Note 14 2 8 2 2" xfId="5386"/>
    <cellStyle name="Note 14 2 8 2 2 2" xfId="21486"/>
    <cellStyle name="Note 14 2 8 2 2 2 2" xfId="44073"/>
    <cellStyle name="Note 14 2 8 2 2 3" xfId="11826"/>
    <cellStyle name="Note 14 2 8 2 2 3 2" xfId="34413"/>
    <cellStyle name="Note 14 2 8 2 2 4" xfId="27973"/>
    <cellStyle name="Note 14 2 8 2 3" xfId="18266"/>
    <cellStyle name="Note 14 2 8 2 3 2" xfId="40853"/>
    <cellStyle name="Note 14 2 8 2 4" xfId="15046"/>
    <cellStyle name="Note 14 2 8 2 4 2" xfId="37633"/>
    <cellStyle name="Note 14 2 8 2 5" xfId="8606"/>
    <cellStyle name="Note 14 2 8 2 5 2" xfId="31193"/>
    <cellStyle name="Note 14 2 8 2 6" xfId="24753"/>
    <cellStyle name="Note 14 2 8 3" xfId="4078"/>
    <cellStyle name="Note 14 2 8 3 2" xfId="20178"/>
    <cellStyle name="Note 14 2 8 3 2 2" xfId="42765"/>
    <cellStyle name="Note 14 2 8 3 3" xfId="10518"/>
    <cellStyle name="Note 14 2 8 3 3 2" xfId="33105"/>
    <cellStyle name="Note 14 2 8 3 4" xfId="26665"/>
    <cellStyle name="Note 14 2 8 4" xfId="16958"/>
    <cellStyle name="Note 14 2 8 4 2" xfId="39545"/>
    <cellStyle name="Note 14 2 8 5" xfId="13738"/>
    <cellStyle name="Note 14 2 8 5 2" xfId="36325"/>
    <cellStyle name="Note 14 2 8 6" xfId="7298"/>
    <cellStyle name="Note 14 2 8 6 2" xfId="29885"/>
    <cellStyle name="Note 14 2 8 7" xfId="23445"/>
    <cellStyle name="Note 14 2 9" xfId="1198"/>
    <cellStyle name="Note 14 2 9 2" xfId="2512"/>
    <cellStyle name="Note 14 2 9 2 2" xfId="5733"/>
    <cellStyle name="Note 14 2 9 2 2 2" xfId="21833"/>
    <cellStyle name="Note 14 2 9 2 2 2 2" xfId="44420"/>
    <cellStyle name="Note 14 2 9 2 2 3" xfId="12173"/>
    <cellStyle name="Note 14 2 9 2 2 3 2" xfId="34760"/>
    <cellStyle name="Note 14 2 9 2 2 4" xfId="28320"/>
    <cellStyle name="Note 14 2 9 2 3" xfId="18613"/>
    <cellStyle name="Note 14 2 9 2 3 2" xfId="41200"/>
    <cellStyle name="Note 14 2 9 2 4" xfId="15393"/>
    <cellStyle name="Note 14 2 9 2 4 2" xfId="37980"/>
    <cellStyle name="Note 14 2 9 2 5" xfId="8953"/>
    <cellStyle name="Note 14 2 9 2 5 2" xfId="31540"/>
    <cellStyle name="Note 14 2 9 2 6" xfId="25100"/>
    <cellStyle name="Note 14 2 9 3" xfId="4425"/>
    <cellStyle name="Note 14 2 9 3 2" xfId="20525"/>
    <cellStyle name="Note 14 2 9 3 2 2" xfId="43112"/>
    <cellStyle name="Note 14 2 9 3 3" xfId="10865"/>
    <cellStyle name="Note 14 2 9 3 3 2" xfId="33452"/>
    <cellStyle name="Note 14 2 9 3 4" xfId="27012"/>
    <cellStyle name="Note 14 2 9 4" xfId="17305"/>
    <cellStyle name="Note 14 2 9 4 2" xfId="39892"/>
    <cellStyle name="Note 14 2 9 5" xfId="14085"/>
    <cellStyle name="Note 14 2 9 5 2" xfId="36672"/>
    <cellStyle name="Note 14 2 9 6" xfId="7645"/>
    <cellStyle name="Note 14 2 9 6 2" xfId="30232"/>
    <cellStyle name="Note 14 2 9 7" xfId="23792"/>
    <cellStyle name="Note 14 20" xfId="6656"/>
    <cellStyle name="Note 14 20 2" xfId="29243"/>
    <cellStyle name="Note 14 21" xfId="22803"/>
    <cellStyle name="Note 14 3" xfId="107"/>
    <cellStyle name="Note 14 3 10" xfId="1781"/>
    <cellStyle name="Note 14 3 10 2" xfId="5004"/>
    <cellStyle name="Note 14 3 10 2 2" xfId="21104"/>
    <cellStyle name="Note 14 3 10 2 2 2" xfId="43691"/>
    <cellStyle name="Note 14 3 10 2 3" xfId="11444"/>
    <cellStyle name="Note 14 3 10 2 3 2" xfId="34031"/>
    <cellStyle name="Note 14 3 10 2 4" xfId="27591"/>
    <cellStyle name="Note 14 3 10 3" xfId="17884"/>
    <cellStyle name="Note 14 3 10 3 2" xfId="40471"/>
    <cellStyle name="Note 14 3 10 4" xfId="14664"/>
    <cellStyle name="Note 14 3 10 4 2" xfId="37251"/>
    <cellStyle name="Note 14 3 10 5" xfId="8224"/>
    <cellStyle name="Note 14 3 10 5 2" xfId="30811"/>
    <cellStyle name="Note 14 3 10 6" xfId="24371"/>
    <cellStyle name="Note 14 3 11" xfId="1822"/>
    <cellStyle name="Note 14 3 11 2" xfId="5044"/>
    <cellStyle name="Note 14 3 11 2 2" xfId="21144"/>
    <cellStyle name="Note 14 3 11 2 2 2" xfId="43731"/>
    <cellStyle name="Note 14 3 11 2 3" xfId="11484"/>
    <cellStyle name="Note 14 3 11 2 3 2" xfId="34071"/>
    <cellStyle name="Note 14 3 11 2 4" xfId="27631"/>
    <cellStyle name="Note 14 3 11 3" xfId="17924"/>
    <cellStyle name="Note 14 3 11 3 2" xfId="40511"/>
    <cellStyle name="Note 14 3 11 4" xfId="14704"/>
    <cellStyle name="Note 14 3 11 4 2" xfId="37291"/>
    <cellStyle name="Note 14 3 11 5" xfId="8264"/>
    <cellStyle name="Note 14 3 11 5 2" xfId="30851"/>
    <cellStyle name="Note 14 3 11 6" xfId="24411"/>
    <cellStyle name="Note 14 3 12" xfId="2865"/>
    <cellStyle name="Note 14 3 12 2" xfId="6086"/>
    <cellStyle name="Note 14 3 12 2 2" xfId="22186"/>
    <cellStyle name="Note 14 3 12 2 2 2" xfId="44773"/>
    <cellStyle name="Note 14 3 12 2 3" xfId="12526"/>
    <cellStyle name="Note 14 3 12 2 3 2" xfId="35113"/>
    <cellStyle name="Note 14 3 12 2 4" xfId="28673"/>
    <cellStyle name="Note 14 3 12 3" xfId="18966"/>
    <cellStyle name="Note 14 3 12 3 2" xfId="41553"/>
    <cellStyle name="Note 14 3 12 4" xfId="15746"/>
    <cellStyle name="Note 14 3 12 4 2" xfId="38333"/>
    <cellStyle name="Note 14 3 12 5" xfId="9306"/>
    <cellStyle name="Note 14 3 12 5 2" xfId="31893"/>
    <cellStyle name="Note 14 3 12 6" xfId="25453"/>
    <cellStyle name="Note 14 3 13" xfId="3156"/>
    <cellStyle name="Note 14 3 13 2" xfId="6376"/>
    <cellStyle name="Note 14 3 13 2 2" xfId="22476"/>
    <cellStyle name="Note 14 3 13 2 2 2" xfId="45063"/>
    <cellStyle name="Note 14 3 13 2 3" xfId="12816"/>
    <cellStyle name="Note 14 3 13 2 3 2" xfId="35403"/>
    <cellStyle name="Note 14 3 13 2 4" xfId="28963"/>
    <cellStyle name="Note 14 3 13 3" xfId="19256"/>
    <cellStyle name="Note 14 3 13 3 2" xfId="41843"/>
    <cellStyle name="Note 14 3 13 4" xfId="16036"/>
    <cellStyle name="Note 14 3 13 4 2" xfId="38623"/>
    <cellStyle name="Note 14 3 13 5" xfId="9596"/>
    <cellStyle name="Note 14 3 13 5 2" xfId="32183"/>
    <cellStyle name="Note 14 3 13 6" xfId="25743"/>
    <cellStyle name="Note 14 3 14" xfId="449"/>
    <cellStyle name="Note 14 3 14 2" xfId="3736"/>
    <cellStyle name="Note 14 3 14 2 2" xfId="19836"/>
    <cellStyle name="Note 14 3 14 2 2 2" xfId="42423"/>
    <cellStyle name="Note 14 3 14 2 3" xfId="10176"/>
    <cellStyle name="Note 14 3 14 2 3 2" xfId="32763"/>
    <cellStyle name="Note 14 3 14 2 4" xfId="26323"/>
    <cellStyle name="Note 14 3 14 3" xfId="16616"/>
    <cellStyle name="Note 14 3 14 3 2" xfId="39203"/>
    <cellStyle name="Note 14 3 14 4" xfId="13396"/>
    <cellStyle name="Note 14 3 14 4 2" xfId="35983"/>
    <cellStyle name="Note 14 3 14 5" xfId="6956"/>
    <cellStyle name="Note 14 3 14 5 2" xfId="29543"/>
    <cellStyle name="Note 14 3 14 6" xfId="23103"/>
    <cellStyle name="Note 14 3 15" xfId="3446"/>
    <cellStyle name="Note 14 3 15 2" xfId="19546"/>
    <cellStyle name="Note 14 3 15 2 2" xfId="42133"/>
    <cellStyle name="Note 14 3 15 3" xfId="9886"/>
    <cellStyle name="Note 14 3 15 3 2" xfId="32473"/>
    <cellStyle name="Note 14 3 15 4" xfId="26033"/>
    <cellStyle name="Note 14 3 16" xfId="16326"/>
    <cellStyle name="Note 14 3 16 2" xfId="38913"/>
    <cellStyle name="Note 14 3 17" xfId="13106"/>
    <cellStyle name="Note 14 3 17 2" xfId="35693"/>
    <cellStyle name="Note 14 3 18" xfId="6666"/>
    <cellStyle name="Note 14 3 18 2" xfId="29253"/>
    <cellStyle name="Note 14 3 19" xfId="22813"/>
    <cellStyle name="Note 14 3 2" xfId="125"/>
    <cellStyle name="Note 14 3 2 10" xfId="2881"/>
    <cellStyle name="Note 14 3 2 10 2" xfId="6102"/>
    <cellStyle name="Note 14 3 2 10 2 2" xfId="22202"/>
    <cellStyle name="Note 14 3 2 10 2 2 2" xfId="44789"/>
    <cellStyle name="Note 14 3 2 10 2 3" xfId="12542"/>
    <cellStyle name="Note 14 3 2 10 2 3 2" xfId="35129"/>
    <cellStyle name="Note 14 3 2 10 2 4" xfId="28689"/>
    <cellStyle name="Note 14 3 2 10 3" xfId="18982"/>
    <cellStyle name="Note 14 3 2 10 3 2" xfId="41569"/>
    <cellStyle name="Note 14 3 2 10 4" xfId="15762"/>
    <cellStyle name="Note 14 3 2 10 4 2" xfId="38349"/>
    <cellStyle name="Note 14 3 2 10 5" xfId="9322"/>
    <cellStyle name="Note 14 3 2 10 5 2" xfId="31909"/>
    <cellStyle name="Note 14 3 2 10 6" xfId="25469"/>
    <cellStyle name="Note 14 3 2 11" xfId="3172"/>
    <cellStyle name="Note 14 3 2 11 2" xfId="6392"/>
    <cellStyle name="Note 14 3 2 11 2 2" xfId="22492"/>
    <cellStyle name="Note 14 3 2 11 2 2 2" xfId="45079"/>
    <cellStyle name="Note 14 3 2 11 2 3" xfId="12832"/>
    <cellStyle name="Note 14 3 2 11 2 3 2" xfId="35419"/>
    <cellStyle name="Note 14 3 2 11 2 4" xfId="28979"/>
    <cellStyle name="Note 14 3 2 11 3" xfId="19272"/>
    <cellStyle name="Note 14 3 2 11 3 2" xfId="41859"/>
    <cellStyle name="Note 14 3 2 11 4" xfId="16052"/>
    <cellStyle name="Note 14 3 2 11 4 2" xfId="38639"/>
    <cellStyle name="Note 14 3 2 11 5" xfId="9612"/>
    <cellStyle name="Note 14 3 2 11 5 2" xfId="32199"/>
    <cellStyle name="Note 14 3 2 11 6" xfId="25759"/>
    <cellStyle name="Note 14 3 2 12" xfId="465"/>
    <cellStyle name="Note 14 3 2 12 2" xfId="3752"/>
    <cellStyle name="Note 14 3 2 12 2 2" xfId="19852"/>
    <cellStyle name="Note 14 3 2 12 2 2 2" xfId="42439"/>
    <cellStyle name="Note 14 3 2 12 2 3" xfId="10192"/>
    <cellStyle name="Note 14 3 2 12 2 3 2" xfId="32779"/>
    <cellStyle name="Note 14 3 2 12 2 4" xfId="26339"/>
    <cellStyle name="Note 14 3 2 12 3" xfId="16632"/>
    <cellStyle name="Note 14 3 2 12 3 2" xfId="39219"/>
    <cellStyle name="Note 14 3 2 12 4" xfId="13412"/>
    <cellStyle name="Note 14 3 2 12 4 2" xfId="35999"/>
    <cellStyle name="Note 14 3 2 12 5" xfId="6972"/>
    <cellStyle name="Note 14 3 2 12 5 2" xfId="29559"/>
    <cellStyle name="Note 14 3 2 12 6" xfId="23119"/>
    <cellStyle name="Note 14 3 2 13" xfId="3462"/>
    <cellStyle name="Note 14 3 2 13 2" xfId="19562"/>
    <cellStyle name="Note 14 3 2 13 2 2" xfId="42149"/>
    <cellStyle name="Note 14 3 2 13 3" xfId="9902"/>
    <cellStyle name="Note 14 3 2 13 3 2" xfId="32489"/>
    <cellStyle name="Note 14 3 2 13 4" xfId="26049"/>
    <cellStyle name="Note 14 3 2 14" xfId="16342"/>
    <cellStyle name="Note 14 3 2 14 2" xfId="38929"/>
    <cellStyle name="Note 14 3 2 15" xfId="13122"/>
    <cellStyle name="Note 14 3 2 15 2" xfId="35709"/>
    <cellStyle name="Note 14 3 2 16" xfId="6682"/>
    <cellStyle name="Note 14 3 2 16 2" xfId="29269"/>
    <cellStyle name="Note 14 3 2 17" xfId="22829"/>
    <cellStyle name="Note 14 3 2 2" xfId="210"/>
    <cellStyle name="Note 14 3 2 2 10" xfId="502"/>
    <cellStyle name="Note 14 3 2 2 10 2" xfId="3789"/>
    <cellStyle name="Note 14 3 2 2 10 2 2" xfId="19889"/>
    <cellStyle name="Note 14 3 2 2 10 2 2 2" xfId="42476"/>
    <cellStyle name="Note 14 3 2 2 10 2 3" xfId="10229"/>
    <cellStyle name="Note 14 3 2 2 10 2 3 2" xfId="32816"/>
    <cellStyle name="Note 14 3 2 2 10 2 4" xfId="26376"/>
    <cellStyle name="Note 14 3 2 2 10 3" xfId="16669"/>
    <cellStyle name="Note 14 3 2 2 10 3 2" xfId="39256"/>
    <cellStyle name="Note 14 3 2 2 10 4" xfId="13449"/>
    <cellStyle name="Note 14 3 2 2 10 4 2" xfId="36036"/>
    <cellStyle name="Note 14 3 2 2 10 5" xfId="7009"/>
    <cellStyle name="Note 14 3 2 2 10 5 2" xfId="29596"/>
    <cellStyle name="Note 14 3 2 2 10 6" xfId="23156"/>
    <cellStyle name="Note 14 3 2 2 11" xfId="3499"/>
    <cellStyle name="Note 14 3 2 2 11 2" xfId="19599"/>
    <cellStyle name="Note 14 3 2 2 11 2 2" xfId="42186"/>
    <cellStyle name="Note 14 3 2 2 11 3" xfId="9939"/>
    <cellStyle name="Note 14 3 2 2 11 3 2" xfId="32526"/>
    <cellStyle name="Note 14 3 2 2 11 4" xfId="26086"/>
    <cellStyle name="Note 14 3 2 2 12" xfId="16379"/>
    <cellStyle name="Note 14 3 2 2 12 2" xfId="38966"/>
    <cellStyle name="Note 14 3 2 2 13" xfId="13159"/>
    <cellStyle name="Note 14 3 2 2 13 2" xfId="35746"/>
    <cellStyle name="Note 14 3 2 2 14" xfId="6719"/>
    <cellStyle name="Note 14 3 2 2 14 2" xfId="29306"/>
    <cellStyle name="Note 14 3 2 2 15" xfId="22866"/>
    <cellStyle name="Note 14 3 2 2 2" xfId="309"/>
    <cellStyle name="Note 14 3 2 2 2 10" xfId="16476"/>
    <cellStyle name="Note 14 3 2 2 2 10 2" xfId="39063"/>
    <cellStyle name="Note 14 3 2 2 2 11" xfId="13256"/>
    <cellStyle name="Note 14 3 2 2 2 11 2" xfId="35843"/>
    <cellStyle name="Note 14 3 2 2 2 12" xfId="6816"/>
    <cellStyle name="Note 14 3 2 2 2 12 2" xfId="29403"/>
    <cellStyle name="Note 14 3 2 2 2 13" xfId="22963"/>
    <cellStyle name="Note 14 3 2 2 2 2" xfId="1028"/>
    <cellStyle name="Note 14 3 2 2 2 2 2" xfId="2342"/>
    <cellStyle name="Note 14 3 2 2 2 2 2 2" xfId="5563"/>
    <cellStyle name="Note 14 3 2 2 2 2 2 2 2" xfId="21663"/>
    <cellStyle name="Note 14 3 2 2 2 2 2 2 2 2" xfId="44250"/>
    <cellStyle name="Note 14 3 2 2 2 2 2 2 3" xfId="12003"/>
    <cellStyle name="Note 14 3 2 2 2 2 2 2 3 2" xfId="34590"/>
    <cellStyle name="Note 14 3 2 2 2 2 2 2 4" xfId="28150"/>
    <cellStyle name="Note 14 3 2 2 2 2 2 3" xfId="18443"/>
    <cellStyle name="Note 14 3 2 2 2 2 2 3 2" xfId="41030"/>
    <cellStyle name="Note 14 3 2 2 2 2 2 4" xfId="15223"/>
    <cellStyle name="Note 14 3 2 2 2 2 2 4 2" xfId="37810"/>
    <cellStyle name="Note 14 3 2 2 2 2 2 5" xfId="8783"/>
    <cellStyle name="Note 14 3 2 2 2 2 2 5 2" xfId="31370"/>
    <cellStyle name="Note 14 3 2 2 2 2 2 6" xfId="24930"/>
    <cellStyle name="Note 14 3 2 2 2 2 3" xfId="4255"/>
    <cellStyle name="Note 14 3 2 2 2 2 3 2" xfId="20355"/>
    <cellStyle name="Note 14 3 2 2 2 2 3 2 2" xfId="42942"/>
    <cellStyle name="Note 14 3 2 2 2 2 3 3" xfId="10695"/>
    <cellStyle name="Note 14 3 2 2 2 2 3 3 2" xfId="33282"/>
    <cellStyle name="Note 14 3 2 2 2 2 3 4" xfId="26842"/>
    <cellStyle name="Note 14 3 2 2 2 2 4" xfId="17135"/>
    <cellStyle name="Note 14 3 2 2 2 2 4 2" xfId="39722"/>
    <cellStyle name="Note 14 3 2 2 2 2 5" xfId="13915"/>
    <cellStyle name="Note 14 3 2 2 2 2 5 2" xfId="36502"/>
    <cellStyle name="Note 14 3 2 2 2 2 6" xfId="7475"/>
    <cellStyle name="Note 14 3 2 2 2 2 6 2" xfId="30062"/>
    <cellStyle name="Note 14 3 2 2 2 2 7" xfId="23622"/>
    <cellStyle name="Note 14 3 2 2 2 3" xfId="1375"/>
    <cellStyle name="Note 14 3 2 2 2 3 2" xfId="2689"/>
    <cellStyle name="Note 14 3 2 2 2 3 2 2" xfId="5910"/>
    <cellStyle name="Note 14 3 2 2 2 3 2 2 2" xfId="22010"/>
    <cellStyle name="Note 14 3 2 2 2 3 2 2 2 2" xfId="44597"/>
    <cellStyle name="Note 14 3 2 2 2 3 2 2 3" xfId="12350"/>
    <cellStyle name="Note 14 3 2 2 2 3 2 2 3 2" xfId="34937"/>
    <cellStyle name="Note 14 3 2 2 2 3 2 2 4" xfId="28497"/>
    <cellStyle name="Note 14 3 2 2 2 3 2 3" xfId="18790"/>
    <cellStyle name="Note 14 3 2 2 2 3 2 3 2" xfId="41377"/>
    <cellStyle name="Note 14 3 2 2 2 3 2 4" xfId="15570"/>
    <cellStyle name="Note 14 3 2 2 2 3 2 4 2" xfId="38157"/>
    <cellStyle name="Note 14 3 2 2 2 3 2 5" xfId="9130"/>
    <cellStyle name="Note 14 3 2 2 2 3 2 5 2" xfId="31717"/>
    <cellStyle name="Note 14 3 2 2 2 3 2 6" xfId="25277"/>
    <cellStyle name="Note 14 3 2 2 2 3 3" xfId="4602"/>
    <cellStyle name="Note 14 3 2 2 2 3 3 2" xfId="20702"/>
    <cellStyle name="Note 14 3 2 2 2 3 3 2 2" xfId="43289"/>
    <cellStyle name="Note 14 3 2 2 2 3 3 3" xfId="11042"/>
    <cellStyle name="Note 14 3 2 2 2 3 3 3 2" xfId="33629"/>
    <cellStyle name="Note 14 3 2 2 2 3 3 4" xfId="27189"/>
    <cellStyle name="Note 14 3 2 2 2 3 4" xfId="17482"/>
    <cellStyle name="Note 14 3 2 2 2 3 4 2" xfId="40069"/>
    <cellStyle name="Note 14 3 2 2 2 3 5" xfId="14262"/>
    <cellStyle name="Note 14 3 2 2 2 3 5 2" xfId="36849"/>
    <cellStyle name="Note 14 3 2 2 2 3 6" xfId="7822"/>
    <cellStyle name="Note 14 3 2 2 2 3 6 2" xfId="30409"/>
    <cellStyle name="Note 14 3 2 2 2 3 7" xfId="23969"/>
    <cellStyle name="Note 14 3 2 2 2 4" xfId="1782"/>
    <cellStyle name="Note 14 3 2 2 2 4 2" xfId="5005"/>
    <cellStyle name="Note 14 3 2 2 2 4 2 2" xfId="21105"/>
    <cellStyle name="Note 14 3 2 2 2 4 2 2 2" xfId="43692"/>
    <cellStyle name="Note 14 3 2 2 2 4 2 3" xfId="11445"/>
    <cellStyle name="Note 14 3 2 2 2 4 2 3 2" xfId="34032"/>
    <cellStyle name="Note 14 3 2 2 2 4 2 4" xfId="27592"/>
    <cellStyle name="Note 14 3 2 2 2 4 3" xfId="17885"/>
    <cellStyle name="Note 14 3 2 2 2 4 3 2" xfId="40472"/>
    <cellStyle name="Note 14 3 2 2 2 4 4" xfId="14665"/>
    <cellStyle name="Note 14 3 2 2 2 4 4 2" xfId="37252"/>
    <cellStyle name="Note 14 3 2 2 2 4 5" xfId="8225"/>
    <cellStyle name="Note 14 3 2 2 2 4 5 2" xfId="30812"/>
    <cellStyle name="Note 14 3 2 2 2 4 6" xfId="24372"/>
    <cellStyle name="Note 14 3 2 2 2 5" xfId="1994"/>
    <cellStyle name="Note 14 3 2 2 2 5 2" xfId="5216"/>
    <cellStyle name="Note 14 3 2 2 2 5 2 2" xfId="21316"/>
    <cellStyle name="Note 14 3 2 2 2 5 2 2 2" xfId="43903"/>
    <cellStyle name="Note 14 3 2 2 2 5 2 3" xfId="11656"/>
    <cellStyle name="Note 14 3 2 2 2 5 2 3 2" xfId="34243"/>
    <cellStyle name="Note 14 3 2 2 2 5 2 4" xfId="27803"/>
    <cellStyle name="Note 14 3 2 2 2 5 3" xfId="18096"/>
    <cellStyle name="Note 14 3 2 2 2 5 3 2" xfId="40683"/>
    <cellStyle name="Note 14 3 2 2 2 5 4" xfId="14876"/>
    <cellStyle name="Note 14 3 2 2 2 5 4 2" xfId="37463"/>
    <cellStyle name="Note 14 3 2 2 2 5 5" xfId="8436"/>
    <cellStyle name="Note 14 3 2 2 2 5 5 2" xfId="31023"/>
    <cellStyle name="Note 14 3 2 2 2 5 6" xfId="24583"/>
    <cellStyle name="Note 14 3 2 2 2 6" xfId="3016"/>
    <cellStyle name="Note 14 3 2 2 2 6 2" xfId="6236"/>
    <cellStyle name="Note 14 3 2 2 2 6 2 2" xfId="22336"/>
    <cellStyle name="Note 14 3 2 2 2 6 2 2 2" xfId="44923"/>
    <cellStyle name="Note 14 3 2 2 2 6 2 3" xfId="12676"/>
    <cellStyle name="Note 14 3 2 2 2 6 2 3 2" xfId="35263"/>
    <cellStyle name="Note 14 3 2 2 2 6 2 4" xfId="28823"/>
    <cellStyle name="Note 14 3 2 2 2 6 3" xfId="19116"/>
    <cellStyle name="Note 14 3 2 2 2 6 3 2" xfId="41703"/>
    <cellStyle name="Note 14 3 2 2 2 6 4" xfId="15896"/>
    <cellStyle name="Note 14 3 2 2 2 6 4 2" xfId="38483"/>
    <cellStyle name="Note 14 3 2 2 2 6 5" xfId="9456"/>
    <cellStyle name="Note 14 3 2 2 2 6 5 2" xfId="32043"/>
    <cellStyle name="Note 14 3 2 2 2 6 6" xfId="25603"/>
    <cellStyle name="Note 14 3 2 2 2 7" xfId="3306"/>
    <cellStyle name="Note 14 3 2 2 2 7 2" xfId="6526"/>
    <cellStyle name="Note 14 3 2 2 2 7 2 2" xfId="22626"/>
    <cellStyle name="Note 14 3 2 2 2 7 2 2 2" xfId="45213"/>
    <cellStyle name="Note 14 3 2 2 2 7 2 3" xfId="12966"/>
    <cellStyle name="Note 14 3 2 2 2 7 2 3 2" xfId="35553"/>
    <cellStyle name="Note 14 3 2 2 2 7 2 4" xfId="29113"/>
    <cellStyle name="Note 14 3 2 2 2 7 3" xfId="19406"/>
    <cellStyle name="Note 14 3 2 2 2 7 3 2" xfId="41993"/>
    <cellStyle name="Note 14 3 2 2 2 7 4" xfId="16186"/>
    <cellStyle name="Note 14 3 2 2 2 7 4 2" xfId="38773"/>
    <cellStyle name="Note 14 3 2 2 2 7 5" xfId="9746"/>
    <cellStyle name="Note 14 3 2 2 2 7 5 2" xfId="32333"/>
    <cellStyle name="Note 14 3 2 2 2 7 6" xfId="25893"/>
    <cellStyle name="Note 14 3 2 2 2 8" xfId="664"/>
    <cellStyle name="Note 14 3 2 2 2 8 2" xfId="3908"/>
    <cellStyle name="Note 14 3 2 2 2 8 2 2" xfId="20008"/>
    <cellStyle name="Note 14 3 2 2 2 8 2 2 2" xfId="42595"/>
    <cellStyle name="Note 14 3 2 2 2 8 2 3" xfId="10348"/>
    <cellStyle name="Note 14 3 2 2 2 8 2 3 2" xfId="32935"/>
    <cellStyle name="Note 14 3 2 2 2 8 2 4" xfId="26495"/>
    <cellStyle name="Note 14 3 2 2 2 8 3" xfId="16788"/>
    <cellStyle name="Note 14 3 2 2 2 8 3 2" xfId="39375"/>
    <cellStyle name="Note 14 3 2 2 2 8 4" xfId="13568"/>
    <cellStyle name="Note 14 3 2 2 2 8 4 2" xfId="36155"/>
    <cellStyle name="Note 14 3 2 2 2 8 5" xfId="7128"/>
    <cellStyle name="Note 14 3 2 2 2 8 5 2" xfId="29715"/>
    <cellStyle name="Note 14 3 2 2 2 8 6" xfId="23275"/>
    <cellStyle name="Note 14 3 2 2 2 9" xfId="3596"/>
    <cellStyle name="Note 14 3 2 2 2 9 2" xfId="19696"/>
    <cellStyle name="Note 14 3 2 2 2 9 2 2" xfId="42283"/>
    <cellStyle name="Note 14 3 2 2 2 9 3" xfId="10036"/>
    <cellStyle name="Note 14 3 2 2 2 9 3 2" xfId="32623"/>
    <cellStyle name="Note 14 3 2 2 2 9 4" xfId="26183"/>
    <cellStyle name="Note 14 3 2 2 3" xfId="405"/>
    <cellStyle name="Note 14 3 2 2 3 10" xfId="13352"/>
    <cellStyle name="Note 14 3 2 2 3 10 2" xfId="35939"/>
    <cellStyle name="Note 14 3 2 2 3 11" xfId="6912"/>
    <cellStyle name="Note 14 3 2 2 3 11 2" xfId="29499"/>
    <cellStyle name="Note 14 3 2 2 3 12" xfId="23059"/>
    <cellStyle name="Note 14 3 2 2 3 2" xfId="1187"/>
    <cellStyle name="Note 14 3 2 2 3 2 2" xfId="2501"/>
    <cellStyle name="Note 14 3 2 2 3 2 2 2" xfId="5722"/>
    <cellStyle name="Note 14 3 2 2 3 2 2 2 2" xfId="21822"/>
    <cellStyle name="Note 14 3 2 2 3 2 2 2 2 2" xfId="44409"/>
    <cellStyle name="Note 14 3 2 2 3 2 2 2 3" xfId="12162"/>
    <cellStyle name="Note 14 3 2 2 3 2 2 2 3 2" xfId="34749"/>
    <cellStyle name="Note 14 3 2 2 3 2 2 2 4" xfId="28309"/>
    <cellStyle name="Note 14 3 2 2 3 2 2 3" xfId="18602"/>
    <cellStyle name="Note 14 3 2 2 3 2 2 3 2" xfId="41189"/>
    <cellStyle name="Note 14 3 2 2 3 2 2 4" xfId="15382"/>
    <cellStyle name="Note 14 3 2 2 3 2 2 4 2" xfId="37969"/>
    <cellStyle name="Note 14 3 2 2 3 2 2 5" xfId="8942"/>
    <cellStyle name="Note 14 3 2 2 3 2 2 5 2" xfId="31529"/>
    <cellStyle name="Note 14 3 2 2 3 2 2 6" xfId="25089"/>
    <cellStyle name="Note 14 3 2 2 3 2 3" xfId="4414"/>
    <cellStyle name="Note 14 3 2 2 3 2 3 2" xfId="20514"/>
    <cellStyle name="Note 14 3 2 2 3 2 3 2 2" xfId="43101"/>
    <cellStyle name="Note 14 3 2 2 3 2 3 3" xfId="10854"/>
    <cellStyle name="Note 14 3 2 2 3 2 3 3 2" xfId="33441"/>
    <cellStyle name="Note 14 3 2 2 3 2 3 4" xfId="27001"/>
    <cellStyle name="Note 14 3 2 2 3 2 4" xfId="17294"/>
    <cellStyle name="Note 14 3 2 2 3 2 4 2" xfId="39881"/>
    <cellStyle name="Note 14 3 2 2 3 2 5" xfId="14074"/>
    <cellStyle name="Note 14 3 2 2 3 2 5 2" xfId="36661"/>
    <cellStyle name="Note 14 3 2 2 3 2 6" xfId="7634"/>
    <cellStyle name="Note 14 3 2 2 3 2 6 2" xfId="30221"/>
    <cellStyle name="Note 14 3 2 2 3 2 7" xfId="23781"/>
    <cellStyle name="Note 14 3 2 2 3 3" xfId="1534"/>
    <cellStyle name="Note 14 3 2 2 3 3 2" xfId="2848"/>
    <cellStyle name="Note 14 3 2 2 3 3 2 2" xfId="6069"/>
    <cellStyle name="Note 14 3 2 2 3 3 2 2 2" xfId="22169"/>
    <cellStyle name="Note 14 3 2 2 3 3 2 2 2 2" xfId="44756"/>
    <cellStyle name="Note 14 3 2 2 3 3 2 2 3" xfId="12509"/>
    <cellStyle name="Note 14 3 2 2 3 3 2 2 3 2" xfId="35096"/>
    <cellStyle name="Note 14 3 2 2 3 3 2 2 4" xfId="28656"/>
    <cellStyle name="Note 14 3 2 2 3 3 2 3" xfId="18949"/>
    <cellStyle name="Note 14 3 2 2 3 3 2 3 2" xfId="41536"/>
    <cellStyle name="Note 14 3 2 2 3 3 2 4" xfId="15729"/>
    <cellStyle name="Note 14 3 2 2 3 3 2 4 2" xfId="38316"/>
    <cellStyle name="Note 14 3 2 2 3 3 2 5" xfId="9289"/>
    <cellStyle name="Note 14 3 2 2 3 3 2 5 2" xfId="31876"/>
    <cellStyle name="Note 14 3 2 2 3 3 2 6" xfId="25436"/>
    <cellStyle name="Note 14 3 2 2 3 3 3" xfId="4761"/>
    <cellStyle name="Note 14 3 2 2 3 3 3 2" xfId="20861"/>
    <cellStyle name="Note 14 3 2 2 3 3 3 2 2" xfId="43448"/>
    <cellStyle name="Note 14 3 2 2 3 3 3 3" xfId="11201"/>
    <cellStyle name="Note 14 3 2 2 3 3 3 3 2" xfId="33788"/>
    <cellStyle name="Note 14 3 2 2 3 3 3 4" xfId="27348"/>
    <cellStyle name="Note 14 3 2 2 3 3 4" xfId="17641"/>
    <cellStyle name="Note 14 3 2 2 3 3 4 2" xfId="40228"/>
    <cellStyle name="Note 14 3 2 2 3 3 5" xfId="14421"/>
    <cellStyle name="Note 14 3 2 2 3 3 5 2" xfId="37008"/>
    <cellStyle name="Note 14 3 2 2 3 3 6" xfId="7981"/>
    <cellStyle name="Note 14 3 2 2 3 3 6 2" xfId="30568"/>
    <cellStyle name="Note 14 3 2 2 3 3 7" xfId="24128"/>
    <cellStyle name="Note 14 3 2 2 3 4" xfId="2154"/>
    <cellStyle name="Note 14 3 2 2 3 4 2" xfId="5375"/>
    <cellStyle name="Note 14 3 2 2 3 4 2 2" xfId="21475"/>
    <cellStyle name="Note 14 3 2 2 3 4 2 2 2" xfId="44062"/>
    <cellStyle name="Note 14 3 2 2 3 4 2 3" xfId="11815"/>
    <cellStyle name="Note 14 3 2 2 3 4 2 3 2" xfId="34402"/>
    <cellStyle name="Note 14 3 2 2 3 4 2 4" xfId="27962"/>
    <cellStyle name="Note 14 3 2 2 3 4 3" xfId="18255"/>
    <cellStyle name="Note 14 3 2 2 3 4 3 2" xfId="40842"/>
    <cellStyle name="Note 14 3 2 2 3 4 4" xfId="15035"/>
    <cellStyle name="Note 14 3 2 2 3 4 4 2" xfId="37622"/>
    <cellStyle name="Note 14 3 2 2 3 4 5" xfId="8595"/>
    <cellStyle name="Note 14 3 2 2 3 4 5 2" xfId="31182"/>
    <cellStyle name="Note 14 3 2 2 3 4 6" xfId="24742"/>
    <cellStyle name="Note 14 3 2 2 3 5" xfId="3112"/>
    <cellStyle name="Note 14 3 2 2 3 5 2" xfId="6332"/>
    <cellStyle name="Note 14 3 2 2 3 5 2 2" xfId="22432"/>
    <cellStyle name="Note 14 3 2 2 3 5 2 2 2" xfId="45019"/>
    <cellStyle name="Note 14 3 2 2 3 5 2 3" xfId="12772"/>
    <cellStyle name="Note 14 3 2 2 3 5 2 3 2" xfId="35359"/>
    <cellStyle name="Note 14 3 2 2 3 5 2 4" xfId="28919"/>
    <cellStyle name="Note 14 3 2 2 3 5 3" xfId="19212"/>
    <cellStyle name="Note 14 3 2 2 3 5 3 2" xfId="41799"/>
    <cellStyle name="Note 14 3 2 2 3 5 4" xfId="15992"/>
    <cellStyle name="Note 14 3 2 2 3 5 4 2" xfId="38579"/>
    <cellStyle name="Note 14 3 2 2 3 5 5" xfId="9552"/>
    <cellStyle name="Note 14 3 2 2 3 5 5 2" xfId="32139"/>
    <cellStyle name="Note 14 3 2 2 3 5 6" xfId="25699"/>
    <cellStyle name="Note 14 3 2 2 3 6" xfId="3402"/>
    <cellStyle name="Note 14 3 2 2 3 6 2" xfId="6622"/>
    <cellStyle name="Note 14 3 2 2 3 6 2 2" xfId="22722"/>
    <cellStyle name="Note 14 3 2 2 3 6 2 2 2" xfId="45309"/>
    <cellStyle name="Note 14 3 2 2 3 6 2 3" xfId="13062"/>
    <cellStyle name="Note 14 3 2 2 3 6 2 3 2" xfId="35649"/>
    <cellStyle name="Note 14 3 2 2 3 6 2 4" xfId="29209"/>
    <cellStyle name="Note 14 3 2 2 3 6 3" xfId="19502"/>
    <cellStyle name="Note 14 3 2 2 3 6 3 2" xfId="42089"/>
    <cellStyle name="Note 14 3 2 2 3 6 4" xfId="16282"/>
    <cellStyle name="Note 14 3 2 2 3 6 4 2" xfId="38869"/>
    <cellStyle name="Note 14 3 2 2 3 6 5" xfId="9842"/>
    <cellStyle name="Note 14 3 2 2 3 6 5 2" xfId="32429"/>
    <cellStyle name="Note 14 3 2 2 3 6 6" xfId="25989"/>
    <cellStyle name="Note 14 3 2 2 3 7" xfId="835"/>
    <cellStyle name="Note 14 3 2 2 3 7 2" xfId="4067"/>
    <cellStyle name="Note 14 3 2 2 3 7 2 2" xfId="20167"/>
    <cellStyle name="Note 14 3 2 2 3 7 2 2 2" xfId="42754"/>
    <cellStyle name="Note 14 3 2 2 3 7 2 3" xfId="10507"/>
    <cellStyle name="Note 14 3 2 2 3 7 2 3 2" xfId="33094"/>
    <cellStyle name="Note 14 3 2 2 3 7 2 4" xfId="26654"/>
    <cellStyle name="Note 14 3 2 2 3 7 3" xfId="16947"/>
    <cellStyle name="Note 14 3 2 2 3 7 3 2" xfId="39534"/>
    <cellStyle name="Note 14 3 2 2 3 7 4" xfId="13727"/>
    <cellStyle name="Note 14 3 2 2 3 7 4 2" xfId="36314"/>
    <cellStyle name="Note 14 3 2 2 3 7 5" xfId="7287"/>
    <cellStyle name="Note 14 3 2 2 3 7 5 2" xfId="29874"/>
    <cellStyle name="Note 14 3 2 2 3 7 6" xfId="23434"/>
    <cellStyle name="Note 14 3 2 2 3 8" xfId="3692"/>
    <cellStyle name="Note 14 3 2 2 3 8 2" xfId="19792"/>
    <cellStyle name="Note 14 3 2 2 3 8 2 2" xfId="42379"/>
    <cellStyle name="Note 14 3 2 2 3 8 3" xfId="10132"/>
    <cellStyle name="Note 14 3 2 2 3 8 3 2" xfId="32719"/>
    <cellStyle name="Note 14 3 2 2 3 8 4" xfId="26279"/>
    <cellStyle name="Note 14 3 2 2 3 9" xfId="16572"/>
    <cellStyle name="Note 14 3 2 2 3 9 2" xfId="39159"/>
    <cellStyle name="Note 14 3 2 2 4" xfId="904"/>
    <cellStyle name="Note 14 3 2 2 4 2" xfId="2223"/>
    <cellStyle name="Note 14 3 2 2 4 2 2" xfId="5444"/>
    <cellStyle name="Note 14 3 2 2 4 2 2 2" xfId="21544"/>
    <cellStyle name="Note 14 3 2 2 4 2 2 2 2" xfId="44131"/>
    <cellStyle name="Note 14 3 2 2 4 2 2 3" xfId="11884"/>
    <cellStyle name="Note 14 3 2 2 4 2 2 3 2" xfId="34471"/>
    <cellStyle name="Note 14 3 2 2 4 2 2 4" xfId="28031"/>
    <cellStyle name="Note 14 3 2 2 4 2 3" xfId="18324"/>
    <cellStyle name="Note 14 3 2 2 4 2 3 2" xfId="40911"/>
    <cellStyle name="Note 14 3 2 2 4 2 4" xfId="15104"/>
    <cellStyle name="Note 14 3 2 2 4 2 4 2" xfId="37691"/>
    <cellStyle name="Note 14 3 2 2 4 2 5" xfId="8664"/>
    <cellStyle name="Note 14 3 2 2 4 2 5 2" xfId="31251"/>
    <cellStyle name="Note 14 3 2 2 4 2 6" xfId="24811"/>
    <cellStyle name="Note 14 3 2 2 4 3" xfId="4136"/>
    <cellStyle name="Note 14 3 2 2 4 3 2" xfId="20236"/>
    <cellStyle name="Note 14 3 2 2 4 3 2 2" xfId="42823"/>
    <cellStyle name="Note 14 3 2 2 4 3 3" xfId="10576"/>
    <cellStyle name="Note 14 3 2 2 4 3 3 2" xfId="33163"/>
    <cellStyle name="Note 14 3 2 2 4 3 4" xfId="26723"/>
    <cellStyle name="Note 14 3 2 2 4 4" xfId="17016"/>
    <cellStyle name="Note 14 3 2 2 4 4 2" xfId="39603"/>
    <cellStyle name="Note 14 3 2 2 4 5" xfId="13796"/>
    <cellStyle name="Note 14 3 2 2 4 5 2" xfId="36383"/>
    <cellStyle name="Note 14 3 2 2 4 6" xfId="7356"/>
    <cellStyle name="Note 14 3 2 2 4 6 2" xfId="29943"/>
    <cellStyle name="Note 14 3 2 2 4 7" xfId="23503"/>
    <cellStyle name="Note 14 3 2 2 5" xfId="1256"/>
    <cellStyle name="Note 14 3 2 2 5 2" xfId="2570"/>
    <cellStyle name="Note 14 3 2 2 5 2 2" xfId="5791"/>
    <cellStyle name="Note 14 3 2 2 5 2 2 2" xfId="21891"/>
    <cellStyle name="Note 14 3 2 2 5 2 2 2 2" xfId="44478"/>
    <cellStyle name="Note 14 3 2 2 5 2 2 3" xfId="12231"/>
    <cellStyle name="Note 14 3 2 2 5 2 2 3 2" xfId="34818"/>
    <cellStyle name="Note 14 3 2 2 5 2 2 4" xfId="28378"/>
    <cellStyle name="Note 14 3 2 2 5 2 3" xfId="18671"/>
    <cellStyle name="Note 14 3 2 2 5 2 3 2" xfId="41258"/>
    <cellStyle name="Note 14 3 2 2 5 2 4" xfId="15451"/>
    <cellStyle name="Note 14 3 2 2 5 2 4 2" xfId="38038"/>
    <cellStyle name="Note 14 3 2 2 5 2 5" xfId="9011"/>
    <cellStyle name="Note 14 3 2 2 5 2 5 2" xfId="31598"/>
    <cellStyle name="Note 14 3 2 2 5 2 6" xfId="25158"/>
    <cellStyle name="Note 14 3 2 2 5 3" xfId="4483"/>
    <cellStyle name="Note 14 3 2 2 5 3 2" xfId="20583"/>
    <cellStyle name="Note 14 3 2 2 5 3 2 2" xfId="43170"/>
    <cellStyle name="Note 14 3 2 2 5 3 3" xfId="10923"/>
    <cellStyle name="Note 14 3 2 2 5 3 3 2" xfId="33510"/>
    <cellStyle name="Note 14 3 2 2 5 3 4" xfId="27070"/>
    <cellStyle name="Note 14 3 2 2 5 4" xfId="17363"/>
    <cellStyle name="Note 14 3 2 2 5 4 2" xfId="39950"/>
    <cellStyle name="Note 14 3 2 2 5 5" xfId="14143"/>
    <cellStyle name="Note 14 3 2 2 5 5 2" xfId="36730"/>
    <cellStyle name="Note 14 3 2 2 5 6" xfId="7703"/>
    <cellStyle name="Note 14 3 2 2 5 6 2" xfId="30290"/>
    <cellStyle name="Note 14 3 2 2 5 7" xfId="23850"/>
    <cellStyle name="Note 14 3 2 2 6" xfId="1783"/>
    <cellStyle name="Note 14 3 2 2 6 2" xfId="5006"/>
    <cellStyle name="Note 14 3 2 2 6 2 2" xfId="21106"/>
    <cellStyle name="Note 14 3 2 2 6 2 2 2" xfId="43693"/>
    <cellStyle name="Note 14 3 2 2 6 2 3" xfId="11446"/>
    <cellStyle name="Note 14 3 2 2 6 2 3 2" xfId="34033"/>
    <cellStyle name="Note 14 3 2 2 6 2 4" xfId="27593"/>
    <cellStyle name="Note 14 3 2 2 6 3" xfId="17886"/>
    <cellStyle name="Note 14 3 2 2 6 3 2" xfId="40473"/>
    <cellStyle name="Note 14 3 2 2 6 4" xfId="14666"/>
    <cellStyle name="Note 14 3 2 2 6 4 2" xfId="37253"/>
    <cellStyle name="Note 14 3 2 2 6 5" xfId="8226"/>
    <cellStyle name="Note 14 3 2 2 6 5 2" xfId="30813"/>
    <cellStyle name="Note 14 3 2 2 6 6" xfId="24373"/>
    <cellStyle name="Note 14 3 2 2 7" xfId="1875"/>
    <cellStyle name="Note 14 3 2 2 7 2" xfId="5097"/>
    <cellStyle name="Note 14 3 2 2 7 2 2" xfId="21197"/>
    <cellStyle name="Note 14 3 2 2 7 2 2 2" xfId="43784"/>
    <cellStyle name="Note 14 3 2 2 7 2 3" xfId="11537"/>
    <cellStyle name="Note 14 3 2 2 7 2 3 2" xfId="34124"/>
    <cellStyle name="Note 14 3 2 2 7 2 4" xfId="27684"/>
    <cellStyle name="Note 14 3 2 2 7 3" xfId="17977"/>
    <cellStyle name="Note 14 3 2 2 7 3 2" xfId="40564"/>
    <cellStyle name="Note 14 3 2 2 7 4" xfId="14757"/>
    <cellStyle name="Note 14 3 2 2 7 4 2" xfId="37344"/>
    <cellStyle name="Note 14 3 2 2 7 5" xfId="8317"/>
    <cellStyle name="Note 14 3 2 2 7 5 2" xfId="30904"/>
    <cellStyle name="Note 14 3 2 2 7 6" xfId="24464"/>
    <cellStyle name="Note 14 3 2 2 8" xfId="2918"/>
    <cellStyle name="Note 14 3 2 2 8 2" xfId="6139"/>
    <cellStyle name="Note 14 3 2 2 8 2 2" xfId="22239"/>
    <cellStyle name="Note 14 3 2 2 8 2 2 2" xfId="44826"/>
    <cellStyle name="Note 14 3 2 2 8 2 3" xfId="12579"/>
    <cellStyle name="Note 14 3 2 2 8 2 3 2" xfId="35166"/>
    <cellStyle name="Note 14 3 2 2 8 2 4" xfId="28726"/>
    <cellStyle name="Note 14 3 2 2 8 3" xfId="19019"/>
    <cellStyle name="Note 14 3 2 2 8 3 2" xfId="41606"/>
    <cellStyle name="Note 14 3 2 2 8 4" xfId="15799"/>
    <cellStyle name="Note 14 3 2 2 8 4 2" xfId="38386"/>
    <cellStyle name="Note 14 3 2 2 8 5" xfId="9359"/>
    <cellStyle name="Note 14 3 2 2 8 5 2" xfId="31946"/>
    <cellStyle name="Note 14 3 2 2 8 6" xfId="25506"/>
    <cellStyle name="Note 14 3 2 2 9" xfId="3209"/>
    <cellStyle name="Note 14 3 2 2 9 2" xfId="6429"/>
    <cellStyle name="Note 14 3 2 2 9 2 2" xfId="22529"/>
    <cellStyle name="Note 14 3 2 2 9 2 2 2" xfId="45116"/>
    <cellStyle name="Note 14 3 2 2 9 2 3" xfId="12869"/>
    <cellStyle name="Note 14 3 2 2 9 2 3 2" xfId="35456"/>
    <cellStyle name="Note 14 3 2 2 9 2 4" xfId="29016"/>
    <cellStyle name="Note 14 3 2 2 9 3" xfId="19309"/>
    <cellStyle name="Note 14 3 2 2 9 3 2" xfId="41896"/>
    <cellStyle name="Note 14 3 2 2 9 4" xfId="16089"/>
    <cellStyle name="Note 14 3 2 2 9 4 2" xfId="38676"/>
    <cellStyle name="Note 14 3 2 2 9 5" xfId="9649"/>
    <cellStyle name="Note 14 3 2 2 9 5 2" xfId="32236"/>
    <cellStyle name="Note 14 3 2 2 9 6" xfId="25796"/>
    <cellStyle name="Note 14 3 2 3" xfId="268"/>
    <cellStyle name="Note 14 3 2 3 10" xfId="3555"/>
    <cellStyle name="Note 14 3 2 3 10 2" xfId="19655"/>
    <cellStyle name="Note 14 3 2 3 10 2 2" xfId="42242"/>
    <cellStyle name="Note 14 3 2 3 10 3" xfId="9995"/>
    <cellStyle name="Note 14 3 2 3 10 3 2" xfId="32582"/>
    <cellStyle name="Note 14 3 2 3 10 4" xfId="26142"/>
    <cellStyle name="Note 14 3 2 3 11" xfId="16435"/>
    <cellStyle name="Note 14 3 2 3 11 2" xfId="39022"/>
    <cellStyle name="Note 14 3 2 3 12" xfId="13215"/>
    <cellStyle name="Note 14 3 2 3 12 2" xfId="35802"/>
    <cellStyle name="Note 14 3 2 3 13" xfId="6775"/>
    <cellStyle name="Note 14 3 2 3 13 2" xfId="29362"/>
    <cellStyle name="Note 14 3 2 3 14" xfId="22922"/>
    <cellStyle name="Note 14 3 2 3 2" xfId="701"/>
    <cellStyle name="Note 14 3 2 3 2 2" xfId="1065"/>
    <cellStyle name="Note 14 3 2 3 2 2 2" xfId="2379"/>
    <cellStyle name="Note 14 3 2 3 2 2 2 2" xfId="5600"/>
    <cellStyle name="Note 14 3 2 3 2 2 2 2 2" xfId="21700"/>
    <cellStyle name="Note 14 3 2 3 2 2 2 2 2 2" xfId="44287"/>
    <cellStyle name="Note 14 3 2 3 2 2 2 2 3" xfId="12040"/>
    <cellStyle name="Note 14 3 2 3 2 2 2 2 3 2" xfId="34627"/>
    <cellStyle name="Note 14 3 2 3 2 2 2 2 4" xfId="28187"/>
    <cellStyle name="Note 14 3 2 3 2 2 2 3" xfId="18480"/>
    <cellStyle name="Note 14 3 2 3 2 2 2 3 2" xfId="41067"/>
    <cellStyle name="Note 14 3 2 3 2 2 2 4" xfId="15260"/>
    <cellStyle name="Note 14 3 2 3 2 2 2 4 2" xfId="37847"/>
    <cellStyle name="Note 14 3 2 3 2 2 2 5" xfId="8820"/>
    <cellStyle name="Note 14 3 2 3 2 2 2 5 2" xfId="31407"/>
    <cellStyle name="Note 14 3 2 3 2 2 2 6" xfId="24967"/>
    <cellStyle name="Note 14 3 2 3 2 2 3" xfId="4292"/>
    <cellStyle name="Note 14 3 2 3 2 2 3 2" xfId="20392"/>
    <cellStyle name="Note 14 3 2 3 2 2 3 2 2" xfId="42979"/>
    <cellStyle name="Note 14 3 2 3 2 2 3 3" xfId="10732"/>
    <cellStyle name="Note 14 3 2 3 2 2 3 3 2" xfId="33319"/>
    <cellStyle name="Note 14 3 2 3 2 2 3 4" xfId="26879"/>
    <cellStyle name="Note 14 3 2 3 2 2 4" xfId="17172"/>
    <cellStyle name="Note 14 3 2 3 2 2 4 2" xfId="39759"/>
    <cellStyle name="Note 14 3 2 3 2 2 5" xfId="13952"/>
    <cellStyle name="Note 14 3 2 3 2 2 5 2" xfId="36539"/>
    <cellStyle name="Note 14 3 2 3 2 2 6" xfId="7512"/>
    <cellStyle name="Note 14 3 2 3 2 2 6 2" xfId="30099"/>
    <cellStyle name="Note 14 3 2 3 2 2 7" xfId="23659"/>
    <cellStyle name="Note 14 3 2 3 2 3" xfId="1412"/>
    <cellStyle name="Note 14 3 2 3 2 3 2" xfId="2726"/>
    <cellStyle name="Note 14 3 2 3 2 3 2 2" xfId="5947"/>
    <cellStyle name="Note 14 3 2 3 2 3 2 2 2" xfId="22047"/>
    <cellStyle name="Note 14 3 2 3 2 3 2 2 2 2" xfId="44634"/>
    <cellStyle name="Note 14 3 2 3 2 3 2 2 3" xfId="12387"/>
    <cellStyle name="Note 14 3 2 3 2 3 2 2 3 2" xfId="34974"/>
    <cellStyle name="Note 14 3 2 3 2 3 2 2 4" xfId="28534"/>
    <cellStyle name="Note 14 3 2 3 2 3 2 3" xfId="18827"/>
    <cellStyle name="Note 14 3 2 3 2 3 2 3 2" xfId="41414"/>
    <cellStyle name="Note 14 3 2 3 2 3 2 4" xfId="15607"/>
    <cellStyle name="Note 14 3 2 3 2 3 2 4 2" xfId="38194"/>
    <cellStyle name="Note 14 3 2 3 2 3 2 5" xfId="9167"/>
    <cellStyle name="Note 14 3 2 3 2 3 2 5 2" xfId="31754"/>
    <cellStyle name="Note 14 3 2 3 2 3 2 6" xfId="25314"/>
    <cellStyle name="Note 14 3 2 3 2 3 3" xfId="4639"/>
    <cellStyle name="Note 14 3 2 3 2 3 3 2" xfId="20739"/>
    <cellStyle name="Note 14 3 2 3 2 3 3 2 2" xfId="43326"/>
    <cellStyle name="Note 14 3 2 3 2 3 3 3" xfId="11079"/>
    <cellStyle name="Note 14 3 2 3 2 3 3 3 2" xfId="33666"/>
    <cellStyle name="Note 14 3 2 3 2 3 3 4" xfId="27226"/>
    <cellStyle name="Note 14 3 2 3 2 3 4" xfId="17519"/>
    <cellStyle name="Note 14 3 2 3 2 3 4 2" xfId="40106"/>
    <cellStyle name="Note 14 3 2 3 2 3 5" xfId="14299"/>
    <cellStyle name="Note 14 3 2 3 2 3 5 2" xfId="36886"/>
    <cellStyle name="Note 14 3 2 3 2 3 6" xfId="7859"/>
    <cellStyle name="Note 14 3 2 3 2 3 6 2" xfId="30446"/>
    <cellStyle name="Note 14 3 2 3 2 3 7" xfId="24006"/>
    <cellStyle name="Note 14 3 2 3 2 4" xfId="2031"/>
    <cellStyle name="Note 14 3 2 3 2 4 2" xfId="5253"/>
    <cellStyle name="Note 14 3 2 3 2 4 2 2" xfId="21353"/>
    <cellStyle name="Note 14 3 2 3 2 4 2 2 2" xfId="43940"/>
    <cellStyle name="Note 14 3 2 3 2 4 2 3" xfId="11693"/>
    <cellStyle name="Note 14 3 2 3 2 4 2 3 2" xfId="34280"/>
    <cellStyle name="Note 14 3 2 3 2 4 2 4" xfId="27840"/>
    <cellStyle name="Note 14 3 2 3 2 4 3" xfId="18133"/>
    <cellStyle name="Note 14 3 2 3 2 4 3 2" xfId="40720"/>
    <cellStyle name="Note 14 3 2 3 2 4 4" xfId="14913"/>
    <cellStyle name="Note 14 3 2 3 2 4 4 2" xfId="37500"/>
    <cellStyle name="Note 14 3 2 3 2 4 5" xfId="8473"/>
    <cellStyle name="Note 14 3 2 3 2 4 5 2" xfId="31060"/>
    <cellStyle name="Note 14 3 2 3 2 4 6" xfId="24620"/>
    <cellStyle name="Note 14 3 2 3 2 5" xfId="3945"/>
    <cellStyle name="Note 14 3 2 3 2 5 2" xfId="20045"/>
    <cellStyle name="Note 14 3 2 3 2 5 2 2" xfId="42632"/>
    <cellStyle name="Note 14 3 2 3 2 5 3" xfId="10385"/>
    <cellStyle name="Note 14 3 2 3 2 5 3 2" xfId="32972"/>
    <cellStyle name="Note 14 3 2 3 2 5 4" xfId="26532"/>
    <cellStyle name="Note 14 3 2 3 2 6" xfId="16825"/>
    <cellStyle name="Note 14 3 2 3 2 6 2" xfId="39412"/>
    <cellStyle name="Note 14 3 2 3 2 7" xfId="13605"/>
    <cellStyle name="Note 14 3 2 3 2 7 2" xfId="36192"/>
    <cellStyle name="Note 14 3 2 3 2 8" xfId="7165"/>
    <cellStyle name="Note 14 3 2 3 2 8 2" xfId="29752"/>
    <cellStyle name="Note 14 3 2 3 2 9" xfId="23312"/>
    <cellStyle name="Note 14 3 2 3 3" xfId="944"/>
    <cellStyle name="Note 14 3 2 3 3 2" xfId="2263"/>
    <cellStyle name="Note 14 3 2 3 3 2 2" xfId="5484"/>
    <cellStyle name="Note 14 3 2 3 3 2 2 2" xfId="21584"/>
    <cellStyle name="Note 14 3 2 3 3 2 2 2 2" xfId="44171"/>
    <cellStyle name="Note 14 3 2 3 3 2 2 3" xfId="11924"/>
    <cellStyle name="Note 14 3 2 3 3 2 2 3 2" xfId="34511"/>
    <cellStyle name="Note 14 3 2 3 3 2 2 4" xfId="28071"/>
    <cellStyle name="Note 14 3 2 3 3 2 3" xfId="18364"/>
    <cellStyle name="Note 14 3 2 3 3 2 3 2" xfId="40951"/>
    <cellStyle name="Note 14 3 2 3 3 2 4" xfId="15144"/>
    <cellStyle name="Note 14 3 2 3 3 2 4 2" xfId="37731"/>
    <cellStyle name="Note 14 3 2 3 3 2 5" xfId="8704"/>
    <cellStyle name="Note 14 3 2 3 3 2 5 2" xfId="31291"/>
    <cellStyle name="Note 14 3 2 3 3 2 6" xfId="24851"/>
    <cellStyle name="Note 14 3 2 3 3 3" xfId="4176"/>
    <cellStyle name="Note 14 3 2 3 3 3 2" xfId="20276"/>
    <cellStyle name="Note 14 3 2 3 3 3 2 2" xfId="42863"/>
    <cellStyle name="Note 14 3 2 3 3 3 3" xfId="10616"/>
    <cellStyle name="Note 14 3 2 3 3 3 3 2" xfId="33203"/>
    <cellStyle name="Note 14 3 2 3 3 3 4" xfId="26763"/>
    <cellStyle name="Note 14 3 2 3 3 4" xfId="17056"/>
    <cellStyle name="Note 14 3 2 3 3 4 2" xfId="39643"/>
    <cellStyle name="Note 14 3 2 3 3 5" xfId="13836"/>
    <cellStyle name="Note 14 3 2 3 3 5 2" xfId="36423"/>
    <cellStyle name="Note 14 3 2 3 3 6" xfId="7396"/>
    <cellStyle name="Note 14 3 2 3 3 6 2" xfId="29983"/>
    <cellStyle name="Note 14 3 2 3 3 7" xfId="23543"/>
    <cellStyle name="Note 14 3 2 3 4" xfId="1296"/>
    <cellStyle name="Note 14 3 2 3 4 2" xfId="2610"/>
    <cellStyle name="Note 14 3 2 3 4 2 2" xfId="5831"/>
    <cellStyle name="Note 14 3 2 3 4 2 2 2" xfId="21931"/>
    <cellStyle name="Note 14 3 2 3 4 2 2 2 2" xfId="44518"/>
    <cellStyle name="Note 14 3 2 3 4 2 2 3" xfId="12271"/>
    <cellStyle name="Note 14 3 2 3 4 2 2 3 2" xfId="34858"/>
    <cellStyle name="Note 14 3 2 3 4 2 2 4" xfId="28418"/>
    <cellStyle name="Note 14 3 2 3 4 2 3" xfId="18711"/>
    <cellStyle name="Note 14 3 2 3 4 2 3 2" xfId="41298"/>
    <cellStyle name="Note 14 3 2 3 4 2 4" xfId="15491"/>
    <cellStyle name="Note 14 3 2 3 4 2 4 2" xfId="38078"/>
    <cellStyle name="Note 14 3 2 3 4 2 5" xfId="9051"/>
    <cellStyle name="Note 14 3 2 3 4 2 5 2" xfId="31638"/>
    <cellStyle name="Note 14 3 2 3 4 2 6" xfId="25198"/>
    <cellStyle name="Note 14 3 2 3 4 3" xfId="4523"/>
    <cellStyle name="Note 14 3 2 3 4 3 2" xfId="20623"/>
    <cellStyle name="Note 14 3 2 3 4 3 2 2" xfId="43210"/>
    <cellStyle name="Note 14 3 2 3 4 3 3" xfId="10963"/>
    <cellStyle name="Note 14 3 2 3 4 3 3 2" xfId="33550"/>
    <cellStyle name="Note 14 3 2 3 4 3 4" xfId="27110"/>
    <cellStyle name="Note 14 3 2 3 4 4" xfId="17403"/>
    <cellStyle name="Note 14 3 2 3 4 4 2" xfId="39990"/>
    <cellStyle name="Note 14 3 2 3 4 5" xfId="14183"/>
    <cellStyle name="Note 14 3 2 3 4 5 2" xfId="36770"/>
    <cellStyle name="Note 14 3 2 3 4 6" xfId="7743"/>
    <cellStyle name="Note 14 3 2 3 4 6 2" xfId="30330"/>
    <cellStyle name="Note 14 3 2 3 4 7" xfId="23890"/>
    <cellStyle name="Note 14 3 2 3 5" xfId="1784"/>
    <cellStyle name="Note 14 3 2 3 5 2" xfId="5007"/>
    <cellStyle name="Note 14 3 2 3 5 2 2" xfId="21107"/>
    <cellStyle name="Note 14 3 2 3 5 2 2 2" xfId="43694"/>
    <cellStyle name="Note 14 3 2 3 5 2 3" xfId="11447"/>
    <cellStyle name="Note 14 3 2 3 5 2 3 2" xfId="34034"/>
    <cellStyle name="Note 14 3 2 3 5 2 4" xfId="27594"/>
    <cellStyle name="Note 14 3 2 3 5 3" xfId="17887"/>
    <cellStyle name="Note 14 3 2 3 5 3 2" xfId="40474"/>
    <cellStyle name="Note 14 3 2 3 5 4" xfId="14667"/>
    <cellStyle name="Note 14 3 2 3 5 4 2" xfId="37254"/>
    <cellStyle name="Note 14 3 2 3 5 5" xfId="8227"/>
    <cellStyle name="Note 14 3 2 3 5 5 2" xfId="30814"/>
    <cellStyle name="Note 14 3 2 3 5 6" xfId="24374"/>
    <cellStyle name="Note 14 3 2 3 6" xfId="1915"/>
    <cellStyle name="Note 14 3 2 3 6 2" xfId="5137"/>
    <cellStyle name="Note 14 3 2 3 6 2 2" xfId="21237"/>
    <cellStyle name="Note 14 3 2 3 6 2 2 2" xfId="43824"/>
    <cellStyle name="Note 14 3 2 3 6 2 3" xfId="11577"/>
    <cellStyle name="Note 14 3 2 3 6 2 3 2" xfId="34164"/>
    <cellStyle name="Note 14 3 2 3 6 2 4" xfId="27724"/>
    <cellStyle name="Note 14 3 2 3 6 3" xfId="18017"/>
    <cellStyle name="Note 14 3 2 3 6 3 2" xfId="40604"/>
    <cellStyle name="Note 14 3 2 3 6 4" xfId="14797"/>
    <cellStyle name="Note 14 3 2 3 6 4 2" xfId="37384"/>
    <cellStyle name="Note 14 3 2 3 6 5" xfId="8357"/>
    <cellStyle name="Note 14 3 2 3 6 5 2" xfId="30944"/>
    <cellStyle name="Note 14 3 2 3 6 6" xfId="24504"/>
    <cellStyle name="Note 14 3 2 3 7" xfId="2975"/>
    <cellStyle name="Note 14 3 2 3 7 2" xfId="6195"/>
    <cellStyle name="Note 14 3 2 3 7 2 2" xfId="22295"/>
    <cellStyle name="Note 14 3 2 3 7 2 2 2" xfId="44882"/>
    <cellStyle name="Note 14 3 2 3 7 2 3" xfId="12635"/>
    <cellStyle name="Note 14 3 2 3 7 2 3 2" xfId="35222"/>
    <cellStyle name="Note 14 3 2 3 7 2 4" xfId="28782"/>
    <cellStyle name="Note 14 3 2 3 7 3" xfId="19075"/>
    <cellStyle name="Note 14 3 2 3 7 3 2" xfId="41662"/>
    <cellStyle name="Note 14 3 2 3 7 4" xfId="15855"/>
    <cellStyle name="Note 14 3 2 3 7 4 2" xfId="38442"/>
    <cellStyle name="Note 14 3 2 3 7 5" xfId="9415"/>
    <cellStyle name="Note 14 3 2 3 7 5 2" xfId="32002"/>
    <cellStyle name="Note 14 3 2 3 7 6" xfId="25562"/>
    <cellStyle name="Note 14 3 2 3 8" xfId="3265"/>
    <cellStyle name="Note 14 3 2 3 8 2" xfId="6485"/>
    <cellStyle name="Note 14 3 2 3 8 2 2" xfId="22585"/>
    <cellStyle name="Note 14 3 2 3 8 2 2 2" xfId="45172"/>
    <cellStyle name="Note 14 3 2 3 8 2 3" xfId="12925"/>
    <cellStyle name="Note 14 3 2 3 8 2 3 2" xfId="35512"/>
    <cellStyle name="Note 14 3 2 3 8 2 4" xfId="29072"/>
    <cellStyle name="Note 14 3 2 3 8 3" xfId="19365"/>
    <cellStyle name="Note 14 3 2 3 8 3 2" xfId="41952"/>
    <cellStyle name="Note 14 3 2 3 8 4" xfId="16145"/>
    <cellStyle name="Note 14 3 2 3 8 4 2" xfId="38732"/>
    <cellStyle name="Note 14 3 2 3 8 5" xfId="9705"/>
    <cellStyle name="Note 14 3 2 3 8 5 2" xfId="32292"/>
    <cellStyle name="Note 14 3 2 3 8 6" xfId="25852"/>
    <cellStyle name="Note 14 3 2 3 9" xfId="542"/>
    <cellStyle name="Note 14 3 2 3 9 2" xfId="3829"/>
    <cellStyle name="Note 14 3 2 3 9 2 2" xfId="19929"/>
    <cellStyle name="Note 14 3 2 3 9 2 2 2" xfId="42516"/>
    <cellStyle name="Note 14 3 2 3 9 2 3" xfId="10269"/>
    <cellStyle name="Note 14 3 2 3 9 2 3 2" xfId="32856"/>
    <cellStyle name="Note 14 3 2 3 9 2 4" xfId="26416"/>
    <cellStyle name="Note 14 3 2 3 9 3" xfId="16709"/>
    <cellStyle name="Note 14 3 2 3 9 3 2" xfId="39296"/>
    <cellStyle name="Note 14 3 2 3 9 4" xfId="13489"/>
    <cellStyle name="Note 14 3 2 3 9 4 2" xfId="36076"/>
    <cellStyle name="Note 14 3 2 3 9 5" xfId="7049"/>
    <cellStyle name="Note 14 3 2 3 9 5 2" xfId="29636"/>
    <cellStyle name="Note 14 3 2 3 9 6" xfId="23196"/>
    <cellStyle name="Note 14 3 2 4" xfId="368"/>
    <cellStyle name="Note 14 3 2 4 10" xfId="16535"/>
    <cellStyle name="Note 14 3 2 4 10 2" xfId="39122"/>
    <cellStyle name="Note 14 3 2 4 11" xfId="13315"/>
    <cellStyle name="Note 14 3 2 4 11 2" xfId="35902"/>
    <cellStyle name="Note 14 3 2 4 12" xfId="6875"/>
    <cellStyle name="Note 14 3 2 4 12 2" xfId="29462"/>
    <cellStyle name="Note 14 3 2 4 13" xfId="23022"/>
    <cellStyle name="Note 14 3 2 4 2" xfId="991"/>
    <cellStyle name="Note 14 3 2 4 2 2" xfId="2305"/>
    <cellStyle name="Note 14 3 2 4 2 2 2" xfId="5526"/>
    <cellStyle name="Note 14 3 2 4 2 2 2 2" xfId="21626"/>
    <cellStyle name="Note 14 3 2 4 2 2 2 2 2" xfId="44213"/>
    <cellStyle name="Note 14 3 2 4 2 2 2 3" xfId="11966"/>
    <cellStyle name="Note 14 3 2 4 2 2 2 3 2" xfId="34553"/>
    <cellStyle name="Note 14 3 2 4 2 2 2 4" xfId="28113"/>
    <cellStyle name="Note 14 3 2 4 2 2 3" xfId="18406"/>
    <cellStyle name="Note 14 3 2 4 2 2 3 2" xfId="40993"/>
    <cellStyle name="Note 14 3 2 4 2 2 4" xfId="15186"/>
    <cellStyle name="Note 14 3 2 4 2 2 4 2" xfId="37773"/>
    <cellStyle name="Note 14 3 2 4 2 2 5" xfId="8746"/>
    <cellStyle name="Note 14 3 2 4 2 2 5 2" xfId="31333"/>
    <cellStyle name="Note 14 3 2 4 2 2 6" xfId="24893"/>
    <cellStyle name="Note 14 3 2 4 2 3" xfId="4218"/>
    <cellStyle name="Note 14 3 2 4 2 3 2" xfId="20318"/>
    <cellStyle name="Note 14 3 2 4 2 3 2 2" xfId="42905"/>
    <cellStyle name="Note 14 3 2 4 2 3 3" xfId="10658"/>
    <cellStyle name="Note 14 3 2 4 2 3 3 2" xfId="33245"/>
    <cellStyle name="Note 14 3 2 4 2 3 4" xfId="26805"/>
    <cellStyle name="Note 14 3 2 4 2 4" xfId="17098"/>
    <cellStyle name="Note 14 3 2 4 2 4 2" xfId="39685"/>
    <cellStyle name="Note 14 3 2 4 2 5" xfId="13878"/>
    <cellStyle name="Note 14 3 2 4 2 5 2" xfId="36465"/>
    <cellStyle name="Note 14 3 2 4 2 6" xfId="7438"/>
    <cellStyle name="Note 14 3 2 4 2 6 2" xfId="30025"/>
    <cellStyle name="Note 14 3 2 4 2 7" xfId="23585"/>
    <cellStyle name="Note 14 3 2 4 3" xfId="1338"/>
    <cellStyle name="Note 14 3 2 4 3 2" xfId="2652"/>
    <cellStyle name="Note 14 3 2 4 3 2 2" xfId="5873"/>
    <cellStyle name="Note 14 3 2 4 3 2 2 2" xfId="21973"/>
    <cellStyle name="Note 14 3 2 4 3 2 2 2 2" xfId="44560"/>
    <cellStyle name="Note 14 3 2 4 3 2 2 3" xfId="12313"/>
    <cellStyle name="Note 14 3 2 4 3 2 2 3 2" xfId="34900"/>
    <cellStyle name="Note 14 3 2 4 3 2 2 4" xfId="28460"/>
    <cellStyle name="Note 14 3 2 4 3 2 3" xfId="18753"/>
    <cellStyle name="Note 14 3 2 4 3 2 3 2" xfId="41340"/>
    <cellStyle name="Note 14 3 2 4 3 2 4" xfId="15533"/>
    <cellStyle name="Note 14 3 2 4 3 2 4 2" xfId="38120"/>
    <cellStyle name="Note 14 3 2 4 3 2 5" xfId="9093"/>
    <cellStyle name="Note 14 3 2 4 3 2 5 2" xfId="31680"/>
    <cellStyle name="Note 14 3 2 4 3 2 6" xfId="25240"/>
    <cellStyle name="Note 14 3 2 4 3 3" xfId="4565"/>
    <cellStyle name="Note 14 3 2 4 3 3 2" xfId="20665"/>
    <cellStyle name="Note 14 3 2 4 3 3 2 2" xfId="43252"/>
    <cellStyle name="Note 14 3 2 4 3 3 3" xfId="11005"/>
    <cellStyle name="Note 14 3 2 4 3 3 3 2" xfId="33592"/>
    <cellStyle name="Note 14 3 2 4 3 3 4" xfId="27152"/>
    <cellStyle name="Note 14 3 2 4 3 4" xfId="17445"/>
    <cellStyle name="Note 14 3 2 4 3 4 2" xfId="40032"/>
    <cellStyle name="Note 14 3 2 4 3 5" xfId="14225"/>
    <cellStyle name="Note 14 3 2 4 3 5 2" xfId="36812"/>
    <cellStyle name="Note 14 3 2 4 3 6" xfId="7785"/>
    <cellStyle name="Note 14 3 2 4 3 6 2" xfId="30372"/>
    <cellStyle name="Note 14 3 2 4 3 7" xfId="23932"/>
    <cellStyle name="Note 14 3 2 4 4" xfId="1785"/>
    <cellStyle name="Note 14 3 2 4 4 2" xfId="5008"/>
    <cellStyle name="Note 14 3 2 4 4 2 2" xfId="21108"/>
    <cellStyle name="Note 14 3 2 4 4 2 2 2" xfId="43695"/>
    <cellStyle name="Note 14 3 2 4 4 2 3" xfId="11448"/>
    <cellStyle name="Note 14 3 2 4 4 2 3 2" xfId="34035"/>
    <cellStyle name="Note 14 3 2 4 4 2 4" xfId="27595"/>
    <cellStyle name="Note 14 3 2 4 4 3" xfId="17888"/>
    <cellStyle name="Note 14 3 2 4 4 3 2" xfId="40475"/>
    <cellStyle name="Note 14 3 2 4 4 4" xfId="14668"/>
    <cellStyle name="Note 14 3 2 4 4 4 2" xfId="37255"/>
    <cellStyle name="Note 14 3 2 4 4 5" xfId="8228"/>
    <cellStyle name="Note 14 3 2 4 4 5 2" xfId="30815"/>
    <cellStyle name="Note 14 3 2 4 4 6" xfId="24375"/>
    <cellStyle name="Note 14 3 2 4 5" xfId="1957"/>
    <cellStyle name="Note 14 3 2 4 5 2" xfId="5179"/>
    <cellStyle name="Note 14 3 2 4 5 2 2" xfId="21279"/>
    <cellStyle name="Note 14 3 2 4 5 2 2 2" xfId="43866"/>
    <cellStyle name="Note 14 3 2 4 5 2 3" xfId="11619"/>
    <cellStyle name="Note 14 3 2 4 5 2 3 2" xfId="34206"/>
    <cellStyle name="Note 14 3 2 4 5 2 4" xfId="27766"/>
    <cellStyle name="Note 14 3 2 4 5 3" xfId="18059"/>
    <cellStyle name="Note 14 3 2 4 5 3 2" xfId="40646"/>
    <cellStyle name="Note 14 3 2 4 5 4" xfId="14839"/>
    <cellStyle name="Note 14 3 2 4 5 4 2" xfId="37426"/>
    <cellStyle name="Note 14 3 2 4 5 5" xfId="8399"/>
    <cellStyle name="Note 14 3 2 4 5 5 2" xfId="30986"/>
    <cellStyle name="Note 14 3 2 4 5 6" xfId="24546"/>
    <cellStyle name="Note 14 3 2 4 6" xfId="3075"/>
    <cellStyle name="Note 14 3 2 4 6 2" xfId="6295"/>
    <cellStyle name="Note 14 3 2 4 6 2 2" xfId="22395"/>
    <cellStyle name="Note 14 3 2 4 6 2 2 2" xfId="44982"/>
    <cellStyle name="Note 14 3 2 4 6 2 3" xfId="12735"/>
    <cellStyle name="Note 14 3 2 4 6 2 3 2" xfId="35322"/>
    <cellStyle name="Note 14 3 2 4 6 2 4" xfId="28882"/>
    <cellStyle name="Note 14 3 2 4 6 3" xfId="19175"/>
    <cellStyle name="Note 14 3 2 4 6 3 2" xfId="41762"/>
    <cellStyle name="Note 14 3 2 4 6 4" xfId="15955"/>
    <cellStyle name="Note 14 3 2 4 6 4 2" xfId="38542"/>
    <cellStyle name="Note 14 3 2 4 6 5" xfId="9515"/>
    <cellStyle name="Note 14 3 2 4 6 5 2" xfId="32102"/>
    <cellStyle name="Note 14 3 2 4 6 6" xfId="25662"/>
    <cellStyle name="Note 14 3 2 4 7" xfId="3365"/>
    <cellStyle name="Note 14 3 2 4 7 2" xfId="6585"/>
    <cellStyle name="Note 14 3 2 4 7 2 2" xfId="22685"/>
    <cellStyle name="Note 14 3 2 4 7 2 2 2" xfId="45272"/>
    <cellStyle name="Note 14 3 2 4 7 2 3" xfId="13025"/>
    <cellStyle name="Note 14 3 2 4 7 2 3 2" xfId="35612"/>
    <cellStyle name="Note 14 3 2 4 7 2 4" xfId="29172"/>
    <cellStyle name="Note 14 3 2 4 7 3" xfId="19465"/>
    <cellStyle name="Note 14 3 2 4 7 3 2" xfId="42052"/>
    <cellStyle name="Note 14 3 2 4 7 4" xfId="16245"/>
    <cellStyle name="Note 14 3 2 4 7 4 2" xfId="38832"/>
    <cellStyle name="Note 14 3 2 4 7 5" xfId="9805"/>
    <cellStyle name="Note 14 3 2 4 7 5 2" xfId="32392"/>
    <cellStyle name="Note 14 3 2 4 7 6" xfId="25952"/>
    <cellStyle name="Note 14 3 2 4 8" xfId="627"/>
    <cellStyle name="Note 14 3 2 4 8 2" xfId="3871"/>
    <cellStyle name="Note 14 3 2 4 8 2 2" xfId="19971"/>
    <cellStyle name="Note 14 3 2 4 8 2 2 2" xfId="42558"/>
    <cellStyle name="Note 14 3 2 4 8 2 3" xfId="10311"/>
    <cellStyle name="Note 14 3 2 4 8 2 3 2" xfId="32898"/>
    <cellStyle name="Note 14 3 2 4 8 2 4" xfId="26458"/>
    <cellStyle name="Note 14 3 2 4 8 3" xfId="16751"/>
    <cellStyle name="Note 14 3 2 4 8 3 2" xfId="39338"/>
    <cellStyle name="Note 14 3 2 4 8 4" xfId="13531"/>
    <cellStyle name="Note 14 3 2 4 8 4 2" xfId="36118"/>
    <cellStyle name="Note 14 3 2 4 8 5" xfId="7091"/>
    <cellStyle name="Note 14 3 2 4 8 5 2" xfId="29678"/>
    <cellStyle name="Note 14 3 2 4 8 6" xfId="23238"/>
    <cellStyle name="Note 14 3 2 4 9" xfId="3655"/>
    <cellStyle name="Note 14 3 2 4 9 2" xfId="19755"/>
    <cellStyle name="Note 14 3 2 4 9 2 2" xfId="42342"/>
    <cellStyle name="Note 14 3 2 4 9 3" xfId="10095"/>
    <cellStyle name="Note 14 3 2 4 9 3 2" xfId="32682"/>
    <cellStyle name="Note 14 3 2 4 9 4" xfId="26242"/>
    <cellStyle name="Note 14 3 2 5" xfId="797"/>
    <cellStyle name="Note 14 3 2 5 2" xfId="1149"/>
    <cellStyle name="Note 14 3 2 5 2 2" xfId="2463"/>
    <cellStyle name="Note 14 3 2 5 2 2 2" xfId="5684"/>
    <cellStyle name="Note 14 3 2 5 2 2 2 2" xfId="21784"/>
    <cellStyle name="Note 14 3 2 5 2 2 2 2 2" xfId="44371"/>
    <cellStyle name="Note 14 3 2 5 2 2 2 3" xfId="12124"/>
    <cellStyle name="Note 14 3 2 5 2 2 2 3 2" xfId="34711"/>
    <cellStyle name="Note 14 3 2 5 2 2 2 4" xfId="28271"/>
    <cellStyle name="Note 14 3 2 5 2 2 3" xfId="18564"/>
    <cellStyle name="Note 14 3 2 5 2 2 3 2" xfId="41151"/>
    <cellStyle name="Note 14 3 2 5 2 2 4" xfId="15344"/>
    <cellStyle name="Note 14 3 2 5 2 2 4 2" xfId="37931"/>
    <cellStyle name="Note 14 3 2 5 2 2 5" xfId="8904"/>
    <cellStyle name="Note 14 3 2 5 2 2 5 2" xfId="31491"/>
    <cellStyle name="Note 14 3 2 5 2 2 6" xfId="25051"/>
    <cellStyle name="Note 14 3 2 5 2 3" xfId="4376"/>
    <cellStyle name="Note 14 3 2 5 2 3 2" xfId="20476"/>
    <cellStyle name="Note 14 3 2 5 2 3 2 2" xfId="43063"/>
    <cellStyle name="Note 14 3 2 5 2 3 3" xfId="10816"/>
    <cellStyle name="Note 14 3 2 5 2 3 3 2" xfId="33403"/>
    <cellStyle name="Note 14 3 2 5 2 3 4" xfId="26963"/>
    <cellStyle name="Note 14 3 2 5 2 4" xfId="17256"/>
    <cellStyle name="Note 14 3 2 5 2 4 2" xfId="39843"/>
    <cellStyle name="Note 14 3 2 5 2 5" xfId="14036"/>
    <cellStyle name="Note 14 3 2 5 2 5 2" xfId="36623"/>
    <cellStyle name="Note 14 3 2 5 2 6" xfId="7596"/>
    <cellStyle name="Note 14 3 2 5 2 6 2" xfId="30183"/>
    <cellStyle name="Note 14 3 2 5 2 7" xfId="23743"/>
    <cellStyle name="Note 14 3 2 5 3" xfId="1496"/>
    <cellStyle name="Note 14 3 2 5 3 2" xfId="2810"/>
    <cellStyle name="Note 14 3 2 5 3 2 2" xfId="6031"/>
    <cellStyle name="Note 14 3 2 5 3 2 2 2" xfId="22131"/>
    <cellStyle name="Note 14 3 2 5 3 2 2 2 2" xfId="44718"/>
    <cellStyle name="Note 14 3 2 5 3 2 2 3" xfId="12471"/>
    <cellStyle name="Note 14 3 2 5 3 2 2 3 2" xfId="35058"/>
    <cellStyle name="Note 14 3 2 5 3 2 2 4" xfId="28618"/>
    <cellStyle name="Note 14 3 2 5 3 2 3" xfId="18911"/>
    <cellStyle name="Note 14 3 2 5 3 2 3 2" xfId="41498"/>
    <cellStyle name="Note 14 3 2 5 3 2 4" xfId="15691"/>
    <cellStyle name="Note 14 3 2 5 3 2 4 2" xfId="38278"/>
    <cellStyle name="Note 14 3 2 5 3 2 5" xfId="9251"/>
    <cellStyle name="Note 14 3 2 5 3 2 5 2" xfId="31838"/>
    <cellStyle name="Note 14 3 2 5 3 2 6" xfId="25398"/>
    <cellStyle name="Note 14 3 2 5 3 3" xfId="4723"/>
    <cellStyle name="Note 14 3 2 5 3 3 2" xfId="20823"/>
    <cellStyle name="Note 14 3 2 5 3 3 2 2" xfId="43410"/>
    <cellStyle name="Note 14 3 2 5 3 3 3" xfId="11163"/>
    <cellStyle name="Note 14 3 2 5 3 3 3 2" xfId="33750"/>
    <cellStyle name="Note 14 3 2 5 3 3 4" xfId="27310"/>
    <cellStyle name="Note 14 3 2 5 3 4" xfId="17603"/>
    <cellStyle name="Note 14 3 2 5 3 4 2" xfId="40190"/>
    <cellStyle name="Note 14 3 2 5 3 5" xfId="14383"/>
    <cellStyle name="Note 14 3 2 5 3 5 2" xfId="36970"/>
    <cellStyle name="Note 14 3 2 5 3 6" xfId="7943"/>
    <cellStyle name="Note 14 3 2 5 3 6 2" xfId="30530"/>
    <cellStyle name="Note 14 3 2 5 3 7" xfId="24090"/>
    <cellStyle name="Note 14 3 2 5 4" xfId="2116"/>
    <cellStyle name="Note 14 3 2 5 4 2" xfId="5337"/>
    <cellStyle name="Note 14 3 2 5 4 2 2" xfId="21437"/>
    <cellStyle name="Note 14 3 2 5 4 2 2 2" xfId="44024"/>
    <cellStyle name="Note 14 3 2 5 4 2 3" xfId="11777"/>
    <cellStyle name="Note 14 3 2 5 4 2 3 2" xfId="34364"/>
    <cellStyle name="Note 14 3 2 5 4 2 4" xfId="27924"/>
    <cellStyle name="Note 14 3 2 5 4 3" xfId="18217"/>
    <cellStyle name="Note 14 3 2 5 4 3 2" xfId="40804"/>
    <cellStyle name="Note 14 3 2 5 4 4" xfId="14997"/>
    <cellStyle name="Note 14 3 2 5 4 4 2" xfId="37584"/>
    <cellStyle name="Note 14 3 2 5 4 5" xfId="8557"/>
    <cellStyle name="Note 14 3 2 5 4 5 2" xfId="31144"/>
    <cellStyle name="Note 14 3 2 5 4 6" xfId="24704"/>
    <cellStyle name="Note 14 3 2 5 5" xfId="4029"/>
    <cellStyle name="Note 14 3 2 5 5 2" xfId="20129"/>
    <cellStyle name="Note 14 3 2 5 5 2 2" xfId="42716"/>
    <cellStyle name="Note 14 3 2 5 5 3" xfId="10469"/>
    <cellStyle name="Note 14 3 2 5 5 3 2" xfId="33056"/>
    <cellStyle name="Note 14 3 2 5 5 4" xfId="26616"/>
    <cellStyle name="Note 14 3 2 5 6" xfId="16909"/>
    <cellStyle name="Note 14 3 2 5 6 2" xfId="39496"/>
    <cellStyle name="Note 14 3 2 5 7" xfId="13689"/>
    <cellStyle name="Note 14 3 2 5 7 2" xfId="36276"/>
    <cellStyle name="Note 14 3 2 5 8" xfId="7249"/>
    <cellStyle name="Note 14 3 2 5 8 2" xfId="29836"/>
    <cellStyle name="Note 14 3 2 5 9" xfId="23396"/>
    <cellStyle name="Note 14 3 2 6" xfId="867"/>
    <cellStyle name="Note 14 3 2 6 2" xfId="2186"/>
    <cellStyle name="Note 14 3 2 6 2 2" xfId="5407"/>
    <cellStyle name="Note 14 3 2 6 2 2 2" xfId="21507"/>
    <cellStyle name="Note 14 3 2 6 2 2 2 2" xfId="44094"/>
    <cellStyle name="Note 14 3 2 6 2 2 3" xfId="11847"/>
    <cellStyle name="Note 14 3 2 6 2 2 3 2" xfId="34434"/>
    <cellStyle name="Note 14 3 2 6 2 2 4" xfId="27994"/>
    <cellStyle name="Note 14 3 2 6 2 3" xfId="18287"/>
    <cellStyle name="Note 14 3 2 6 2 3 2" xfId="40874"/>
    <cellStyle name="Note 14 3 2 6 2 4" xfId="15067"/>
    <cellStyle name="Note 14 3 2 6 2 4 2" xfId="37654"/>
    <cellStyle name="Note 14 3 2 6 2 5" xfId="8627"/>
    <cellStyle name="Note 14 3 2 6 2 5 2" xfId="31214"/>
    <cellStyle name="Note 14 3 2 6 2 6" xfId="24774"/>
    <cellStyle name="Note 14 3 2 6 3" xfId="4099"/>
    <cellStyle name="Note 14 3 2 6 3 2" xfId="20199"/>
    <cellStyle name="Note 14 3 2 6 3 2 2" xfId="42786"/>
    <cellStyle name="Note 14 3 2 6 3 3" xfId="10539"/>
    <cellStyle name="Note 14 3 2 6 3 3 2" xfId="33126"/>
    <cellStyle name="Note 14 3 2 6 3 4" xfId="26686"/>
    <cellStyle name="Note 14 3 2 6 4" xfId="16979"/>
    <cellStyle name="Note 14 3 2 6 4 2" xfId="39566"/>
    <cellStyle name="Note 14 3 2 6 5" xfId="13759"/>
    <cellStyle name="Note 14 3 2 6 5 2" xfId="36346"/>
    <cellStyle name="Note 14 3 2 6 6" xfId="7319"/>
    <cellStyle name="Note 14 3 2 6 6 2" xfId="29906"/>
    <cellStyle name="Note 14 3 2 6 7" xfId="23466"/>
    <cellStyle name="Note 14 3 2 7" xfId="1219"/>
    <cellStyle name="Note 14 3 2 7 2" xfId="2533"/>
    <cellStyle name="Note 14 3 2 7 2 2" xfId="5754"/>
    <cellStyle name="Note 14 3 2 7 2 2 2" xfId="21854"/>
    <cellStyle name="Note 14 3 2 7 2 2 2 2" xfId="44441"/>
    <cellStyle name="Note 14 3 2 7 2 2 3" xfId="12194"/>
    <cellStyle name="Note 14 3 2 7 2 2 3 2" xfId="34781"/>
    <cellStyle name="Note 14 3 2 7 2 2 4" xfId="28341"/>
    <cellStyle name="Note 14 3 2 7 2 3" xfId="18634"/>
    <cellStyle name="Note 14 3 2 7 2 3 2" xfId="41221"/>
    <cellStyle name="Note 14 3 2 7 2 4" xfId="15414"/>
    <cellStyle name="Note 14 3 2 7 2 4 2" xfId="38001"/>
    <cellStyle name="Note 14 3 2 7 2 5" xfId="8974"/>
    <cellStyle name="Note 14 3 2 7 2 5 2" xfId="31561"/>
    <cellStyle name="Note 14 3 2 7 2 6" xfId="25121"/>
    <cellStyle name="Note 14 3 2 7 3" xfId="4446"/>
    <cellStyle name="Note 14 3 2 7 3 2" xfId="20546"/>
    <cellStyle name="Note 14 3 2 7 3 2 2" xfId="43133"/>
    <cellStyle name="Note 14 3 2 7 3 3" xfId="10886"/>
    <cellStyle name="Note 14 3 2 7 3 3 2" xfId="33473"/>
    <cellStyle name="Note 14 3 2 7 3 4" xfId="27033"/>
    <cellStyle name="Note 14 3 2 7 4" xfId="17326"/>
    <cellStyle name="Note 14 3 2 7 4 2" xfId="39913"/>
    <cellStyle name="Note 14 3 2 7 5" xfId="14106"/>
    <cellStyle name="Note 14 3 2 7 5 2" xfId="36693"/>
    <cellStyle name="Note 14 3 2 7 6" xfId="7666"/>
    <cellStyle name="Note 14 3 2 7 6 2" xfId="30253"/>
    <cellStyle name="Note 14 3 2 7 7" xfId="23813"/>
    <cellStyle name="Note 14 3 2 8" xfId="1786"/>
    <cellStyle name="Note 14 3 2 8 2" xfId="5009"/>
    <cellStyle name="Note 14 3 2 8 2 2" xfId="21109"/>
    <cellStyle name="Note 14 3 2 8 2 2 2" xfId="43696"/>
    <cellStyle name="Note 14 3 2 8 2 3" xfId="11449"/>
    <cellStyle name="Note 14 3 2 8 2 3 2" xfId="34036"/>
    <cellStyle name="Note 14 3 2 8 2 4" xfId="27596"/>
    <cellStyle name="Note 14 3 2 8 3" xfId="17889"/>
    <cellStyle name="Note 14 3 2 8 3 2" xfId="40476"/>
    <cellStyle name="Note 14 3 2 8 4" xfId="14669"/>
    <cellStyle name="Note 14 3 2 8 4 2" xfId="37256"/>
    <cellStyle name="Note 14 3 2 8 5" xfId="8229"/>
    <cellStyle name="Note 14 3 2 8 5 2" xfId="30816"/>
    <cellStyle name="Note 14 3 2 8 6" xfId="24376"/>
    <cellStyle name="Note 14 3 2 9" xfId="1838"/>
    <cellStyle name="Note 14 3 2 9 2" xfId="5060"/>
    <cellStyle name="Note 14 3 2 9 2 2" xfId="21160"/>
    <cellStyle name="Note 14 3 2 9 2 2 2" xfId="43747"/>
    <cellStyle name="Note 14 3 2 9 2 3" xfId="11500"/>
    <cellStyle name="Note 14 3 2 9 2 3 2" xfId="34087"/>
    <cellStyle name="Note 14 3 2 9 2 4" xfId="27647"/>
    <cellStyle name="Note 14 3 2 9 3" xfId="17940"/>
    <cellStyle name="Note 14 3 2 9 3 2" xfId="40527"/>
    <cellStyle name="Note 14 3 2 9 4" xfId="14720"/>
    <cellStyle name="Note 14 3 2 9 4 2" xfId="37307"/>
    <cellStyle name="Note 14 3 2 9 5" xfId="8280"/>
    <cellStyle name="Note 14 3 2 9 5 2" xfId="30867"/>
    <cellStyle name="Note 14 3 2 9 6" xfId="24427"/>
    <cellStyle name="Note 14 3 3" xfId="144"/>
    <cellStyle name="Note 14 3 3 10" xfId="482"/>
    <cellStyle name="Note 14 3 3 10 2" xfId="3769"/>
    <cellStyle name="Note 14 3 3 10 2 2" xfId="19869"/>
    <cellStyle name="Note 14 3 3 10 2 2 2" xfId="42456"/>
    <cellStyle name="Note 14 3 3 10 2 3" xfId="10209"/>
    <cellStyle name="Note 14 3 3 10 2 3 2" xfId="32796"/>
    <cellStyle name="Note 14 3 3 10 2 4" xfId="26356"/>
    <cellStyle name="Note 14 3 3 10 3" xfId="16649"/>
    <cellStyle name="Note 14 3 3 10 3 2" xfId="39236"/>
    <cellStyle name="Note 14 3 3 10 4" xfId="13429"/>
    <cellStyle name="Note 14 3 3 10 4 2" xfId="36016"/>
    <cellStyle name="Note 14 3 3 10 5" xfId="6989"/>
    <cellStyle name="Note 14 3 3 10 5 2" xfId="29576"/>
    <cellStyle name="Note 14 3 3 10 6" xfId="23136"/>
    <cellStyle name="Note 14 3 3 11" xfId="3479"/>
    <cellStyle name="Note 14 3 3 11 2" xfId="19579"/>
    <cellStyle name="Note 14 3 3 11 2 2" xfId="42166"/>
    <cellStyle name="Note 14 3 3 11 3" xfId="9919"/>
    <cellStyle name="Note 14 3 3 11 3 2" xfId="32506"/>
    <cellStyle name="Note 14 3 3 11 4" xfId="26066"/>
    <cellStyle name="Note 14 3 3 12" xfId="16359"/>
    <cellStyle name="Note 14 3 3 12 2" xfId="38946"/>
    <cellStyle name="Note 14 3 3 13" xfId="13139"/>
    <cellStyle name="Note 14 3 3 13 2" xfId="35726"/>
    <cellStyle name="Note 14 3 3 14" xfId="6699"/>
    <cellStyle name="Note 14 3 3 14 2" xfId="29286"/>
    <cellStyle name="Note 14 3 3 15" xfId="22846"/>
    <cellStyle name="Note 14 3 3 2" xfId="290"/>
    <cellStyle name="Note 14 3 3 2 10" xfId="16457"/>
    <cellStyle name="Note 14 3 3 2 10 2" xfId="39044"/>
    <cellStyle name="Note 14 3 3 2 11" xfId="13237"/>
    <cellStyle name="Note 14 3 3 2 11 2" xfId="35824"/>
    <cellStyle name="Note 14 3 3 2 12" xfId="6797"/>
    <cellStyle name="Note 14 3 3 2 12 2" xfId="29384"/>
    <cellStyle name="Note 14 3 3 2 13" xfId="22944"/>
    <cellStyle name="Note 14 3 3 2 2" xfId="1008"/>
    <cellStyle name="Note 14 3 3 2 2 2" xfId="2322"/>
    <cellStyle name="Note 14 3 3 2 2 2 2" xfId="5543"/>
    <cellStyle name="Note 14 3 3 2 2 2 2 2" xfId="21643"/>
    <cellStyle name="Note 14 3 3 2 2 2 2 2 2" xfId="44230"/>
    <cellStyle name="Note 14 3 3 2 2 2 2 3" xfId="11983"/>
    <cellStyle name="Note 14 3 3 2 2 2 2 3 2" xfId="34570"/>
    <cellStyle name="Note 14 3 3 2 2 2 2 4" xfId="28130"/>
    <cellStyle name="Note 14 3 3 2 2 2 3" xfId="18423"/>
    <cellStyle name="Note 14 3 3 2 2 2 3 2" xfId="41010"/>
    <cellStyle name="Note 14 3 3 2 2 2 4" xfId="15203"/>
    <cellStyle name="Note 14 3 3 2 2 2 4 2" xfId="37790"/>
    <cellStyle name="Note 14 3 3 2 2 2 5" xfId="8763"/>
    <cellStyle name="Note 14 3 3 2 2 2 5 2" xfId="31350"/>
    <cellStyle name="Note 14 3 3 2 2 2 6" xfId="24910"/>
    <cellStyle name="Note 14 3 3 2 2 3" xfId="4235"/>
    <cellStyle name="Note 14 3 3 2 2 3 2" xfId="20335"/>
    <cellStyle name="Note 14 3 3 2 2 3 2 2" xfId="42922"/>
    <cellStyle name="Note 14 3 3 2 2 3 3" xfId="10675"/>
    <cellStyle name="Note 14 3 3 2 2 3 3 2" xfId="33262"/>
    <cellStyle name="Note 14 3 3 2 2 3 4" xfId="26822"/>
    <cellStyle name="Note 14 3 3 2 2 4" xfId="17115"/>
    <cellStyle name="Note 14 3 3 2 2 4 2" xfId="39702"/>
    <cellStyle name="Note 14 3 3 2 2 5" xfId="13895"/>
    <cellStyle name="Note 14 3 3 2 2 5 2" xfId="36482"/>
    <cellStyle name="Note 14 3 3 2 2 6" xfId="7455"/>
    <cellStyle name="Note 14 3 3 2 2 6 2" xfId="30042"/>
    <cellStyle name="Note 14 3 3 2 2 7" xfId="23602"/>
    <cellStyle name="Note 14 3 3 2 3" xfId="1355"/>
    <cellStyle name="Note 14 3 3 2 3 2" xfId="2669"/>
    <cellStyle name="Note 14 3 3 2 3 2 2" xfId="5890"/>
    <cellStyle name="Note 14 3 3 2 3 2 2 2" xfId="21990"/>
    <cellStyle name="Note 14 3 3 2 3 2 2 2 2" xfId="44577"/>
    <cellStyle name="Note 14 3 3 2 3 2 2 3" xfId="12330"/>
    <cellStyle name="Note 14 3 3 2 3 2 2 3 2" xfId="34917"/>
    <cellStyle name="Note 14 3 3 2 3 2 2 4" xfId="28477"/>
    <cellStyle name="Note 14 3 3 2 3 2 3" xfId="18770"/>
    <cellStyle name="Note 14 3 3 2 3 2 3 2" xfId="41357"/>
    <cellStyle name="Note 14 3 3 2 3 2 4" xfId="15550"/>
    <cellStyle name="Note 14 3 3 2 3 2 4 2" xfId="38137"/>
    <cellStyle name="Note 14 3 3 2 3 2 5" xfId="9110"/>
    <cellStyle name="Note 14 3 3 2 3 2 5 2" xfId="31697"/>
    <cellStyle name="Note 14 3 3 2 3 2 6" xfId="25257"/>
    <cellStyle name="Note 14 3 3 2 3 3" xfId="4582"/>
    <cellStyle name="Note 14 3 3 2 3 3 2" xfId="20682"/>
    <cellStyle name="Note 14 3 3 2 3 3 2 2" xfId="43269"/>
    <cellStyle name="Note 14 3 3 2 3 3 3" xfId="11022"/>
    <cellStyle name="Note 14 3 3 2 3 3 3 2" xfId="33609"/>
    <cellStyle name="Note 14 3 3 2 3 3 4" xfId="27169"/>
    <cellStyle name="Note 14 3 3 2 3 4" xfId="17462"/>
    <cellStyle name="Note 14 3 3 2 3 4 2" xfId="40049"/>
    <cellStyle name="Note 14 3 3 2 3 5" xfId="14242"/>
    <cellStyle name="Note 14 3 3 2 3 5 2" xfId="36829"/>
    <cellStyle name="Note 14 3 3 2 3 6" xfId="7802"/>
    <cellStyle name="Note 14 3 3 2 3 6 2" xfId="30389"/>
    <cellStyle name="Note 14 3 3 2 3 7" xfId="23949"/>
    <cellStyle name="Note 14 3 3 2 4" xfId="1787"/>
    <cellStyle name="Note 14 3 3 2 4 2" xfId="5010"/>
    <cellStyle name="Note 14 3 3 2 4 2 2" xfId="21110"/>
    <cellStyle name="Note 14 3 3 2 4 2 2 2" xfId="43697"/>
    <cellStyle name="Note 14 3 3 2 4 2 3" xfId="11450"/>
    <cellStyle name="Note 14 3 3 2 4 2 3 2" xfId="34037"/>
    <cellStyle name="Note 14 3 3 2 4 2 4" xfId="27597"/>
    <cellStyle name="Note 14 3 3 2 4 3" xfId="17890"/>
    <cellStyle name="Note 14 3 3 2 4 3 2" xfId="40477"/>
    <cellStyle name="Note 14 3 3 2 4 4" xfId="14670"/>
    <cellStyle name="Note 14 3 3 2 4 4 2" xfId="37257"/>
    <cellStyle name="Note 14 3 3 2 4 5" xfId="8230"/>
    <cellStyle name="Note 14 3 3 2 4 5 2" xfId="30817"/>
    <cellStyle name="Note 14 3 3 2 4 6" xfId="24377"/>
    <cellStyle name="Note 14 3 3 2 5" xfId="1974"/>
    <cellStyle name="Note 14 3 3 2 5 2" xfId="5196"/>
    <cellStyle name="Note 14 3 3 2 5 2 2" xfId="21296"/>
    <cellStyle name="Note 14 3 3 2 5 2 2 2" xfId="43883"/>
    <cellStyle name="Note 14 3 3 2 5 2 3" xfId="11636"/>
    <cellStyle name="Note 14 3 3 2 5 2 3 2" xfId="34223"/>
    <cellStyle name="Note 14 3 3 2 5 2 4" xfId="27783"/>
    <cellStyle name="Note 14 3 3 2 5 3" xfId="18076"/>
    <cellStyle name="Note 14 3 3 2 5 3 2" xfId="40663"/>
    <cellStyle name="Note 14 3 3 2 5 4" xfId="14856"/>
    <cellStyle name="Note 14 3 3 2 5 4 2" xfId="37443"/>
    <cellStyle name="Note 14 3 3 2 5 5" xfId="8416"/>
    <cellStyle name="Note 14 3 3 2 5 5 2" xfId="31003"/>
    <cellStyle name="Note 14 3 3 2 5 6" xfId="24563"/>
    <cellStyle name="Note 14 3 3 2 6" xfId="2997"/>
    <cellStyle name="Note 14 3 3 2 6 2" xfId="6217"/>
    <cellStyle name="Note 14 3 3 2 6 2 2" xfId="22317"/>
    <cellStyle name="Note 14 3 3 2 6 2 2 2" xfId="44904"/>
    <cellStyle name="Note 14 3 3 2 6 2 3" xfId="12657"/>
    <cellStyle name="Note 14 3 3 2 6 2 3 2" xfId="35244"/>
    <cellStyle name="Note 14 3 3 2 6 2 4" xfId="28804"/>
    <cellStyle name="Note 14 3 3 2 6 3" xfId="19097"/>
    <cellStyle name="Note 14 3 3 2 6 3 2" xfId="41684"/>
    <cellStyle name="Note 14 3 3 2 6 4" xfId="15877"/>
    <cellStyle name="Note 14 3 3 2 6 4 2" xfId="38464"/>
    <cellStyle name="Note 14 3 3 2 6 5" xfId="9437"/>
    <cellStyle name="Note 14 3 3 2 6 5 2" xfId="32024"/>
    <cellStyle name="Note 14 3 3 2 6 6" xfId="25584"/>
    <cellStyle name="Note 14 3 3 2 7" xfId="3287"/>
    <cellStyle name="Note 14 3 3 2 7 2" xfId="6507"/>
    <cellStyle name="Note 14 3 3 2 7 2 2" xfId="22607"/>
    <cellStyle name="Note 14 3 3 2 7 2 2 2" xfId="45194"/>
    <cellStyle name="Note 14 3 3 2 7 2 3" xfId="12947"/>
    <cellStyle name="Note 14 3 3 2 7 2 3 2" xfId="35534"/>
    <cellStyle name="Note 14 3 3 2 7 2 4" xfId="29094"/>
    <cellStyle name="Note 14 3 3 2 7 3" xfId="19387"/>
    <cellStyle name="Note 14 3 3 2 7 3 2" xfId="41974"/>
    <cellStyle name="Note 14 3 3 2 7 4" xfId="16167"/>
    <cellStyle name="Note 14 3 3 2 7 4 2" xfId="38754"/>
    <cellStyle name="Note 14 3 3 2 7 5" xfId="9727"/>
    <cellStyle name="Note 14 3 3 2 7 5 2" xfId="32314"/>
    <cellStyle name="Note 14 3 3 2 7 6" xfId="25874"/>
    <cellStyle name="Note 14 3 3 2 8" xfId="644"/>
    <cellStyle name="Note 14 3 3 2 8 2" xfId="3888"/>
    <cellStyle name="Note 14 3 3 2 8 2 2" xfId="19988"/>
    <cellStyle name="Note 14 3 3 2 8 2 2 2" xfId="42575"/>
    <cellStyle name="Note 14 3 3 2 8 2 3" xfId="10328"/>
    <cellStyle name="Note 14 3 3 2 8 2 3 2" xfId="32915"/>
    <cellStyle name="Note 14 3 3 2 8 2 4" xfId="26475"/>
    <cellStyle name="Note 14 3 3 2 8 3" xfId="16768"/>
    <cellStyle name="Note 14 3 3 2 8 3 2" xfId="39355"/>
    <cellStyle name="Note 14 3 3 2 8 4" xfId="13548"/>
    <cellStyle name="Note 14 3 3 2 8 4 2" xfId="36135"/>
    <cellStyle name="Note 14 3 3 2 8 5" xfId="7108"/>
    <cellStyle name="Note 14 3 3 2 8 5 2" xfId="29695"/>
    <cellStyle name="Note 14 3 3 2 8 6" xfId="23255"/>
    <cellStyle name="Note 14 3 3 2 9" xfId="3577"/>
    <cellStyle name="Note 14 3 3 2 9 2" xfId="19677"/>
    <cellStyle name="Note 14 3 3 2 9 2 2" xfId="42264"/>
    <cellStyle name="Note 14 3 3 2 9 3" xfId="10017"/>
    <cellStyle name="Note 14 3 3 2 9 3 2" xfId="32604"/>
    <cellStyle name="Note 14 3 3 2 9 4" xfId="26164"/>
    <cellStyle name="Note 14 3 3 3" xfId="385"/>
    <cellStyle name="Note 14 3 3 3 10" xfId="16552"/>
    <cellStyle name="Note 14 3 3 3 10 2" xfId="39139"/>
    <cellStyle name="Note 14 3 3 3 11" xfId="13332"/>
    <cellStyle name="Note 14 3 3 3 11 2" xfId="35919"/>
    <cellStyle name="Note 14 3 3 3 12" xfId="6892"/>
    <cellStyle name="Note 14 3 3 3 12 2" xfId="29479"/>
    <cellStyle name="Note 14 3 3 3 13" xfId="23039"/>
    <cellStyle name="Note 14 3 3 3 2" xfId="1169"/>
    <cellStyle name="Note 14 3 3 3 2 2" xfId="2483"/>
    <cellStyle name="Note 14 3 3 3 2 2 2" xfId="5704"/>
    <cellStyle name="Note 14 3 3 3 2 2 2 2" xfId="21804"/>
    <cellStyle name="Note 14 3 3 3 2 2 2 2 2" xfId="44391"/>
    <cellStyle name="Note 14 3 3 3 2 2 2 3" xfId="12144"/>
    <cellStyle name="Note 14 3 3 3 2 2 2 3 2" xfId="34731"/>
    <cellStyle name="Note 14 3 3 3 2 2 2 4" xfId="28291"/>
    <cellStyle name="Note 14 3 3 3 2 2 3" xfId="18584"/>
    <cellStyle name="Note 14 3 3 3 2 2 3 2" xfId="41171"/>
    <cellStyle name="Note 14 3 3 3 2 2 4" xfId="15364"/>
    <cellStyle name="Note 14 3 3 3 2 2 4 2" xfId="37951"/>
    <cellStyle name="Note 14 3 3 3 2 2 5" xfId="8924"/>
    <cellStyle name="Note 14 3 3 3 2 2 5 2" xfId="31511"/>
    <cellStyle name="Note 14 3 3 3 2 2 6" xfId="25071"/>
    <cellStyle name="Note 14 3 3 3 2 3" xfId="4396"/>
    <cellStyle name="Note 14 3 3 3 2 3 2" xfId="20496"/>
    <cellStyle name="Note 14 3 3 3 2 3 2 2" xfId="43083"/>
    <cellStyle name="Note 14 3 3 3 2 3 3" xfId="10836"/>
    <cellStyle name="Note 14 3 3 3 2 3 3 2" xfId="33423"/>
    <cellStyle name="Note 14 3 3 3 2 3 4" xfId="26983"/>
    <cellStyle name="Note 14 3 3 3 2 4" xfId="17276"/>
    <cellStyle name="Note 14 3 3 3 2 4 2" xfId="39863"/>
    <cellStyle name="Note 14 3 3 3 2 5" xfId="14056"/>
    <cellStyle name="Note 14 3 3 3 2 5 2" xfId="36643"/>
    <cellStyle name="Note 14 3 3 3 2 6" xfId="7616"/>
    <cellStyle name="Note 14 3 3 3 2 6 2" xfId="30203"/>
    <cellStyle name="Note 14 3 3 3 2 7" xfId="23763"/>
    <cellStyle name="Note 14 3 3 3 3" xfId="1516"/>
    <cellStyle name="Note 14 3 3 3 3 2" xfId="2830"/>
    <cellStyle name="Note 14 3 3 3 3 2 2" xfId="6051"/>
    <cellStyle name="Note 14 3 3 3 3 2 2 2" xfId="22151"/>
    <cellStyle name="Note 14 3 3 3 3 2 2 2 2" xfId="44738"/>
    <cellStyle name="Note 14 3 3 3 3 2 2 3" xfId="12491"/>
    <cellStyle name="Note 14 3 3 3 3 2 2 3 2" xfId="35078"/>
    <cellStyle name="Note 14 3 3 3 3 2 2 4" xfId="28638"/>
    <cellStyle name="Note 14 3 3 3 3 2 3" xfId="18931"/>
    <cellStyle name="Note 14 3 3 3 3 2 3 2" xfId="41518"/>
    <cellStyle name="Note 14 3 3 3 3 2 4" xfId="15711"/>
    <cellStyle name="Note 14 3 3 3 3 2 4 2" xfId="38298"/>
    <cellStyle name="Note 14 3 3 3 3 2 5" xfId="9271"/>
    <cellStyle name="Note 14 3 3 3 3 2 5 2" xfId="31858"/>
    <cellStyle name="Note 14 3 3 3 3 2 6" xfId="25418"/>
    <cellStyle name="Note 14 3 3 3 3 3" xfId="4743"/>
    <cellStyle name="Note 14 3 3 3 3 3 2" xfId="20843"/>
    <cellStyle name="Note 14 3 3 3 3 3 2 2" xfId="43430"/>
    <cellStyle name="Note 14 3 3 3 3 3 3" xfId="11183"/>
    <cellStyle name="Note 14 3 3 3 3 3 3 2" xfId="33770"/>
    <cellStyle name="Note 14 3 3 3 3 3 4" xfId="27330"/>
    <cellStyle name="Note 14 3 3 3 3 4" xfId="17623"/>
    <cellStyle name="Note 14 3 3 3 3 4 2" xfId="40210"/>
    <cellStyle name="Note 14 3 3 3 3 5" xfId="14403"/>
    <cellStyle name="Note 14 3 3 3 3 5 2" xfId="36990"/>
    <cellStyle name="Note 14 3 3 3 3 6" xfId="7963"/>
    <cellStyle name="Note 14 3 3 3 3 6 2" xfId="30550"/>
    <cellStyle name="Note 14 3 3 3 3 7" xfId="24110"/>
    <cellStyle name="Note 14 3 3 3 4" xfId="1788"/>
    <cellStyle name="Note 14 3 3 3 4 2" xfId="5011"/>
    <cellStyle name="Note 14 3 3 3 4 2 2" xfId="21111"/>
    <cellStyle name="Note 14 3 3 3 4 2 2 2" xfId="43698"/>
    <cellStyle name="Note 14 3 3 3 4 2 3" xfId="11451"/>
    <cellStyle name="Note 14 3 3 3 4 2 3 2" xfId="34038"/>
    <cellStyle name="Note 14 3 3 3 4 2 4" xfId="27598"/>
    <cellStyle name="Note 14 3 3 3 4 3" xfId="17891"/>
    <cellStyle name="Note 14 3 3 3 4 3 2" xfId="40478"/>
    <cellStyle name="Note 14 3 3 3 4 4" xfId="14671"/>
    <cellStyle name="Note 14 3 3 3 4 4 2" xfId="37258"/>
    <cellStyle name="Note 14 3 3 3 4 5" xfId="8231"/>
    <cellStyle name="Note 14 3 3 3 4 5 2" xfId="30818"/>
    <cellStyle name="Note 14 3 3 3 4 6" xfId="24378"/>
    <cellStyle name="Note 14 3 3 3 5" xfId="2136"/>
    <cellStyle name="Note 14 3 3 3 5 2" xfId="5357"/>
    <cellStyle name="Note 14 3 3 3 5 2 2" xfId="21457"/>
    <cellStyle name="Note 14 3 3 3 5 2 2 2" xfId="44044"/>
    <cellStyle name="Note 14 3 3 3 5 2 3" xfId="11797"/>
    <cellStyle name="Note 14 3 3 3 5 2 3 2" xfId="34384"/>
    <cellStyle name="Note 14 3 3 3 5 2 4" xfId="27944"/>
    <cellStyle name="Note 14 3 3 3 5 3" xfId="18237"/>
    <cellStyle name="Note 14 3 3 3 5 3 2" xfId="40824"/>
    <cellStyle name="Note 14 3 3 3 5 4" xfId="15017"/>
    <cellStyle name="Note 14 3 3 3 5 4 2" xfId="37604"/>
    <cellStyle name="Note 14 3 3 3 5 5" xfId="8577"/>
    <cellStyle name="Note 14 3 3 3 5 5 2" xfId="31164"/>
    <cellStyle name="Note 14 3 3 3 5 6" xfId="24724"/>
    <cellStyle name="Note 14 3 3 3 6" xfId="3092"/>
    <cellStyle name="Note 14 3 3 3 6 2" xfId="6312"/>
    <cellStyle name="Note 14 3 3 3 6 2 2" xfId="22412"/>
    <cellStyle name="Note 14 3 3 3 6 2 2 2" xfId="44999"/>
    <cellStyle name="Note 14 3 3 3 6 2 3" xfId="12752"/>
    <cellStyle name="Note 14 3 3 3 6 2 3 2" xfId="35339"/>
    <cellStyle name="Note 14 3 3 3 6 2 4" xfId="28899"/>
    <cellStyle name="Note 14 3 3 3 6 3" xfId="19192"/>
    <cellStyle name="Note 14 3 3 3 6 3 2" xfId="41779"/>
    <cellStyle name="Note 14 3 3 3 6 4" xfId="15972"/>
    <cellStyle name="Note 14 3 3 3 6 4 2" xfId="38559"/>
    <cellStyle name="Note 14 3 3 3 6 5" xfId="9532"/>
    <cellStyle name="Note 14 3 3 3 6 5 2" xfId="32119"/>
    <cellStyle name="Note 14 3 3 3 6 6" xfId="25679"/>
    <cellStyle name="Note 14 3 3 3 7" xfId="3382"/>
    <cellStyle name="Note 14 3 3 3 7 2" xfId="6602"/>
    <cellStyle name="Note 14 3 3 3 7 2 2" xfId="22702"/>
    <cellStyle name="Note 14 3 3 3 7 2 2 2" xfId="45289"/>
    <cellStyle name="Note 14 3 3 3 7 2 3" xfId="13042"/>
    <cellStyle name="Note 14 3 3 3 7 2 3 2" xfId="35629"/>
    <cellStyle name="Note 14 3 3 3 7 2 4" xfId="29189"/>
    <cellStyle name="Note 14 3 3 3 7 3" xfId="19482"/>
    <cellStyle name="Note 14 3 3 3 7 3 2" xfId="42069"/>
    <cellStyle name="Note 14 3 3 3 7 4" xfId="16262"/>
    <cellStyle name="Note 14 3 3 3 7 4 2" xfId="38849"/>
    <cellStyle name="Note 14 3 3 3 7 5" xfId="9822"/>
    <cellStyle name="Note 14 3 3 3 7 5 2" xfId="32409"/>
    <cellStyle name="Note 14 3 3 3 7 6" xfId="25969"/>
    <cellStyle name="Note 14 3 3 3 8" xfId="817"/>
    <cellStyle name="Note 14 3 3 3 8 2" xfId="4049"/>
    <cellStyle name="Note 14 3 3 3 8 2 2" xfId="20149"/>
    <cellStyle name="Note 14 3 3 3 8 2 2 2" xfId="42736"/>
    <cellStyle name="Note 14 3 3 3 8 2 3" xfId="10489"/>
    <cellStyle name="Note 14 3 3 3 8 2 3 2" xfId="33076"/>
    <cellStyle name="Note 14 3 3 3 8 2 4" xfId="26636"/>
    <cellStyle name="Note 14 3 3 3 8 3" xfId="16929"/>
    <cellStyle name="Note 14 3 3 3 8 3 2" xfId="39516"/>
    <cellStyle name="Note 14 3 3 3 8 4" xfId="13709"/>
    <cellStyle name="Note 14 3 3 3 8 4 2" xfId="36296"/>
    <cellStyle name="Note 14 3 3 3 8 5" xfId="7269"/>
    <cellStyle name="Note 14 3 3 3 8 5 2" xfId="29856"/>
    <cellStyle name="Note 14 3 3 3 8 6" xfId="23416"/>
    <cellStyle name="Note 14 3 3 3 9" xfId="3672"/>
    <cellStyle name="Note 14 3 3 3 9 2" xfId="19772"/>
    <cellStyle name="Note 14 3 3 3 9 2 2" xfId="42359"/>
    <cellStyle name="Note 14 3 3 3 9 3" xfId="10112"/>
    <cellStyle name="Note 14 3 3 3 9 3 2" xfId="32699"/>
    <cellStyle name="Note 14 3 3 3 9 4" xfId="26259"/>
    <cellStyle name="Note 14 3 3 4" xfId="884"/>
    <cellStyle name="Note 14 3 3 4 2" xfId="2203"/>
    <cellStyle name="Note 14 3 3 4 2 2" xfId="5424"/>
    <cellStyle name="Note 14 3 3 4 2 2 2" xfId="21524"/>
    <cellStyle name="Note 14 3 3 4 2 2 2 2" xfId="44111"/>
    <cellStyle name="Note 14 3 3 4 2 2 3" xfId="11864"/>
    <cellStyle name="Note 14 3 3 4 2 2 3 2" xfId="34451"/>
    <cellStyle name="Note 14 3 3 4 2 2 4" xfId="28011"/>
    <cellStyle name="Note 14 3 3 4 2 3" xfId="18304"/>
    <cellStyle name="Note 14 3 3 4 2 3 2" xfId="40891"/>
    <cellStyle name="Note 14 3 3 4 2 4" xfId="15084"/>
    <cellStyle name="Note 14 3 3 4 2 4 2" xfId="37671"/>
    <cellStyle name="Note 14 3 3 4 2 5" xfId="8644"/>
    <cellStyle name="Note 14 3 3 4 2 5 2" xfId="31231"/>
    <cellStyle name="Note 14 3 3 4 2 6" xfId="24791"/>
    <cellStyle name="Note 14 3 3 4 3" xfId="4116"/>
    <cellStyle name="Note 14 3 3 4 3 2" xfId="20216"/>
    <cellStyle name="Note 14 3 3 4 3 2 2" xfId="42803"/>
    <cellStyle name="Note 14 3 3 4 3 3" xfId="10556"/>
    <cellStyle name="Note 14 3 3 4 3 3 2" xfId="33143"/>
    <cellStyle name="Note 14 3 3 4 3 4" xfId="26703"/>
    <cellStyle name="Note 14 3 3 4 4" xfId="16996"/>
    <cellStyle name="Note 14 3 3 4 4 2" xfId="39583"/>
    <cellStyle name="Note 14 3 3 4 5" xfId="13776"/>
    <cellStyle name="Note 14 3 3 4 5 2" xfId="36363"/>
    <cellStyle name="Note 14 3 3 4 6" xfId="7336"/>
    <cellStyle name="Note 14 3 3 4 6 2" xfId="29923"/>
    <cellStyle name="Note 14 3 3 4 7" xfId="23483"/>
    <cellStyle name="Note 14 3 3 5" xfId="1236"/>
    <cellStyle name="Note 14 3 3 5 2" xfId="2550"/>
    <cellStyle name="Note 14 3 3 5 2 2" xfId="5771"/>
    <cellStyle name="Note 14 3 3 5 2 2 2" xfId="21871"/>
    <cellStyle name="Note 14 3 3 5 2 2 2 2" xfId="44458"/>
    <cellStyle name="Note 14 3 3 5 2 2 3" xfId="12211"/>
    <cellStyle name="Note 14 3 3 5 2 2 3 2" xfId="34798"/>
    <cellStyle name="Note 14 3 3 5 2 2 4" xfId="28358"/>
    <cellStyle name="Note 14 3 3 5 2 3" xfId="18651"/>
    <cellStyle name="Note 14 3 3 5 2 3 2" xfId="41238"/>
    <cellStyle name="Note 14 3 3 5 2 4" xfId="15431"/>
    <cellStyle name="Note 14 3 3 5 2 4 2" xfId="38018"/>
    <cellStyle name="Note 14 3 3 5 2 5" xfId="8991"/>
    <cellStyle name="Note 14 3 3 5 2 5 2" xfId="31578"/>
    <cellStyle name="Note 14 3 3 5 2 6" xfId="25138"/>
    <cellStyle name="Note 14 3 3 5 3" xfId="4463"/>
    <cellStyle name="Note 14 3 3 5 3 2" xfId="20563"/>
    <cellStyle name="Note 14 3 3 5 3 2 2" xfId="43150"/>
    <cellStyle name="Note 14 3 3 5 3 3" xfId="10903"/>
    <cellStyle name="Note 14 3 3 5 3 3 2" xfId="33490"/>
    <cellStyle name="Note 14 3 3 5 3 4" xfId="27050"/>
    <cellStyle name="Note 14 3 3 5 4" xfId="17343"/>
    <cellStyle name="Note 14 3 3 5 4 2" xfId="39930"/>
    <cellStyle name="Note 14 3 3 5 5" xfId="14123"/>
    <cellStyle name="Note 14 3 3 5 5 2" xfId="36710"/>
    <cellStyle name="Note 14 3 3 5 6" xfId="7683"/>
    <cellStyle name="Note 14 3 3 5 6 2" xfId="30270"/>
    <cellStyle name="Note 14 3 3 5 7" xfId="23830"/>
    <cellStyle name="Note 14 3 3 6" xfId="1789"/>
    <cellStyle name="Note 14 3 3 6 2" xfId="5012"/>
    <cellStyle name="Note 14 3 3 6 2 2" xfId="21112"/>
    <cellStyle name="Note 14 3 3 6 2 2 2" xfId="43699"/>
    <cellStyle name="Note 14 3 3 6 2 3" xfId="11452"/>
    <cellStyle name="Note 14 3 3 6 2 3 2" xfId="34039"/>
    <cellStyle name="Note 14 3 3 6 2 4" xfId="27599"/>
    <cellStyle name="Note 14 3 3 6 3" xfId="17892"/>
    <cellStyle name="Note 14 3 3 6 3 2" xfId="40479"/>
    <cellStyle name="Note 14 3 3 6 4" xfId="14672"/>
    <cellStyle name="Note 14 3 3 6 4 2" xfId="37259"/>
    <cellStyle name="Note 14 3 3 6 5" xfId="8232"/>
    <cellStyle name="Note 14 3 3 6 5 2" xfId="30819"/>
    <cellStyle name="Note 14 3 3 6 6" xfId="24379"/>
    <cellStyle name="Note 14 3 3 7" xfId="1855"/>
    <cellStyle name="Note 14 3 3 7 2" xfId="5077"/>
    <cellStyle name="Note 14 3 3 7 2 2" xfId="21177"/>
    <cellStyle name="Note 14 3 3 7 2 2 2" xfId="43764"/>
    <cellStyle name="Note 14 3 3 7 2 3" xfId="11517"/>
    <cellStyle name="Note 14 3 3 7 2 3 2" xfId="34104"/>
    <cellStyle name="Note 14 3 3 7 2 4" xfId="27664"/>
    <cellStyle name="Note 14 3 3 7 3" xfId="17957"/>
    <cellStyle name="Note 14 3 3 7 3 2" xfId="40544"/>
    <cellStyle name="Note 14 3 3 7 4" xfId="14737"/>
    <cellStyle name="Note 14 3 3 7 4 2" xfId="37324"/>
    <cellStyle name="Note 14 3 3 7 5" xfId="8297"/>
    <cellStyle name="Note 14 3 3 7 5 2" xfId="30884"/>
    <cellStyle name="Note 14 3 3 7 6" xfId="24444"/>
    <cellStyle name="Note 14 3 3 8" xfId="2898"/>
    <cellStyle name="Note 14 3 3 8 2" xfId="6119"/>
    <cellStyle name="Note 14 3 3 8 2 2" xfId="22219"/>
    <cellStyle name="Note 14 3 3 8 2 2 2" xfId="44806"/>
    <cellStyle name="Note 14 3 3 8 2 3" xfId="12559"/>
    <cellStyle name="Note 14 3 3 8 2 3 2" xfId="35146"/>
    <cellStyle name="Note 14 3 3 8 2 4" xfId="28706"/>
    <cellStyle name="Note 14 3 3 8 3" xfId="18999"/>
    <cellStyle name="Note 14 3 3 8 3 2" xfId="41586"/>
    <cellStyle name="Note 14 3 3 8 4" xfId="15779"/>
    <cellStyle name="Note 14 3 3 8 4 2" xfId="38366"/>
    <cellStyle name="Note 14 3 3 8 5" xfId="9339"/>
    <cellStyle name="Note 14 3 3 8 5 2" xfId="31926"/>
    <cellStyle name="Note 14 3 3 8 6" xfId="25486"/>
    <cellStyle name="Note 14 3 3 9" xfId="3189"/>
    <cellStyle name="Note 14 3 3 9 2" xfId="6409"/>
    <cellStyle name="Note 14 3 3 9 2 2" xfId="22509"/>
    <cellStyle name="Note 14 3 3 9 2 2 2" xfId="45096"/>
    <cellStyle name="Note 14 3 3 9 2 3" xfId="12849"/>
    <cellStyle name="Note 14 3 3 9 2 3 2" xfId="35436"/>
    <cellStyle name="Note 14 3 3 9 2 4" xfId="28996"/>
    <cellStyle name="Note 14 3 3 9 3" xfId="19289"/>
    <cellStyle name="Note 14 3 3 9 3 2" xfId="41876"/>
    <cellStyle name="Note 14 3 3 9 4" xfId="16069"/>
    <cellStyle name="Note 14 3 3 9 4 2" xfId="38656"/>
    <cellStyle name="Note 14 3 3 9 5" xfId="9629"/>
    <cellStyle name="Note 14 3 3 9 5 2" xfId="32216"/>
    <cellStyle name="Note 14 3 3 9 6" xfId="25776"/>
    <cellStyle name="Note 14 3 4" xfId="235"/>
    <cellStyle name="Note 14 3 4 10" xfId="522"/>
    <cellStyle name="Note 14 3 4 10 2" xfId="3809"/>
    <cellStyle name="Note 14 3 4 10 2 2" xfId="19909"/>
    <cellStyle name="Note 14 3 4 10 2 2 2" xfId="42496"/>
    <cellStyle name="Note 14 3 4 10 2 3" xfId="10249"/>
    <cellStyle name="Note 14 3 4 10 2 3 2" xfId="32836"/>
    <cellStyle name="Note 14 3 4 10 2 4" xfId="26396"/>
    <cellStyle name="Note 14 3 4 10 3" xfId="16689"/>
    <cellStyle name="Note 14 3 4 10 3 2" xfId="39276"/>
    <cellStyle name="Note 14 3 4 10 4" xfId="13469"/>
    <cellStyle name="Note 14 3 4 10 4 2" xfId="36056"/>
    <cellStyle name="Note 14 3 4 10 5" xfId="7029"/>
    <cellStyle name="Note 14 3 4 10 5 2" xfId="29616"/>
    <cellStyle name="Note 14 3 4 10 6" xfId="23176"/>
    <cellStyle name="Note 14 3 4 11" xfId="3523"/>
    <cellStyle name="Note 14 3 4 11 2" xfId="19623"/>
    <cellStyle name="Note 14 3 4 11 2 2" xfId="42210"/>
    <cellStyle name="Note 14 3 4 11 3" xfId="9963"/>
    <cellStyle name="Note 14 3 4 11 3 2" xfId="32550"/>
    <cellStyle name="Note 14 3 4 11 4" xfId="26110"/>
    <cellStyle name="Note 14 3 4 12" xfId="16403"/>
    <cellStyle name="Note 14 3 4 12 2" xfId="38990"/>
    <cellStyle name="Note 14 3 4 13" xfId="13183"/>
    <cellStyle name="Note 14 3 4 13 2" xfId="35770"/>
    <cellStyle name="Note 14 3 4 14" xfId="6743"/>
    <cellStyle name="Note 14 3 4 14 2" xfId="29330"/>
    <cellStyle name="Note 14 3 4 15" xfId="22890"/>
    <cellStyle name="Note 14 3 4 2" xfId="333"/>
    <cellStyle name="Note 14 3 4 2 10" xfId="16500"/>
    <cellStyle name="Note 14 3 4 2 10 2" xfId="39087"/>
    <cellStyle name="Note 14 3 4 2 11" xfId="13280"/>
    <cellStyle name="Note 14 3 4 2 11 2" xfId="35867"/>
    <cellStyle name="Note 14 3 4 2 12" xfId="6840"/>
    <cellStyle name="Note 14 3 4 2 12 2" xfId="29427"/>
    <cellStyle name="Note 14 3 4 2 13" xfId="22987"/>
    <cellStyle name="Note 14 3 4 2 2" xfId="1045"/>
    <cellStyle name="Note 14 3 4 2 2 2" xfId="2359"/>
    <cellStyle name="Note 14 3 4 2 2 2 2" xfId="5580"/>
    <cellStyle name="Note 14 3 4 2 2 2 2 2" xfId="21680"/>
    <cellStyle name="Note 14 3 4 2 2 2 2 2 2" xfId="44267"/>
    <cellStyle name="Note 14 3 4 2 2 2 2 3" xfId="12020"/>
    <cellStyle name="Note 14 3 4 2 2 2 2 3 2" xfId="34607"/>
    <cellStyle name="Note 14 3 4 2 2 2 2 4" xfId="28167"/>
    <cellStyle name="Note 14 3 4 2 2 2 3" xfId="18460"/>
    <cellStyle name="Note 14 3 4 2 2 2 3 2" xfId="41047"/>
    <cellStyle name="Note 14 3 4 2 2 2 4" xfId="15240"/>
    <cellStyle name="Note 14 3 4 2 2 2 4 2" xfId="37827"/>
    <cellStyle name="Note 14 3 4 2 2 2 5" xfId="8800"/>
    <cellStyle name="Note 14 3 4 2 2 2 5 2" xfId="31387"/>
    <cellStyle name="Note 14 3 4 2 2 2 6" xfId="24947"/>
    <cellStyle name="Note 14 3 4 2 2 3" xfId="4272"/>
    <cellStyle name="Note 14 3 4 2 2 3 2" xfId="20372"/>
    <cellStyle name="Note 14 3 4 2 2 3 2 2" xfId="42959"/>
    <cellStyle name="Note 14 3 4 2 2 3 3" xfId="10712"/>
    <cellStyle name="Note 14 3 4 2 2 3 3 2" xfId="33299"/>
    <cellStyle name="Note 14 3 4 2 2 3 4" xfId="26859"/>
    <cellStyle name="Note 14 3 4 2 2 4" xfId="17152"/>
    <cellStyle name="Note 14 3 4 2 2 4 2" xfId="39739"/>
    <cellStyle name="Note 14 3 4 2 2 5" xfId="13932"/>
    <cellStyle name="Note 14 3 4 2 2 5 2" xfId="36519"/>
    <cellStyle name="Note 14 3 4 2 2 6" xfId="7492"/>
    <cellStyle name="Note 14 3 4 2 2 6 2" xfId="30079"/>
    <cellStyle name="Note 14 3 4 2 2 7" xfId="23639"/>
    <cellStyle name="Note 14 3 4 2 3" xfId="1392"/>
    <cellStyle name="Note 14 3 4 2 3 2" xfId="2706"/>
    <cellStyle name="Note 14 3 4 2 3 2 2" xfId="5927"/>
    <cellStyle name="Note 14 3 4 2 3 2 2 2" xfId="22027"/>
    <cellStyle name="Note 14 3 4 2 3 2 2 2 2" xfId="44614"/>
    <cellStyle name="Note 14 3 4 2 3 2 2 3" xfId="12367"/>
    <cellStyle name="Note 14 3 4 2 3 2 2 3 2" xfId="34954"/>
    <cellStyle name="Note 14 3 4 2 3 2 2 4" xfId="28514"/>
    <cellStyle name="Note 14 3 4 2 3 2 3" xfId="18807"/>
    <cellStyle name="Note 14 3 4 2 3 2 3 2" xfId="41394"/>
    <cellStyle name="Note 14 3 4 2 3 2 4" xfId="15587"/>
    <cellStyle name="Note 14 3 4 2 3 2 4 2" xfId="38174"/>
    <cellStyle name="Note 14 3 4 2 3 2 5" xfId="9147"/>
    <cellStyle name="Note 14 3 4 2 3 2 5 2" xfId="31734"/>
    <cellStyle name="Note 14 3 4 2 3 2 6" xfId="25294"/>
    <cellStyle name="Note 14 3 4 2 3 3" xfId="4619"/>
    <cellStyle name="Note 14 3 4 2 3 3 2" xfId="20719"/>
    <cellStyle name="Note 14 3 4 2 3 3 2 2" xfId="43306"/>
    <cellStyle name="Note 14 3 4 2 3 3 3" xfId="11059"/>
    <cellStyle name="Note 14 3 4 2 3 3 3 2" xfId="33646"/>
    <cellStyle name="Note 14 3 4 2 3 3 4" xfId="27206"/>
    <cellStyle name="Note 14 3 4 2 3 4" xfId="17499"/>
    <cellStyle name="Note 14 3 4 2 3 4 2" xfId="40086"/>
    <cellStyle name="Note 14 3 4 2 3 5" xfId="14279"/>
    <cellStyle name="Note 14 3 4 2 3 5 2" xfId="36866"/>
    <cellStyle name="Note 14 3 4 2 3 6" xfId="7839"/>
    <cellStyle name="Note 14 3 4 2 3 6 2" xfId="30426"/>
    <cellStyle name="Note 14 3 4 2 3 7" xfId="23986"/>
    <cellStyle name="Note 14 3 4 2 4" xfId="1790"/>
    <cellStyle name="Note 14 3 4 2 4 2" xfId="5013"/>
    <cellStyle name="Note 14 3 4 2 4 2 2" xfId="21113"/>
    <cellStyle name="Note 14 3 4 2 4 2 2 2" xfId="43700"/>
    <cellStyle name="Note 14 3 4 2 4 2 3" xfId="11453"/>
    <cellStyle name="Note 14 3 4 2 4 2 3 2" xfId="34040"/>
    <cellStyle name="Note 14 3 4 2 4 2 4" xfId="27600"/>
    <cellStyle name="Note 14 3 4 2 4 3" xfId="17893"/>
    <cellStyle name="Note 14 3 4 2 4 3 2" xfId="40480"/>
    <cellStyle name="Note 14 3 4 2 4 4" xfId="14673"/>
    <cellStyle name="Note 14 3 4 2 4 4 2" xfId="37260"/>
    <cellStyle name="Note 14 3 4 2 4 5" xfId="8233"/>
    <cellStyle name="Note 14 3 4 2 4 5 2" xfId="30820"/>
    <cellStyle name="Note 14 3 4 2 4 6" xfId="24380"/>
    <cellStyle name="Note 14 3 4 2 5" xfId="2011"/>
    <cellStyle name="Note 14 3 4 2 5 2" xfId="5233"/>
    <cellStyle name="Note 14 3 4 2 5 2 2" xfId="21333"/>
    <cellStyle name="Note 14 3 4 2 5 2 2 2" xfId="43920"/>
    <cellStyle name="Note 14 3 4 2 5 2 3" xfId="11673"/>
    <cellStyle name="Note 14 3 4 2 5 2 3 2" xfId="34260"/>
    <cellStyle name="Note 14 3 4 2 5 2 4" xfId="27820"/>
    <cellStyle name="Note 14 3 4 2 5 3" xfId="18113"/>
    <cellStyle name="Note 14 3 4 2 5 3 2" xfId="40700"/>
    <cellStyle name="Note 14 3 4 2 5 4" xfId="14893"/>
    <cellStyle name="Note 14 3 4 2 5 4 2" xfId="37480"/>
    <cellStyle name="Note 14 3 4 2 5 5" xfId="8453"/>
    <cellStyle name="Note 14 3 4 2 5 5 2" xfId="31040"/>
    <cellStyle name="Note 14 3 4 2 5 6" xfId="24600"/>
    <cellStyle name="Note 14 3 4 2 6" xfId="3040"/>
    <cellStyle name="Note 14 3 4 2 6 2" xfId="6260"/>
    <cellStyle name="Note 14 3 4 2 6 2 2" xfId="22360"/>
    <cellStyle name="Note 14 3 4 2 6 2 2 2" xfId="44947"/>
    <cellStyle name="Note 14 3 4 2 6 2 3" xfId="12700"/>
    <cellStyle name="Note 14 3 4 2 6 2 3 2" xfId="35287"/>
    <cellStyle name="Note 14 3 4 2 6 2 4" xfId="28847"/>
    <cellStyle name="Note 14 3 4 2 6 3" xfId="19140"/>
    <cellStyle name="Note 14 3 4 2 6 3 2" xfId="41727"/>
    <cellStyle name="Note 14 3 4 2 6 4" xfId="15920"/>
    <cellStyle name="Note 14 3 4 2 6 4 2" xfId="38507"/>
    <cellStyle name="Note 14 3 4 2 6 5" xfId="9480"/>
    <cellStyle name="Note 14 3 4 2 6 5 2" xfId="32067"/>
    <cellStyle name="Note 14 3 4 2 6 6" xfId="25627"/>
    <cellStyle name="Note 14 3 4 2 7" xfId="3330"/>
    <cellStyle name="Note 14 3 4 2 7 2" xfId="6550"/>
    <cellStyle name="Note 14 3 4 2 7 2 2" xfId="22650"/>
    <cellStyle name="Note 14 3 4 2 7 2 2 2" xfId="45237"/>
    <cellStyle name="Note 14 3 4 2 7 2 3" xfId="12990"/>
    <cellStyle name="Note 14 3 4 2 7 2 3 2" xfId="35577"/>
    <cellStyle name="Note 14 3 4 2 7 2 4" xfId="29137"/>
    <cellStyle name="Note 14 3 4 2 7 3" xfId="19430"/>
    <cellStyle name="Note 14 3 4 2 7 3 2" xfId="42017"/>
    <cellStyle name="Note 14 3 4 2 7 4" xfId="16210"/>
    <cellStyle name="Note 14 3 4 2 7 4 2" xfId="38797"/>
    <cellStyle name="Note 14 3 4 2 7 5" xfId="9770"/>
    <cellStyle name="Note 14 3 4 2 7 5 2" xfId="32357"/>
    <cellStyle name="Note 14 3 4 2 7 6" xfId="25917"/>
    <cellStyle name="Note 14 3 4 2 8" xfId="681"/>
    <cellStyle name="Note 14 3 4 2 8 2" xfId="3925"/>
    <cellStyle name="Note 14 3 4 2 8 2 2" xfId="20025"/>
    <cellStyle name="Note 14 3 4 2 8 2 2 2" xfId="42612"/>
    <cellStyle name="Note 14 3 4 2 8 2 3" xfId="10365"/>
    <cellStyle name="Note 14 3 4 2 8 2 3 2" xfId="32952"/>
    <cellStyle name="Note 14 3 4 2 8 2 4" xfId="26512"/>
    <cellStyle name="Note 14 3 4 2 8 3" xfId="16805"/>
    <cellStyle name="Note 14 3 4 2 8 3 2" xfId="39392"/>
    <cellStyle name="Note 14 3 4 2 8 4" xfId="13585"/>
    <cellStyle name="Note 14 3 4 2 8 4 2" xfId="36172"/>
    <cellStyle name="Note 14 3 4 2 8 5" xfId="7145"/>
    <cellStyle name="Note 14 3 4 2 8 5 2" xfId="29732"/>
    <cellStyle name="Note 14 3 4 2 8 6" xfId="23292"/>
    <cellStyle name="Note 14 3 4 2 9" xfId="3620"/>
    <cellStyle name="Note 14 3 4 2 9 2" xfId="19720"/>
    <cellStyle name="Note 14 3 4 2 9 2 2" xfId="42307"/>
    <cellStyle name="Note 14 3 4 2 9 3" xfId="10060"/>
    <cellStyle name="Note 14 3 4 2 9 3 2" xfId="32647"/>
    <cellStyle name="Note 14 3 4 2 9 4" xfId="26207"/>
    <cellStyle name="Note 14 3 4 3" xfId="429"/>
    <cellStyle name="Note 14 3 4 3 10" xfId="16596"/>
    <cellStyle name="Note 14 3 4 3 10 2" xfId="39183"/>
    <cellStyle name="Note 14 3 4 3 11" xfId="13376"/>
    <cellStyle name="Note 14 3 4 3 11 2" xfId="35963"/>
    <cellStyle name="Note 14 3 4 3 12" xfId="6936"/>
    <cellStyle name="Note 14 3 4 3 12 2" xfId="29523"/>
    <cellStyle name="Note 14 3 4 3 13" xfId="23083"/>
    <cellStyle name="Note 14 3 4 3 2" xfId="1129"/>
    <cellStyle name="Note 14 3 4 3 2 2" xfId="2443"/>
    <cellStyle name="Note 14 3 4 3 2 2 2" xfId="5664"/>
    <cellStyle name="Note 14 3 4 3 2 2 2 2" xfId="21764"/>
    <cellStyle name="Note 14 3 4 3 2 2 2 2 2" xfId="44351"/>
    <cellStyle name="Note 14 3 4 3 2 2 2 3" xfId="12104"/>
    <cellStyle name="Note 14 3 4 3 2 2 2 3 2" xfId="34691"/>
    <cellStyle name="Note 14 3 4 3 2 2 2 4" xfId="28251"/>
    <cellStyle name="Note 14 3 4 3 2 2 3" xfId="18544"/>
    <cellStyle name="Note 14 3 4 3 2 2 3 2" xfId="41131"/>
    <cellStyle name="Note 14 3 4 3 2 2 4" xfId="15324"/>
    <cellStyle name="Note 14 3 4 3 2 2 4 2" xfId="37911"/>
    <cellStyle name="Note 14 3 4 3 2 2 5" xfId="8884"/>
    <cellStyle name="Note 14 3 4 3 2 2 5 2" xfId="31471"/>
    <cellStyle name="Note 14 3 4 3 2 2 6" xfId="25031"/>
    <cellStyle name="Note 14 3 4 3 2 3" xfId="4356"/>
    <cellStyle name="Note 14 3 4 3 2 3 2" xfId="20456"/>
    <cellStyle name="Note 14 3 4 3 2 3 2 2" xfId="43043"/>
    <cellStyle name="Note 14 3 4 3 2 3 3" xfId="10796"/>
    <cellStyle name="Note 14 3 4 3 2 3 3 2" xfId="33383"/>
    <cellStyle name="Note 14 3 4 3 2 3 4" xfId="26943"/>
    <cellStyle name="Note 14 3 4 3 2 4" xfId="17236"/>
    <cellStyle name="Note 14 3 4 3 2 4 2" xfId="39823"/>
    <cellStyle name="Note 14 3 4 3 2 5" xfId="14016"/>
    <cellStyle name="Note 14 3 4 3 2 5 2" xfId="36603"/>
    <cellStyle name="Note 14 3 4 3 2 6" xfId="7576"/>
    <cellStyle name="Note 14 3 4 3 2 6 2" xfId="30163"/>
    <cellStyle name="Note 14 3 4 3 2 7" xfId="23723"/>
    <cellStyle name="Note 14 3 4 3 3" xfId="1476"/>
    <cellStyle name="Note 14 3 4 3 3 2" xfId="2790"/>
    <cellStyle name="Note 14 3 4 3 3 2 2" xfId="6011"/>
    <cellStyle name="Note 14 3 4 3 3 2 2 2" xfId="22111"/>
    <cellStyle name="Note 14 3 4 3 3 2 2 2 2" xfId="44698"/>
    <cellStyle name="Note 14 3 4 3 3 2 2 3" xfId="12451"/>
    <cellStyle name="Note 14 3 4 3 3 2 2 3 2" xfId="35038"/>
    <cellStyle name="Note 14 3 4 3 3 2 2 4" xfId="28598"/>
    <cellStyle name="Note 14 3 4 3 3 2 3" xfId="18891"/>
    <cellStyle name="Note 14 3 4 3 3 2 3 2" xfId="41478"/>
    <cellStyle name="Note 14 3 4 3 3 2 4" xfId="15671"/>
    <cellStyle name="Note 14 3 4 3 3 2 4 2" xfId="38258"/>
    <cellStyle name="Note 14 3 4 3 3 2 5" xfId="9231"/>
    <cellStyle name="Note 14 3 4 3 3 2 5 2" xfId="31818"/>
    <cellStyle name="Note 14 3 4 3 3 2 6" xfId="25378"/>
    <cellStyle name="Note 14 3 4 3 3 3" xfId="4703"/>
    <cellStyle name="Note 14 3 4 3 3 3 2" xfId="20803"/>
    <cellStyle name="Note 14 3 4 3 3 3 2 2" xfId="43390"/>
    <cellStyle name="Note 14 3 4 3 3 3 3" xfId="11143"/>
    <cellStyle name="Note 14 3 4 3 3 3 3 2" xfId="33730"/>
    <cellStyle name="Note 14 3 4 3 3 3 4" xfId="27290"/>
    <cellStyle name="Note 14 3 4 3 3 4" xfId="17583"/>
    <cellStyle name="Note 14 3 4 3 3 4 2" xfId="40170"/>
    <cellStyle name="Note 14 3 4 3 3 5" xfId="14363"/>
    <cellStyle name="Note 14 3 4 3 3 5 2" xfId="36950"/>
    <cellStyle name="Note 14 3 4 3 3 6" xfId="7923"/>
    <cellStyle name="Note 14 3 4 3 3 6 2" xfId="30510"/>
    <cellStyle name="Note 14 3 4 3 3 7" xfId="24070"/>
    <cellStyle name="Note 14 3 4 3 4" xfId="1791"/>
    <cellStyle name="Note 14 3 4 3 4 2" xfId="5014"/>
    <cellStyle name="Note 14 3 4 3 4 2 2" xfId="21114"/>
    <cellStyle name="Note 14 3 4 3 4 2 2 2" xfId="43701"/>
    <cellStyle name="Note 14 3 4 3 4 2 3" xfId="11454"/>
    <cellStyle name="Note 14 3 4 3 4 2 3 2" xfId="34041"/>
    <cellStyle name="Note 14 3 4 3 4 2 4" xfId="27601"/>
    <cellStyle name="Note 14 3 4 3 4 3" xfId="17894"/>
    <cellStyle name="Note 14 3 4 3 4 3 2" xfId="40481"/>
    <cellStyle name="Note 14 3 4 3 4 4" xfId="14674"/>
    <cellStyle name="Note 14 3 4 3 4 4 2" xfId="37261"/>
    <cellStyle name="Note 14 3 4 3 4 5" xfId="8234"/>
    <cellStyle name="Note 14 3 4 3 4 5 2" xfId="30821"/>
    <cellStyle name="Note 14 3 4 3 4 6" xfId="24381"/>
    <cellStyle name="Note 14 3 4 3 5" xfId="2096"/>
    <cellStyle name="Note 14 3 4 3 5 2" xfId="5317"/>
    <cellStyle name="Note 14 3 4 3 5 2 2" xfId="21417"/>
    <cellStyle name="Note 14 3 4 3 5 2 2 2" xfId="44004"/>
    <cellStyle name="Note 14 3 4 3 5 2 3" xfId="11757"/>
    <cellStyle name="Note 14 3 4 3 5 2 3 2" xfId="34344"/>
    <cellStyle name="Note 14 3 4 3 5 2 4" xfId="27904"/>
    <cellStyle name="Note 14 3 4 3 5 3" xfId="18197"/>
    <cellStyle name="Note 14 3 4 3 5 3 2" xfId="40784"/>
    <cellStyle name="Note 14 3 4 3 5 4" xfId="14977"/>
    <cellStyle name="Note 14 3 4 3 5 4 2" xfId="37564"/>
    <cellStyle name="Note 14 3 4 3 5 5" xfId="8537"/>
    <cellStyle name="Note 14 3 4 3 5 5 2" xfId="31124"/>
    <cellStyle name="Note 14 3 4 3 5 6" xfId="24684"/>
    <cellStyle name="Note 14 3 4 3 6" xfId="3136"/>
    <cellStyle name="Note 14 3 4 3 6 2" xfId="6356"/>
    <cellStyle name="Note 14 3 4 3 6 2 2" xfId="22456"/>
    <cellStyle name="Note 14 3 4 3 6 2 2 2" xfId="45043"/>
    <cellStyle name="Note 14 3 4 3 6 2 3" xfId="12796"/>
    <cellStyle name="Note 14 3 4 3 6 2 3 2" xfId="35383"/>
    <cellStyle name="Note 14 3 4 3 6 2 4" xfId="28943"/>
    <cellStyle name="Note 14 3 4 3 6 3" xfId="19236"/>
    <cellStyle name="Note 14 3 4 3 6 3 2" xfId="41823"/>
    <cellStyle name="Note 14 3 4 3 6 4" xfId="16016"/>
    <cellStyle name="Note 14 3 4 3 6 4 2" xfId="38603"/>
    <cellStyle name="Note 14 3 4 3 6 5" xfId="9576"/>
    <cellStyle name="Note 14 3 4 3 6 5 2" xfId="32163"/>
    <cellStyle name="Note 14 3 4 3 6 6" xfId="25723"/>
    <cellStyle name="Note 14 3 4 3 7" xfId="3426"/>
    <cellStyle name="Note 14 3 4 3 7 2" xfId="6646"/>
    <cellStyle name="Note 14 3 4 3 7 2 2" xfId="22746"/>
    <cellStyle name="Note 14 3 4 3 7 2 2 2" xfId="45333"/>
    <cellStyle name="Note 14 3 4 3 7 2 3" xfId="13086"/>
    <cellStyle name="Note 14 3 4 3 7 2 3 2" xfId="35673"/>
    <cellStyle name="Note 14 3 4 3 7 2 4" xfId="29233"/>
    <cellStyle name="Note 14 3 4 3 7 3" xfId="19526"/>
    <cellStyle name="Note 14 3 4 3 7 3 2" xfId="42113"/>
    <cellStyle name="Note 14 3 4 3 7 4" xfId="16306"/>
    <cellStyle name="Note 14 3 4 3 7 4 2" xfId="38893"/>
    <cellStyle name="Note 14 3 4 3 7 5" xfId="9866"/>
    <cellStyle name="Note 14 3 4 3 7 5 2" xfId="32453"/>
    <cellStyle name="Note 14 3 4 3 7 6" xfId="26013"/>
    <cellStyle name="Note 14 3 4 3 8" xfId="777"/>
    <cellStyle name="Note 14 3 4 3 8 2" xfId="4009"/>
    <cellStyle name="Note 14 3 4 3 8 2 2" xfId="20109"/>
    <cellStyle name="Note 14 3 4 3 8 2 2 2" xfId="42696"/>
    <cellStyle name="Note 14 3 4 3 8 2 3" xfId="10449"/>
    <cellStyle name="Note 14 3 4 3 8 2 3 2" xfId="33036"/>
    <cellStyle name="Note 14 3 4 3 8 2 4" xfId="26596"/>
    <cellStyle name="Note 14 3 4 3 8 3" xfId="16889"/>
    <cellStyle name="Note 14 3 4 3 8 3 2" xfId="39476"/>
    <cellStyle name="Note 14 3 4 3 8 4" xfId="13669"/>
    <cellStyle name="Note 14 3 4 3 8 4 2" xfId="36256"/>
    <cellStyle name="Note 14 3 4 3 8 5" xfId="7229"/>
    <cellStyle name="Note 14 3 4 3 8 5 2" xfId="29816"/>
    <cellStyle name="Note 14 3 4 3 8 6" xfId="23376"/>
    <cellStyle name="Note 14 3 4 3 9" xfId="3716"/>
    <cellStyle name="Note 14 3 4 3 9 2" xfId="19816"/>
    <cellStyle name="Note 14 3 4 3 9 2 2" xfId="42403"/>
    <cellStyle name="Note 14 3 4 3 9 3" xfId="10156"/>
    <cellStyle name="Note 14 3 4 3 9 3 2" xfId="32743"/>
    <cellStyle name="Note 14 3 4 3 9 4" xfId="26303"/>
    <cellStyle name="Note 14 3 4 4" xfId="924"/>
    <cellStyle name="Note 14 3 4 4 2" xfId="2243"/>
    <cellStyle name="Note 14 3 4 4 2 2" xfId="5464"/>
    <cellStyle name="Note 14 3 4 4 2 2 2" xfId="21564"/>
    <cellStyle name="Note 14 3 4 4 2 2 2 2" xfId="44151"/>
    <cellStyle name="Note 14 3 4 4 2 2 3" xfId="11904"/>
    <cellStyle name="Note 14 3 4 4 2 2 3 2" xfId="34491"/>
    <cellStyle name="Note 14 3 4 4 2 2 4" xfId="28051"/>
    <cellStyle name="Note 14 3 4 4 2 3" xfId="18344"/>
    <cellStyle name="Note 14 3 4 4 2 3 2" xfId="40931"/>
    <cellStyle name="Note 14 3 4 4 2 4" xfId="15124"/>
    <cellStyle name="Note 14 3 4 4 2 4 2" xfId="37711"/>
    <cellStyle name="Note 14 3 4 4 2 5" xfId="8684"/>
    <cellStyle name="Note 14 3 4 4 2 5 2" xfId="31271"/>
    <cellStyle name="Note 14 3 4 4 2 6" xfId="24831"/>
    <cellStyle name="Note 14 3 4 4 3" xfId="4156"/>
    <cellStyle name="Note 14 3 4 4 3 2" xfId="20256"/>
    <cellStyle name="Note 14 3 4 4 3 2 2" xfId="42843"/>
    <cellStyle name="Note 14 3 4 4 3 3" xfId="10596"/>
    <cellStyle name="Note 14 3 4 4 3 3 2" xfId="33183"/>
    <cellStyle name="Note 14 3 4 4 3 4" xfId="26743"/>
    <cellStyle name="Note 14 3 4 4 4" xfId="17036"/>
    <cellStyle name="Note 14 3 4 4 4 2" xfId="39623"/>
    <cellStyle name="Note 14 3 4 4 5" xfId="13816"/>
    <cellStyle name="Note 14 3 4 4 5 2" xfId="36403"/>
    <cellStyle name="Note 14 3 4 4 6" xfId="7376"/>
    <cellStyle name="Note 14 3 4 4 6 2" xfId="29963"/>
    <cellStyle name="Note 14 3 4 4 7" xfId="23523"/>
    <cellStyle name="Note 14 3 4 5" xfId="1276"/>
    <cellStyle name="Note 14 3 4 5 2" xfId="2590"/>
    <cellStyle name="Note 14 3 4 5 2 2" xfId="5811"/>
    <cellStyle name="Note 14 3 4 5 2 2 2" xfId="21911"/>
    <cellStyle name="Note 14 3 4 5 2 2 2 2" xfId="44498"/>
    <cellStyle name="Note 14 3 4 5 2 2 3" xfId="12251"/>
    <cellStyle name="Note 14 3 4 5 2 2 3 2" xfId="34838"/>
    <cellStyle name="Note 14 3 4 5 2 2 4" xfId="28398"/>
    <cellStyle name="Note 14 3 4 5 2 3" xfId="18691"/>
    <cellStyle name="Note 14 3 4 5 2 3 2" xfId="41278"/>
    <cellStyle name="Note 14 3 4 5 2 4" xfId="15471"/>
    <cellStyle name="Note 14 3 4 5 2 4 2" xfId="38058"/>
    <cellStyle name="Note 14 3 4 5 2 5" xfId="9031"/>
    <cellStyle name="Note 14 3 4 5 2 5 2" xfId="31618"/>
    <cellStyle name="Note 14 3 4 5 2 6" xfId="25178"/>
    <cellStyle name="Note 14 3 4 5 3" xfId="4503"/>
    <cellStyle name="Note 14 3 4 5 3 2" xfId="20603"/>
    <cellStyle name="Note 14 3 4 5 3 2 2" xfId="43190"/>
    <cellStyle name="Note 14 3 4 5 3 3" xfId="10943"/>
    <cellStyle name="Note 14 3 4 5 3 3 2" xfId="33530"/>
    <cellStyle name="Note 14 3 4 5 3 4" xfId="27090"/>
    <cellStyle name="Note 14 3 4 5 4" xfId="17383"/>
    <cellStyle name="Note 14 3 4 5 4 2" xfId="39970"/>
    <cellStyle name="Note 14 3 4 5 5" xfId="14163"/>
    <cellStyle name="Note 14 3 4 5 5 2" xfId="36750"/>
    <cellStyle name="Note 14 3 4 5 6" xfId="7723"/>
    <cellStyle name="Note 14 3 4 5 6 2" xfId="30310"/>
    <cellStyle name="Note 14 3 4 5 7" xfId="23870"/>
    <cellStyle name="Note 14 3 4 6" xfId="1792"/>
    <cellStyle name="Note 14 3 4 6 2" xfId="5015"/>
    <cellStyle name="Note 14 3 4 6 2 2" xfId="21115"/>
    <cellStyle name="Note 14 3 4 6 2 2 2" xfId="43702"/>
    <cellStyle name="Note 14 3 4 6 2 3" xfId="11455"/>
    <cellStyle name="Note 14 3 4 6 2 3 2" xfId="34042"/>
    <cellStyle name="Note 14 3 4 6 2 4" xfId="27602"/>
    <cellStyle name="Note 14 3 4 6 3" xfId="17895"/>
    <cellStyle name="Note 14 3 4 6 3 2" xfId="40482"/>
    <cellStyle name="Note 14 3 4 6 4" xfId="14675"/>
    <cellStyle name="Note 14 3 4 6 4 2" xfId="37262"/>
    <cellStyle name="Note 14 3 4 6 5" xfId="8235"/>
    <cellStyle name="Note 14 3 4 6 5 2" xfId="30822"/>
    <cellStyle name="Note 14 3 4 6 6" xfId="24382"/>
    <cellStyle name="Note 14 3 4 7" xfId="1895"/>
    <cellStyle name="Note 14 3 4 7 2" xfId="5117"/>
    <cellStyle name="Note 14 3 4 7 2 2" xfId="21217"/>
    <cellStyle name="Note 14 3 4 7 2 2 2" xfId="43804"/>
    <cellStyle name="Note 14 3 4 7 2 3" xfId="11557"/>
    <cellStyle name="Note 14 3 4 7 2 3 2" xfId="34144"/>
    <cellStyle name="Note 14 3 4 7 2 4" xfId="27704"/>
    <cellStyle name="Note 14 3 4 7 3" xfId="17997"/>
    <cellStyle name="Note 14 3 4 7 3 2" xfId="40584"/>
    <cellStyle name="Note 14 3 4 7 4" xfId="14777"/>
    <cellStyle name="Note 14 3 4 7 4 2" xfId="37364"/>
    <cellStyle name="Note 14 3 4 7 5" xfId="8337"/>
    <cellStyle name="Note 14 3 4 7 5 2" xfId="30924"/>
    <cellStyle name="Note 14 3 4 7 6" xfId="24484"/>
    <cellStyle name="Note 14 3 4 8" xfId="2942"/>
    <cellStyle name="Note 14 3 4 8 2" xfId="6163"/>
    <cellStyle name="Note 14 3 4 8 2 2" xfId="22263"/>
    <cellStyle name="Note 14 3 4 8 2 2 2" xfId="44850"/>
    <cellStyle name="Note 14 3 4 8 2 3" xfId="12603"/>
    <cellStyle name="Note 14 3 4 8 2 3 2" xfId="35190"/>
    <cellStyle name="Note 14 3 4 8 2 4" xfId="28750"/>
    <cellStyle name="Note 14 3 4 8 3" xfId="19043"/>
    <cellStyle name="Note 14 3 4 8 3 2" xfId="41630"/>
    <cellStyle name="Note 14 3 4 8 4" xfId="15823"/>
    <cellStyle name="Note 14 3 4 8 4 2" xfId="38410"/>
    <cellStyle name="Note 14 3 4 8 5" xfId="9383"/>
    <cellStyle name="Note 14 3 4 8 5 2" xfId="31970"/>
    <cellStyle name="Note 14 3 4 8 6" xfId="25530"/>
    <cellStyle name="Note 14 3 4 9" xfId="3233"/>
    <cellStyle name="Note 14 3 4 9 2" xfId="6453"/>
    <cellStyle name="Note 14 3 4 9 2 2" xfId="22553"/>
    <cellStyle name="Note 14 3 4 9 2 2 2" xfId="45140"/>
    <cellStyle name="Note 14 3 4 9 2 3" xfId="12893"/>
    <cellStyle name="Note 14 3 4 9 2 3 2" xfId="35480"/>
    <cellStyle name="Note 14 3 4 9 2 4" xfId="29040"/>
    <cellStyle name="Note 14 3 4 9 3" xfId="19333"/>
    <cellStyle name="Note 14 3 4 9 3 2" xfId="41920"/>
    <cellStyle name="Note 14 3 4 9 4" xfId="16113"/>
    <cellStyle name="Note 14 3 4 9 4 2" xfId="38700"/>
    <cellStyle name="Note 14 3 4 9 5" xfId="9673"/>
    <cellStyle name="Note 14 3 4 9 5 2" xfId="32260"/>
    <cellStyle name="Note 14 3 4 9 6" xfId="25820"/>
    <cellStyle name="Note 14 3 5" xfId="249"/>
    <cellStyle name="Note 14 3 5 10" xfId="16417"/>
    <cellStyle name="Note 14 3 5 10 2" xfId="39004"/>
    <cellStyle name="Note 14 3 5 11" xfId="13197"/>
    <cellStyle name="Note 14 3 5 11 2" xfId="35784"/>
    <cellStyle name="Note 14 3 5 12" xfId="6757"/>
    <cellStyle name="Note 14 3 5 12 2" xfId="29344"/>
    <cellStyle name="Note 14 3 5 13" xfId="22904"/>
    <cellStyle name="Note 14 3 5 2" xfId="974"/>
    <cellStyle name="Note 14 3 5 2 2" xfId="2292"/>
    <cellStyle name="Note 14 3 5 2 2 2" xfId="5513"/>
    <cellStyle name="Note 14 3 5 2 2 2 2" xfId="21613"/>
    <cellStyle name="Note 14 3 5 2 2 2 2 2" xfId="44200"/>
    <cellStyle name="Note 14 3 5 2 2 2 3" xfId="11953"/>
    <cellStyle name="Note 14 3 5 2 2 2 3 2" xfId="34540"/>
    <cellStyle name="Note 14 3 5 2 2 2 4" xfId="28100"/>
    <cellStyle name="Note 14 3 5 2 2 3" xfId="18393"/>
    <cellStyle name="Note 14 3 5 2 2 3 2" xfId="40980"/>
    <cellStyle name="Note 14 3 5 2 2 4" xfId="15173"/>
    <cellStyle name="Note 14 3 5 2 2 4 2" xfId="37760"/>
    <cellStyle name="Note 14 3 5 2 2 5" xfId="8733"/>
    <cellStyle name="Note 14 3 5 2 2 5 2" xfId="31320"/>
    <cellStyle name="Note 14 3 5 2 2 6" xfId="24880"/>
    <cellStyle name="Note 14 3 5 2 3" xfId="4205"/>
    <cellStyle name="Note 14 3 5 2 3 2" xfId="20305"/>
    <cellStyle name="Note 14 3 5 2 3 2 2" xfId="42892"/>
    <cellStyle name="Note 14 3 5 2 3 3" xfId="10645"/>
    <cellStyle name="Note 14 3 5 2 3 3 2" xfId="33232"/>
    <cellStyle name="Note 14 3 5 2 3 4" xfId="26792"/>
    <cellStyle name="Note 14 3 5 2 4" xfId="17085"/>
    <cellStyle name="Note 14 3 5 2 4 2" xfId="39672"/>
    <cellStyle name="Note 14 3 5 2 5" xfId="13865"/>
    <cellStyle name="Note 14 3 5 2 5 2" xfId="36452"/>
    <cellStyle name="Note 14 3 5 2 6" xfId="7425"/>
    <cellStyle name="Note 14 3 5 2 6 2" xfId="30012"/>
    <cellStyle name="Note 14 3 5 2 7" xfId="23572"/>
    <cellStyle name="Note 14 3 5 3" xfId="1325"/>
    <cellStyle name="Note 14 3 5 3 2" xfId="2639"/>
    <cellStyle name="Note 14 3 5 3 2 2" xfId="5860"/>
    <cellStyle name="Note 14 3 5 3 2 2 2" xfId="21960"/>
    <cellStyle name="Note 14 3 5 3 2 2 2 2" xfId="44547"/>
    <cellStyle name="Note 14 3 5 3 2 2 3" xfId="12300"/>
    <cellStyle name="Note 14 3 5 3 2 2 3 2" xfId="34887"/>
    <cellStyle name="Note 14 3 5 3 2 2 4" xfId="28447"/>
    <cellStyle name="Note 14 3 5 3 2 3" xfId="18740"/>
    <cellStyle name="Note 14 3 5 3 2 3 2" xfId="41327"/>
    <cellStyle name="Note 14 3 5 3 2 4" xfId="15520"/>
    <cellStyle name="Note 14 3 5 3 2 4 2" xfId="38107"/>
    <cellStyle name="Note 14 3 5 3 2 5" xfId="9080"/>
    <cellStyle name="Note 14 3 5 3 2 5 2" xfId="31667"/>
    <cellStyle name="Note 14 3 5 3 2 6" xfId="25227"/>
    <cellStyle name="Note 14 3 5 3 3" xfId="4552"/>
    <cellStyle name="Note 14 3 5 3 3 2" xfId="20652"/>
    <cellStyle name="Note 14 3 5 3 3 2 2" xfId="43239"/>
    <cellStyle name="Note 14 3 5 3 3 3" xfId="10992"/>
    <cellStyle name="Note 14 3 5 3 3 3 2" xfId="33579"/>
    <cellStyle name="Note 14 3 5 3 3 4" xfId="27139"/>
    <cellStyle name="Note 14 3 5 3 4" xfId="17432"/>
    <cellStyle name="Note 14 3 5 3 4 2" xfId="40019"/>
    <cellStyle name="Note 14 3 5 3 5" xfId="14212"/>
    <cellStyle name="Note 14 3 5 3 5 2" xfId="36799"/>
    <cellStyle name="Note 14 3 5 3 6" xfId="7772"/>
    <cellStyle name="Note 14 3 5 3 6 2" xfId="30359"/>
    <cellStyle name="Note 14 3 5 3 7" xfId="23919"/>
    <cellStyle name="Note 14 3 5 4" xfId="1793"/>
    <cellStyle name="Note 14 3 5 4 2" xfId="5016"/>
    <cellStyle name="Note 14 3 5 4 2 2" xfId="21116"/>
    <cellStyle name="Note 14 3 5 4 2 2 2" xfId="43703"/>
    <cellStyle name="Note 14 3 5 4 2 3" xfId="11456"/>
    <cellStyle name="Note 14 3 5 4 2 3 2" xfId="34043"/>
    <cellStyle name="Note 14 3 5 4 2 4" xfId="27603"/>
    <cellStyle name="Note 14 3 5 4 3" xfId="17896"/>
    <cellStyle name="Note 14 3 5 4 3 2" xfId="40483"/>
    <cellStyle name="Note 14 3 5 4 4" xfId="14676"/>
    <cellStyle name="Note 14 3 5 4 4 2" xfId="37263"/>
    <cellStyle name="Note 14 3 5 4 5" xfId="8236"/>
    <cellStyle name="Note 14 3 5 4 5 2" xfId="30823"/>
    <cellStyle name="Note 14 3 5 4 6" xfId="24383"/>
    <cellStyle name="Note 14 3 5 5" xfId="1944"/>
    <cellStyle name="Note 14 3 5 5 2" xfId="5166"/>
    <cellStyle name="Note 14 3 5 5 2 2" xfId="21266"/>
    <cellStyle name="Note 14 3 5 5 2 2 2" xfId="43853"/>
    <cellStyle name="Note 14 3 5 5 2 3" xfId="11606"/>
    <cellStyle name="Note 14 3 5 5 2 3 2" xfId="34193"/>
    <cellStyle name="Note 14 3 5 5 2 4" xfId="27753"/>
    <cellStyle name="Note 14 3 5 5 3" xfId="18046"/>
    <cellStyle name="Note 14 3 5 5 3 2" xfId="40633"/>
    <cellStyle name="Note 14 3 5 5 4" xfId="14826"/>
    <cellStyle name="Note 14 3 5 5 4 2" xfId="37413"/>
    <cellStyle name="Note 14 3 5 5 5" xfId="8386"/>
    <cellStyle name="Note 14 3 5 5 5 2" xfId="30973"/>
    <cellStyle name="Note 14 3 5 5 6" xfId="24533"/>
    <cellStyle name="Note 14 3 5 6" xfId="2956"/>
    <cellStyle name="Note 14 3 5 6 2" xfId="6177"/>
    <cellStyle name="Note 14 3 5 6 2 2" xfId="22277"/>
    <cellStyle name="Note 14 3 5 6 2 2 2" xfId="44864"/>
    <cellStyle name="Note 14 3 5 6 2 3" xfId="12617"/>
    <cellStyle name="Note 14 3 5 6 2 3 2" xfId="35204"/>
    <cellStyle name="Note 14 3 5 6 2 4" xfId="28764"/>
    <cellStyle name="Note 14 3 5 6 3" xfId="19057"/>
    <cellStyle name="Note 14 3 5 6 3 2" xfId="41644"/>
    <cellStyle name="Note 14 3 5 6 4" xfId="15837"/>
    <cellStyle name="Note 14 3 5 6 4 2" xfId="38424"/>
    <cellStyle name="Note 14 3 5 6 5" xfId="9397"/>
    <cellStyle name="Note 14 3 5 6 5 2" xfId="31984"/>
    <cellStyle name="Note 14 3 5 6 6" xfId="25544"/>
    <cellStyle name="Note 14 3 5 7" xfId="3247"/>
    <cellStyle name="Note 14 3 5 7 2" xfId="6467"/>
    <cellStyle name="Note 14 3 5 7 2 2" xfId="22567"/>
    <cellStyle name="Note 14 3 5 7 2 2 2" xfId="45154"/>
    <cellStyle name="Note 14 3 5 7 2 3" xfId="12907"/>
    <cellStyle name="Note 14 3 5 7 2 3 2" xfId="35494"/>
    <cellStyle name="Note 14 3 5 7 2 4" xfId="29054"/>
    <cellStyle name="Note 14 3 5 7 3" xfId="19347"/>
    <cellStyle name="Note 14 3 5 7 3 2" xfId="41934"/>
    <cellStyle name="Note 14 3 5 7 4" xfId="16127"/>
    <cellStyle name="Note 14 3 5 7 4 2" xfId="38714"/>
    <cellStyle name="Note 14 3 5 7 5" xfId="9687"/>
    <cellStyle name="Note 14 3 5 7 5 2" xfId="32274"/>
    <cellStyle name="Note 14 3 5 7 6" xfId="25834"/>
    <cellStyle name="Note 14 3 5 8" xfId="589"/>
    <cellStyle name="Note 14 3 5 8 2" xfId="3858"/>
    <cellStyle name="Note 14 3 5 8 2 2" xfId="19958"/>
    <cellStyle name="Note 14 3 5 8 2 2 2" xfId="42545"/>
    <cellStyle name="Note 14 3 5 8 2 3" xfId="10298"/>
    <cellStyle name="Note 14 3 5 8 2 3 2" xfId="32885"/>
    <cellStyle name="Note 14 3 5 8 2 4" xfId="26445"/>
    <cellStyle name="Note 14 3 5 8 3" xfId="16738"/>
    <cellStyle name="Note 14 3 5 8 3 2" xfId="39325"/>
    <cellStyle name="Note 14 3 5 8 4" xfId="13518"/>
    <cellStyle name="Note 14 3 5 8 4 2" xfId="36105"/>
    <cellStyle name="Note 14 3 5 8 5" xfId="7078"/>
    <cellStyle name="Note 14 3 5 8 5 2" xfId="29665"/>
    <cellStyle name="Note 14 3 5 8 6" xfId="23225"/>
    <cellStyle name="Note 14 3 5 9" xfId="3537"/>
    <cellStyle name="Note 14 3 5 9 2" xfId="19637"/>
    <cellStyle name="Note 14 3 5 9 2 2" xfId="42224"/>
    <cellStyle name="Note 14 3 5 9 3" xfId="9977"/>
    <cellStyle name="Note 14 3 5 9 3 2" xfId="32564"/>
    <cellStyle name="Note 14 3 5 9 4" xfId="26124"/>
    <cellStyle name="Note 14 3 6" xfId="352"/>
    <cellStyle name="Note 14 3 6 10" xfId="16519"/>
    <cellStyle name="Note 14 3 6 10 2" xfId="39106"/>
    <cellStyle name="Note 14 3 6 11" xfId="13299"/>
    <cellStyle name="Note 14 3 6 11 2" xfId="35886"/>
    <cellStyle name="Note 14 3 6 12" xfId="6859"/>
    <cellStyle name="Note 14 3 6 12 2" xfId="29446"/>
    <cellStyle name="Note 14 3 6 13" xfId="23006"/>
    <cellStyle name="Note 14 3 6 2" xfId="1089"/>
    <cellStyle name="Note 14 3 6 2 2" xfId="2403"/>
    <cellStyle name="Note 14 3 6 2 2 2" xfId="5624"/>
    <cellStyle name="Note 14 3 6 2 2 2 2" xfId="21724"/>
    <cellStyle name="Note 14 3 6 2 2 2 2 2" xfId="44311"/>
    <cellStyle name="Note 14 3 6 2 2 2 3" xfId="12064"/>
    <cellStyle name="Note 14 3 6 2 2 2 3 2" xfId="34651"/>
    <cellStyle name="Note 14 3 6 2 2 2 4" xfId="28211"/>
    <cellStyle name="Note 14 3 6 2 2 3" xfId="18504"/>
    <cellStyle name="Note 14 3 6 2 2 3 2" xfId="41091"/>
    <cellStyle name="Note 14 3 6 2 2 4" xfId="15284"/>
    <cellStyle name="Note 14 3 6 2 2 4 2" xfId="37871"/>
    <cellStyle name="Note 14 3 6 2 2 5" xfId="8844"/>
    <cellStyle name="Note 14 3 6 2 2 5 2" xfId="31431"/>
    <cellStyle name="Note 14 3 6 2 2 6" xfId="24991"/>
    <cellStyle name="Note 14 3 6 2 3" xfId="4316"/>
    <cellStyle name="Note 14 3 6 2 3 2" xfId="20416"/>
    <cellStyle name="Note 14 3 6 2 3 2 2" xfId="43003"/>
    <cellStyle name="Note 14 3 6 2 3 3" xfId="10756"/>
    <cellStyle name="Note 14 3 6 2 3 3 2" xfId="33343"/>
    <cellStyle name="Note 14 3 6 2 3 4" xfId="26903"/>
    <cellStyle name="Note 14 3 6 2 4" xfId="17196"/>
    <cellStyle name="Note 14 3 6 2 4 2" xfId="39783"/>
    <cellStyle name="Note 14 3 6 2 5" xfId="13976"/>
    <cellStyle name="Note 14 3 6 2 5 2" xfId="36563"/>
    <cellStyle name="Note 14 3 6 2 6" xfId="7536"/>
    <cellStyle name="Note 14 3 6 2 6 2" xfId="30123"/>
    <cellStyle name="Note 14 3 6 2 7" xfId="23683"/>
    <cellStyle name="Note 14 3 6 3" xfId="1436"/>
    <cellStyle name="Note 14 3 6 3 2" xfId="2750"/>
    <cellStyle name="Note 14 3 6 3 2 2" xfId="5971"/>
    <cellStyle name="Note 14 3 6 3 2 2 2" xfId="22071"/>
    <cellStyle name="Note 14 3 6 3 2 2 2 2" xfId="44658"/>
    <cellStyle name="Note 14 3 6 3 2 2 3" xfId="12411"/>
    <cellStyle name="Note 14 3 6 3 2 2 3 2" xfId="34998"/>
    <cellStyle name="Note 14 3 6 3 2 2 4" xfId="28558"/>
    <cellStyle name="Note 14 3 6 3 2 3" xfId="18851"/>
    <cellStyle name="Note 14 3 6 3 2 3 2" xfId="41438"/>
    <cellStyle name="Note 14 3 6 3 2 4" xfId="15631"/>
    <cellStyle name="Note 14 3 6 3 2 4 2" xfId="38218"/>
    <cellStyle name="Note 14 3 6 3 2 5" xfId="9191"/>
    <cellStyle name="Note 14 3 6 3 2 5 2" xfId="31778"/>
    <cellStyle name="Note 14 3 6 3 2 6" xfId="25338"/>
    <cellStyle name="Note 14 3 6 3 3" xfId="4663"/>
    <cellStyle name="Note 14 3 6 3 3 2" xfId="20763"/>
    <cellStyle name="Note 14 3 6 3 3 2 2" xfId="43350"/>
    <cellStyle name="Note 14 3 6 3 3 3" xfId="11103"/>
    <cellStyle name="Note 14 3 6 3 3 3 2" xfId="33690"/>
    <cellStyle name="Note 14 3 6 3 3 4" xfId="27250"/>
    <cellStyle name="Note 14 3 6 3 4" xfId="17543"/>
    <cellStyle name="Note 14 3 6 3 4 2" xfId="40130"/>
    <cellStyle name="Note 14 3 6 3 5" xfId="14323"/>
    <cellStyle name="Note 14 3 6 3 5 2" xfId="36910"/>
    <cellStyle name="Note 14 3 6 3 6" xfId="7883"/>
    <cellStyle name="Note 14 3 6 3 6 2" xfId="30470"/>
    <cellStyle name="Note 14 3 6 3 7" xfId="24030"/>
    <cellStyle name="Note 14 3 6 4" xfId="1794"/>
    <cellStyle name="Note 14 3 6 4 2" xfId="5017"/>
    <cellStyle name="Note 14 3 6 4 2 2" xfId="21117"/>
    <cellStyle name="Note 14 3 6 4 2 2 2" xfId="43704"/>
    <cellStyle name="Note 14 3 6 4 2 3" xfId="11457"/>
    <cellStyle name="Note 14 3 6 4 2 3 2" xfId="34044"/>
    <cellStyle name="Note 14 3 6 4 2 4" xfId="27604"/>
    <cellStyle name="Note 14 3 6 4 3" xfId="17897"/>
    <cellStyle name="Note 14 3 6 4 3 2" xfId="40484"/>
    <cellStyle name="Note 14 3 6 4 4" xfId="14677"/>
    <cellStyle name="Note 14 3 6 4 4 2" xfId="37264"/>
    <cellStyle name="Note 14 3 6 4 5" xfId="8237"/>
    <cellStyle name="Note 14 3 6 4 5 2" xfId="30824"/>
    <cellStyle name="Note 14 3 6 4 6" xfId="24384"/>
    <cellStyle name="Note 14 3 6 5" xfId="2056"/>
    <cellStyle name="Note 14 3 6 5 2" xfId="5277"/>
    <cellStyle name="Note 14 3 6 5 2 2" xfId="21377"/>
    <cellStyle name="Note 14 3 6 5 2 2 2" xfId="43964"/>
    <cellStyle name="Note 14 3 6 5 2 3" xfId="11717"/>
    <cellStyle name="Note 14 3 6 5 2 3 2" xfId="34304"/>
    <cellStyle name="Note 14 3 6 5 2 4" xfId="27864"/>
    <cellStyle name="Note 14 3 6 5 3" xfId="18157"/>
    <cellStyle name="Note 14 3 6 5 3 2" xfId="40744"/>
    <cellStyle name="Note 14 3 6 5 4" xfId="14937"/>
    <cellStyle name="Note 14 3 6 5 4 2" xfId="37524"/>
    <cellStyle name="Note 14 3 6 5 5" xfId="8497"/>
    <cellStyle name="Note 14 3 6 5 5 2" xfId="31084"/>
    <cellStyle name="Note 14 3 6 5 6" xfId="24644"/>
    <cellStyle name="Note 14 3 6 6" xfId="3059"/>
    <cellStyle name="Note 14 3 6 6 2" xfId="6279"/>
    <cellStyle name="Note 14 3 6 6 2 2" xfId="22379"/>
    <cellStyle name="Note 14 3 6 6 2 2 2" xfId="44966"/>
    <cellStyle name="Note 14 3 6 6 2 3" xfId="12719"/>
    <cellStyle name="Note 14 3 6 6 2 3 2" xfId="35306"/>
    <cellStyle name="Note 14 3 6 6 2 4" xfId="28866"/>
    <cellStyle name="Note 14 3 6 6 3" xfId="19159"/>
    <cellStyle name="Note 14 3 6 6 3 2" xfId="41746"/>
    <cellStyle name="Note 14 3 6 6 4" xfId="15939"/>
    <cellStyle name="Note 14 3 6 6 4 2" xfId="38526"/>
    <cellStyle name="Note 14 3 6 6 5" xfId="9499"/>
    <cellStyle name="Note 14 3 6 6 5 2" xfId="32086"/>
    <cellStyle name="Note 14 3 6 6 6" xfId="25646"/>
    <cellStyle name="Note 14 3 6 7" xfId="3349"/>
    <cellStyle name="Note 14 3 6 7 2" xfId="6569"/>
    <cellStyle name="Note 14 3 6 7 2 2" xfId="22669"/>
    <cellStyle name="Note 14 3 6 7 2 2 2" xfId="45256"/>
    <cellStyle name="Note 14 3 6 7 2 3" xfId="13009"/>
    <cellStyle name="Note 14 3 6 7 2 3 2" xfId="35596"/>
    <cellStyle name="Note 14 3 6 7 2 4" xfId="29156"/>
    <cellStyle name="Note 14 3 6 7 3" xfId="19449"/>
    <cellStyle name="Note 14 3 6 7 3 2" xfId="42036"/>
    <cellStyle name="Note 14 3 6 7 4" xfId="16229"/>
    <cellStyle name="Note 14 3 6 7 4 2" xfId="38816"/>
    <cellStyle name="Note 14 3 6 7 5" xfId="9789"/>
    <cellStyle name="Note 14 3 6 7 5 2" xfId="32376"/>
    <cellStyle name="Note 14 3 6 7 6" xfId="25936"/>
    <cellStyle name="Note 14 3 6 8" xfId="737"/>
    <cellStyle name="Note 14 3 6 8 2" xfId="3969"/>
    <cellStyle name="Note 14 3 6 8 2 2" xfId="20069"/>
    <cellStyle name="Note 14 3 6 8 2 2 2" xfId="42656"/>
    <cellStyle name="Note 14 3 6 8 2 3" xfId="10409"/>
    <cellStyle name="Note 14 3 6 8 2 3 2" xfId="32996"/>
    <cellStyle name="Note 14 3 6 8 2 4" xfId="26556"/>
    <cellStyle name="Note 14 3 6 8 3" xfId="16849"/>
    <cellStyle name="Note 14 3 6 8 3 2" xfId="39436"/>
    <cellStyle name="Note 14 3 6 8 4" xfId="13629"/>
    <cellStyle name="Note 14 3 6 8 4 2" xfId="36216"/>
    <cellStyle name="Note 14 3 6 8 5" xfId="7189"/>
    <cellStyle name="Note 14 3 6 8 5 2" xfId="29776"/>
    <cellStyle name="Note 14 3 6 8 6" xfId="23336"/>
    <cellStyle name="Note 14 3 6 9" xfId="3639"/>
    <cellStyle name="Note 14 3 6 9 2" xfId="19739"/>
    <cellStyle name="Note 14 3 6 9 2 2" xfId="42326"/>
    <cellStyle name="Note 14 3 6 9 3" xfId="10079"/>
    <cellStyle name="Note 14 3 6 9 3 2" xfId="32666"/>
    <cellStyle name="Note 14 3 6 9 4" xfId="26226"/>
    <cellStyle name="Note 14 3 7" xfId="757"/>
    <cellStyle name="Note 14 3 7 2" xfId="1109"/>
    <cellStyle name="Note 14 3 7 2 2" xfId="2423"/>
    <cellStyle name="Note 14 3 7 2 2 2" xfId="5644"/>
    <cellStyle name="Note 14 3 7 2 2 2 2" xfId="21744"/>
    <cellStyle name="Note 14 3 7 2 2 2 2 2" xfId="44331"/>
    <cellStyle name="Note 14 3 7 2 2 2 3" xfId="12084"/>
    <cellStyle name="Note 14 3 7 2 2 2 3 2" xfId="34671"/>
    <cellStyle name="Note 14 3 7 2 2 2 4" xfId="28231"/>
    <cellStyle name="Note 14 3 7 2 2 3" xfId="18524"/>
    <cellStyle name="Note 14 3 7 2 2 3 2" xfId="41111"/>
    <cellStyle name="Note 14 3 7 2 2 4" xfId="15304"/>
    <cellStyle name="Note 14 3 7 2 2 4 2" xfId="37891"/>
    <cellStyle name="Note 14 3 7 2 2 5" xfId="8864"/>
    <cellStyle name="Note 14 3 7 2 2 5 2" xfId="31451"/>
    <cellStyle name="Note 14 3 7 2 2 6" xfId="25011"/>
    <cellStyle name="Note 14 3 7 2 3" xfId="4336"/>
    <cellStyle name="Note 14 3 7 2 3 2" xfId="20436"/>
    <cellStyle name="Note 14 3 7 2 3 2 2" xfId="43023"/>
    <cellStyle name="Note 14 3 7 2 3 3" xfId="10776"/>
    <cellStyle name="Note 14 3 7 2 3 3 2" xfId="33363"/>
    <cellStyle name="Note 14 3 7 2 3 4" xfId="26923"/>
    <cellStyle name="Note 14 3 7 2 4" xfId="17216"/>
    <cellStyle name="Note 14 3 7 2 4 2" xfId="39803"/>
    <cellStyle name="Note 14 3 7 2 5" xfId="13996"/>
    <cellStyle name="Note 14 3 7 2 5 2" xfId="36583"/>
    <cellStyle name="Note 14 3 7 2 6" xfId="7556"/>
    <cellStyle name="Note 14 3 7 2 6 2" xfId="30143"/>
    <cellStyle name="Note 14 3 7 2 7" xfId="23703"/>
    <cellStyle name="Note 14 3 7 3" xfId="1456"/>
    <cellStyle name="Note 14 3 7 3 2" xfId="2770"/>
    <cellStyle name="Note 14 3 7 3 2 2" xfId="5991"/>
    <cellStyle name="Note 14 3 7 3 2 2 2" xfId="22091"/>
    <cellStyle name="Note 14 3 7 3 2 2 2 2" xfId="44678"/>
    <cellStyle name="Note 14 3 7 3 2 2 3" xfId="12431"/>
    <cellStyle name="Note 14 3 7 3 2 2 3 2" xfId="35018"/>
    <cellStyle name="Note 14 3 7 3 2 2 4" xfId="28578"/>
    <cellStyle name="Note 14 3 7 3 2 3" xfId="18871"/>
    <cellStyle name="Note 14 3 7 3 2 3 2" xfId="41458"/>
    <cellStyle name="Note 14 3 7 3 2 4" xfId="15651"/>
    <cellStyle name="Note 14 3 7 3 2 4 2" xfId="38238"/>
    <cellStyle name="Note 14 3 7 3 2 5" xfId="9211"/>
    <cellStyle name="Note 14 3 7 3 2 5 2" xfId="31798"/>
    <cellStyle name="Note 14 3 7 3 2 6" xfId="25358"/>
    <cellStyle name="Note 14 3 7 3 3" xfId="4683"/>
    <cellStyle name="Note 14 3 7 3 3 2" xfId="20783"/>
    <cellStyle name="Note 14 3 7 3 3 2 2" xfId="43370"/>
    <cellStyle name="Note 14 3 7 3 3 3" xfId="11123"/>
    <cellStyle name="Note 14 3 7 3 3 3 2" xfId="33710"/>
    <cellStyle name="Note 14 3 7 3 3 4" xfId="27270"/>
    <cellStyle name="Note 14 3 7 3 4" xfId="17563"/>
    <cellStyle name="Note 14 3 7 3 4 2" xfId="40150"/>
    <cellStyle name="Note 14 3 7 3 5" xfId="14343"/>
    <cellStyle name="Note 14 3 7 3 5 2" xfId="36930"/>
    <cellStyle name="Note 14 3 7 3 6" xfId="7903"/>
    <cellStyle name="Note 14 3 7 3 6 2" xfId="30490"/>
    <cellStyle name="Note 14 3 7 3 7" xfId="24050"/>
    <cellStyle name="Note 14 3 7 4" xfId="2076"/>
    <cellStyle name="Note 14 3 7 4 2" xfId="5297"/>
    <cellStyle name="Note 14 3 7 4 2 2" xfId="21397"/>
    <cellStyle name="Note 14 3 7 4 2 2 2" xfId="43984"/>
    <cellStyle name="Note 14 3 7 4 2 3" xfId="11737"/>
    <cellStyle name="Note 14 3 7 4 2 3 2" xfId="34324"/>
    <cellStyle name="Note 14 3 7 4 2 4" xfId="27884"/>
    <cellStyle name="Note 14 3 7 4 3" xfId="18177"/>
    <cellStyle name="Note 14 3 7 4 3 2" xfId="40764"/>
    <cellStyle name="Note 14 3 7 4 4" xfId="14957"/>
    <cellStyle name="Note 14 3 7 4 4 2" xfId="37544"/>
    <cellStyle name="Note 14 3 7 4 5" xfId="8517"/>
    <cellStyle name="Note 14 3 7 4 5 2" xfId="31104"/>
    <cellStyle name="Note 14 3 7 4 6" xfId="24664"/>
    <cellStyle name="Note 14 3 7 5" xfId="3989"/>
    <cellStyle name="Note 14 3 7 5 2" xfId="20089"/>
    <cellStyle name="Note 14 3 7 5 2 2" xfId="42676"/>
    <cellStyle name="Note 14 3 7 5 3" xfId="10429"/>
    <cellStyle name="Note 14 3 7 5 3 2" xfId="33016"/>
    <cellStyle name="Note 14 3 7 5 4" xfId="26576"/>
    <cellStyle name="Note 14 3 7 6" xfId="16869"/>
    <cellStyle name="Note 14 3 7 6 2" xfId="39456"/>
    <cellStyle name="Note 14 3 7 7" xfId="13649"/>
    <cellStyle name="Note 14 3 7 7 2" xfId="36236"/>
    <cellStyle name="Note 14 3 7 8" xfId="7209"/>
    <cellStyle name="Note 14 3 7 8 2" xfId="29796"/>
    <cellStyle name="Note 14 3 7 9" xfId="23356"/>
    <cellStyle name="Note 14 3 8" xfId="851"/>
    <cellStyle name="Note 14 3 8 2" xfId="2170"/>
    <cellStyle name="Note 14 3 8 2 2" xfId="5391"/>
    <cellStyle name="Note 14 3 8 2 2 2" xfId="21491"/>
    <cellStyle name="Note 14 3 8 2 2 2 2" xfId="44078"/>
    <cellStyle name="Note 14 3 8 2 2 3" xfId="11831"/>
    <cellStyle name="Note 14 3 8 2 2 3 2" xfId="34418"/>
    <cellStyle name="Note 14 3 8 2 2 4" xfId="27978"/>
    <cellStyle name="Note 14 3 8 2 3" xfId="18271"/>
    <cellStyle name="Note 14 3 8 2 3 2" xfId="40858"/>
    <cellStyle name="Note 14 3 8 2 4" xfId="15051"/>
    <cellStyle name="Note 14 3 8 2 4 2" xfId="37638"/>
    <cellStyle name="Note 14 3 8 2 5" xfId="8611"/>
    <cellStyle name="Note 14 3 8 2 5 2" xfId="31198"/>
    <cellStyle name="Note 14 3 8 2 6" xfId="24758"/>
    <cellStyle name="Note 14 3 8 3" xfId="4083"/>
    <cellStyle name="Note 14 3 8 3 2" xfId="20183"/>
    <cellStyle name="Note 14 3 8 3 2 2" xfId="42770"/>
    <cellStyle name="Note 14 3 8 3 3" xfId="10523"/>
    <cellStyle name="Note 14 3 8 3 3 2" xfId="33110"/>
    <cellStyle name="Note 14 3 8 3 4" xfId="26670"/>
    <cellStyle name="Note 14 3 8 4" xfId="16963"/>
    <cellStyle name="Note 14 3 8 4 2" xfId="39550"/>
    <cellStyle name="Note 14 3 8 5" xfId="13743"/>
    <cellStyle name="Note 14 3 8 5 2" xfId="36330"/>
    <cellStyle name="Note 14 3 8 6" xfId="7303"/>
    <cellStyle name="Note 14 3 8 6 2" xfId="29890"/>
    <cellStyle name="Note 14 3 8 7" xfId="23450"/>
    <cellStyle name="Note 14 3 9" xfId="1203"/>
    <cellStyle name="Note 14 3 9 2" xfId="2517"/>
    <cellStyle name="Note 14 3 9 2 2" xfId="5738"/>
    <cellStyle name="Note 14 3 9 2 2 2" xfId="21838"/>
    <cellStyle name="Note 14 3 9 2 2 2 2" xfId="44425"/>
    <cellStyle name="Note 14 3 9 2 2 3" xfId="12178"/>
    <cellStyle name="Note 14 3 9 2 2 3 2" xfId="34765"/>
    <cellStyle name="Note 14 3 9 2 2 4" xfId="28325"/>
    <cellStyle name="Note 14 3 9 2 3" xfId="18618"/>
    <cellStyle name="Note 14 3 9 2 3 2" xfId="41205"/>
    <cellStyle name="Note 14 3 9 2 4" xfId="15398"/>
    <cellStyle name="Note 14 3 9 2 4 2" xfId="37985"/>
    <cellStyle name="Note 14 3 9 2 5" xfId="8958"/>
    <cellStyle name="Note 14 3 9 2 5 2" xfId="31545"/>
    <cellStyle name="Note 14 3 9 2 6" xfId="25105"/>
    <cellStyle name="Note 14 3 9 3" xfId="4430"/>
    <cellStyle name="Note 14 3 9 3 2" xfId="20530"/>
    <cellStyle name="Note 14 3 9 3 2 2" xfId="43117"/>
    <cellStyle name="Note 14 3 9 3 3" xfId="10870"/>
    <cellStyle name="Note 14 3 9 3 3 2" xfId="33457"/>
    <cellStyle name="Note 14 3 9 3 4" xfId="27017"/>
    <cellStyle name="Note 14 3 9 4" xfId="17310"/>
    <cellStyle name="Note 14 3 9 4 2" xfId="39897"/>
    <cellStyle name="Note 14 3 9 5" xfId="14090"/>
    <cellStyle name="Note 14 3 9 5 2" xfId="36677"/>
    <cellStyle name="Note 14 3 9 6" xfId="7650"/>
    <cellStyle name="Note 14 3 9 6 2" xfId="30237"/>
    <cellStyle name="Note 14 3 9 7" xfId="23797"/>
    <cellStyle name="Note 14 4" xfId="115"/>
    <cellStyle name="Note 14 4 10" xfId="2871"/>
    <cellStyle name="Note 14 4 10 2" xfId="6092"/>
    <cellStyle name="Note 14 4 10 2 2" xfId="22192"/>
    <cellStyle name="Note 14 4 10 2 2 2" xfId="44779"/>
    <cellStyle name="Note 14 4 10 2 3" xfId="12532"/>
    <cellStyle name="Note 14 4 10 2 3 2" xfId="35119"/>
    <cellStyle name="Note 14 4 10 2 4" xfId="28679"/>
    <cellStyle name="Note 14 4 10 3" xfId="18972"/>
    <cellStyle name="Note 14 4 10 3 2" xfId="41559"/>
    <cellStyle name="Note 14 4 10 4" xfId="15752"/>
    <cellStyle name="Note 14 4 10 4 2" xfId="38339"/>
    <cellStyle name="Note 14 4 10 5" xfId="9312"/>
    <cellStyle name="Note 14 4 10 5 2" xfId="31899"/>
    <cellStyle name="Note 14 4 10 6" xfId="25459"/>
    <cellStyle name="Note 14 4 11" xfId="3162"/>
    <cellStyle name="Note 14 4 11 2" xfId="6382"/>
    <cellStyle name="Note 14 4 11 2 2" xfId="22482"/>
    <cellStyle name="Note 14 4 11 2 2 2" xfId="45069"/>
    <cellStyle name="Note 14 4 11 2 3" xfId="12822"/>
    <cellStyle name="Note 14 4 11 2 3 2" xfId="35409"/>
    <cellStyle name="Note 14 4 11 2 4" xfId="28969"/>
    <cellStyle name="Note 14 4 11 3" xfId="19262"/>
    <cellStyle name="Note 14 4 11 3 2" xfId="41849"/>
    <cellStyle name="Note 14 4 11 4" xfId="16042"/>
    <cellStyle name="Note 14 4 11 4 2" xfId="38629"/>
    <cellStyle name="Note 14 4 11 5" xfId="9602"/>
    <cellStyle name="Note 14 4 11 5 2" xfId="32189"/>
    <cellStyle name="Note 14 4 11 6" xfId="25749"/>
    <cellStyle name="Note 14 4 12" xfId="455"/>
    <cellStyle name="Note 14 4 12 2" xfId="3742"/>
    <cellStyle name="Note 14 4 12 2 2" xfId="19842"/>
    <cellStyle name="Note 14 4 12 2 2 2" xfId="42429"/>
    <cellStyle name="Note 14 4 12 2 3" xfId="10182"/>
    <cellStyle name="Note 14 4 12 2 3 2" xfId="32769"/>
    <cellStyle name="Note 14 4 12 2 4" xfId="26329"/>
    <cellStyle name="Note 14 4 12 3" xfId="16622"/>
    <cellStyle name="Note 14 4 12 3 2" xfId="39209"/>
    <cellStyle name="Note 14 4 12 4" xfId="13402"/>
    <cellStyle name="Note 14 4 12 4 2" xfId="35989"/>
    <cellStyle name="Note 14 4 12 5" xfId="6962"/>
    <cellStyle name="Note 14 4 12 5 2" xfId="29549"/>
    <cellStyle name="Note 14 4 12 6" xfId="23109"/>
    <cellStyle name="Note 14 4 13" xfId="3452"/>
    <cellStyle name="Note 14 4 13 2" xfId="19552"/>
    <cellStyle name="Note 14 4 13 2 2" xfId="42139"/>
    <cellStyle name="Note 14 4 13 3" xfId="9892"/>
    <cellStyle name="Note 14 4 13 3 2" xfId="32479"/>
    <cellStyle name="Note 14 4 13 4" xfId="26039"/>
    <cellStyle name="Note 14 4 14" xfId="16332"/>
    <cellStyle name="Note 14 4 14 2" xfId="38919"/>
    <cellStyle name="Note 14 4 15" xfId="13112"/>
    <cellStyle name="Note 14 4 15 2" xfId="35699"/>
    <cellStyle name="Note 14 4 16" xfId="6672"/>
    <cellStyle name="Note 14 4 16 2" xfId="29259"/>
    <cellStyle name="Note 14 4 17" xfId="22819"/>
    <cellStyle name="Note 14 4 2" xfId="200"/>
    <cellStyle name="Note 14 4 2 10" xfId="492"/>
    <cellStyle name="Note 14 4 2 10 2" xfId="3779"/>
    <cellStyle name="Note 14 4 2 10 2 2" xfId="19879"/>
    <cellStyle name="Note 14 4 2 10 2 2 2" xfId="42466"/>
    <cellStyle name="Note 14 4 2 10 2 3" xfId="10219"/>
    <cellStyle name="Note 14 4 2 10 2 3 2" xfId="32806"/>
    <cellStyle name="Note 14 4 2 10 2 4" xfId="26366"/>
    <cellStyle name="Note 14 4 2 10 3" xfId="16659"/>
    <cellStyle name="Note 14 4 2 10 3 2" xfId="39246"/>
    <cellStyle name="Note 14 4 2 10 4" xfId="13439"/>
    <cellStyle name="Note 14 4 2 10 4 2" xfId="36026"/>
    <cellStyle name="Note 14 4 2 10 5" xfId="6999"/>
    <cellStyle name="Note 14 4 2 10 5 2" xfId="29586"/>
    <cellStyle name="Note 14 4 2 10 6" xfId="23146"/>
    <cellStyle name="Note 14 4 2 11" xfId="3489"/>
    <cellStyle name="Note 14 4 2 11 2" xfId="19589"/>
    <cellStyle name="Note 14 4 2 11 2 2" xfId="42176"/>
    <cellStyle name="Note 14 4 2 11 3" xfId="9929"/>
    <cellStyle name="Note 14 4 2 11 3 2" xfId="32516"/>
    <cellStyle name="Note 14 4 2 11 4" xfId="26076"/>
    <cellStyle name="Note 14 4 2 12" xfId="16369"/>
    <cellStyle name="Note 14 4 2 12 2" xfId="38956"/>
    <cellStyle name="Note 14 4 2 13" xfId="13149"/>
    <cellStyle name="Note 14 4 2 13 2" xfId="35736"/>
    <cellStyle name="Note 14 4 2 14" xfId="6709"/>
    <cellStyle name="Note 14 4 2 14 2" xfId="29296"/>
    <cellStyle name="Note 14 4 2 15" xfId="22856"/>
    <cellStyle name="Note 14 4 2 2" xfId="299"/>
    <cellStyle name="Note 14 4 2 2 10" xfId="16466"/>
    <cellStyle name="Note 14 4 2 2 10 2" xfId="39053"/>
    <cellStyle name="Note 14 4 2 2 11" xfId="13246"/>
    <cellStyle name="Note 14 4 2 2 11 2" xfId="35833"/>
    <cellStyle name="Note 14 4 2 2 12" xfId="6806"/>
    <cellStyle name="Note 14 4 2 2 12 2" xfId="29393"/>
    <cellStyle name="Note 14 4 2 2 13" xfId="22953"/>
    <cellStyle name="Note 14 4 2 2 2" xfId="1018"/>
    <cellStyle name="Note 14 4 2 2 2 2" xfId="2332"/>
    <cellStyle name="Note 14 4 2 2 2 2 2" xfId="5553"/>
    <cellStyle name="Note 14 4 2 2 2 2 2 2" xfId="21653"/>
    <cellStyle name="Note 14 4 2 2 2 2 2 2 2" xfId="44240"/>
    <cellStyle name="Note 14 4 2 2 2 2 2 3" xfId="11993"/>
    <cellStyle name="Note 14 4 2 2 2 2 2 3 2" xfId="34580"/>
    <cellStyle name="Note 14 4 2 2 2 2 2 4" xfId="28140"/>
    <cellStyle name="Note 14 4 2 2 2 2 3" xfId="18433"/>
    <cellStyle name="Note 14 4 2 2 2 2 3 2" xfId="41020"/>
    <cellStyle name="Note 14 4 2 2 2 2 4" xfId="15213"/>
    <cellStyle name="Note 14 4 2 2 2 2 4 2" xfId="37800"/>
    <cellStyle name="Note 14 4 2 2 2 2 5" xfId="8773"/>
    <cellStyle name="Note 14 4 2 2 2 2 5 2" xfId="31360"/>
    <cellStyle name="Note 14 4 2 2 2 2 6" xfId="24920"/>
    <cellStyle name="Note 14 4 2 2 2 3" xfId="4245"/>
    <cellStyle name="Note 14 4 2 2 2 3 2" xfId="20345"/>
    <cellStyle name="Note 14 4 2 2 2 3 2 2" xfId="42932"/>
    <cellStyle name="Note 14 4 2 2 2 3 3" xfId="10685"/>
    <cellStyle name="Note 14 4 2 2 2 3 3 2" xfId="33272"/>
    <cellStyle name="Note 14 4 2 2 2 3 4" xfId="26832"/>
    <cellStyle name="Note 14 4 2 2 2 4" xfId="17125"/>
    <cellStyle name="Note 14 4 2 2 2 4 2" xfId="39712"/>
    <cellStyle name="Note 14 4 2 2 2 5" xfId="13905"/>
    <cellStyle name="Note 14 4 2 2 2 5 2" xfId="36492"/>
    <cellStyle name="Note 14 4 2 2 2 6" xfId="7465"/>
    <cellStyle name="Note 14 4 2 2 2 6 2" xfId="30052"/>
    <cellStyle name="Note 14 4 2 2 2 7" xfId="23612"/>
    <cellStyle name="Note 14 4 2 2 3" xfId="1365"/>
    <cellStyle name="Note 14 4 2 2 3 2" xfId="2679"/>
    <cellStyle name="Note 14 4 2 2 3 2 2" xfId="5900"/>
    <cellStyle name="Note 14 4 2 2 3 2 2 2" xfId="22000"/>
    <cellStyle name="Note 14 4 2 2 3 2 2 2 2" xfId="44587"/>
    <cellStyle name="Note 14 4 2 2 3 2 2 3" xfId="12340"/>
    <cellStyle name="Note 14 4 2 2 3 2 2 3 2" xfId="34927"/>
    <cellStyle name="Note 14 4 2 2 3 2 2 4" xfId="28487"/>
    <cellStyle name="Note 14 4 2 2 3 2 3" xfId="18780"/>
    <cellStyle name="Note 14 4 2 2 3 2 3 2" xfId="41367"/>
    <cellStyle name="Note 14 4 2 2 3 2 4" xfId="15560"/>
    <cellStyle name="Note 14 4 2 2 3 2 4 2" xfId="38147"/>
    <cellStyle name="Note 14 4 2 2 3 2 5" xfId="9120"/>
    <cellStyle name="Note 14 4 2 2 3 2 5 2" xfId="31707"/>
    <cellStyle name="Note 14 4 2 2 3 2 6" xfId="25267"/>
    <cellStyle name="Note 14 4 2 2 3 3" xfId="4592"/>
    <cellStyle name="Note 14 4 2 2 3 3 2" xfId="20692"/>
    <cellStyle name="Note 14 4 2 2 3 3 2 2" xfId="43279"/>
    <cellStyle name="Note 14 4 2 2 3 3 3" xfId="11032"/>
    <cellStyle name="Note 14 4 2 2 3 3 3 2" xfId="33619"/>
    <cellStyle name="Note 14 4 2 2 3 3 4" xfId="27179"/>
    <cellStyle name="Note 14 4 2 2 3 4" xfId="17472"/>
    <cellStyle name="Note 14 4 2 2 3 4 2" xfId="40059"/>
    <cellStyle name="Note 14 4 2 2 3 5" xfId="14252"/>
    <cellStyle name="Note 14 4 2 2 3 5 2" xfId="36839"/>
    <cellStyle name="Note 14 4 2 2 3 6" xfId="7812"/>
    <cellStyle name="Note 14 4 2 2 3 6 2" xfId="30399"/>
    <cellStyle name="Note 14 4 2 2 3 7" xfId="23959"/>
    <cellStyle name="Note 14 4 2 2 4" xfId="1795"/>
    <cellStyle name="Note 14 4 2 2 4 2" xfId="5018"/>
    <cellStyle name="Note 14 4 2 2 4 2 2" xfId="21118"/>
    <cellStyle name="Note 14 4 2 2 4 2 2 2" xfId="43705"/>
    <cellStyle name="Note 14 4 2 2 4 2 3" xfId="11458"/>
    <cellStyle name="Note 14 4 2 2 4 2 3 2" xfId="34045"/>
    <cellStyle name="Note 14 4 2 2 4 2 4" xfId="27605"/>
    <cellStyle name="Note 14 4 2 2 4 3" xfId="17898"/>
    <cellStyle name="Note 14 4 2 2 4 3 2" xfId="40485"/>
    <cellStyle name="Note 14 4 2 2 4 4" xfId="14678"/>
    <cellStyle name="Note 14 4 2 2 4 4 2" xfId="37265"/>
    <cellStyle name="Note 14 4 2 2 4 5" xfId="8238"/>
    <cellStyle name="Note 14 4 2 2 4 5 2" xfId="30825"/>
    <cellStyle name="Note 14 4 2 2 4 6" xfId="24385"/>
    <cellStyle name="Note 14 4 2 2 5" xfId="1984"/>
    <cellStyle name="Note 14 4 2 2 5 2" xfId="5206"/>
    <cellStyle name="Note 14 4 2 2 5 2 2" xfId="21306"/>
    <cellStyle name="Note 14 4 2 2 5 2 2 2" xfId="43893"/>
    <cellStyle name="Note 14 4 2 2 5 2 3" xfId="11646"/>
    <cellStyle name="Note 14 4 2 2 5 2 3 2" xfId="34233"/>
    <cellStyle name="Note 14 4 2 2 5 2 4" xfId="27793"/>
    <cellStyle name="Note 14 4 2 2 5 3" xfId="18086"/>
    <cellStyle name="Note 14 4 2 2 5 3 2" xfId="40673"/>
    <cellStyle name="Note 14 4 2 2 5 4" xfId="14866"/>
    <cellStyle name="Note 14 4 2 2 5 4 2" xfId="37453"/>
    <cellStyle name="Note 14 4 2 2 5 5" xfId="8426"/>
    <cellStyle name="Note 14 4 2 2 5 5 2" xfId="31013"/>
    <cellStyle name="Note 14 4 2 2 5 6" xfId="24573"/>
    <cellStyle name="Note 14 4 2 2 6" xfId="3006"/>
    <cellStyle name="Note 14 4 2 2 6 2" xfId="6226"/>
    <cellStyle name="Note 14 4 2 2 6 2 2" xfId="22326"/>
    <cellStyle name="Note 14 4 2 2 6 2 2 2" xfId="44913"/>
    <cellStyle name="Note 14 4 2 2 6 2 3" xfId="12666"/>
    <cellStyle name="Note 14 4 2 2 6 2 3 2" xfId="35253"/>
    <cellStyle name="Note 14 4 2 2 6 2 4" xfId="28813"/>
    <cellStyle name="Note 14 4 2 2 6 3" xfId="19106"/>
    <cellStyle name="Note 14 4 2 2 6 3 2" xfId="41693"/>
    <cellStyle name="Note 14 4 2 2 6 4" xfId="15886"/>
    <cellStyle name="Note 14 4 2 2 6 4 2" xfId="38473"/>
    <cellStyle name="Note 14 4 2 2 6 5" xfId="9446"/>
    <cellStyle name="Note 14 4 2 2 6 5 2" xfId="32033"/>
    <cellStyle name="Note 14 4 2 2 6 6" xfId="25593"/>
    <cellStyle name="Note 14 4 2 2 7" xfId="3296"/>
    <cellStyle name="Note 14 4 2 2 7 2" xfId="6516"/>
    <cellStyle name="Note 14 4 2 2 7 2 2" xfId="22616"/>
    <cellStyle name="Note 14 4 2 2 7 2 2 2" xfId="45203"/>
    <cellStyle name="Note 14 4 2 2 7 2 3" xfId="12956"/>
    <cellStyle name="Note 14 4 2 2 7 2 3 2" xfId="35543"/>
    <cellStyle name="Note 14 4 2 2 7 2 4" xfId="29103"/>
    <cellStyle name="Note 14 4 2 2 7 3" xfId="19396"/>
    <cellStyle name="Note 14 4 2 2 7 3 2" xfId="41983"/>
    <cellStyle name="Note 14 4 2 2 7 4" xfId="16176"/>
    <cellStyle name="Note 14 4 2 2 7 4 2" xfId="38763"/>
    <cellStyle name="Note 14 4 2 2 7 5" xfId="9736"/>
    <cellStyle name="Note 14 4 2 2 7 5 2" xfId="32323"/>
    <cellStyle name="Note 14 4 2 2 7 6" xfId="25883"/>
    <cellStyle name="Note 14 4 2 2 8" xfId="654"/>
    <cellStyle name="Note 14 4 2 2 8 2" xfId="3898"/>
    <cellStyle name="Note 14 4 2 2 8 2 2" xfId="19998"/>
    <cellStyle name="Note 14 4 2 2 8 2 2 2" xfId="42585"/>
    <cellStyle name="Note 14 4 2 2 8 2 3" xfId="10338"/>
    <cellStyle name="Note 14 4 2 2 8 2 3 2" xfId="32925"/>
    <cellStyle name="Note 14 4 2 2 8 2 4" xfId="26485"/>
    <cellStyle name="Note 14 4 2 2 8 3" xfId="16778"/>
    <cellStyle name="Note 14 4 2 2 8 3 2" xfId="39365"/>
    <cellStyle name="Note 14 4 2 2 8 4" xfId="13558"/>
    <cellStyle name="Note 14 4 2 2 8 4 2" xfId="36145"/>
    <cellStyle name="Note 14 4 2 2 8 5" xfId="7118"/>
    <cellStyle name="Note 14 4 2 2 8 5 2" xfId="29705"/>
    <cellStyle name="Note 14 4 2 2 8 6" xfId="23265"/>
    <cellStyle name="Note 14 4 2 2 9" xfId="3586"/>
    <cellStyle name="Note 14 4 2 2 9 2" xfId="19686"/>
    <cellStyle name="Note 14 4 2 2 9 2 2" xfId="42273"/>
    <cellStyle name="Note 14 4 2 2 9 3" xfId="10026"/>
    <cellStyle name="Note 14 4 2 2 9 3 2" xfId="32613"/>
    <cellStyle name="Note 14 4 2 2 9 4" xfId="26173"/>
    <cellStyle name="Note 14 4 2 3" xfId="395"/>
    <cellStyle name="Note 14 4 2 3 10" xfId="13342"/>
    <cellStyle name="Note 14 4 2 3 10 2" xfId="35929"/>
    <cellStyle name="Note 14 4 2 3 11" xfId="6902"/>
    <cellStyle name="Note 14 4 2 3 11 2" xfId="29489"/>
    <cellStyle name="Note 14 4 2 3 12" xfId="23049"/>
    <cellStyle name="Note 14 4 2 3 2" xfId="1177"/>
    <cellStyle name="Note 14 4 2 3 2 2" xfId="2491"/>
    <cellStyle name="Note 14 4 2 3 2 2 2" xfId="5712"/>
    <cellStyle name="Note 14 4 2 3 2 2 2 2" xfId="21812"/>
    <cellStyle name="Note 14 4 2 3 2 2 2 2 2" xfId="44399"/>
    <cellStyle name="Note 14 4 2 3 2 2 2 3" xfId="12152"/>
    <cellStyle name="Note 14 4 2 3 2 2 2 3 2" xfId="34739"/>
    <cellStyle name="Note 14 4 2 3 2 2 2 4" xfId="28299"/>
    <cellStyle name="Note 14 4 2 3 2 2 3" xfId="18592"/>
    <cellStyle name="Note 14 4 2 3 2 2 3 2" xfId="41179"/>
    <cellStyle name="Note 14 4 2 3 2 2 4" xfId="15372"/>
    <cellStyle name="Note 14 4 2 3 2 2 4 2" xfId="37959"/>
    <cellStyle name="Note 14 4 2 3 2 2 5" xfId="8932"/>
    <cellStyle name="Note 14 4 2 3 2 2 5 2" xfId="31519"/>
    <cellStyle name="Note 14 4 2 3 2 2 6" xfId="25079"/>
    <cellStyle name="Note 14 4 2 3 2 3" xfId="4404"/>
    <cellStyle name="Note 14 4 2 3 2 3 2" xfId="20504"/>
    <cellStyle name="Note 14 4 2 3 2 3 2 2" xfId="43091"/>
    <cellStyle name="Note 14 4 2 3 2 3 3" xfId="10844"/>
    <cellStyle name="Note 14 4 2 3 2 3 3 2" xfId="33431"/>
    <cellStyle name="Note 14 4 2 3 2 3 4" xfId="26991"/>
    <cellStyle name="Note 14 4 2 3 2 4" xfId="17284"/>
    <cellStyle name="Note 14 4 2 3 2 4 2" xfId="39871"/>
    <cellStyle name="Note 14 4 2 3 2 5" xfId="14064"/>
    <cellStyle name="Note 14 4 2 3 2 5 2" xfId="36651"/>
    <cellStyle name="Note 14 4 2 3 2 6" xfId="7624"/>
    <cellStyle name="Note 14 4 2 3 2 6 2" xfId="30211"/>
    <cellStyle name="Note 14 4 2 3 2 7" xfId="23771"/>
    <cellStyle name="Note 14 4 2 3 3" xfId="1524"/>
    <cellStyle name="Note 14 4 2 3 3 2" xfId="2838"/>
    <cellStyle name="Note 14 4 2 3 3 2 2" xfId="6059"/>
    <cellStyle name="Note 14 4 2 3 3 2 2 2" xfId="22159"/>
    <cellStyle name="Note 14 4 2 3 3 2 2 2 2" xfId="44746"/>
    <cellStyle name="Note 14 4 2 3 3 2 2 3" xfId="12499"/>
    <cellStyle name="Note 14 4 2 3 3 2 2 3 2" xfId="35086"/>
    <cellStyle name="Note 14 4 2 3 3 2 2 4" xfId="28646"/>
    <cellStyle name="Note 14 4 2 3 3 2 3" xfId="18939"/>
    <cellStyle name="Note 14 4 2 3 3 2 3 2" xfId="41526"/>
    <cellStyle name="Note 14 4 2 3 3 2 4" xfId="15719"/>
    <cellStyle name="Note 14 4 2 3 3 2 4 2" xfId="38306"/>
    <cellStyle name="Note 14 4 2 3 3 2 5" xfId="9279"/>
    <cellStyle name="Note 14 4 2 3 3 2 5 2" xfId="31866"/>
    <cellStyle name="Note 14 4 2 3 3 2 6" xfId="25426"/>
    <cellStyle name="Note 14 4 2 3 3 3" xfId="4751"/>
    <cellStyle name="Note 14 4 2 3 3 3 2" xfId="20851"/>
    <cellStyle name="Note 14 4 2 3 3 3 2 2" xfId="43438"/>
    <cellStyle name="Note 14 4 2 3 3 3 3" xfId="11191"/>
    <cellStyle name="Note 14 4 2 3 3 3 3 2" xfId="33778"/>
    <cellStyle name="Note 14 4 2 3 3 3 4" xfId="27338"/>
    <cellStyle name="Note 14 4 2 3 3 4" xfId="17631"/>
    <cellStyle name="Note 14 4 2 3 3 4 2" xfId="40218"/>
    <cellStyle name="Note 14 4 2 3 3 5" xfId="14411"/>
    <cellStyle name="Note 14 4 2 3 3 5 2" xfId="36998"/>
    <cellStyle name="Note 14 4 2 3 3 6" xfId="7971"/>
    <cellStyle name="Note 14 4 2 3 3 6 2" xfId="30558"/>
    <cellStyle name="Note 14 4 2 3 3 7" xfId="24118"/>
    <cellStyle name="Note 14 4 2 3 4" xfId="2144"/>
    <cellStyle name="Note 14 4 2 3 4 2" xfId="5365"/>
    <cellStyle name="Note 14 4 2 3 4 2 2" xfId="21465"/>
    <cellStyle name="Note 14 4 2 3 4 2 2 2" xfId="44052"/>
    <cellStyle name="Note 14 4 2 3 4 2 3" xfId="11805"/>
    <cellStyle name="Note 14 4 2 3 4 2 3 2" xfId="34392"/>
    <cellStyle name="Note 14 4 2 3 4 2 4" xfId="27952"/>
    <cellStyle name="Note 14 4 2 3 4 3" xfId="18245"/>
    <cellStyle name="Note 14 4 2 3 4 3 2" xfId="40832"/>
    <cellStyle name="Note 14 4 2 3 4 4" xfId="15025"/>
    <cellStyle name="Note 14 4 2 3 4 4 2" xfId="37612"/>
    <cellStyle name="Note 14 4 2 3 4 5" xfId="8585"/>
    <cellStyle name="Note 14 4 2 3 4 5 2" xfId="31172"/>
    <cellStyle name="Note 14 4 2 3 4 6" xfId="24732"/>
    <cellStyle name="Note 14 4 2 3 5" xfId="3102"/>
    <cellStyle name="Note 14 4 2 3 5 2" xfId="6322"/>
    <cellStyle name="Note 14 4 2 3 5 2 2" xfId="22422"/>
    <cellStyle name="Note 14 4 2 3 5 2 2 2" xfId="45009"/>
    <cellStyle name="Note 14 4 2 3 5 2 3" xfId="12762"/>
    <cellStyle name="Note 14 4 2 3 5 2 3 2" xfId="35349"/>
    <cellStyle name="Note 14 4 2 3 5 2 4" xfId="28909"/>
    <cellStyle name="Note 14 4 2 3 5 3" xfId="19202"/>
    <cellStyle name="Note 14 4 2 3 5 3 2" xfId="41789"/>
    <cellStyle name="Note 14 4 2 3 5 4" xfId="15982"/>
    <cellStyle name="Note 14 4 2 3 5 4 2" xfId="38569"/>
    <cellStyle name="Note 14 4 2 3 5 5" xfId="9542"/>
    <cellStyle name="Note 14 4 2 3 5 5 2" xfId="32129"/>
    <cellStyle name="Note 14 4 2 3 5 6" xfId="25689"/>
    <cellStyle name="Note 14 4 2 3 6" xfId="3392"/>
    <cellStyle name="Note 14 4 2 3 6 2" xfId="6612"/>
    <cellStyle name="Note 14 4 2 3 6 2 2" xfId="22712"/>
    <cellStyle name="Note 14 4 2 3 6 2 2 2" xfId="45299"/>
    <cellStyle name="Note 14 4 2 3 6 2 3" xfId="13052"/>
    <cellStyle name="Note 14 4 2 3 6 2 3 2" xfId="35639"/>
    <cellStyle name="Note 14 4 2 3 6 2 4" xfId="29199"/>
    <cellStyle name="Note 14 4 2 3 6 3" xfId="19492"/>
    <cellStyle name="Note 14 4 2 3 6 3 2" xfId="42079"/>
    <cellStyle name="Note 14 4 2 3 6 4" xfId="16272"/>
    <cellStyle name="Note 14 4 2 3 6 4 2" xfId="38859"/>
    <cellStyle name="Note 14 4 2 3 6 5" xfId="9832"/>
    <cellStyle name="Note 14 4 2 3 6 5 2" xfId="32419"/>
    <cellStyle name="Note 14 4 2 3 6 6" xfId="25979"/>
    <cellStyle name="Note 14 4 2 3 7" xfId="825"/>
    <cellStyle name="Note 14 4 2 3 7 2" xfId="4057"/>
    <cellStyle name="Note 14 4 2 3 7 2 2" xfId="20157"/>
    <cellStyle name="Note 14 4 2 3 7 2 2 2" xfId="42744"/>
    <cellStyle name="Note 14 4 2 3 7 2 3" xfId="10497"/>
    <cellStyle name="Note 14 4 2 3 7 2 3 2" xfId="33084"/>
    <cellStyle name="Note 14 4 2 3 7 2 4" xfId="26644"/>
    <cellStyle name="Note 14 4 2 3 7 3" xfId="16937"/>
    <cellStyle name="Note 14 4 2 3 7 3 2" xfId="39524"/>
    <cellStyle name="Note 14 4 2 3 7 4" xfId="13717"/>
    <cellStyle name="Note 14 4 2 3 7 4 2" xfId="36304"/>
    <cellStyle name="Note 14 4 2 3 7 5" xfId="7277"/>
    <cellStyle name="Note 14 4 2 3 7 5 2" xfId="29864"/>
    <cellStyle name="Note 14 4 2 3 7 6" xfId="23424"/>
    <cellStyle name="Note 14 4 2 3 8" xfId="3682"/>
    <cellStyle name="Note 14 4 2 3 8 2" xfId="19782"/>
    <cellStyle name="Note 14 4 2 3 8 2 2" xfId="42369"/>
    <cellStyle name="Note 14 4 2 3 8 3" xfId="10122"/>
    <cellStyle name="Note 14 4 2 3 8 3 2" xfId="32709"/>
    <cellStyle name="Note 14 4 2 3 8 4" xfId="26269"/>
    <cellStyle name="Note 14 4 2 3 9" xfId="16562"/>
    <cellStyle name="Note 14 4 2 3 9 2" xfId="39149"/>
    <cellStyle name="Note 14 4 2 4" xfId="894"/>
    <cellStyle name="Note 14 4 2 4 2" xfId="2213"/>
    <cellStyle name="Note 14 4 2 4 2 2" xfId="5434"/>
    <cellStyle name="Note 14 4 2 4 2 2 2" xfId="21534"/>
    <cellStyle name="Note 14 4 2 4 2 2 2 2" xfId="44121"/>
    <cellStyle name="Note 14 4 2 4 2 2 3" xfId="11874"/>
    <cellStyle name="Note 14 4 2 4 2 2 3 2" xfId="34461"/>
    <cellStyle name="Note 14 4 2 4 2 2 4" xfId="28021"/>
    <cellStyle name="Note 14 4 2 4 2 3" xfId="18314"/>
    <cellStyle name="Note 14 4 2 4 2 3 2" xfId="40901"/>
    <cellStyle name="Note 14 4 2 4 2 4" xfId="15094"/>
    <cellStyle name="Note 14 4 2 4 2 4 2" xfId="37681"/>
    <cellStyle name="Note 14 4 2 4 2 5" xfId="8654"/>
    <cellStyle name="Note 14 4 2 4 2 5 2" xfId="31241"/>
    <cellStyle name="Note 14 4 2 4 2 6" xfId="24801"/>
    <cellStyle name="Note 14 4 2 4 3" xfId="4126"/>
    <cellStyle name="Note 14 4 2 4 3 2" xfId="20226"/>
    <cellStyle name="Note 14 4 2 4 3 2 2" xfId="42813"/>
    <cellStyle name="Note 14 4 2 4 3 3" xfId="10566"/>
    <cellStyle name="Note 14 4 2 4 3 3 2" xfId="33153"/>
    <cellStyle name="Note 14 4 2 4 3 4" xfId="26713"/>
    <cellStyle name="Note 14 4 2 4 4" xfId="17006"/>
    <cellStyle name="Note 14 4 2 4 4 2" xfId="39593"/>
    <cellStyle name="Note 14 4 2 4 5" xfId="13786"/>
    <cellStyle name="Note 14 4 2 4 5 2" xfId="36373"/>
    <cellStyle name="Note 14 4 2 4 6" xfId="7346"/>
    <cellStyle name="Note 14 4 2 4 6 2" xfId="29933"/>
    <cellStyle name="Note 14 4 2 4 7" xfId="23493"/>
    <cellStyle name="Note 14 4 2 5" xfId="1246"/>
    <cellStyle name="Note 14 4 2 5 2" xfId="2560"/>
    <cellStyle name="Note 14 4 2 5 2 2" xfId="5781"/>
    <cellStyle name="Note 14 4 2 5 2 2 2" xfId="21881"/>
    <cellStyle name="Note 14 4 2 5 2 2 2 2" xfId="44468"/>
    <cellStyle name="Note 14 4 2 5 2 2 3" xfId="12221"/>
    <cellStyle name="Note 14 4 2 5 2 2 3 2" xfId="34808"/>
    <cellStyle name="Note 14 4 2 5 2 2 4" xfId="28368"/>
    <cellStyle name="Note 14 4 2 5 2 3" xfId="18661"/>
    <cellStyle name="Note 14 4 2 5 2 3 2" xfId="41248"/>
    <cellStyle name="Note 14 4 2 5 2 4" xfId="15441"/>
    <cellStyle name="Note 14 4 2 5 2 4 2" xfId="38028"/>
    <cellStyle name="Note 14 4 2 5 2 5" xfId="9001"/>
    <cellStyle name="Note 14 4 2 5 2 5 2" xfId="31588"/>
    <cellStyle name="Note 14 4 2 5 2 6" xfId="25148"/>
    <cellStyle name="Note 14 4 2 5 3" xfId="4473"/>
    <cellStyle name="Note 14 4 2 5 3 2" xfId="20573"/>
    <cellStyle name="Note 14 4 2 5 3 2 2" xfId="43160"/>
    <cellStyle name="Note 14 4 2 5 3 3" xfId="10913"/>
    <cellStyle name="Note 14 4 2 5 3 3 2" xfId="33500"/>
    <cellStyle name="Note 14 4 2 5 3 4" xfId="27060"/>
    <cellStyle name="Note 14 4 2 5 4" xfId="17353"/>
    <cellStyle name="Note 14 4 2 5 4 2" xfId="39940"/>
    <cellStyle name="Note 14 4 2 5 5" xfId="14133"/>
    <cellStyle name="Note 14 4 2 5 5 2" xfId="36720"/>
    <cellStyle name="Note 14 4 2 5 6" xfId="7693"/>
    <cellStyle name="Note 14 4 2 5 6 2" xfId="30280"/>
    <cellStyle name="Note 14 4 2 5 7" xfId="23840"/>
    <cellStyle name="Note 14 4 2 6" xfId="1796"/>
    <cellStyle name="Note 14 4 2 6 2" xfId="5019"/>
    <cellStyle name="Note 14 4 2 6 2 2" xfId="21119"/>
    <cellStyle name="Note 14 4 2 6 2 2 2" xfId="43706"/>
    <cellStyle name="Note 14 4 2 6 2 3" xfId="11459"/>
    <cellStyle name="Note 14 4 2 6 2 3 2" xfId="34046"/>
    <cellStyle name="Note 14 4 2 6 2 4" xfId="27606"/>
    <cellStyle name="Note 14 4 2 6 3" xfId="17899"/>
    <cellStyle name="Note 14 4 2 6 3 2" xfId="40486"/>
    <cellStyle name="Note 14 4 2 6 4" xfId="14679"/>
    <cellStyle name="Note 14 4 2 6 4 2" xfId="37266"/>
    <cellStyle name="Note 14 4 2 6 5" xfId="8239"/>
    <cellStyle name="Note 14 4 2 6 5 2" xfId="30826"/>
    <cellStyle name="Note 14 4 2 6 6" xfId="24386"/>
    <cellStyle name="Note 14 4 2 7" xfId="1865"/>
    <cellStyle name="Note 14 4 2 7 2" xfId="5087"/>
    <cellStyle name="Note 14 4 2 7 2 2" xfId="21187"/>
    <cellStyle name="Note 14 4 2 7 2 2 2" xfId="43774"/>
    <cellStyle name="Note 14 4 2 7 2 3" xfId="11527"/>
    <cellStyle name="Note 14 4 2 7 2 3 2" xfId="34114"/>
    <cellStyle name="Note 14 4 2 7 2 4" xfId="27674"/>
    <cellStyle name="Note 14 4 2 7 3" xfId="17967"/>
    <cellStyle name="Note 14 4 2 7 3 2" xfId="40554"/>
    <cellStyle name="Note 14 4 2 7 4" xfId="14747"/>
    <cellStyle name="Note 14 4 2 7 4 2" xfId="37334"/>
    <cellStyle name="Note 14 4 2 7 5" xfId="8307"/>
    <cellStyle name="Note 14 4 2 7 5 2" xfId="30894"/>
    <cellStyle name="Note 14 4 2 7 6" xfId="24454"/>
    <cellStyle name="Note 14 4 2 8" xfId="2908"/>
    <cellStyle name="Note 14 4 2 8 2" xfId="6129"/>
    <cellStyle name="Note 14 4 2 8 2 2" xfId="22229"/>
    <cellStyle name="Note 14 4 2 8 2 2 2" xfId="44816"/>
    <cellStyle name="Note 14 4 2 8 2 3" xfId="12569"/>
    <cellStyle name="Note 14 4 2 8 2 3 2" xfId="35156"/>
    <cellStyle name="Note 14 4 2 8 2 4" xfId="28716"/>
    <cellStyle name="Note 14 4 2 8 3" xfId="19009"/>
    <cellStyle name="Note 14 4 2 8 3 2" xfId="41596"/>
    <cellStyle name="Note 14 4 2 8 4" xfId="15789"/>
    <cellStyle name="Note 14 4 2 8 4 2" xfId="38376"/>
    <cellStyle name="Note 14 4 2 8 5" xfId="9349"/>
    <cellStyle name="Note 14 4 2 8 5 2" xfId="31936"/>
    <cellStyle name="Note 14 4 2 8 6" xfId="25496"/>
    <cellStyle name="Note 14 4 2 9" xfId="3199"/>
    <cellStyle name="Note 14 4 2 9 2" xfId="6419"/>
    <cellStyle name="Note 14 4 2 9 2 2" xfId="22519"/>
    <cellStyle name="Note 14 4 2 9 2 2 2" xfId="45106"/>
    <cellStyle name="Note 14 4 2 9 2 3" xfId="12859"/>
    <cellStyle name="Note 14 4 2 9 2 3 2" xfId="35446"/>
    <cellStyle name="Note 14 4 2 9 2 4" xfId="29006"/>
    <cellStyle name="Note 14 4 2 9 3" xfId="19299"/>
    <cellStyle name="Note 14 4 2 9 3 2" xfId="41886"/>
    <cellStyle name="Note 14 4 2 9 4" xfId="16079"/>
    <cellStyle name="Note 14 4 2 9 4 2" xfId="38666"/>
    <cellStyle name="Note 14 4 2 9 5" xfId="9639"/>
    <cellStyle name="Note 14 4 2 9 5 2" xfId="32226"/>
    <cellStyle name="Note 14 4 2 9 6" xfId="25786"/>
    <cellStyle name="Note 14 4 3" xfId="258"/>
    <cellStyle name="Note 14 4 3 10" xfId="3545"/>
    <cellStyle name="Note 14 4 3 10 2" xfId="19645"/>
    <cellStyle name="Note 14 4 3 10 2 2" xfId="42232"/>
    <cellStyle name="Note 14 4 3 10 3" xfId="9985"/>
    <cellStyle name="Note 14 4 3 10 3 2" xfId="32572"/>
    <cellStyle name="Note 14 4 3 10 4" xfId="26132"/>
    <cellStyle name="Note 14 4 3 11" xfId="16425"/>
    <cellStyle name="Note 14 4 3 11 2" xfId="39012"/>
    <cellStyle name="Note 14 4 3 12" xfId="13205"/>
    <cellStyle name="Note 14 4 3 12 2" xfId="35792"/>
    <cellStyle name="Note 14 4 3 13" xfId="6765"/>
    <cellStyle name="Note 14 4 3 13 2" xfId="29352"/>
    <cellStyle name="Note 14 4 3 14" xfId="22912"/>
    <cellStyle name="Note 14 4 3 2" xfId="691"/>
    <cellStyle name="Note 14 4 3 2 2" xfId="1055"/>
    <cellStyle name="Note 14 4 3 2 2 2" xfId="2369"/>
    <cellStyle name="Note 14 4 3 2 2 2 2" xfId="5590"/>
    <cellStyle name="Note 14 4 3 2 2 2 2 2" xfId="21690"/>
    <cellStyle name="Note 14 4 3 2 2 2 2 2 2" xfId="44277"/>
    <cellStyle name="Note 14 4 3 2 2 2 2 3" xfId="12030"/>
    <cellStyle name="Note 14 4 3 2 2 2 2 3 2" xfId="34617"/>
    <cellStyle name="Note 14 4 3 2 2 2 2 4" xfId="28177"/>
    <cellStyle name="Note 14 4 3 2 2 2 3" xfId="18470"/>
    <cellStyle name="Note 14 4 3 2 2 2 3 2" xfId="41057"/>
    <cellStyle name="Note 14 4 3 2 2 2 4" xfId="15250"/>
    <cellStyle name="Note 14 4 3 2 2 2 4 2" xfId="37837"/>
    <cellStyle name="Note 14 4 3 2 2 2 5" xfId="8810"/>
    <cellStyle name="Note 14 4 3 2 2 2 5 2" xfId="31397"/>
    <cellStyle name="Note 14 4 3 2 2 2 6" xfId="24957"/>
    <cellStyle name="Note 14 4 3 2 2 3" xfId="4282"/>
    <cellStyle name="Note 14 4 3 2 2 3 2" xfId="20382"/>
    <cellStyle name="Note 14 4 3 2 2 3 2 2" xfId="42969"/>
    <cellStyle name="Note 14 4 3 2 2 3 3" xfId="10722"/>
    <cellStyle name="Note 14 4 3 2 2 3 3 2" xfId="33309"/>
    <cellStyle name="Note 14 4 3 2 2 3 4" xfId="26869"/>
    <cellStyle name="Note 14 4 3 2 2 4" xfId="17162"/>
    <cellStyle name="Note 14 4 3 2 2 4 2" xfId="39749"/>
    <cellStyle name="Note 14 4 3 2 2 5" xfId="13942"/>
    <cellStyle name="Note 14 4 3 2 2 5 2" xfId="36529"/>
    <cellStyle name="Note 14 4 3 2 2 6" xfId="7502"/>
    <cellStyle name="Note 14 4 3 2 2 6 2" xfId="30089"/>
    <cellStyle name="Note 14 4 3 2 2 7" xfId="23649"/>
    <cellStyle name="Note 14 4 3 2 3" xfId="1402"/>
    <cellStyle name="Note 14 4 3 2 3 2" xfId="2716"/>
    <cellStyle name="Note 14 4 3 2 3 2 2" xfId="5937"/>
    <cellStyle name="Note 14 4 3 2 3 2 2 2" xfId="22037"/>
    <cellStyle name="Note 14 4 3 2 3 2 2 2 2" xfId="44624"/>
    <cellStyle name="Note 14 4 3 2 3 2 2 3" xfId="12377"/>
    <cellStyle name="Note 14 4 3 2 3 2 2 3 2" xfId="34964"/>
    <cellStyle name="Note 14 4 3 2 3 2 2 4" xfId="28524"/>
    <cellStyle name="Note 14 4 3 2 3 2 3" xfId="18817"/>
    <cellStyle name="Note 14 4 3 2 3 2 3 2" xfId="41404"/>
    <cellStyle name="Note 14 4 3 2 3 2 4" xfId="15597"/>
    <cellStyle name="Note 14 4 3 2 3 2 4 2" xfId="38184"/>
    <cellStyle name="Note 14 4 3 2 3 2 5" xfId="9157"/>
    <cellStyle name="Note 14 4 3 2 3 2 5 2" xfId="31744"/>
    <cellStyle name="Note 14 4 3 2 3 2 6" xfId="25304"/>
    <cellStyle name="Note 14 4 3 2 3 3" xfId="4629"/>
    <cellStyle name="Note 14 4 3 2 3 3 2" xfId="20729"/>
    <cellStyle name="Note 14 4 3 2 3 3 2 2" xfId="43316"/>
    <cellStyle name="Note 14 4 3 2 3 3 3" xfId="11069"/>
    <cellStyle name="Note 14 4 3 2 3 3 3 2" xfId="33656"/>
    <cellStyle name="Note 14 4 3 2 3 3 4" xfId="27216"/>
    <cellStyle name="Note 14 4 3 2 3 4" xfId="17509"/>
    <cellStyle name="Note 14 4 3 2 3 4 2" xfId="40096"/>
    <cellStyle name="Note 14 4 3 2 3 5" xfId="14289"/>
    <cellStyle name="Note 14 4 3 2 3 5 2" xfId="36876"/>
    <cellStyle name="Note 14 4 3 2 3 6" xfId="7849"/>
    <cellStyle name="Note 14 4 3 2 3 6 2" xfId="30436"/>
    <cellStyle name="Note 14 4 3 2 3 7" xfId="23996"/>
    <cellStyle name="Note 14 4 3 2 4" xfId="2021"/>
    <cellStyle name="Note 14 4 3 2 4 2" xfId="5243"/>
    <cellStyle name="Note 14 4 3 2 4 2 2" xfId="21343"/>
    <cellStyle name="Note 14 4 3 2 4 2 2 2" xfId="43930"/>
    <cellStyle name="Note 14 4 3 2 4 2 3" xfId="11683"/>
    <cellStyle name="Note 14 4 3 2 4 2 3 2" xfId="34270"/>
    <cellStyle name="Note 14 4 3 2 4 2 4" xfId="27830"/>
    <cellStyle name="Note 14 4 3 2 4 3" xfId="18123"/>
    <cellStyle name="Note 14 4 3 2 4 3 2" xfId="40710"/>
    <cellStyle name="Note 14 4 3 2 4 4" xfId="14903"/>
    <cellStyle name="Note 14 4 3 2 4 4 2" xfId="37490"/>
    <cellStyle name="Note 14 4 3 2 4 5" xfId="8463"/>
    <cellStyle name="Note 14 4 3 2 4 5 2" xfId="31050"/>
    <cellStyle name="Note 14 4 3 2 4 6" xfId="24610"/>
    <cellStyle name="Note 14 4 3 2 5" xfId="3935"/>
    <cellStyle name="Note 14 4 3 2 5 2" xfId="20035"/>
    <cellStyle name="Note 14 4 3 2 5 2 2" xfId="42622"/>
    <cellStyle name="Note 14 4 3 2 5 3" xfId="10375"/>
    <cellStyle name="Note 14 4 3 2 5 3 2" xfId="32962"/>
    <cellStyle name="Note 14 4 3 2 5 4" xfId="26522"/>
    <cellStyle name="Note 14 4 3 2 6" xfId="16815"/>
    <cellStyle name="Note 14 4 3 2 6 2" xfId="39402"/>
    <cellStyle name="Note 14 4 3 2 7" xfId="13595"/>
    <cellStyle name="Note 14 4 3 2 7 2" xfId="36182"/>
    <cellStyle name="Note 14 4 3 2 8" xfId="7155"/>
    <cellStyle name="Note 14 4 3 2 8 2" xfId="29742"/>
    <cellStyle name="Note 14 4 3 2 9" xfId="23302"/>
    <cellStyle name="Note 14 4 3 3" xfId="934"/>
    <cellStyle name="Note 14 4 3 3 2" xfId="2253"/>
    <cellStyle name="Note 14 4 3 3 2 2" xfId="5474"/>
    <cellStyle name="Note 14 4 3 3 2 2 2" xfId="21574"/>
    <cellStyle name="Note 14 4 3 3 2 2 2 2" xfId="44161"/>
    <cellStyle name="Note 14 4 3 3 2 2 3" xfId="11914"/>
    <cellStyle name="Note 14 4 3 3 2 2 3 2" xfId="34501"/>
    <cellStyle name="Note 14 4 3 3 2 2 4" xfId="28061"/>
    <cellStyle name="Note 14 4 3 3 2 3" xfId="18354"/>
    <cellStyle name="Note 14 4 3 3 2 3 2" xfId="40941"/>
    <cellStyle name="Note 14 4 3 3 2 4" xfId="15134"/>
    <cellStyle name="Note 14 4 3 3 2 4 2" xfId="37721"/>
    <cellStyle name="Note 14 4 3 3 2 5" xfId="8694"/>
    <cellStyle name="Note 14 4 3 3 2 5 2" xfId="31281"/>
    <cellStyle name="Note 14 4 3 3 2 6" xfId="24841"/>
    <cellStyle name="Note 14 4 3 3 3" xfId="4166"/>
    <cellStyle name="Note 14 4 3 3 3 2" xfId="20266"/>
    <cellStyle name="Note 14 4 3 3 3 2 2" xfId="42853"/>
    <cellStyle name="Note 14 4 3 3 3 3" xfId="10606"/>
    <cellStyle name="Note 14 4 3 3 3 3 2" xfId="33193"/>
    <cellStyle name="Note 14 4 3 3 3 4" xfId="26753"/>
    <cellStyle name="Note 14 4 3 3 4" xfId="17046"/>
    <cellStyle name="Note 14 4 3 3 4 2" xfId="39633"/>
    <cellStyle name="Note 14 4 3 3 5" xfId="13826"/>
    <cellStyle name="Note 14 4 3 3 5 2" xfId="36413"/>
    <cellStyle name="Note 14 4 3 3 6" xfId="7386"/>
    <cellStyle name="Note 14 4 3 3 6 2" xfId="29973"/>
    <cellStyle name="Note 14 4 3 3 7" xfId="23533"/>
    <cellStyle name="Note 14 4 3 4" xfId="1286"/>
    <cellStyle name="Note 14 4 3 4 2" xfId="2600"/>
    <cellStyle name="Note 14 4 3 4 2 2" xfId="5821"/>
    <cellStyle name="Note 14 4 3 4 2 2 2" xfId="21921"/>
    <cellStyle name="Note 14 4 3 4 2 2 2 2" xfId="44508"/>
    <cellStyle name="Note 14 4 3 4 2 2 3" xfId="12261"/>
    <cellStyle name="Note 14 4 3 4 2 2 3 2" xfId="34848"/>
    <cellStyle name="Note 14 4 3 4 2 2 4" xfId="28408"/>
    <cellStyle name="Note 14 4 3 4 2 3" xfId="18701"/>
    <cellStyle name="Note 14 4 3 4 2 3 2" xfId="41288"/>
    <cellStyle name="Note 14 4 3 4 2 4" xfId="15481"/>
    <cellStyle name="Note 14 4 3 4 2 4 2" xfId="38068"/>
    <cellStyle name="Note 14 4 3 4 2 5" xfId="9041"/>
    <cellStyle name="Note 14 4 3 4 2 5 2" xfId="31628"/>
    <cellStyle name="Note 14 4 3 4 2 6" xfId="25188"/>
    <cellStyle name="Note 14 4 3 4 3" xfId="4513"/>
    <cellStyle name="Note 14 4 3 4 3 2" xfId="20613"/>
    <cellStyle name="Note 14 4 3 4 3 2 2" xfId="43200"/>
    <cellStyle name="Note 14 4 3 4 3 3" xfId="10953"/>
    <cellStyle name="Note 14 4 3 4 3 3 2" xfId="33540"/>
    <cellStyle name="Note 14 4 3 4 3 4" xfId="27100"/>
    <cellStyle name="Note 14 4 3 4 4" xfId="17393"/>
    <cellStyle name="Note 14 4 3 4 4 2" xfId="39980"/>
    <cellStyle name="Note 14 4 3 4 5" xfId="14173"/>
    <cellStyle name="Note 14 4 3 4 5 2" xfId="36760"/>
    <cellStyle name="Note 14 4 3 4 6" xfId="7733"/>
    <cellStyle name="Note 14 4 3 4 6 2" xfId="30320"/>
    <cellStyle name="Note 14 4 3 4 7" xfId="23880"/>
    <cellStyle name="Note 14 4 3 5" xfId="1797"/>
    <cellStyle name="Note 14 4 3 5 2" xfId="5020"/>
    <cellStyle name="Note 14 4 3 5 2 2" xfId="21120"/>
    <cellStyle name="Note 14 4 3 5 2 2 2" xfId="43707"/>
    <cellStyle name="Note 14 4 3 5 2 3" xfId="11460"/>
    <cellStyle name="Note 14 4 3 5 2 3 2" xfId="34047"/>
    <cellStyle name="Note 14 4 3 5 2 4" xfId="27607"/>
    <cellStyle name="Note 14 4 3 5 3" xfId="17900"/>
    <cellStyle name="Note 14 4 3 5 3 2" xfId="40487"/>
    <cellStyle name="Note 14 4 3 5 4" xfId="14680"/>
    <cellStyle name="Note 14 4 3 5 4 2" xfId="37267"/>
    <cellStyle name="Note 14 4 3 5 5" xfId="8240"/>
    <cellStyle name="Note 14 4 3 5 5 2" xfId="30827"/>
    <cellStyle name="Note 14 4 3 5 6" xfId="24387"/>
    <cellStyle name="Note 14 4 3 6" xfId="1905"/>
    <cellStyle name="Note 14 4 3 6 2" xfId="5127"/>
    <cellStyle name="Note 14 4 3 6 2 2" xfId="21227"/>
    <cellStyle name="Note 14 4 3 6 2 2 2" xfId="43814"/>
    <cellStyle name="Note 14 4 3 6 2 3" xfId="11567"/>
    <cellStyle name="Note 14 4 3 6 2 3 2" xfId="34154"/>
    <cellStyle name="Note 14 4 3 6 2 4" xfId="27714"/>
    <cellStyle name="Note 14 4 3 6 3" xfId="18007"/>
    <cellStyle name="Note 14 4 3 6 3 2" xfId="40594"/>
    <cellStyle name="Note 14 4 3 6 4" xfId="14787"/>
    <cellStyle name="Note 14 4 3 6 4 2" xfId="37374"/>
    <cellStyle name="Note 14 4 3 6 5" xfId="8347"/>
    <cellStyle name="Note 14 4 3 6 5 2" xfId="30934"/>
    <cellStyle name="Note 14 4 3 6 6" xfId="24494"/>
    <cellStyle name="Note 14 4 3 7" xfId="2965"/>
    <cellStyle name="Note 14 4 3 7 2" xfId="6185"/>
    <cellStyle name="Note 14 4 3 7 2 2" xfId="22285"/>
    <cellStyle name="Note 14 4 3 7 2 2 2" xfId="44872"/>
    <cellStyle name="Note 14 4 3 7 2 3" xfId="12625"/>
    <cellStyle name="Note 14 4 3 7 2 3 2" xfId="35212"/>
    <cellStyle name="Note 14 4 3 7 2 4" xfId="28772"/>
    <cellStyle name="Note 14 4 3 7 3" xfId="19065"/>
    <cellStyle name="Note 14 4 3 7 3 2" xfId="41652"/>
    <cellStyle name="Note 14 4 3 7 4" xfId="15845"/>
    <cellStyle name="Note 14 4 3 7 4 2" xfId="38432"/>
    <cellStyle name="Note 14 4 3 7 5" xfId="9405"/>
    <cellStyle name="Note 14 4 3 7 5 2" xfId="31992"/>
    <cellStyle name="Note 14 4 3 7 6" xfId="25552"/>
    <cellStyle name="Note 14 4 3 8" xfId="3255"/>
    <cellStyle name="Note 14 4 3 8 2" xfId="6475"/>
    <cellStyle name="Note 14 4 3 8 2 2" xfId="22575"/>
    <cellStyle name="Note 14 4 3 8 2 2 2" xfId="45162"/>
    <cellStyle name="Note 14 4 3 8 2 3" xfId="12915"/>
    <cellStyle name="Note 14 4 3 8 2 3 2" xfId="35502"/>
    <cellStyle name="Note 14 4 3 8 2 4" xfId="29062"/>
    <cellStyle name="Note 14 4 3 8 3" xfId="19355"/>
    <cellStyle name="Note 14 4 3 8 3 2" xfId="41942"/>
    <cellStyle name="Note 14 4 3 8 4" xfId="16135"/>
    <cellStyle name="Note 14 4 3 8 4 2" xfId="38722"/>
    <cellStyle name="Note 14 4 3 8 5" xfId="9695"/>
    <cellStyle name="Note 14 4 3 8 5 2" xfId="32282"/>
    <cellStyle name="Note 14 4 3 8 6" xfId="25842"/>
    <cellStyle name="Note 14 4 3 9" xfId="532"/>
    <cellStyle name="Note 14 4 3 9 2" xfId="3819"/>
    <cellStyle name="Note 14 4 3 9 2 2" xfId="19919"/>
    <cellStyle name="Note 14 4 3 9 2 2 2" xfId="42506"/>
    <cellStyle name="Note 14 4 3 9 2 3" xfId="10259"/>
    <cellStyle name="Note 14 4 3 9 2 3 2" xfId="32846"/>
    <cellStyle name="Note 14 4 3 9 2 4" xfId="26406"/>
    <cellStyle name="Note 14 4 3 9 3" xfId="16699"/>
    <cellStyle name="Note 14 4 3 9 3 2" xfId="39286"/>
    <cellStyle name="Note 14 4 3 9 4" xfId="13479"/>
    <cellStyle name="Note 14 4 3 9 4 2" xfId="36066"/>
    <cellStyle name="Note 14 4 3 9 5" xfId="7039"/>
    <cellStyle name="Note 14 4 3 9 5 2" xfId="29626"/>
    <cellStyle name="Note 14 4 3 9 6" xfId="23186"/>
    <cellStyle name="Note 14 4 4" xfId="358"/>
    <cellStyle name="Note 14 4 4 10" xfId="16525"/>
    <cellStyle name="Note 14 4 4 10 2" xfId="39112"/>
    <cellStyle name="Note 14 4 4 11" xfId="13305"/>
    <cellStyle name="Note 14 4 4 11 2" xfId="35892"/>
    <cellStyle name="Note 14 4 4 12" xfId="6865"/>
    <cellStyle name="Note 14 4 4 12 2" xfId="29452"/>
    <cellStyle name="Note 14 4 4 13" xfId="23012"/>
    <cellStyle name="Note 14 4 4 2" xfId="957"/>
    <cellStyle name="Note 14 4 4 2 2" xfId="2276"/>
    <cellStyle name="Note 14 4 4 2 2 2" xfId="5497"/>
    <cellStyle name="Note 14 4 4 2 2 2 2" xfId="21597"/>
    <cellStyle name="Note 14 4 4 2 2 2 2 2" xfId="44184"/>
    <cellStyle name="Note 14 4 4 2 2 2 3" xfId="11937"/>
    <cellStyle name="Note 14 4 4 2 2 2 3 2" xfId="34524"/>
    <cellStyle name="Note 14 4 4 2 2 2 4" xfId="28084"/>
    <cellStyle name="Note 14 4 4 2 2 3" xfId="18377"/>
    <cellStyle name="Note 14 4 4 2 2 3 2" xfId="40964"/>
    <cellStyle name="Note 14 4 4 2 2 4" xfId="15157"/>
    <cellStyle name="Note 14 4 4 2 2 4 2" xfId="37744"/>
    <cellStyle name="Note 14 4 4 2 2 5" xfId="8717"/>
    <cellStyle name="Note 14 4 4 2 2 5 2" xfId="31304"/>
    <cellStyle name="Note 14 4 4 2 2 6" xfId="24864"/>
    <cellStyle name="Note 14 4 4 2 3" xfId="4189"/>
    <cellStyle name="Note 14 4 4 2 3 2" xfId="20289"/>
    <cellStyle name="Note 14 4 4 2 3 2 2" xfId="42876"/>
    <cellStyle name="Note 14 4 4 2 3 3" xfId="10629"/>
    <cellStyle name="Note 14 4 4 2 3 3 2" xfId="33216"/>
    <cellStyle name="Note 14 4 4 2 3 4" xfId="26776"/>
    <cellStyle name="Note 14 4 4 2 4" xfId="17069"/>
    <cellStyle name="Note 14 4 4 2 4 2" xfId="39656"/>
    <cellStyle name="Note 14 4 4 2 5" xfId="13849"/>
    <cellStyle name="Note 14 4 4 2 5 2" xfId="36436"/>
    <cellStyle name="Note 14 4 4 2 6" xfId="7409"/>
    <cellStyle name="Note 14 4 4 2 6 2" xfId="29996"/>
    <cellStyle name="Note 14 4 4 2 7" xfId="23556"/>
    <cellStyle name="Note 14 4 4 3" xfId="1309"/>
    <cellStyle name="Note 14 4 4 3 2" xfId="2623"/>
    <cellStyle name="Note 14 4 4 3 2 2" xfId="5844"/>
    <cellStyle name="Note 14 4 4 3 2 2 2" xfId="21944"/>
    <cellStyle name="Note 14 4 4 3 2 2 2 2" xfId="44531"/>
    <cellStyle name="Note 14 4 4 3 2 2 3" xfId="12284"/>
    <cellStyle name="Note 14 4 4 3 2 2 3 2" xfId="34871"/>
    <cellStyle name="Note 14 4 4 3 2 2 4" xfId="28431"/>
    <cellStyle name="Note 14 4 4 3 2 3" xfId="18724"/>
    <cellStyle name="Note 14 4 4 3 2 3 2" xfId="41311"/>
    <cellStyle name="Note 14 4 4 3 2 4" xfId="15504"/>
    <cellStyle name="Note 14 4 4 3 2 4 2" xfId="38091"/>
    <cellStyle name="Note 14 4 4 3 2 5" xfId="9064"/>
    <cellStyle name="Note 14 4 4 3 2 5 2" xfId="31651"/>
    <cellStyle name="Note 14 4 4 3 2 6" xfId="25211"/>
    <cellStyle name="Note 14 4 4 3 3" xfId="4536"/>
    <cellStyle name="Note 14 4 4 3 3 2" xfId="20636"/>
    <cellStyle name="Note 14 4 4 3 3 2 2" xfId="43223"/>
    <cellStyle name="Note 14 4 4 3 3 3" xfId="10976"/>
    <cellStyle name="Note 14 4 4 3 3 3 2" xfId="33563"/>
    <cellStyle name="Note 14 4 4 3 3 4" xfId="27123"/>
    <cellStyle name="Note 14 4 4 3 4" xfId="17416"/>
    <cellStyle name="Note 14 4 4 3 4 2" xfId="40003"/>
    <cellStyle name="Note 14 4 4 3 5" xfId="14196"/>
    <cellStyle name="Note 14 4 4 3 5 2" xfId="36783"/>
    <cellStyle name="Note 14 4 4 3 6" xfId="7756"/>
    <cellStyle name="Note 14 4 4 3 6 2" xfId="30343"/>
    <cellStyle name="Note 14 4 4 3 7" xfId="23903"/>
    <cellStyle name="Note 14 4 4 4" xfId="1798"/>
    <cellStyle name="Note 14 4 4 4 2" xfId="5021"/>
    <cellStyle name="Note 14 4 4 4 2 2" xfId="21121"/>
    <cellStyle name="Note 14 4 4 4 2 2 2" xfId="43708"/>
    <cellStyle name="Note 14 4 4 4 2 3" xfId="11461"/>
    <cellStyle name="Note 14 4 4 4 2 3 2" xfId="34048"/>
    <cellStyle name="Note 14 4 4 4 2 4" xfId="27608"/>
    <cellStyle name="Note 14 4 4 4 3" xfId="17901"/>
    <cellStyle name="Note 14 4 4 4 3 2" xfId="40488"/>
    <cellStyle name="Note 14 4 4 4 4" xfId="14681"/>
    <cellStyle name="Note 14 4 4 4 4 2" xfId="37268"/>
    <cellStyle name="Note 14 4 4 4 5" xfId="8241"/>
    <cellStyle name="Note 14 4 4 4 5 2" xfId="30828"/>
    <cellStyle name="Note 14 4 4 4 6" xfId="24388"/>
    <cellStyle name="Note 14 4 4 5" xfId="1928"/>
    <cellStyle name="Note 14 4 4 5 2" xfId="5150"/>
    <cellStyle name="Note 14 4 4 5 2 2" xfId="21250"/>
    <cellStyle name="Note 14 4 4 5 2 2 2" xfId="43837"/>
    <cellStyle name="Note 14 4 4 5 2 3" xfId="11590"/>
    <cellStyle name="Note 14 4 4 5 2 3 2" xfId="34177"/>
    <cellStyle name="Note 14 4 4 5 2 4" xfId="27737"/>
    <cellStyle name="Note 14 4 4 5 3" xfId="18030"/>
    <cellStyle name="Note 14 4 4 5 3 2" xfId="40617"/>
    <cellStyle name="Note 14 4 4 5 4" xfId="14810"/>
    <cellStyle name="Note 14 4 4 5 4 2" xfId="37397"/>
    <cellStyle name="Note 14 4 4 5 5" xfId="8370"/>
    <cellStyle name="Note 14 4 4 5 5 2" xfId="30957"/>
    <cellStyle name="Note 14 4 4 5 6" xfId="24517"/>
    <cellStyle name="Note 14 4 4 6" xfId="3065"/>
    <cellStyle name="Note 14 4 4 6 2" xfId="6285"/>
    <cellStyle name="Note 14 4 4 6 2 2" xfId="22385"/>
    <cellStyle name="Note 14 4 4 6 2 2 2" xfId="44972"/>
    <cellStyle name="Note 14 4 4 6 2 3" xfId="12725"/>
    <cellStyle name="Note 14 4 4 6 2 3 2" xfId="35312"/>
    <cellStyle name="Note 14 4 4 6 2 4" xfId="28872"/>
    <cellStyle name="Note 14 4 4 6 3" xfId="19165"/>
    <cellStyle name="Note 14 4 4 6 3 2" xfId="41752"/>
    <cellStyle name="Note 14 4 4 6 4" xfId="15945"/>
    <cellStyle name="Note 14 4 4 6 4 2" xfId="38532"/>
    <cellStyle name="Note 14 4 4 6 5" xfId="9505"/>
    <cellStyle name="Note 14 4 4 6 5 2" xfId="32092"/>
    <cellStyle name="Note 14 4 4 6 6" xfId="25652"/>
    <cellStyle name="Note 14 4 4 7" xfId="3355"/>
    <cellStyle name="Note 14 4 4 7 2" xfId="6575"/>
    <cellStyle name="Note 14 4 4 7 2 2" xfId="22675"/>
    <cellStyle name="Note 14 4 4 7 2 2 2" xfId="45262"/>
    <cellStyle name="Note 14 4 4 7 2 3" xfId="13015"/>
    <cellStyle name="Note 14 4 4 7 2 3 2" xfId="35602"/>
    <cellStyle name="Note 14 4 4 7 2 4" xfId="29162"/>
    <cellStyle name="Note 14 4 4 7 3" xfId="19455"/>
    <cellStyle name="Note 14 4 4 7 3 2" xfId="42042"/>
    <cellStyle name="Note 14 4 4 7 4" xfId="16235"/>
    <cellStyle name="Note 14 4 4 7 4 2" xfId="38822"/>
    <cellStyle name="Note 14 4 4 7 5" xfId="9795"/>
    <cellStyle name="Note 14 4 4 7 5 2" xfId="32382"/>
    <cellStyle name="Note 14 4 4 7 6" xfId="25942"/>
    <cellStyle name="Note 14 4 4 8" xfId="567"/>
    <cellStyle name="Note 14 4 4 8 2" xfId="3842"/>
    <cellStyle name="Note 14 4 4 8 2 2" xfId="19942"/>
    <cellStyle name="Note 14 4 4 8 2 2 2" xfId="42529"/>
    <cellStyle name="Note 14 4 4 8 2 3" xfId="10282"/>
    <cellStyle name="Note 14 4 4 8 2 3 2" xfId="32869"/>
    <cellStyle name="Note 14 4 4 8 2 4" xfId="26429"/>
    <cellStyle name="Note 14 4 4 8 3" xfId="16722"/>
    <cellStyle name="Note 14 4 4 8 3 2" xfId="39309"/>
    <cellStyle name="Note 14 4 4 8 4" xfId="13502"/>
    <cellStyle name="Note 14 4 4 8 4 2" xfId="36089"/>
    <cellStyle name="Note 14 4 4 8 5" xfId="7062"/>
    <cellStyle name="Note 14 4 4 8 5 2" xfId="29649"/>
    <cellStyle name="Note 14 4 4 8 6" xfId="23209"/>
    <cellStyle name="Note 14 4 4 9" xfId="3645"/>
    <cellStyle name="Note 14 4 4 9 2" xfId="19745"/>
    <cellStyle name="Note 14 4 4 9 2 2" xfId="42332"/>
    <cellStyle name="Note 14 4 4 9 3" xfId="10085"/>
    <cellStyle name="Note 14 4 4 9 3 2" xfId="32672"/>
    <cellStyle name="Note 14 4 4 9 4" xfId="26232"/>
    <cellStyle name="Note 14 4 5" xfId="787"/>
    <cellStyle name="Note 14 4 5 2" xfId="1139"/>
    <cellStyle name="Note 14 4 5 2 2" xfId="2453"/>
    <cellStyle name="Note 14 4 5 2 2 2" xfId="5674"/>
    <cellStyle name="Note 14 4 5 2 2 2 2" xfId="21774"/>
    <cellStyle name="Note 14 4 5 2 2 2 2 2" xfId="44361"/>
    <cellStyle name="Note 14 4 5 2 2 2 3" xfId="12114"/>
    <cellStyle name="Note 14 4 5 2 2 2 3 2" xfId="34701"/>
    <cellStyle name="Note 14 4 5 2 2 2 4" xfId="28261"/>
    <cellStyle name="Note 14 4 5 2 2 3" xfId="18554"/>
    <cellStyle name="Note 14 4 5 2 2 3 2" xfId="41141"/>
    <cellStyle name="Note 14 4 5 2 2 4" xfId="15334"/>
    <cellStyle name="Note 14 4 5 2 2 4 2" xfId="37921"/>
    <cellStyle name="Note 14 4 5 2 2 5" xfId="8894"/>
    <cellStyle name="Note 14 4 5 2 2 5 2" xfId="31481"/>
    <cellStyle name="Note 14 4 5 2 2 6" xfId="25041"/>
    <cellStyle name="Note 14 4 5 2 3" xfId="4366"/>
    <cellStyle name="Note 14 4 5 2 3 2" xfId="20466"/>
    <cellStyle name="Note 14 4 5 2 3 2 2" xfId="43053"/>
    <cellStyle name="Note 14 4 5 2 3 3" xfId="10806"/>
    <cellStyle name="Note 14 4 5 2 3 3 2" xfId="33393"/>
    <cellStyle name="Note 14 4 5 2 3 4" xfId="26953"/>
    <cellStyle name="Note 14 4 5 2 4" xfId="17246"/>
    <cellStyle name="Note 14 4 5 2 4 2" xfId="39833"/>
    <cellStyle name="Note 14 4 5 2 5" xfId="14026"/>
    <cellStyle name="Note 14 4 5 2 5 2" xfId="36613"/>
    <cellStyle name="Note 14 4 5 2 6" xfId="7586"/>
    <cellStyle name="Note 14 4 5 2 6 2" xfId="30173"/>
    <cellStyle name="Note 14 4 5 2 7" xfId="23733"/>
    <cellStyle name="Note 14 4 5 3" xfId="1486"/>
    <cellStyle name="Note 14 4 5 3 2" xfId="2800"/>
    <cellStyle name="Note 14 4 5 3 2 2" xfId="6021"/>
    <cellStyle name="Note 14 4 5 3 2 2 2" xfId="22121"/>
    <cellStyle name="Note 14 4 5 3 2 2 2 2" xfId="44708"/>
    <cellStyle name="Note 14 4 5 3 2 2 3" xfId="12461"/>
    <cellStyle name="Note 14 4 5 3 2 2 3 2" xfId="35048"/>
    <cellStyle name="Note 14 4 5 3 2 2 4" xfId="28608"/>
    <cellStyle name="Note 14 4 5 3 2 3" xfId="18901"/>
    <cellStyle name="Note 14 4 5 3 2 3 2" xfId="41488"/>
    <cellStyle name="Note 14 4 5 3 2 4" xfId="15681"/>
    <cellStyle name="Note 14 4 5 3 2 4 2" xfId="38268"/>
    <cellStyle name="Note 14 4 5 3 2 5" xfId="9241"/>
    <cellStyle name="Note 14 4 5 3 2 5 2" xfId="31828"/>
    <cellStyle name="Note 14 4 5 3 2 6" xfId="25388"/>
    <cellStyle name="Note 14 4 5 3 3" xfId="4713"/>
    <cellStyle name="Note 14 4 5 3 3 2" xfId="20813"/>
    <cellStyle name="Note 14 4 5 3 3 2 2" xfId="43400"/>
    <cellStyle name="Note 14 4 5 3 3 3" xfId="11153"/>
    <cellStyle name="Note 14 4 5 3 3 3 2" xfId="33740"/>
    <cellStyle name="Note 14 4 5 3 3 4" xfId="27300"/>
    <cellStyle name="Note 14 4 5 3 4" xfId="17593"/>
    <cellStyle name="Note 14 4 5 3 4 2" xfId="40180"/>
    <cellStyle name="Note 14 4 5 3 5" xfId="14373"/>
    <cellStyle name="Note 14 4 5 3 5 2" xfId="36960"/>
    <cellStyle name="Note 14 4 5 3 6" xfId="7933"/>
    <cellStyle name="Note 14 4 5 3 6 2" xfId="30520"/>
    <cellStyle name="Note 14 4 5 3 7" xfId="24080"/>
    <cellStyle name="Note 14 4 5 4" xfId="2106"/>
    <cellStyle name="Note 14 4 5 4 2" xfId="5327"/>
    <cellStyle name="Note 14 4 5 4 2 2" xfId="21427"/>
    <cellStyle name="Note 14 4 5 4 2 2 2" xfId="44014"/>
    <cellStyle name="Note 14 4 5 4 2 3" xfId="11767"/>
    <cellStyle name="Note 14 4 5 4 2 3 2" xfId="34354"/>
    <cellStyle name="Note 14 4 5 4 2 4" xfId="27914"/>
    <cellStyle name="Note 14 4 5 4 3" xfId="18207"/>
    <cellStyle name="Note 14 4 5 4 3 2" xfId="40794"/>
    <cellStyle name="Note 14 4 5 4 4" xfId="14987"/>
    <cellStyle name="Note 14 4 5 4 4 2" xfId="37574"/>
    <cellStyle name="Note 14 4 5 4 5" xfId="8547"/>
    <cellStyle name="Note 14 4 5 4 5 2" xfId="31134"/>
    <cellStyle name="Note 14 4 5 4 6" xfId="24694"/>
    <cellStyle name="Note 14 4 5 5" xfId="4019"/>
    <cellStyle name="Note 14 4 5 5 2" xfId="20119"/>
    <cellStyle name="Note 14 4 5 5 2 2" xfId="42706"/>
    <cellStyle name="Note 14 4 5 5 3" xfId="10459"/>
    <cellStyle name="Note 14 4 5 5 3 2" xfId="33046"/>
    <cellStyle name="Note 14 4 5 5 4" xfId="26606"/>
    <cellStyle name="Note 14 4 5 6" xfId="16899"/>
    <cellStyle name="Note 14 4 5 6 2" xfId="39486"/>
    <cellStyle name="Note 14 4 5 7" xfId="13679"/>
    <cellStyle name="Note 14 4 5 7 2" xfId="36266"/>
    <cellStyle name="Note 14 4 5 8" xfId="7239"/>
    <cellStyle name="Note 14 4 5 8 2" xfId="29826"/>
    <cellStyle name="Note 14 4 5 9" xfId="23386"/>
    <cellStyle name="Note 14 4 6" xfId="857"/>
    <cellStyle name="Note 14 4 6 2" xfId="2176"/>
    <cellStyle name="Note 14 4 6 2 2" xfId="5397"/>
    <cellStyle name="Note 14 4 6 2 2 2" xfId="21497"/>
    <cellStyle name="Note 14 4 6 2 2 2 2" xfId="44084"/>
    <cellStyle name="Note 14 4 6 2 2 3" xfId="11837"/>
    <cellStyle name="Note 14 4 6 2 2 3 2" xfId="34424"/>
    <cellStyle name="Note 14 4 6 2 2 4" xfId="27984"/>
    <cellStyle name="Note 14 4 6 2 3" xfId="18277"/>
    <cellStyle name="Note 14 4 6 2 3 2" xfId="40864"/>
    <cellStyle name="Note 14 4 6 2 4" xfId="15057"/>
    <cellStyle name="Note 14 4 6 2 4 2" xfId="37644"/>
    <cellStyle name="Note 14 4 6 2 5" xfId="8617"/>
    <cellStyle name="Note 14 4 6 2 5 2" xfId="31204"/>
    <cellStyle name="Note 14 4 6 2 6" xfId="24764"/>
    <cellStyle name="Note 14 4 6 3" xfId="4089"/>
    <cellStyle name="Note 14 4 6 3 2" xfId="20189"/>
    <cellStyle name="Note 14 4 6 3 2 2" xfId="42776"/>
    <cellStyle name="Note 14 4 6 3 3" xfId="10529"/>
    <cellStyle name="Note 14 4 6 3 3 2" xfId="33116"/>
    <cellStyle name="Note 14 4 6 3 4" xfId="26676"/>
    <cellStyle name="Note 14 4 6 4" xfId="16969"/>
    <cellStyle name="Note 14 4 6 4 2" xfId="39556"/>
    <cellStyle name="Note 14 4 6 5" xfId="13749"/>
    <cellStyle name="Note 14 4 6 5 2" xfId="36336"/>
    <cellStyle name="Note 14 4 6 6" xfId="7309"/>
    <cellStyle name="Note 14 4 6 6 2" xfId="29896"/>
    <cellStyle name="Note 14 4 6 7" xfId="23456"/>
    <cellStyle name="Note 14 4 7" xfId="1209"/>
    <cellStyle name="Note 14 4 7 2" xfId="2523"/>
    <cellStyle name="Note 14 4 7 2 2" xfId="5744"/>
    <cellStyle name="Note 14 4 7 2 2 2" xfId="21844"/>
    <cellStyle name="Note 14 4 7 2 2 2 2" xfId="44431"/>
    <cellStyle name="Note 14 4 7 2 2 3" xfId="12184"/>
    <cellStyle name="Note 14 4 7 2 2 3 2" xfId="34771"/>
    <cellStyle name="Note 14 4 7 2 2 4" xfId="28331"/>
    <cellStyle name="Note 14 4 7 2 3" xfId="18624"/>
    <cellStyle name="Note 14 4 7 2 3 2" xfId="41211"/>
    <cellStyle name="Note 14 4 7 2 4" xfId="15404"/>
    <cellStyle name="Note 14 4 7 2 4 2" xfId="37991"/>
    <cellStyle name="Note 14 4 7 2 5" xfId="8964"/>
    <cellStyle name="Note 14 4 7 2 5 2" xfId="31551"/>
    <cellStyle name="Note 14 4 7 2 6" xfId="25111"/>
    <cellStyle name="Note 14 4 7 3" xfId="4436"/>
    <cellStyle name="Note 14 4 7 3 2" xfId="20536"/>
    <cellStyle name="Note 14 4 7 3 2 2" xfId="43123"/>
    <cellStyle name="Note 14 4 7 3 3" xfId="10876"/>
    <cellStyle name="Note 14 4 7 3 3 2" xfId="33463"/>
    <cellStyle name="Note 14 4 7 3 4" xfId="27023"/>
    <cellStyle name="Note 14 4 7 4" xfId="17316"/>
    <cellStyle name="Note 14 4 7 4 2" xfId="39903"/>
    <cellStyle name="Note 14 4 7 5" xfId="14096"/>
    <cellStyle name="Note 14 4 7 5 2" xfId="36683"/>
    <cellStyle name="Note 14 4 7 6" xfId="7656"/>
    <cellStyle name="Note 14 4 7 6 2" xfId="30243"/>
    <cellStyle name="Note 14 4 7 7" xfId="23803"/>
    <cellStyle name="Note 14 4 8" xfId="1799"/>
    <cellStyle name="Note 14 4 8 2" xfId="5022"/>
    <cellStyle name="Note 14 4 8 2 2" xfId="21122"/>
    <cellStyle name="Note 14 4 8 2 2 2" xfId="43709"/>
    <cellStyle name="Note 14 4 8 2 3" xfId="11462"/>
    <cellStyle name="Note 14 4 8 2 3 2" xfId="34049"/>
    <cellStyle name="Note 14 4 8 2 4" xfId="27609"/>
    <cellStyle name="Note 14 4 8 3" xfId="17902"/>
    <cellStyle name="Note 14 4 8 3 2" xfId="40489"/>
    <cellStyle name="Note 14 4 8 4" xfId="14682"/>
    <cellStyle name="Note 14 4 8 4 2" xfId="37269"/>
    <cellStyle name="Note 14 4 8 5" xfId="8242"/>
    <cellStyle name="Note 14 4 8 5 2" xfId="30829"/>
    <cellStyle name="Note 14 4 8 6" xfId="24389"/>
    <cellStyle name="Note 14 4 9" xfId="1828"/>
    <cellStyle name="Note 14 4 9 2" xfId="5050"/>
    <cellStyle name="Note 14 4 9 2 2" xfId="21150"/>
    <cellStyle name="Note 14 4 9 2 2 2" xfId="43737"/>
    <cellStyle name="Note 14 4 9 2 3" xfId="11490"/>
    <cellStyle name="Note 14 4 9 2 3 2" xfId="34077"/>
    <cellStyle name="Note 14 4 9 2 4" xfId="27637"/>
    <cellStyle name="Note 14 4 9 3" xfId="17930"/>
    <cellStyle name="Note 14 4 9 3 2" xfId="40517"/>
    <cellStyle name="Note 14 4 9 4" xfId="14710"/>
    <cellStyle name="Note 14 4 9 4 2" xfId="37297"/>
    <cellStyle name="Note 14 4 9 5" xfId="8270"/>
    <cellStyle name="Note 14 4 9 5 2" xfId="30857"/>
    <cellStyle name="Note 14 4 9 6" xfId="24417"/>
    <cellStyle name="Note 14 5" xfId="134"/>
    <cellStyle name="Note 14 5 10" xfId="472"/>
    <cellStyle name="Note 14 5 10 2" xfId="3759"/>
    <cellStyle name="Note 14 5 10 2 2" xfId="19859"/>
    <cellStyle name="Note 14 5 10 2 2 2" xfId="42446"/>
    <cellStyle name="Note 14 5 10 2 3" xfId="10199"/>
    <cellStyle name="Note 14 5 10 2 3 2" xfId="32786"/>
    <cellStyle name="Note 14 5 10 2 4" xfId="26346"/>
    <cellStyle name="Note 14 5 10 3" xfId="16639"/>
    <cellStyle name="Note 14 5 10 3 2" xfId="39226"/>
    <cellStyle name="Note 14 5 10 4" xfId="13419"/>
    <cellStyle name="Note 14 5 10 4 2" xfId="36006"/>
    <cellStyle name="Note 14 5 10 5" xfId="6979"/>
    <cellStyle name="Note 14 5 10 5 2" xfId="29566"/>
    <cellStyle name="Note 14 5 10 6" xfId="23126"/>
    <cellStyle name="Note 14 5 11" xfId="3469"/>
    <cellStyle name="Note 14 5 11 2" xfId="19569"/>
    <cellStyle name="Note 14 5 11 2 2" xfId="42156"/>
    <cellStyle name="Note 14 5 11 3" xfId="9909"/>
    <cellStyle name="Note 14 5 11 3 2" xfId="32496"/>
    <cellStyle name="Note 14 5 11 4" xfId="26056"/>
    <cellStyle name="Note 14 5 12" xfId="16349"/>
    <cellStyle name="Note 14 5 12 2" xfId="38936"/>
    <cellStyle name="Note 14 5 13" xfId="13129"/>
    <cellStyle name="Note 14 5 13 2" xfId="35716"/>
    <cellStyle name="Note 14 5 14" xfId="6689"/>
    <cellStyle name="Note 14 5 14 2" xfId="29276"/>
    <cellStyle name="Note 14 5 15" xfId="22836"/>
    <cellStyle name="Note 14 5 2" xfId="280"/>
    <cellStyle name="Note 14 5 2 10" xfId="16447"/>
    <cellStyle name="Note 14 5 2 10 2" xfId="39034"/>
    <cellStyle name="Note 14 5 2 11" xfId="13227"/>
    <cellStyle name="Note 14 5 2 11 2" xfId="35814"/>
    <cellStyle name="Note 14 5 2 12" xfId="6787"/>
    <cellStyle name="Note 14 5 2 12 2" xfId="29374"/>
    <cellStyle name="Note 14 5 2 13" xfId="22934"/>
    <cellStyle name="Note 14 5 2 2" xfId="998"/>
    <cellStyle name="Note 14 5 2 2 2" xfId="2312"/>
    <cellStyle name="Note 14 5 2 2 2 2" xfId="5533"/>
    <cellStyle name="Note 14 5 2 2 2 2 2" xfId="21633"/>
    <cellStyle name="Note 14 5 2 2 2 2 2 2" xfId="44220"/>
    <cellStyle name="Note 14 5 2 2 2 2 3" xfId="11973"/>
    <cellStyle name="Note 14 5 2 2 2 2 3 2" xfId="34560"/>
    <cellStyle name="Note 14 5 2 2 2 2 4" xfId="28120"/>
    <cellStyle name="Note 14 5 2 2 2 3" xfId="18413"/>
    <cellStyle name="Note 14 5 2 2 2 3 2" xfId="41000"/>
    <cellStyle name="Note 14 5 2 2 2 4" xfId="15193"/>
    <cellStyle name="Note 14 5 2 2 2 4 2" xfId="37780"/>
    <cellStyle name="Note 14 5 2 2 2 5" xfId="8753"/>
    <cellStyle name="Note 14 5 2 2 2 5 2" xfId="31340"/>
    <cellStyle name="Note 14 5 2 2 2 6" xfId="24900"/>
    <cellStyle name="Note 14 5 2 2 3" xfId="4225"/>
    <cellStyle name="Note 14 5 2 2 3 2" xfId="20325"/>
    <cellStyle name="Note 14 5 2 2 3 2 2" xfId="42912"/>
    <cellStyle name="Note 14 5 2 2 3 3" xfId="10665"/>
    <cellStyle name="Note 14 5 2 2 3 3 2" xfId="33252"/>
    <cellStyle name="Note 14 5 2 2 3 4" xfId="26812"/>
    <cellStyle name="Note 14 5 2 2 4" xfId="17105"/>
    <cellStyle name="Note 14 5 2 2 4 2" xfId="39692"/>
    <cellStyle name="Note 14 5 2 2 5" xfId="13885"/>
    <cellStyle name="Note 14 5 2 2 5 2" xfId="36472"/>
    <cellStyle name="Note 14 5 2 2 6" xfId="7445"/>
    <cellStyle name="Note 14 5 2 2 6 2" xfId="30032"/>
    <cellStyle name="Note 14 5 2 2 7" xfId="23592"/>
    <cellStyle name="Note 14 5 2 3" xfId="1345"/>
    <cellStyle name="Note 14 5 2 3 2" xfId="2659"/>
    <cellStyle name="Note 14 5 2 3 2 2" xfId="5880"/>
    <cellStyle name="Note 14 5 2 3 2 2 2" xfId="21980"/>
    <cellStyle name="Note 14 5 2 3 2 2 2 2" xfId="44567"/>
    <cellStyle name="Note 14 5 2 3 2 2 3" xfId="12320"/>
    <cellStyle name="Note 14 5 2 3 2 2 3 2" xfId="34907"/>
    <cellStyle name="Note 14 5 2 3 2 2 4" xfId="28467"/>
    <cellStyle name="Note 14 5 2 3 2 3" xfId="18760"/>
    <cellStyle name="Note 14 5 2 3 2 3 2" xfId="41347"/>
    <cellStyle name="Note 14 5 2 3 2 4" xfId="15540"/>
    <cellStyle name="Note 14 5 2 3 2 4 2" xfId="38127"/>
    <cellStyle name="Note 14 5 2 3 2 5" xfId="9100"/>
    <cellStyle name="Note 14 5 2 3 2 5 2" xfId="31687"/>
    <cellStyle name="Note 14 5 2 3 2 6" xfId="25247"/>
    <cellStyle name="Note 14 5 2 3 3" xfId="4572"/>
    <cellStyle name="Note 14 5 2 3 3 2" xfId="20672"/>
    <cellStyle name="Note 14 5 2 3 3 2 2" xfId="43259"/>
    <cellStyle name="Note 14 5 2 3 3 3" xfId="11012"/>
    <cellStyle name="Note 14 5 2 3 3 3 2" xfId="33599"/>
    <cellStyle name="Note 14 5 2 3 3 4" xfId="27159"/>
    <cellStyle name="Note 14 5 2 3 4" xfId="17452"/>
    <cellStyle name="Note 14 5 2 3 4 2" xfId="40039"/>
    <cellStyle name="Note 14 5 2 3 5" xfId="14232"/>
    <cellStyle name="Note 14 5 2 3 5 2" xfId="36819"/>
    <cellStyle name="Note 14 5 2 3 6" xfId="7792"/>
    <cellStyle name="Note 14 5 2 3 6 2" xfId="30379"/>
    <cellStyle name="Note 14 5 2 3 7" xfId="23939"/>
    <cellStyle name="Note 14 5 2 4" xfId="1800"/>
    <cellStyle name="Note 14 5 2 4 2" xfId="5023"/>
    <cellStyle name="Note 14 5 2 4 2 2" xfId="21123"/>
    <cellStyle name="Note 14 5 2 4 2 2 2" xfId="43710"/>
    <cellStyle name="Note 14 5 2 4 2 3" xfId="11463"/>
    <cellStyle name="Note 14 5 2 4 2 3 2" xfId="34050"/>
    <cellStyle name="Note 14 5 2 4 2 4" xfId="27610"/>
    <cellStyle name="Note 14 5 2 4 3" xfId="17903"/>
    <cellStyle name="Note 14 5 2 4 3 2" xfId="40490"/>
    <cellStyle name="Note 14 5 2 4 4" xfId="14683"/>
    <cellStyle name="Note 14 5 2 4 4 2" xfId="37270"/>
    <cellStyle name="Note 14 5 2 4 5" xfId="8243"/>
    <cellStyle name="Note 14 5 2 4 5 2" xfId="30830"/>
    <cellStyle name="Note 14 5 2 4 6" xfId="24390"/>
    <cellStyle name="Note 14 5 2 5" xfId="1964"/>
    <cellStyle name="Note 14 5 2 5 2" xfId="5186"/>
    <cellStyle name="Note 14 5 2 5 2 2" xfId="21286"/>
    <cellStyle name="Note 14 5 2 5 2 2 2" xfId="43873"/>
    <cellStyle name="Note 14 5 2 5 2 3" xfId="11626"/>
    <cellStyle name="Note 14 5 2 5 2 3 2" xfId="34213"/>
    <cellStyle name="Note 14 5 2 5 2 4" xfId="27773"/>
    <cellStyle name="Note 14 5 2 5 3" xfId="18066"/>
    <cellStyle name="Note 14 5 2 5 3 2" xfId="40653"/>
    <cellStyle name="Note 14 5 2 5 4" xfId="14846"/>
    <cellStyle name="Note 14 5 2 5 4 2" xfId="37433"/>
    <cellStyle name="Note 14 5 2 5 5" xfId="8406"/>
    <cellStyle name="Note 14 5 2 5 5 2" xfId="30993"/>
    <cellStyle name="Note 14 5 2 5 6" xfId="24553"/>
    <cellStyle name="Note 14 5 2 6" xfId="2987"/>
    <cellStyle name="Note 14 5 2 6 2" xfId="6207"/>
    <cellStyle name="Note 14 5 2 6 2 2" xfId="22307"/>
    <cellStyle name="Note 14 5 2 6 2 2 2" xfId="44894"/>
    <cellStyle name="Note 14 5 2 6 2 3" xfId="12647"/>
    <cellStyle name="Note 14 5 2 6 2 3 2" xfId="35234"/>
    <cellStyle name="Note 14 5 2 6 2 4" xfId="28794"/>
    <cellStyle name="Note 14 5 2 6 3" xfId="19087"/>
    <cellStyle name="Note 14 5 2 6 3 2" xfId="41674"/>
    <cellStyle name="Note 14 5 2 6 4" xfId="15867"/>
    <cellStyle name="Note 14 5 2 6 4 2" xfId="38454"/>
    <cellStyle name="Note 14 5 2 6 5" xfId="9427"/>
    <cellStyle name="Note 14 5 2 6 5 2" xfId="32014"/>
    <cellStyle name="Note 14 5 2 6 6" xfId="25574"/>
    <cellStyle name="Note 14 5 2 7" xfId="3277"/>
    <cellStyle name="Note 14 5 2 7 2" xfId="6497"/>
    <cellStyle name="Note 14 5 2 7 2 2" xfId="22597"/>
    <cellStyle name="Note 14 5 2 7 2 2 2" xfId="45184"/>
    <cellStyle name="Note 14 5 2 7 2 3" xfId="12937"/>
    <cellStyle name="Note 14 5 2 7 2 3 2" xfId="35524"/>
    <cellStyle name="Note 14 5 2 7 2 4" xfId="29084"/>
    <cellStyle name="Note 14 5 2 7 3" xfId="19377"/>
    <cellStyle name="Note 14 5 2 7 3 2" xfId="41964"/>
    <cellStyle name="Note 14 5 2 7 4" xfId="16157"/>
    <cellStyle name="Note 14 5 2 7 4 2" xfId="38744"/>
    <cellStyle name="Note 14 5 2 7 5" xfId="9717"/>
    <cellStyle name="Note 14 5 2 7 5 2" xfId="32304"/>
    <cellStyle name="Note 14 5 2 7 6" xfId="25864"/>
    <cellStyle name="Note 14 5 2 8" xfId="634"/>
    <cellStyle name="Note 14 5 2 8 2" xfId="3878"/>
    <cellStyle name="Note 14 5 2 8 2 2" xfId="19978"/>
    <cellStyle name="Note 14 5 2 8 2 2 2" xfId="42565"/>
    <cellStyle name="Note 14 5 2 8 2 3" xfId="10318"/>
    <cellStyle name="Note 14 5 2 8 2 3 2" xfId="32905"/>
    <cellStyle name="Note 14 5 2 8 2 4" xfId="26465"/>
    <cellStyle name="Note 14 5 2 8 3" xfId="16758"/>
    <cellStyle name="Note 14 5 2 8 3 2" xfId="39345"/>
    <cellStyle name="Note 14 5 2 8 4" xfId="13538"/>
    <cellStyle name="Note 14 5 2 8 4 2" xfId="36125"/>
    <cellStyle name="Note 14 5 2 8 5" xfId="7098"/>
    <cellStyle name="Note 14 5 2 8 5 2" xfId="29685"/>
    <cellStyle name="Note 14 5 2 8 6" xfId="23245"/>
    <cellStyle name="Note 14 5 2 9" xfId="3567"/>
    <cellStyle name="Note 14 5 2 9 2" xfId="19667"/>
    <cellStyle name="Note 14 5 2 9 2 2" xfId="42254"/>
    <cellStyle name="Note 14 5 2 9 3" xfId="10007"/>
    <cellStyle name="Note 14 5 2 9 3 2" xfId="32594"/>
    <cellStyle name="Note 14 5 2 9 4" xfId="26154"/>
    <cellStyle name="Note 14 5 3" xfId="375"/>
    <cellStyle name="Note 14 5 3 10" xfId="16542"/>
    <cellStyle name="Note 14 5 3 10 2" xfId="39129"/>
    <cellStyle name="Note 14 5 3 11" xfId="13322"/>
    <cellStyle name="Note 14 5 3 11 2" xfId="35909"/>
    <cellStyle name="Note 14 5 3 12" xfId="6882"/>
    <cellStyle name="Note 14 5 3 12 2" xfId="29469"/>
    <cellStyle name="Note 14 5 3 13" xfId="23029"/>
    <cellStyle name="Note 14 5 3 2" xfId="1159"/>
    <cellStyle name="Note 14 5 3 2 2" xfId="2473"/>
    <cellStyle name="Note 14 5 3 2 2 2" xfId="5694"/>
    <cellStyle name="Note 14 5 3 2 2 2 2" xfId="21794"/>
    <cellStyle name="Note 14 5 3 2 2 2 2 2" xfId="44381"/>
    <cellStyle name="Note 14 5 3 2 2 2 3" xfId="12134"/>
    <cellStyle name="Note 14 5 3 2 2 2 3 2" xfId="34721"/>
    <cellStyle name="Note 14 5 3 2 2 2 4" xfId="28281"/>
    <cellStyle name="Note 14 5 3 2 2 3" xfId="18574"/>
    <cellStyle name="Note 14 5 3 2 2 3 2" xfId="41161"/>
    <cellStyle name="Note 14 5 3 2 2 4" xfId="15354"/>
    <cellStyle name="Note 14 5 3 2 2 4 2" xfId="37941"/>
    <cellStyle name="Note 14 5 3 2 2 5" xfId="8914"/>
    <cellStyle name="Note 14 5 3 2 2 5 2" xfId="31501"/>
    <cellStyle name="Note 14 5 3 2 2 6" xfId="25061"/>
    <cellStyle name="Note 14 5 3 2 3" xfId="4386"/>
    <cellStyle name="Note 14 5 3 2 3 2" xfId="20486"/>
    <cellStyle name="Note 14 5 3 2 3 2 2" xfId="43073"/>
    <cellStyle name="Note 14 5 3 2 3 3" xfId="10826"/>
    <cellStyle name="Note 14 5 3 2 3 3 2" xfId="33413"/>
    <cellStyle name="Note 14 5 3 2 3 4" xfId="26973"/>
    <cellStyle name="Note 14 5 3 2 4" xfId="17266"/>
    <cellStyle name="Note 14 5 3 2 4 2" xfId="39853"/>
    <cellStyle name="Note 14 5 3 2 5" xfId="14046"/>
    <cellStyle name="Note 14 5 3 2 5 2" xfId="36633"/>
    <cellStyle name="Note 14 5 3 2 6" xfId="7606"/>
    <cellStyle name="Note 14 5 3 2 6 2" xfId="30193"/>
    <cellStyle name="Note 14 5 3 2 7" xfId="23753"/>
    <cellStyle name="Note 14 5 3 3" xfId="1506"/>
    <cellStyle name="Note 14 5 3 3 2" xfId="2820"/>
    <cellStyle name="Note 14 5 3 3 2 2" xfId="6041"/>
    <cellStyle name="Note 14 5 3 3 2 2 2" xfId="22141"/>
    <cellStyle name="Note 14 5 3 3 2 2 2 2" xfId="44728"/>
    <cellStyle name="Note 14 5 3 3 2 2 3" xfId="12481"/>
    <cellStyle name="Note 14 5 3 3 2 2 3 2" xfId="35068"/>
    <cellStyle name="Note 14 5 3 3 2 2 4" xfId="28628"/>
    <cellStyle name="Note 14 5 3 3 2 3" xfId="18921"/>
    <cellStyle name="Note 14 5 3 3 2 3 2" xfId="41508"/>
    <cellStyle name="Note 14 5 3 3 2 4" xfId="15701"/>
    <cellStyle name="Note 14 5 3 3 2 4 2" xfId="38288"/>
    <cellStyle name="Note 14 5 3 3 2 5" xfId="9261"/>
    <cellStyle name="Note 14 5 3 3 2 5 2" xfId="31848"/>
    <cellStyle name="Note 14 5 3 3 2 6" xfId="25408"/>
    <cellStyle name="Note 14 5 3 3 3" xfId="4733"/>
    <cellStyle name="Note 14 5 3 3 3 2" xfId="20833"/>
    <cellStyle name="Note 14 5 3 3 3 2 2" xfId="43420"/>
    <cellStyle name="Note 14 5 3 3 3 3" xfId="11173"/>
    <cellStyle name="Note 14 5 3 3 3 3 2" xfId="33760"/>
    <cellStyle name="Note 14 5 3 3 3 4" xfId="27320"/>
    <cellStyle name="Note 14 5 3 3 4" xfId="17613"/>
    <cellStyle name="Note 14 5 3 3 4 2" xfId="40200"/>
    <cellStyle name="Note 14 5 3 3 5" xfId="14393"/>
    <cellStyle name="Note 14 5 3 3 5 2" xfId="36980"/>
    <cellStyle name="Note 14 5 3 3 6" xfId="7953"/>
    <cellStyle name="Note 14 5 3 3 6 2" xfId="30540"/>
    <cellStyle name="Note 14 5 3 3 7" xfId="24100"/>
    <cellStyle name="Note 14 5 3 4" xfId="1801"/>
    <cellStyle name="Note 14 5 3 4 2" xfId="5024"/>
    <cellStyle name="Note 14 5 3 4 2 2" xfId="21124"/>
    <cellStyle name="Note 14 5 3 4 2 2 2" xfId="43711"/>
    <cellStyle name="Note 14 5 3 4 2 3" xfId="11464"/>
    <cellStyle name="Note 14 5 3 4 2 3 2" xfId="34051"/>
    <cellStyle name="Note 14 5 3 4 2 4" xfId="27611"/>
    <cellStyle name="Note 14 5 3 4 3" xfId="17904"/>
    <cellStyle name="Note 14 5 3 4 3 2" xfId="40491"/>
    <cellStyle name="Note 14 5 3 4 4" xfId="14684"/>
    <cellStyle name="Note 14 5 3 4 4 2" xfId="37271"/>
    <cellStyle name="Note 14 5 3 4 5" xfId="8244"/>
    <cellStyle name="Note 14 5 3 4 5 2" xfId="30831"/>
    <cellStyle name="Note 14 5 3 4 6" xfId="24391"/>
    <cellStyle name="Note 14 5 3 5" xfId="2126"/>
    <cellStyle name="Note 14 5 3 5 2" xfId="5347"/>
    <cellStyle name="Note 14 5 3 5 2 2" xfId="21447"/>
    <cellStyle name="Note 14 5 3 5 2 2 2" xfId="44034"/>
    <cellStyle name="Note 14 5 3 5 2 3" xfId="11787"/>
    <cellStyle name="Note 14 5 3 5 2 3 2" xfId="34374"/>
    <cellStyle name="Note 14 5 3 5 2 4" xfId="27934"/>
    <cellStyle name="Note 14 5 3 5 3" xfId="18227"/>
    <cellStyle name="Note 14 5 3 5 3 2" xfId="40814"/>
    <cellStyle name="Note 14 5 3 5 4" xfId="15007"/>
    <cellStyle name="Note 14 5 3 5 4 2" xfId="37594"/>
    <cellStyle name="Note 14 5 3 5 5" xfId="8567"/>
    <cellStyle name="Note 14 5 3 5 5 2" xfId="31154"/>
    <cellStyle name="Note 14 5 3 5 6" xfId="24714"/>
    <cellStyle name="Note 14 5 3 6" xfId="3082"/>
    <cellStyle name="Note 14 5 3 6 2" xfId="6302"/>
    <cellStyle name="Note 14 5 3 6 2 2" xfId="22402"/>
    <cellStyle name="Note 14 5 3 6 2 2 2" xfId="44989"/>
    <cellStyle name="Note 14 5 3 6 2 3" xfId="12742"/>
    <cellStyle name="Note 14 5 3 6 2 3 2" xfId="35329"/>
    <cellStyle name="Note 14 5 3 6 2 4" xfId="28889"/>
    <cellStyle name="Note 14 5 3 6 3" xfId="19182"/>
    <cellStyle name="Note 14 5 3 6 3 2" xfId="41769"/>
    <cellStyle name="Note 14 5 3 6 4" xfId="15962"/>
    <cellStyle name="Note 14 5 3 6 4 2" xfId="38549"/>
    <cellStyle name="Note 14 5 3 6 5" xfId="9522"/>
    <cellStyle name="Note 14 5 3 6 5 2" xfId="32109"/>
    <cellStyle name="Note 14 5 3 6 6" xfId="25669"/>
    <cellStyle name="Note 14 5 3 7" xfId="3372"/>
    <cellStyle name="Note 14 5 3 7 2" xfId="6592"/>
    <cellStyle name="Note 14 5 3 7 2 2" xfId="22692"/>
    <cellStyle name="Note 14 5 3 7 2 2 2" xfId="45279"/>
    <cellStyle name="Note 14 5 3 7 2 3" xfId="13032"/>
    <cellStyle name="Note 14 5 3 7 2 3 2" xfId="35619"/>
    <cellStyle name="Note 14 5 3 7 2 4" xfId="29179"/>
    <cellStyle name="Note 14 5 3 7 3" xfId="19472"/>
    <cellStyle name="Note 14 5 3 7 3 2" xfId="42059"/>
    <cellStyle name="Note 14 5 3 7 4" xfId="16252"/>
    <cellStyle name="Note 14 5 3 7 4 2" xfId="38839"/>
    <cellStyle name="Note 14 5 3 7 5" xfId="9812"/>
    <cellStyle name="Note 14 5 3 7 5 2" xfId="32399"/>
    <cellStyle name="Note 14 5 3 7 6" xfId="25959"/>
    <cellStyle name="Note 14 5 3 8" xfId="807"/>
    <cellStyle name="Note 14 5 3 8 2" xfId="4039"/>
    <cellStyle name="Note 14 5 3 8 2 2" xfId="20139"/>
    <cellStyle name="Note 14 5 3 8 2 2 2" xfId="42726"/>
    <cellStyle name="Note 14 5 3 8 2 3" xfId="10479"/>
    <cellStyle name="Note 14 5 3 8 2 3 2" xfId="33066"/>
    <cellStyle name="Note 14 5 3 8 2 4" xfId="26626"/>
    <cellStyle name="Note 14 5 3 8 3" xfId="16919"/>
    <cellStyle name="Note 14 5 3 8 3 2" xfId="39506"/>
    <cellStyle name="Note 14 5 3 8 4" xfId="13699"/>
    <cellStyle name="Note 14 5 3 8 4 2" xfId="36286"/>
    <cellStyle name="Note 14 5 3 8 5" xfId="7259"/>
    <cellStyle name="Note 14 5 3 8 5 2" xfId="29846"/>
    <cellStyle name="Note 14 5 3 8 6" xfId="23406"/>
    <cellStyle name="Note 14 5 3 9" xfId="3662"/>
    <cellStyle name="Note 14 5 3 9 2" xfId="19762"/>
    <cellStyle name="Note 14 5 3 9 2 2" xfId="42349"/>
    <cellStyle name="Note 14 5 3 9 3" xfId="10102"/>
    <cellStyle name="Note 14 5 3 9 3 2" xfId="32689"/>
    <cellStyle name="Note 14 5 3 9 4" xfId="26249"/>
    <cellStyle name="Note 14 5 4" xfId="874"/>
    <cellStyle name="Note 14 5 4 2" xfId="2193"/>
    <cellStyle name="Note 14 5 4 2 2" xfId="5414"/>
    <cellStyle name="Note 14 5 4 2 2 2" xfId="21514"/>
    <cellStyle name="Note 14 5 4 2 2 2 2" xfId="44101"/>
    <cellStyle name="Note 14 5 4 2 2 3" xfId="11854"/>
    <cellStyle name="Note 14 5 4 2 2 3 2" xfId="34441"/>
    <cellStyle name="Note 14 5 4 2 2 4" xfId="28001"/>
    <cellStyle name="Note 14 5 4 2 3" xfId="18294"/>
    <cellStyle name="Note 14 5 4 2 3 2" xfId="40881"/>
    <cellStyle name="Note 14 5 4 2 4" xfId="15074"/>
    <cellStyle name="Note 14 5 4 2 4 2" xfId="37661"/>
    <cellStyle name="Note 14 5 4 2 5" xfId="8634"/>
    <cellStyle name="Note 14 5 4 2 5 2" xfId="31221"/>
    <cellStyle name="Note 14 5 4 2 6" xfId="24781"/>
    <cellStyle name="Note 14 5 4 3" xfId="4106"/>
    <cellStyle name="Note 14 5 4 3 2" xfId="20206"/>
    <cellStyle name="Note 14 5 4 3 2 2" xfId="42793"/>
    <cellStyle name="Note 14 5 4 3 3" xfId="10546"/>
    <cellStyle name="Note 14 5 4 3 3 2" xfId="33133"/>
    <cellStyle name="Note 14 5 4 3 4" xfId="26693"/>
    <cellStyle name="Note 14 5 4 4" xfId="16986"/>
    <cellStyle name="Note 14 5 4 4 2" xfId="39573"/>
    <cellStyle name="Note 14 5 4 5" xfId="13766"/>
    <cellStyle name="Note 14 5 4 5 2" xfId="36353"/>
    <cellStyle name="Note 14 5 4 6" xfId="7326"/>
    <cellStyle name="Note 14 5 4 6 2" xfId="29913"/>
    <cellStyle name="Note 14 5 4 7" xfId="23473"/>
    <cellStyle name="Note 14 5 5" xfId="1226"/>
    <cellStyle name="Note 14 5 5 2" xfId="2540"/>
    <cellStyle name="Note 14 5 5 2 2" xfId="5761"/>
    <cellStyle name="Note 14 5 5 2 2 2" xfId="21861"/>
    <cellStyle name="Note 14 5 5 2 2 2 2" xfId="44448"/>
    <cellStyle name="Note 14 5 5 2 2 3" xfId="12201"/>
    <cellStyle name="Note 14 5 5 2 2 3 2" xfId="34788"/>
    <cellStyle name="Note 14 5 5 2 2 4" xfId="28348"/>
    <cellStyle name="Note 14 5 5 2 3" xfId="18641"/>
    <cellStyle name="Note 14 5 5 2 3 2" xfId="41228"/>
    <cellStyle name="Note 14 5 5 2 4" xfId="15421"/>
    <cellStyle name="Note 14 5 5 2 4 2" xfId="38008"/>
    <cellStyle name="Note 14 5 5 2 5" xfId="8981"/>
    <cellStyle name="Note 14 5 5 2 5 2" xfId="31568"/>
    <cellStyle name="Note 14 5 5 2 6" xfId="25128"/>
    <cellStyle name="Note 14 5 5 3" xfId="4453"/>
    <cellStyle name="Note 14 5 5 3 2" xfId="20553"/>
    <cellStyle name="Note 14 5 5 3 2 2" xfId="43140"/>
    <cellStyle name="Note 14 5 5 3 3" xfId="10893"/>
    <cellStyle name="Note 14 5 5 3 3 2" xfId="33480"/>
    <cellStyle name="Note 14 5 5 3 4" xfId="27040"/>
    <cellStyle name="Note 14 5 5 4" xfId="17333"/>
    <cellStyle name="Note 14 5 5 4 2" xfId="39920"/>
    <cellStyle name="Note 14 5 5 5" xfId="14113"/>
    <cellStyle name="Note 14 5 5 5 2" xfId="36700"/>
    <cellStyle name="Note 14 5 5 6" xfId="7673"/>
    <cellStyle name="Note 14 5 5 6 2" xfId="30260"/>
    <cellStyle name="Note 14 5 5 7" xfId="23820"/>
    <cellStyle name="Note 14 5 6" xfId="1802"/>
    <cellStyle name="Note 14 5 6 2" xfId="5025"/>
    <cellStyle name="Note 14 5 6 2 2" xfId="21125"/>
    <cellStyle name="Note 14 5 6 2 2 2" xfId="43712"/>
    <cellStyle name="Note 14 5 6 2 3" xfId="11465"/>
    <cellStyle name="Note 14 5 6 2 3 2" xfId="34052"/>
    <cellStyle name="Note 14 5 6 2 4" xfId="27612"/>
    <cellStyle name="Note 14 5 6 3" xfId="17905"/>
    <cellStyle name="Note 14 5 6 3 2" xfId="40492"/>
    <cellStyle name="Note 14 5 6 4" xfId="14685"/>
    <cellStyle name="Note 14 5 6 4 2" xfId="37272"/>
    <cellStyle name="Note 14 5 6 5" xfId="8245"/>
    <cellStyle name="Note 14 5 6 5 2" xfId="30832"/>
    <cellStyle name="Note 14 5 6 6" xfId="24392"/>
    <cellStyle name="Note 14 5 7" xfId="1845"/>
    <cellStyle name="Note 14 5 7 2" xfId="5067"/>
    <cellStyle name="Note 14 5 7 2 2" xfId="21167"/>
    <cellStyle name="Note 14 5 7 2 2 2" xfId="43754"/>
    <cellStyle name="Note 14 5 7 2 3" xfId="11507"/>
    <cellStyle name="Note 14 5 7 2 3 2" xfId="34094"/>
    <cellStyle name="Note 14 5 7 2 4" xfId="27654"/>
    <cellStyle name="Note 14 5 7 3" xfId="17947"/>
    <cellStyle name="Note 14 5 7 3 2" xfId="40534"/>
    <cellStyle name="Note 14 5 7 4" xfId="14727"/>
    <cellStyle name="Note 14 5 7 4 2" xfId="37314"/>
    <cellStyle name="Note 14 5 7 5" xfId="8287"/>
    <cellStyle name="Note 14 5 7 5 2" xfId="30874"/>
    <cellStyle name="Note 14 5 7 6" xfId="24434"/>
    <cellStyle name="Note 14 5 8" xfId="2888"/>
    <cellStyle name="Note 14 5 8 2" xfId="6109"/>
    <cellStyle name="Note 14 5 8 2 2" xfId="22209"/>
    <cellStyle name="Note 14 5 8 2 2 2" xfId="44796"/>
    <cellStyle name="Note 14 5 8 2 3" xfId="12549"/>
    <cellStyle name="Note 14 5 8 2 3 2" xfId="35136"/>
    <cellStyle name="Note 14 5 8 2 4" xfId="28696"/>
    <cellStyle name="Note 14 5 8 3" xfId="18989"/>
    <cellStyle name="Note 14 5 8 3 2" xfId="41576"/>
    <cellStyle name="Note 14 5 8 4" xfId="15769"/>
    <cellStyle name="Note 14 5 8 4 2" xfId="38356"/>
    <cellStyle name="Note 14 5 8 5" xfId="9329"/>
    <cellStyle name="Note 14 5 8 5 2" xfId="31916"/>
    <cellStyle name="Note 14 5 8 6" xfId="25476"/>
    <cellStyle name="Note 14 5 9" xfId="3179"/>
    <cellStyle name="Note 14 5 9 2" xfId="6399"/>
    <cellStyle name="Note 14 5 9 2 2" xfId="22499"/>
    <cellStyle name="Note 14 5 9 2 2 2" xfId="45086"/>
    <cellStyle name="Note 14 5 9 2 3" xfId="12839"/>
    <cellStyle name="Note 14 5 9 2 3 2" xfId="35426"/>
    <cellStyle name="Note 14 5 9 2 4" xfId="28986"/>
    <cellStyle name="Note 14 5 9 3" xfId="19279"/>
    <cellStyle name="Note 14 5 9 3 2" xfId="41866"/>
    <cellStyle name="Note 14 5 9 4" xfId="16059"/>
    <cellStyle name="Note 14 5 9 4 2" xfId="38646"/>
    <cellStyle name="Note 14 5 9 5" xfId="9619"/>
    <cellStyle name="Note 14 5 9 5 2" xfId="32206"/>
    <cellStyle name="Note 14 5 9 6" xfId="25766"/>
    <cellStyle name="Note 14 6" xfId="225"/>
    <cellStyle name="Note 14 6 10" xfId="512"/>
    <cellStyle name="Note 14 6 10 2" xfId="3799"/>
    <cellStyle name="Note 14 6 10 2 2" xfId="19899"/>
    <cellStyle name="Note 14 6 10 2 2 2" xfId="42486"/>
    <cellStyle name="Note 14 6 10 2 3" xfId="10239"/>
    <cellStyle name="Note 14 6 10 2 3 2" xfId="32826"/>
    <cellStyle name="Note 14 6 10 2 4" xfId="26386"/>
    <cellStyle name="Note 14 6 10 3" xfId="16679"/>
    <cellStyle name="Note 14 6 10 3 2" xfId="39266"/>
    <cellStyle name="Note 14 6 10 4" xfId="13459"/>
    <cellStyle name="Note 14 6 10 4 2" xfId="36046"/>
    <cellStyle name="Note 14 6 10 5" xfId="7019"/>
    <cellStyle name="Note 14 6 10 5 2" xfId="29606"/>
    <cellStyle name="Note 14 6 10 6" xfId="23166"/>
    <cellStyle name="Note 14 6 11" xfId="3513"/>
    <cellStyle name="Note 14 6 11 2" xfId="19613"/>
    <cellStyle name="Note 14 6 11 2 2" xfId="42200"/>
    <cellStyle name="Note 14 6 11 3" xfId="9953"/>
    <cellStyle name="Note 14 6 11 3 2" xfId="32540"/>
    <cellStyle name="Note 14 6 11 4" xfId="26100"/>
    <cellStyle name="Note 14 6 12" xfId="16393"/>
    <cellStyle name="Note 14 6 12 2" xfId="38980"/>
    <cellStyle name="Note 14 6 13" xfId="13173"/>
    <cellStyle name="Note 14 6 13 2" xfId="35760"/>
    <cellStyle name="Note 14 6 14" xfId="6733"/>
    <cellStyle name="Note 14 6 14 2" xfId="29320"/>
    <cellStyle name="Note 14 6 15" xfId="22880"/>
    <cellStyle name="Note 14 6 2" xfId="323"/>
    <cellStyle name="Note 14 6 2 10" xfId="16490"/>
    <cellStyle name="Note 14 6 2 10 2" xfId="39077"/>
    <cellStyle name="Note 14 6 2 11" xfId="13270"/>
    <cellStyle name="Note 14 6 2 11 2" xfId="35857"/>
    <cellStyle name="Note 14 6 2 12" xfId="6830"/>
    <cellStyle name="Note 14 6 2 12 2" xfId="29417"/>
    <cellStyle name="Note 14 6 2 13" xfId="22977"/>
    <cellStyle name="Note 14 6 2 2" xfId="1035"/>
    <cellStyle name="Note 14 6 2 2 2" xfId="2349"/>
    <cellStyle name="Note 14 6 2 2 2 2" xfId="5570"/>
    <cellStyle name="Note 14 6 2 2 2 2 2" xfId="21670"/>
    <cellStyle name="Note 14 6 2 2 2 2 2 2" xfId="44257"/>
    <cellStyle name="Note 14 6 2 2 2 2 3" xfId="12010"/>
    <cellStyle name="Note 14 6 2 2 2 2 3 2" xfId="34597"/>
    <cellStyle name="Note 14 6 2 2 2 2 4" xfId="28157"/>
    <cellStyle name="Note 14 6 2 2 2 3" xfId="18450"/>
    <cellStyle name="Note 14 6 2 2 2 3 2" xfId="41037"/>
    <cellStyle name="Note 14 6 2 2 2 4" xfId="15230"/>
    <cellStyle name="Note 14 6 2 2 2 4 2" xfId="37817"/>
    <cellStyle name="Note 14 6 2 2 2 5" xfId="8790"/>
    <cellStyle name="Note 14 6 2 2 2 5 2" xfId="31377"/>
    <cellStyle name="Note 14 6 2 2 2 6" xfId="24937"/>
    <cellStyle name="Note 14 6 2 2 3" xfId="4262"/>
    <cellStyle name="Note 14 6 2 2 3 2" xfId="20362"/>
    <cellStyle name="Note 14 6 2 2 3 2 2" xfId="42949"/>
    <cellStyle name="Note 14 6 2 2 3 3" xfId="10702"/>
    <cellStyle name="Note 14 6 2 2 3 3 2" xfId="33289"/>
    <cellStyle name="Note 14 6 2 2 3 4" xfId="26849"/>
    <cellStyle name="Note 14 6 2 2 4" xfId="17142"/>
    <cellStyle name="Note 14 6 2 2 4 2" xfId="39729"/>
    <cellStyle name="Note 14 6 2 2 5" xfId="13922"/>
    <cellStyle name="Note 14 6 2 2 5 2" xfId="36509"/>
    <cellStyle name="Note 14 6 2 2 6" xfId="7482"/>
    <cellStyle name="Note 14 6 2 2 6 2" xfId="30069"/>
    <cellStyle name="Note 14 6 2 2 7" xfId="23629"/>
    <cellStyle name="Note 14 6 2 3" xfId="1382"/>
    <cellStyle name="Note 14 6 2 3 2" xfId="2696"/>
    <cellStyle name="Note 14 6 2 3 2 2" xfId="5917"/>
    <cellStyle name="Note 14 6 2 3 2 2 2" xfId="22017"/>
    <cellStyle name="Note 14 6 2 3 2 2 2 2" xfId="44604"/>
    <cellStyle name="Note 14 6 2 3 2 2 3" xfId="12357"/>
    <cellStyle name="Note 14 6 2 3 2 2 3 2" xfId="34944"/>
    <cellStyle name="Note 14 6 2 3 2 2 4" xfId="28504"/>
    <cellStyle name="Note 14 6 2 3 2 3" xfId="18797"/>
    <cellStyle name="Note 14 6 2 3 2 3 2" xfId="41384"/>
    <cellStyle name="Note 14 6 2 3 2 4" xfId="15577"/>
    <cellStyle name="Note 14 6 2 3 2 4 2" xfId="38164"/>
    <cellStyle name="Note 14 6 2 3 2 5" xfId="9137"/>
    <cellStyle name="Note 14 6 2 3 2 5 2" xfId="31724"/>
    <cellStyle name="Note 14 6 2 3 2 6" xfId="25284"/>
    <cellStyle name="Note 14 6 2 3 3" xfId="4609"/>
    <cellStyle name="Note 14 6 2 3 3 2" xfId="20709"/>
    <cellStyle name="Note 14 6 2 3 3 2 2" xfId="43296"/>
    <cellStyle name="Note 14 6 2 3 3 3" xfId="11049"/>
    <cellStyle name="Note 14 6 2 3 3 3 2" xfId="33636"/>
    <cellStyle name="Note 14 6 2 3 3 4" xfId="27196"/>
    <cellStyle name="Note 14 6 2 3 4" xfId="17489"/>
    <cellStyle name="Note 14 6 2 3 4 2" xfId="40076"/>
    <cellStyle name="Note 14 6 2 3 5" xfId="14269"/>
    <cellStyle name="Note 14 6 2 3 5 2" xfId="36856"/>
    <cellStyle name="Note 14 6 2 3 6" xfId="7829"/>
    <cellStyle name="Note 14 6 2 3 6 2" xfId="30416"/>
    <cellStyle name="Note 14 6 2 3 7" xfId="23976"/>
    <cellStyle name="Note 14 6 2 4" xfId="1803"/>
    <cellStyle name="Note 14 6 2 4 2" xfId="5026"/>
    <cellStyle name="Note 14 6 2 4 2 2" xfId="21126"/>
    <cellStyle name="Note 14 6 2 4 2 2 2" xfId="43713"/>
    <cellStyle name="Note 14 6 2 4 2 3" xfId="11466"/>
    <cellStyle name="Note 14 6 2 4 2 3 2" xfId="34053"/>
    <cellStyle name="Note 14 6 2 4 2 4" xfId="27613"/>
    <cellStyle name="Note 14 6 2 4 3" xfId="17906"/>
    <cellStyle name="Note 14 6 2 4 3 2" xfId="40493"/>
    <cellStyle name="Note 14 6 2 4 4" xfId="14686"/>
    <cellStyle name="Note 14 6 2 4 4 2" xfId="37273"/>
    <cellStyle name="Note 14 6 2 4 5" xfId="8246"/>
    <cellStyle name="Note 14 6 2 4 5 2" xfId="30833"/>
    <cellStyle name="Note 14 6 2 4 6" xfId="24393"/>
    <cellStyle name="Note 14 6 2 5" xfId="2001"/>
    <cellStyle name="Note 14 6 2 5 2" xfId="5223"/>
    <cellStyle name="Note 14 6 2 5 2 2" xfId="21323"/>
    <cellStyle name="Note 14 6 2 5 2 2 2" xfId="43910"/>
    <cellStyle name="Note 14 6 2 5 2 3" xfId="11663"/>
    <cellStyle name="Note 14 6 2 5 2 3 2" xfId="34250"/>
    <cellStyle name="Note 14 6 2 5 2 4" xfId="27810"/>
    <cellStyle name="Note 14 6 2 5 3" xfId="18103"/>
    <cellStyle name="Note 14 6 2 5 3 2" xfId="40690"/>
    <cellStyle name="Note 14 6 2 5 4" xfId="14883"/>
    <cellStyle name="Note 14 6 2 5 4 2" xfId="37470"/>
    <cellStyle name="Note 14 6 2 5 5" xfId="8443"/>
    <cellStyle name="Note 14 6 2 5 5 2" xfId="31030"/>
    <cellStyle name="Note 14 6 2 5 6" xfId="24590"/>
    <cellStyle name="Note 14 6 2 6" xfId="3030"/>
    <cellStyle name="Note 14 6 2 6 2" xfId="6250"/>
    <cellStyle name="Note 14 6 2 6 2 2" xfId="22350"/>
    <cellStyle name="Note 14 6 2 6 2 2 2" xfId="44937"/>
    <cellStyle name="Note 14 6 2 6 2 3" xfId="12690"/>
    <cellStyle name="Note 14 6 2 6 2 3 2" xfId="35277"/>
    <cellStyle name="Note 14 6 2 6 2 4" xfId="28837"/>
    <cellStyle name="Note 14 6 2 6 3" xfId="19130"/>
    <cellStyle name="Note 14 6 2 6 3 2" xfId="41717"/>
    <cellStyle name="Note 14 6 2 6 4" xfId="15910"/>
    <cellStyle name="Note 14 6 2 6 4 2" xfId="38497"/>
    <cellStyle name="Note 14 6 2 6 5" xfId="9470"/>
    <cellStyle name="Note 14 6 2 6 5 2" xfId="32057"/>
    <cellStyle name="Note 14 6 2 6 6" xfId="25617"/>
    <cellStyle name="Note 14 6 2 7" xfId="3320"/>
    <cellStyle name="Note 14 6 2 7 2" xfId="6540"/>
    <cellStyle name="Note 14 6 2 7 2 2" xfId="22640"/>
    <cellStyle name="Note 14 6 2 7 2 2 2" xfId="45227"/>
    <cellStyle name="Note 14 6 2 7 2 3" xfId="12980"/>
    <cellStyle name="Note 14 6 2 7 2 3 2" xfId="35567"/>
    <cellStyle name="Note 14 6 2 7 2 4" xfId="29127"/>
    <cellStyle name="Note 14 6 2 7 3" xfId="19420"/>
    <cellStyle name="Note 14 6 2 7 3 2" xfId="42007"/>
    <cellStyle name="Note 14 6 2 7 4" xfId="16200"/>
    <cellStyle name="Note 14 6 2 7 4 2" xfId="38787"/>
    <cellStyle name="Note 14 6 2 7 5" xfId="9760"/>
    <cellStyle name="Note 14 6 2 7 5 2" xfId="32347"/>
    <cellStyle name="Note 14 6 2 7 6" xfId="25907"/>
    <cellStyle name="Note 14 6 2 8" xfId="671"/>
    <cellStyle name="Note 14 6 2 8 2" xfId="3915"/>
    <cellStyle name="Note 14 6 2 8 2 2" xfId="20015"/>
    <cellStyle name="Note 14 6 2 8 2 2 2" xfId="42602"/>
    <cellStyle name="Note 14 6 2 8 2 3" xfId="10355"/>
    <cellStyle name="Note 14 6 2 8 2 3 2" xfId="32942"/>
    <cellStyle name="Note 14 6 2 8 2 4" xfId="26502"/>
    <cellStyle name="Note 14 6 2 8 3" xfId="16795"/>
    <cellStyle name="Note 14 6 2 8 3 2" xfId="39382"/>
    <cellStyle name="Note 14 6 2 8 4" xfId="13575"/>
    <cellStyle name="Note 14 6 2 8 4 2" xfId="36162"/>
    <cellStyle name="Note 14 6 2 8 5" xfId="7135"/>
    <cellStyle name="Note 14 6 2 8 5 2" xfId="29722"/>
    <cellStyle name="Note 14 6 2 8 6" xfId="23282"/>
    <cellStyle name="Note 14 6 2 9" xfId="3610"/>
    <cellStyle name="Note 14 6 2 9 2" xfId="19710"/>
    <cellStyle name="Note 14 6 2 9 2 2" xfId="42297"/>
    <cellStyle name="Note 14 6 2 9 3" xfId="10050"/>
    <cellStyle name="Note 14 6 2 9 3 2" xfId="32637"/>
    <cellStyle name="Note 14 6 2 9 4" xfId="26197"/>
    <cellStyle name="Note 14 6 3" xfId="419"/>
    <cellStyle name="Note 14 6 3 10" xfId="16586"/>
    <cellStyle name="Note 14 6 3 10 2" xfId="39173"/>
    <cellStyle name="Note 14 6 3 11" xfId="13366"/>
    <cellStyle name="Note 14 6 3 11 2" xfId="35953"/>
    <cellStyle name="Note 14 6 3 12" xfId="6926"/>
    <cellStyle name="Note 14 6 3 12 2" xfId="29513"/>
    <cellStyle name="Note 14 6 3 13" xfId="23073"/>
    <cellStyle name="Note 14 6 3 2" xfId="1119"/>
    <cellStyle name="Note 14 6 3 2 2" xfId="2433"/>
    <cellStyle name="Note 14 6 3 2 2 2" xfId="5654"/>
    <cellStyle name="Note 14 6 3 2 2 2 2" xfId="21754"/>
    <cellStyle name="Note 14 6 3 2 2 2 2 2" xfId="44341"/>
    <cellStyle name="Note 14 6 3 2 2 2 3" xfId="12094"/>
    <cellStyle name="Note 14 6 3 2 2 2 3 2" xfId="34681"/>
    <cellStyle name="Note 14 6 3 2 2 2 4" xfId="28241"/>
    <cellStyle name="Note 14 6 3 2 2 3" xfId="18534"/>
    <cellStyle name="Note 14 6 3 2 2 3 2" xfId="41121"/>
    <cellStyle name="Note 14 6 3 2 2 4" xfId="15314"/>
    <cellStyle name="Note 14 6 3 2 2 4 2" xfId="37901"/>
    <cellStyle name="Note 14 6 3 2 2 5" xfId="8874"/>
    <cellStyle name="Note 14 6 3 2 2 5 2" xfId="31461"/>
    <cellStyle name="Note 14 6 3 2 2 6" xfId="25021"/>
    <cellStyle name="Note 14 6 3 2 3" xfId="4346"/>
    <cellStyle name="Note 14 6 3 2 3 2" xfId="20446"/>
    <cellStyle name="Note 14 6 3 2 3 2 2" xfId="43033"/>
    <cellStyle name="Note 14 6 3 2 3 3" xfId="10786"/>
    <cellStyle name="Note 14 6 3 2 3 3 2" xfId="33373"/>
    <cellStyle name="Note 14 6 3 2 3 4" xfId="26933"/>
    <cellStyle name="Note 14 6 3 2 4" xfId="17226"/>
    <cellStyle name="Note 14 6 3 2 4 2" xfId="39813"/>
    <cellStyle name="Note 14 6 3 2 5" xfId="14006"/>
    <cellStyle name="Note 14 6 3 2 5 2" xfId="36593"/>
    <cellStyle name="Note 14 6 3 2 6" xfId="7566"/>
    <cellStyle name="Note 14 6 3 2 6 2" xfId="30153"/>
    <cellStyle name="Note 14 6 3 2 7" xfId="23713"/>
    <cellStyle name="Note 14 6 3 3" xfId="1466"/>
    <cellStyle name="Note 14 6 3 3 2" xfId="2780"/>
    <cellStyle name="Note 14 6 3 3 2 2" xfId="6001"/>
    <cellStyle name="Note 14 6 3 3 2 2 2" xfId="22101"/>
    <cellStyle name="Note 14 6 3 3 2 2 2 2" xfId="44688"/>
    <cellStyle name="Note 14 6 3 3 2 2 3" xfId="12441"/>
    <cellStyle name="Note 14 6 3 3 2 2 3 2" xfId="35028"/>
    <cellStyle name="Note 14 6 3 3 2 2 4" xfId="28588"/>
    <cellStyle name="Note 14 6 3 3 2 3" xfId="18881"/>
    <cellStyle name="Note 14 6 3 3 2 3 2" xfId="41468"/>
    <cellStyle name="Note 14 6 3 3 2 4" xfId="15661"/>
    <cellStyle name="Note 14 6 3 3 2 4 2" xfId="38248"/>
    <cellStyle name="Note 14 6 3 3 2 5" xfId="9221"/>
    <cellStyle name="Note 14 6 3 3 2 5 2" xfId="31808"/>
    <cellStyle name="Note 14 6 3 3 2 6" xfId="25368"/>
    <cellStyle name="Note 14 6 3 3 3" xfId="4693"/>
    <cellStyle name="Note 14 6 3 3 3 2" xfId="20793"/>
    <cellStyle name="Note 14 6 3 3 3 2 2" xfId="43380"/>
    <cellStyle name="Note 14 6 3 3 3 3" xfId="11133"/>
    <cellStyle name="Note 14 6 3 3 3 3 2" xfId="33720"/>
    <cellStyle name="Note 14 6 3 3 3 4" xfId="27280"/>
    <cellStyle name="Note 14 6 3 3 4" xfId="17573"/>
    <cellStyle name="Note 14 6 3 3 4 2" xfId="40160"/>
    <cellStyle name="Note 14 6 3 3 5" xfId="14353"/>
    <cellStyle name="Note 14 6 3 3 5 2" xfId="36940"/>
    <cellStyle name="Note 14 6 3 3 6" xfId="7913"/>
    <cellStyle name="Note 14 6 3 3 6 2" xfId="30500"/>
    <cellStyle name="Note 14 6 3 3 7" xfId="24060"/>
    <cellStyle name="Note 14 6 3 4" xfId="1804"/>
    <cellStyle name="Note 14 6 3 4 2" xfId="5027"/>
    <cellStyle name="Note 14 6 3 4 2 2" xfId="21127"/>
    <cellStyle name="Note 14 6 3 4 2 2 2" xfId="43714"/>
    <cellStyle name="Note 14 6 3 4 2 3" xfId="11467"/>
    <cellStyle name="Note 14 6 3 4 2 3 2" xfId="34054"/>
    <cellStyle name="Note 14 6 3 4 2 4" xfId="27614"/>
    <cellStyle name="Note 14 6 3 4 3" xfId="17907"/>
    <cellStyle name="Note 14 6 3 4 3 2" xfId="40494"/>
    <cellStyle name="Note 14 6 3 4 4" xfId="14687"/>
    <cellStyle name="Note 14 6 3 4 4 2" xfId="37274"/>
    <cellStyle name="Note 14 6 3 4 5" xfId="8247"/>
    <cellStyle name="Note 14 6 3 4 5 2" xfId="30834"/>
    <cellStyle name="Note 14 6 3 4 6" xfId="24394"/>
    <cellStyle name="Note 14 6 3 5" xfId="2086"/>
    <cellStyle name="Note 14 6 3 5 2" xfId="5307"/>
    <cellStyle name="Note 14 6 3 5 2 2" xfId="21407"/>
    <cellStyle name="Note 14 6 3 5 2 2 2" xfId="43994"/>
    <cellStyle name="Note 14 6 3 5 2 3" xfId="11747"/>
    <cellStyle name="Note 14 6 3 5 2 3 2" xfId="34334"/>
    <cellStyle name="Note 14 6 3 5 2 4" xfId="27894"/>
    <cellStyle name="Note 14 6 3 5 3" xfId="18187"/>
    <cellStyle name="Note 14 6 3 5 3 2" xfId="40774"/>
    <cellStyle name="Note 14 6 3 5 4" xfId="14967"/>
    <cellStyle name="Note 14 6 3 5 4 2" xfId="37554"/>
    <cellStyle name="Note 14 6 3 5 5" xfId="8527"/>
    <cellStyle name="Note 14 6 3 5 5 2" xfId="31114"/>
    <cellStyle name="Note 14 6 3 5 6" xfId="24674"/>
    <cellStyle name="Note 14 6 3 6" xfId="3126"/>
    <cellStyle name="Note 14 6 3 6 2" xfId="6346"/>
    <cellStyle name="Note 14 6 3 6 2 2" xfId="22446"/>
    <cellStyle name="Note 14 6 3 6 2 2 2" xfId="45033"/>
    <cellStyle name="Note 14 6 3 6 2 3" xfId="12786"/>
    <cellStyle name="Note 14 6 3 6 2 3 2" xfId="35373"/>
    <cellStyle name="Note 14 6 3 6 2 4" xfId="28933"/>
    <cellStyle name="Note 14 6 3 6 3" xfId="19226"/>
    <cellStyle name="Note 14 6 3 6 3 2" xfId="41813"/>
    <cellStyle name="Note 14 6 3 6 4" xfId="16006"/>
    <cellStyle name="Note 14 6 3 6 4 2" xfId="38593"/>
    <cellStyle name="Note 14 6 3 6 5" xfId="9566"/>
    <cellStyle name="Note 14 6 3 6 5 2" xfId="32153"/>
    <cellStyle name="Note 14 6 3 6 6" xfId="25713"/>
    <cellStyle name="Note 14 6 3 7" xfId="3416"/>
    <cellStyle name="Note 14 6 3 7 2" xfId="6636"/>
    <cellStyle name="Note 14 6 3 7 2 2" xfId="22736"/>
    <cellStyle name="Note 14 6 3 7 2 2 2" xfId="45323"/>
    <cellStyle name="Note 14 6 3 7 2 3" xfId="13076"/>
    <cellStyle name="Note 14 6 3 7 2 3 2" xfId="35663"/>
    <cellStyle name="Note 14 6 3 7 2 4" xfId="29223"/>
    <cellStyle name="Note 14 6 3 7 3" xfId="19516"/>
    <cellStyle name="Note 14 6 3 7 3 2" xfId="42103"/>
    <cellStyle name="Note 14 6 3 7 4" xfId="16296"/>
    <cellStyle name="Note 14 6 3 7 4 2" xfId="38883"/>
    <cellStyle name="Note 14 6 3 7 5" xfId="9856"/>
    <cellStyle name="Note 14 6 3 7 5 2" xfId="32443"/>
    <cellStyle name="Note 14 6 3 7 6" xfId="26003"/>
    <cellStyle name="Note 14 6 3 8" xfId="767"/>
    <cellStyle name="Note 14 6 3 8 2" xfId="3999"/>
    <cellStyle name="Note 14 6 3 8 2 2" xfId="20099"/>
    <cellStyle name="Note 14 6 3 8 2 2 2" xfId="42686"/>
    <cellStyle name="Note 14 6 3 8 2 3" xfId="10439"/>
    <cellStyle name="Note 14 6 3 8 2 3 2" xfId="33026"/>
    <cellStyle name="Note 14 6 3 8 2 4" xfId="26586"/>
    <cellStyle name="Note 14 6 3 8 3" xfId="16879"/>
    <cellStyle name="Note 14 6 3 8 3 2" xfId="39466"/>
    <cellStyle name="Note 14 6 3 8 4" xfId="13659"/>
    <cellStyle name="Note 14 6 3 8 4 2" xfId="36246"/>
    <cellStyle name="Note 14 6 3 8 5" xfId="7219"/>
    <cellStyle name="Note 14 6 3 8 5 2" xfId="29806"/>
    <cellStyle name="Note 14 6 3 8 6" xfId="23366"/>
    <cellStyle name="Note 14 6 3 9" xfId="3706"/>
    <cellStyle name="Note 14 6 3 9 2" xfId="19806"/>
    <cellStyle name="Note 14 6 3 9 2 2" xfId="42393"/>
    <cellStyle name="Note 14 6 3 9 3" xfId="10146"/>
    <cellStyle name="Note 14 6 3 9 3 2" xfId="32733"/>
    <cellStyle name="Note 14 6 3 9 4" xfId="26293"/>
    <cellStyle name="Note 14 6 4" xfId="914"/>
    <cellStyle name="Note 14 6 4 2" xfId="2233"/>
    <cellStyle name="Note 14 6 4 2 2" xfId="5454"/>
    <cellStyle name="Note 14 6 4 2 2 2" xfId="21554"/>
    <cellStyle name="Note 14 6 4 2 2 2 2" xfId="44141"/>
    <cellStyle name="Note 14 6 4 2 2 3" xfId="11894"/>
    <cellStyle name="Note 14 6 4 2 2 3 2" xfId="34481"/>
    <cellStyle name="Note 14 6 4 2 2 4" xfId="28041"/>
    <cellStyle name="Note 14 6 4 2 3" xfId="18334"/>
    <cellStyle name="Note 14 6 4 2 3 2" xfId="40921"/>
    <cellStyle name="Note 14 6 4 2 4" xfId="15114"/>
    <cellStyle name="Note 14 6 4 2 4 2" xfId="37701"/>
    <cellStyle name="Note 14 6 4 2 5" xfId="8674"/>
    <cellStyle name="Note 14 6 4 2 5 2" xfId="31261"/>
    <cellStyle name="Note 14 6 4 2 6" xfId="24821"/>
    <cellStyle name="Note 14 6 4 3" xfId="4146"/>
    <cellStyle name="Note 14 6 4 3 2" xfId="20246"/>
    <cellStyle name="Note 14 6 4 3 2 2" xfId="42833"/>
    <cellStyle name="Note 14 6 4 3 3" xfId="10586"/>
    <cellStyle name="Note 14 6 4 3 3 2" xfId="33173"/>
    <cellStyle name="Note 14 6 4 3 4" xfId="26733"/>
    <cellStyle name="Note 14 6 4 4" xfId="17026"/>
    <cellStyle name="Note 14 6 4 4 2" xfId="39613"/>
    <cellStyle name="Note 14 6 4 5" xfId="13806"/>
    <cellStyle name="Note 14 6 4 5 2" xfId="36393"/>
    <cellStyle name="Note 14 6 4 6" xfId="7366"/>
    <cellStyle name="Note 14 6 4 6 2" xfId="29953"/>
    <cellStyle name="Note 14 6 4 7" xfId="23513"/>
    <cellStyle name="Note 14 6 5" xfId="1266"/>
    <cellStyle name="Note 14 6 5 2" xfId="2580"/>
    <cellStyle name="Note 14 6 5 2 2" xfId="5801"/>
    <cellStyle name="Note 14 6 5 2 2 2" xfId="21901"/>
    <cellStyle name="Note 14 6 5 2 2 2 2" xfId="44488"/>
    <cellStyle name="Note 14 6 5 2 2 3" xfId="12241"/>
    <cellStyle name="Note 14 6 5 2 2 3 2" xfId="34828"/>
    <cellStyle name="Note 14 6 5 2 2 4" xfId="28388"/>
    <cellStyle name="Note 14 6 5 2 3" xfId="18681"/>
    <cellStyle name="Note 14 6 5 2 3 2" xfId="41268"/>
    <cellStyle name="Note 14 6 5 2 4" xfId="15461"/>
    <cellStyle name="Note 14 6 5 2 4 2" xfId="38048"/>
    <cellStyle name="Note 14 6 5 2 5" xfId="9021"/>
    <cellStyle name="Note 14 6 5 2 5 2" xfId="31608"/>
    <cellStyle name="Note 14 6 5 2 6" xfId="25168"/>
    <cellStyle name="Note 14 6 5 3" xfId="4493"/>
    <cellStyle name="Note 14 6 5 3 2" xfId="20593"/>
    <cellStyle name="Note 14 6 5 3 2 2" xfId="43180"/>
    <cellStyle name="Note 14 6 5 3 3" xfId="10933"/>
    <cellStyle name="Note 14 6 5 3 3 2" xfId="33520"/>
    <cellStyle name="Note 14 6 5 3 4" xfId="27080"/>
    <cellStyle name="Note 14 6 5 4" xfId="17373"/>
    <cellStyle name="Note 14 6 5 4 2" xfId="39960"/>
    <cellStyle name="Note 14 6 5 5" xfId="14153"/>
    <cellStyle name="Note 14 6 5 5 2" xfId="36740"/>
    <cellStyle name="Note 14 6 5 6" xfId="7713"/>
    <cellStyle name="Note 14 6 5 6 2" xfId="30300"/>
    <cellStyle name="Note 14 6 5 7" xfId="23860"/>
    <cellStyle name="Note 14 6 6" xfId="1805"/>
    <cellStyle name="Note 14 6 6 2" xfId="5028"/>
    <cellStyle name="Note 14 6 6 2 2" xfId="21128"/>
    <cellStyle name="Note 14 6 6 2 2 2" xfId="43715"/>
    <cellStyle name="Note 14 6 6 2 3" xfId="11468"/>
    <cellStyle name="Note 14 6 6 2 3 2" xfId="34055"/>
    <cellStyle name="Note 14 6 6 2 4" xfId="27615"/>
    <cellStyle name="Note 14 6 6 3" xfId="17908"/>
    <cellStyle name="Note 14 6 6 3 2" xfId="40495"/>
    <cellStyle name="Note 14 6 6 4" xfId="14688"/>
    <cellStyle name="Note 14 6 6 4 2" xfId="37275"/>
    <cellStyle name="Note 14 6 6 5" xfId="8248"/>
    <cellStyle name="Note 14 6 6 5 2" xfId="30835"/>
    <cellStyle name="Note 14 6 6 6" xfId="24395"/>
    <cellStyle name="Note 14 6 7" xfId="1885"/>
    <cellStyle name="Note 14 6 7 2" xfId="5107"/>
    <cellStyle name="Note 14 6 7 2 2" xfId="21207"/>
    <cellStyle name="Note 14 6 7 2 2 2" xfId="43794"/>
    <cellStyle name="Note 14 6 7 2 3" xfId="11547"/>
    <cellStyle name="Note 14 6 7 2 3 2" xfId="34134"/>
    <cellStyle name="Note 14 6 7 2 4" xfId="27694"/>
    <cellStyle name="Note 14 6 7 3" xfId="17987"/>
    <cellStyle name="Note 14 6 7 3 2" xfId="40574"/>
    <cellStyle name="Note 14 6 7 4" xfId="14767"/>
    <cellStyle name="Note 14 6 7 4 2" xfId="37354"/>
    <cellStyle name="Note 14 6 7 5" xfId="8327"/>
    <cellStyle name="Note 14 6 7 5 2" xfId="30914"/>
    <cellStyle name="Note 14 6 7 6" xfId="24474"/>
    <cellStyle name="Note 14 6 8" xfId="2932"/>
    <cellStyle name="Note 14 6 8 2" xfId="6153"/>
    <cellStyle name="Note 14 6 8 2 2" xfId="22253"/>
    <cellStyle name="Note 14 6 8 2 2 2" xfId="44840"/>
    <cellStyle name="Note 14 6 8 2 3" xfId="12593"/>
    <cellStyle name="Note 14 6 8 2 3 2" xfId="35180"/>
    <cellStyle name="Note 14 6 8 2 4" xfId="28740"/>
    <cellStyle name="Note 14 6 8 3" xfId="19033"/>
    <cellStyle name="Note 14 6 8 3 2" xfId="41620"/>
    <cellStyle name="Note 14 6 8 4" xfId="15813"/>
    <cellStyle name="Note 14 6 8 4 2" xfId="38400"/>
    <cellStyle name="Note 14 6 8 5" xfId="9373"/>
    <cellStyle name="Note 14 6 8 5 2" xfId="31960"/>
    <cellStyle name="Note 14 6 8 6" xfId="25520"/>
    <cellStyle name="Note 14 6 9" xfId="3223"/>
    <cellStyle name="Note 14 6 9 2" xfId="6443"/>
    <cellStyle name="Note 14 6 9 2 2" xfId="22543"/>
    <cellStyle name="Note 14 6 9 2 2 2" xfId="45130"/>
    <cellStyle name="Note 14 6 9 2 3" xfId="12883"/>
    <cellStyle name="Note 14 6 9 2 3 2" xfId="35470"/>
    <cellStyle name="Note 14 6 9 2 4" xfId="29030"/>
    <cellStyle name="Note 14 6 9 3" xfId="19323"/>
    <cellStyle name="Note 14 6 9 3 2" xfId="41910"/>
    <cellStyle name="Note 14 6 9 4" xfId="16103"/>
    <cellStyle name="Note 14 6 9 4 2" xfId="38690"/>
    <cellStyle name="Note 14 6 9 5" xfId="9663"/>
    <cellStyle name="Note 14 6 9 5 2" xfId="32250"/>
    <cellStyle name="Note 14 6 9 6" xfId="25810"/>
    <cellStyle name="Note 14 7" xfId="244"/>
    <cellStyle name="Note 14 7 10" xfId="16412"/>
    <cellStyle name="Note 14 7 10 2" xfId="38999"/>
    <cellStyle name="Note 14 7 11" xfId="13192"/>
    <cellStyle name="Note 14 7 11 2" xfId="35779"/>
    <cellStyle name="Note 14 7 12" xfId="6752"/>
    <cellStyle name="Note 14 7 12 2" xfId="29339"/>
    <cellStyle name="Note 14 7 13" xfId="22899"/>
    <cellStyle name="Note 14 7 2" xfId="963"/>
    <cellStyle name="Note 14 7 2 2" xfId="2282"/>
    <cellStyle name="Note 14 7 2 2 2" xfId="5503"/>
    <cellStyle name="Note 14 7 2 2 2 2" xfId="21603"/>
    <cellStyle name="Note 14 7 2 2 2 2 2" xfId="44190"/>
    <cellStyle name="Note 14 7 2 2 2 3" xfId="11943"/>
    <cellStyle name="Note 14 7 2 2 2 3 2" xfId="34530"/>
    <cellStyle name="Note 14 7 2 2 2 4" xfId="28090"/>
    <cellStyle name="Note 14 7 2 2 3" xfId="18383"/>
    <cellStyle name="Note 14 7 2 2 3 2" xfId="40970"/>
    <cellStyle name="Note 14 7 2 2 4" xfId="15163"/>
    <cellStyle name="Note 14 7 2 2 4 2" xfId="37750"/>
    <cellStyle name="Note 14 7 2 2 5" xfId="8723"/>
    <cellStyle name="Note 14 7 2 2 5 2" xfId="31310"/>
    <cellStyle name="Note 14 7 2 2 6" xfId="24870"/>
    <cellStyle name="Note 14 7 2 3" xfId="4195"/>
    <cellStyle name="Note 14 7 2 3 2" xfId="20295"/>
    <cellStyle name="Note 14 7 2 3 2 2" xfId="42882"/>
    <cellStyle name="Note 14 7 2 3 3" xfId="10635"/>
    <cellStyle name="Note 14 7 2 3 3 2" xfId="33222"/>
    <cellStyle name="Note 14 7 2 3 4" xfId="26782"/>
    <cellStyle name="Note 14 7 2 4" xfId="17075"/>
    <cellStyle name="Note 14 7 2 4 2" xfId="39662"/>
    <cellStyle name="Note 14 7 2 5" xfId="13855"/>
    <cellStyle name="Note 14 7 2 5 2" xfId="36442"/>
    <cellStyle name="Note 14 7 2 6" xfId="7415"/>
    <cellStyle name="Note 14 7 2 6 2" xfId="30002"/>
    <cellStyle name="Note 14 7 2 7" xfId="23562"/>
    <cellStyle name="Note 14 7 3" xfId="1315"/>
    <cellStyle name="Note 14 7 3 2" xfId="2629"/>
    <cellStyle name="Note 14 7 3 2 2" xfId="5850"/>
    <cellStyle name="Note 14 7 3 2 2 2" xfId="21950"/>
    <cellStyle name="Note 14 7 3 2 2 2 2" xfId="44537"/>
    <cellStyle name="Note 14 7 3 2 2 3" xfId="12290"/>
    <cellStyle name="Note 14 7 3 2 2 3 2" xfId="34877"/>
    <cellStyle name="Note 14 7 3 2 2 4" xfId="28437"/>
    <cellStyle name="Note 14 7 3 2 3" xfId="18730"/>
    <cellStyle name="Note 14 7 3 2 3 2" xfId="41317"/>
    <cellStyle name="Note 14 7 3 2 4" xfId="15510"/>
    <cellStyle name="Note 14 7 3 2 4 2" xfId="38097"/>
    <cellStyle name="Note 14 7 3 2 5" xfId="9070"/>
    <cellStyle name="Note 14 7 3 2 5 2" xfId="31657"/>
    <cellStyle name="Note 14 7 3 2 6" xfId="25217"/>
    <cellStyle name="Note 14 7 3 3" xfId="4542"/>
    <cellStyle name="Note 14 7 3 3 2" xfId="20642"/>
    <cellStyle name="Note 14 7 3 3 2 2" xfId="43229"/>
    <cellStyle name="Note 14 7 3 3 3" xfId="10982"/>
    <cellStyle name="Note 14 7 3 3 3 2" xfId="33569"/>
    <cellStyle name="Note 14 7 3 3 4" xfId="27129"/>
    <cellStyle name="Note 14 7 3 4" xfId="17422"/>
    <cellStyle name="Note 14 7 3 4 2" xfId="40009"/>
    <cellStyle name="Note 14 7 3 5" xfId="14202"/>
    <cellStyle name="Note 14 7 3 5 2" xfId="36789"/>
    <cellStyle name="Note 14 7 3 6" xfId="7762"/>
    <cellStyle name="Note 14 7 3 6 2" xfId="30349"/>
    <cellStyle name="Note 14 7 3 7" xfId="23909"/>
    <cellStyle name="Note 14 7 4" xfId="1806"/>
    <cellStyle name="Note 14 7 4 2" xfId="5029"/>
    <cellStyle name="Note 14 7 4 2 2" xfId="21129"/>
    <cellStyle name="Note 14 7 4 2 2 2" xfId="43716"/>
    <cellStyle name="Note 14 7 4 2 3" xfId="11469"/>
    <cellStyle name="Note 14 7 4 2 3 2" xfId="34056"/>
    <cellStyle name="Note 14 7 4 2 4" xfId="27616"/>
    <cellStyle name="Note 14 7 4 3" xfId="17909"/>
    <cellStyle name="Note 14 7 4 3 2" xfId="40496"/>
    <cellStyle name="Note 14 7 4 4" xfId="14689"/>
    <cellStyle name="Note 14 7 4 4 2" xfId="37276"/>
    <cellStyle name="Note 14 7 4 5" xfId="8249"/>
    <cellStyle name="Note 14 7 4 5 2" xfId="30836"/>
    <cellStyle name="Note 14 7 4 6" xfId="24396"/>
    <cellStyle name="Note 14 7 5" xfId="1934"/>
    <cellStyle name="Note 14 7 5 2" xfId="5156"/>
    <cellStyle name="Note 14 7 5 2 2" xfId="21256"/>
    <cellStyle name="Note 14 7 5 2 2 2" xfId="43843"/>
    <cellStyle name="Note 14 7 5 2 3" xfId="11596"/>
    <cellStyle name="Note 14 7 5 2 3 2" xfId="34183"/>
    <cellStyle name="Note 14 7 5 2 4" xfId="27743"/>
    <cellStyle name="Note 14 7 5 3" xfId="18036"/>
    <cellStyle name="Note 14 7 5 3 2" xfId="40623"/>
    <cellStyle name="Note 14 7 5 4" xfId="14816"/>
    <cellStyle name="Note 14 7 5 4 2" xfId="37403"/>
    <cellStyle name="Note 14 7 5 5" xfId="8376"/>
    <cellStyle name="Note 14 7 5 5 2" xfId="30963"/>
    <cellStyle name="Note 14 7 5 6" xfId="24523"/>
    <cellStyle name="Note 14 7 6" xfId="2951"/>
    <cellStyle name="Note 14 7 6 2" xfId="6172"/>
    <cellStyle name="Note 14 7 6 2 2" xfId="22272"/>
    <cellStyle name="Note 14 7 6 2 2 2" xfId="44859"/>
    <cellStyle name="Note 14 7 6 2 3" xfId="12612"/>
    <cellStyle name="Note 14 7 6 2 3 2" xfId="35199"/>
    <cellStyle name="Note 14 7 6 2 4" xfId="28759"/>
    <cellStyle name="Note 14 7 6 3" xfId="19052"/>
    <cellStyle name="Note 14 7 6 3 2" xfId="41639"/>
    <cellStyle name="Note 14 7 6 4" xfId="15832"/>
    <cellStyle name="Note 14 7 6 4 2" xfId="38419"/>
    <cellStyle name="Note 14 7 6 5" xfId="9392"/>
    <cellStyle name="Note 14 7 6 5 2" xfId="31979"/>
    <cellStyle name="Note 14 7 6 6" xfId="25539"/>
    <cellStyle name="Note 14 7 7" xfId="3242"/>
    <cellStyle name="Note 14 7 7 2" xfId="6462"/>
    <cellStyle name="Note 14 7 7 2 2" xfId="22562"/>
    <cellStyle name="Note 14 7 7 2 2 2" xfId="45149"/>
    <cellStyle name="Note 14 7 7 2 3" xfId="12902"/>
    <cellStyle name="Note 14 7 7 2 3 2" xfId="35489"/>
    <cellStyle name="Note 14 7 7 2 4" xfId="29049"/>
    <cellStyle name="Note 14 7 7 3" xfId="19342"/>
    <cellStyle name="Note 14 7 7 3 2" xfId="41929"/>
    <cellStyle name="Note 14 7 7 4" xfId="16122"/>
    <cellStyle name="Note 14 7 7 4 2" xfId="38709"/>
    <cellStyle name="Note 14 7 7 5" xfId="9682"/>
    <cellStyle name="Note 14 7 7 5 2" xfId="32269"/>
    <cellStyle name="Note 14 7 7 6" xfId="25829"/>
    <cellStyle name="Note 14 7 8" xfId="577"/>
    <cellStyle name="Note 14 7 8 2" xfId="3848"/>
    <cellStyle name="Note 14 7 8 2 2" xfId="19948"/>
    <cellStyle name="Note 14 7 8 2 2 2" xfId="42535"/>
    <cellStyle name="Note 14 7 8 2 3" xfId="10288"/>
    <cellStyle name="Note 14 7 8 2 3 2" xfId="32875"/>
    <cellStyle name="Note 14 7 8 2 4" xfId="26435"/>
    <cellStyle name="Note 14 7 8 3" xfId="16728"/>
    <cellStyle name="Note 14 7 8 3 2" xfId="39315"/>
    <cellStyle name="Note 14 7 8 4" xfId="13508"/>
    <cellStyle name="Note 14 7 8 4 2" xfId="36095"/>
    <cellStyle name="Note 14 7 8 5" xfId="7068"/>
    <cellStyle name="Note 14 7 8 5 2" xfId="29655"/>
    <cellStyle name="Note 14 7 8 6" xfId="23215"/>
    <cellStyle name="Note 14 7 9" xfId="3532"/>
    <cellStyle name="Note 14 7 9 2" xfId="19632"/>
    <cellStyle name="Note 14 7 9 2 2" xfId="42219"/>
    <cellStyle name="Note 14 7 9 3" xfId="9972"/>
    <cellStyle name="Note 14 7 9 3 2" xfId="32559"/>
    <cellStyle name="Note 14 7 9 4" xfId="26119"/>
    <cellStyle name="Note 14 8" xfId="342"/>
    <cellStyle name="Note 14 8 10" xfId="16509"/>
    <cellStyle name="Note 14 8 10 2" xfId="39096"/>
    <cellStyle name="Note 14 8 11" xfId="13289"/>
    <cellStyle name="Note 14 8 11 2" xfId="35876"/>
    <cellStyle name="Note 14 8 12" xfId="6849"/>
    <cellStyle name="Note 14 8 12 2" xfId="29436"/>
    <cellStyle name="Note 14 8 13" xfId="22996"/>
    <cellStyle name="Note 14 8 2" xfId="1080"/>
    <cellStyle name="Note 14 8 2 2" xfId="2394"/>
    <cellStyle name="Note 14 8 2 2 2" xfId="5615"/>
    <cellStyle name="Note 14 8 2 2 2 2" xfId="21715"/>
    <cellStyle name="Note 14 8 2 2 2 2 2" xfId="44302"/>
    <cellStyle name="Note 14 8 2 2 2 3" xfId="12055"/>
    <cellStyle name="Note 14 8 2 2 2 3 2" xfId="34642"/>
    <cellStyle name="Note 14 8 2 2 2 4" xfId="28202"/>
    <cellStyle name="Note 14 8 2 2 3" xfId="18495"/>
    <cellStyle name="Note 14 8 2 2 3 2" xfId="41082"/>
    <cellStyle name="Note 14 8 2 2 4" xfId="15275"/>
    <cellStyle name="Note 14 8 2 2 4 2" xfId="37862"/>
    <cellStyle name="Note 14 8 2 2 5" xfId="8835"/>
    <cellStyle name="Note 14 8 2 2 5 2" xfId="31422"/>
    <cellStyle name="Note 14 8 2 2 6" xfId="24982"/>
    <cellStyle name="Note 14 8 2 3" xfId="4307"/>
    <cellStyle name="Note 14 8 2 3 2" xfId="20407"/>
    <cellStyle name="Note 14 8 2 3 2 2" xfId="42994"/>
    <cellStyle name="Note 14 8 2 3 3" xfId="10747"/>
    <cellStyle name="Note 14 8 2 3 3 2" xfId="33334"/>
    <cellStyle name="Note 14 8 2 3 4" xfId="26894"/>
    <cellStyle name="Note 14 8 2 4" xfId="17187"/>
    <cellStyle name="Note 14 8 2 4 2" xfId="39774"/>
    <cellStyle name="Note 14 8 2 5" xfId="13967"/>
    <cellStyle name="Note 14 8 2 5 2" xfId="36554"/>
    <cellStyle name="Note 14 8 2 6" xfId="7527"/>
    <cellStyle name="Note 14 8 2 6 2" xfId="30114"/>
    <cellStyle name="Note 14 8 2 7" xfId="23674"/>
    <cellStyle name="Note 14 8 3" xfId="1427"/>
    <cellStyle name="Note 14 8 3 2" xfId="2741"/>
    <cellStyle name="Note 14 8 3 2 2" xfId="5962"/>
    <cellStyle name="Note 14 8 3 2 2 2" xfId="22062"/>
    <cellStyle name="Note 14 8 3 2 2 2 2" xfId="44649"/>
    <cellStyle name="Note 14 8 3 2 2 3" xfId="12402"/>
    <cellStyle name="Note 14 8 3 2 2 3 2" xfId="34989"/>
    <cellStyle name="Note 14 8 3 2 2 4" xfId="28549"/>
    <cellStyle name="Note 14 8 3 2 3" xfId="18842"/>
    <cellStyle name="Note 14 8 3 2 3 2" xfId="41429"/>
    <cellStyle name="Note 14 8 3 2 4" xfId="15622"/>
    <cellStyle name="Note 14 8 3 2 4 2" xfId="38209"/>
    <cellStyle name="Note 14 8 3 2 5" xfId="9182"/>
    <cellStyle name="Note 14 8 3 2 5 2" xfId="31769"/>
    <cellStyle name="Note 14 8 3 2 6" xfId="25329"/>
    <cellStyle name="Note 14 8 3 3" xfId="4654"/>
    <cellStyle name="Note 14 8 3 3 2" xfId="20754"/>
    <cellStyle name="Note 14 8 3 3 2 2" xfId="43341"/>
    <cellStyle name="Note 14 8 3 3 3" xfId="11094"/>
    <cellStyle name="Note 14 8 3 3 3 2" xfId="33681"/>
    <cellStyle name="Note 14 8 3 3 4" xfId="27241"/>
    <cellStyle name="Note 14 8 3 4" xfId="17534"/>
    <cellStyle name="Note 14 8 3 4 2" xfId="40121"/>
    <cellStyle name="Note 14 8 3 5" xfId="14314"/>
    <cellStyle name="Note 14 8 3 5 2" xfId="36901"/>
    <cellStyle name="Note 14 8 3 6" xfId="7874"/>
    <cellStyle name="Note 14 8 3 6 2" xfId="30461"/>
    <cellStyle name="Note 14 8 3 7" xfId="24021"/>
    <cellStyle name="Note 14 8 4" xfId="1807"/>
    <cellStyle name="Note 14 8 4 2" xfId="5030"/>
    <cellStyle name="Note 14 8 4 2 2" xfId="21130"/>
    <cellStyle name="Note 14 8 4 2 2 2" xfId="43717"/>
    <cellStyle name="Note 14 8 4 2 3" xfId="11470"/>
    <cellStyle name="Note 14 8 4 2 3 2" xfId="34057"/>
    <cellStyle name="Note 14 8 4 2 4" xfId="27617"/>
    <cellStyle name="Note 14 8 4 3" xfId="17910"/>
    <cellStyle name="Note 14 8 4 3 2" xfId="40497"/>
    <cellStyle name="Note 14 8 4 4" xfId="14690"/>
    <cellStyle name="Note 14 8 4 4 2" xfId="37277"/>
    <cellStyle name="Note 14 8 4 5" xfId="8250"/>
    <cellStyle name="Note 14 8 4 5 2" xfId="30837"/>
    <cellStyle name="Note 14 8 4 6" xfId="24397"/>
    <cellStyle name="Note 14 8 5" xfId="2047"/>
    <cellStyle name="Note 14 8 5 2" xfId="5268"/>
    <cellStyle name="Note 14 8 5 2 2" xfId="21368"/>
    <cellStyle name="Note 14 8 5 2 2 2" xfId="43955"/>
    <cellStyle name="Note 14 8 5 2 3" xfId="11708"/>
    <cellStyle name="Note 14 8 5 2 3 2" xfId="34295"/>
    <cellStyle name="Note 14 8 5 2 4" xfId="27855"/>
    <cellStyle name="Note 14 8 5 3" xfId="18148"/>
    <cellStyle name="Note 14 8 5 3 2" xfId="40735"/>
    <cellStyle name="Note 14 8 5 4" xfId="14928"/>
    <cellStyle name="Note 14 8 5 4 2" xfId="37515"/>
    <cellStyle name="Note 14 8 5 5" xfId="8488"/>
    <cellStyle name="Note 14 8 5 5 2" xfId="31075"/>
    <cellStyle name="Note 14 8 5 6" xfId="24635"/>
    <cellStyle name="Note 14 8 6" xfId="3049"/>
    <cellStyle name="Note 14 8 6 2" xfId="6269"/>
    <cellStyle name="Note 14 8 6 2 2" xfId="22369"/>
    <cellStyle name="Note 14 8 6 2 2 2" xfId="44956"/>
    <cellStyle name="Note 14 8 6 2 3" xfId="12709"/>
    <cellStyle name="Note 14 8 6 2 3 2" xfId="35296"/>
    <cellStyle name="Note 14 8 6 2 4" xfId="28856"/>
    <cellStyle name="Note 14 8 6 3" xfId="19149"/>
    <cellStyle name="Note 14 8 6 3 2" xfId="41736"/>
    <cellStyle name="Note 14 8 6 4" xfId="15929"/>
    <cellStyle name="Note 14 8 6 4 2" xfId="38516"/>
    <cellStyle name="Note 14 8 6 5" xfId="9489"/>
    <cellStyle name="Note 14 8 6 5 2" xfId="32076"/>
    <cellStyle name="Note 14 8 6 6" xfId="25636"/>
    <cellStyle name="Note 14 8 7" xfId="3339"/>
    <cellStyle name="Note 14 8 7 2" xfId="6559"/>
    <cellStyle name="Note 14 8 7 2 2" xfId="22659"/>
    <cellStyle name="Note 14 8 7 2 2 2" xfId="45246"/>
    <cellStyle name="Note 14 8 7 2 3" xfId="12999"/>
    <cellStyle name="Note 14 8 7 2 3 2" xfId="35586"/>
    <cellStyle name="Note 14 8 7 2 4" xfId="29146"/>
    <cellStyle name="Note 14 8 7 3" xfId="19439"/>
    <cellStyle name="Note 14 8 7 3 2" xfId="42026"/>
    <cellStyle name="Note 14 8 7 4" xfId="16219"/>
    <cellStyle name="Note 14 8 7 4 2" xfId="38806"/>
    <cellStyle name="Note 14 8 7 5" xfId="9779"/>
    <cellStyle name="Note 14 8 7 5 2" xfId="32366"/>
    <cellStyle name="Note 14 8 7 6" xfId="25926"/>
    <cellStyle name="Note 14 8 8" xfId="728"/>
    <cellStyle name="Note 14 8 8 2" xfId="3960"/>
    <cellStyle name="Note 14 8 8 2 2" xfId="20060"/>
    <cellStyle name="Note 14 8 8 2 2 2" xfId="42647"/>
    <cellStyle name="Note 14 8 8 2 3" xfId="10400"/>
    <cellStyle name="Note 14 8 8 2 3 2" xfId="32987"/>
    <cellStyle name="Note 14 8 8 2 4" xfId="26547"/>
    <cellStyle name="Note 14 8 8 3" xfId="16840"/>
    <cellStyle name="Note 14 8 8 3 2" xfId="39427"/>
    <cellStyle name="Note 14 8 8 4" xfId="13620"/>
    <cellStyle name="Note 14 8 8 4 2" xfId="36207"/>
    <cellStyle name="Note 14 8 8 5" xfId="7180"/>
    <cellStyle name="Note 14 8 8 5 2" xfId="29767"/>
    <cellStyle name="Note 14 8 8 6" xfId="23327"/>
    <cellStyle name="Note 14 8 9" xfId="3629"/>
    <cellStyle name="Note 14 8 9 2" xfId="19729"/>
    <cellStyle name="Note 14 8 9 2 2" xfId="42316"/>
    <cellStyle name="Note 14 8 9 3" xfId="10069"/>
    <cellStyle name="Note 14 8 9 3 2" xfId="32656"/>
    <cellStyle name="Note 14 8 9 4" xfId="26216"/>
    <cellStyle name="Note 14 9" xfId="747"/>
    <cellStyle name="Note 14 9 2" xfId="1099"/>
    <cellStyle name="Note 14 9 2 2" xfId="2413"/>
    <cellStyle name="Note 14 9 2 2 2" xfId="5634"/>
    <cellStyle name="Note 14 9 2 2 2 2" xfId="21734"/>
    <cellStyle name="Note 14 9 2 2 2 2 2" xfId="44321"/>
    <cellStyle name="Note 14 9 2 2 2 3" xfId="12074"/>
    <cellStyle name="Note 14 9 2 2 2 3 2" xfId="34661"/>
    <cellStyle name="Note 14 9 2 2 2 4" xfId="28221"/>
    <cellStyle name="Note 14 9 2 2 3" xfId="18514"/>
    <cellStyle name="Note 14 9 2 2 3 2" xfId="41101"/>
    <cellStyle name="Note 14 9 2 2 4" xfId="15294"/>
    <cellStyle name="Note 14 9 2 2 4 2" xfId="37881"/>
    <cellStyle name="Note 14 9 2 2 5" xfId="8854"/>
    <cellStyle name="Note 14 9 2 2 5 2" xfId="31441"/>
    <cellStyle name="Note 14 9 2 2 6" xfId="25001"/>
    <cellStyle name="Note 14 9 2 3" xfId="4326"/>
    <cellStyle name="Note 14 9 2 3 2" xfId="20426"/>
    <cellStyle name="Note 14 9 2 3 2 2" xfId="43013"/>
    <cellStyle name="Note 14 9 2 3 3" xfId="10766"/>
    <cellStyle name="Note 14 9 2 3 3 2" xfId="33353"/>
    <cellStyle name="Note 14 9 2 3 4" xfId="26913"/>
    <cellStyle name="Note 14 9 2 4" xfId="17206"/>
    <cellStyle name="Note 14 9 2 4 2" xfId="39793"/>
    <cellStyle name="Note 14 9 2 5" xfId="13986"/>
    <cellStyle name="Note 14 9 2 5 2" xfId="36573"/>
    <cellStyle name="Note 14 9 2 6" xfId="7546"/>
    <cellStyle name="Note 14 9 2 6 2" xfId="30133"/>
    <cellStyle name="Note 14 9 2 7" xfId="23693"/>
    <cellStyle name="Note 14 9 3" xfId="1446"/>
    <cellStyle name="Note 14 9 3 2" xfId="2760"/>
    <cellStyle name="Note 14 9 3 2 2" xfId="5981"/>
    <cellStyle name="Note 14 9 3 2 2 2" xfId="22081"/>
    <cellStyle name="Note 14 9 3 2 2 2 2" xfId="44668"/>
    <cellStyle name="Note 14 9 3 2 2 3" xfId="12421"/>
    <cellStyle name="Note 14 9 3 2 2 3 2" xfId="35008"/>
    <cellStyle name="Note 14 9 3 2 2 4" xfId="28568"/>
    <cellStyle name="Note 14 9 3 2 3" xfId="18861"/>
    <cellStyle name="Note 14 9 3 2 3 2" xfId="41448"/>
    <cellStyle name="Note 14 9 3 2 4" xfId="15641"/>
    <cellStyle name="Note 14 9 3 2 4 2" xfId="38228"/>
    <cellStyle name="Note 14 9 3 2 5" xfId="9201"/>
    <cellStyle name="Note 14 9 3 2 5 2" xfId="31788"/>
    <cellStyle name="Note 14 9 3 2 6" xfId="25348"/>
    <cellStyle name="Note 14 9 3 3" xfId="4673"/>
    <cellStyle name="Note 14 9 3 3 2" xfId="20773"/>
    <cellStyle name="Note 14 9 3 3 2 2" xfId="43360"/>
    <cellStyle name="Note 14 9 3 3 3" xfId="11113"/>
    <cellStyle name="Note 14 9 3 3 3 2" xfId="33700"/>
    <cellStyle name="Note 14 9 3 3 4" xfId="27260"/>
    <cellStyle name="Note 14 9 3 4" xfId="17553"/>
    <cellStyle name="Note 14 9 3 4 2" xfId="40140"/>
    <cellStyle name="Note 14 9 3 5" xfId="14333"/>
    <cellStyle name="Note 14 9 3 5 2" xfId="36920"/>
    <cellStyle name="Note 14 9 3 6" xfId="7893"/>
    <cellStyle name="Note 14 9 3 6 2" xfId="30480"/>
    <cellStyle name="Note 14 9 3 7" xfId="24040"/>
    <cellStyle name="Note 14 9 4" xfId="2066"/>
    <cellStyle name="Note 14 9 4 2" xfId="5287"/>
    <cellStyle name="Note 14 9 4 2 2" xfId="21387"/>
    <cellStyle name="Note 14 9 4 2 2 2" xfId="43974"/>
    <cellStyle name="Note 14 9 4 2 3" xfId="11727"/>
    <cellStyle name="Note 14 9 4 2 3 2" xfId="34314"/>
    <cellStyle name="Note 14 9 4 2 4" xfId="27874"/>
    <cellStyle name="Note 14 9 4 3" xfId="18167"/>
    <cellStyle name="Note 14 9 4 3 2" xfId="40754"/>
    <cellStyle name="Note 14 9 4 4" xfId="14947"/>
    <cellStyle name="Note 14 9 4 4 2" xfId="37534"/>
    <cellStyle name="Note 14 9 4 5" xfId="8507"/>
    <cellStyle name="Note 14 9 4 5 2" xfId="31094"/>
    <cellStyle name="Note 14 9 4 6" xfId="24654"/>
    <cellStyle name="Note 14 9 5" xfId="3979"/>
    <cellStyle name="Note 14 9 5 2" xfId="20079"/>
    <cellStyle name="Note 14 9 5 2 2" xfId="42666"/>
    <cellStyle name="Note 14 9 5 3" xfId="10419"/>
    <cellStyle name="Note 14 9 5 3 2" xfId="33006"/>
    <cellStyle name="Note 14 9 5 4" xfId="26566"/>
    <cellStyle name="Note 14 9 6" xfId="16859"/>
    <cellStyle name="Note 14 9 6 2" xfId="39446"/>
    <cellStyle name="Note 14 9 7" xfId="13639"/>
    <cellStyle name="Note 14 9 7 2" xfId="36226"/>
    <cellStyle name="Note 14 9 8" xfId="7199"/>
    <cellStyle name="Note 14 9 8 2" xfId="29786"/>
    <cellStyle name="Note 14 9 9" xfId="23346"/>
    <cellStyle name="Note 2" xfId="81"/>
    <cellStyle name="Note 2 2" xfId="722"/>
    <cellStyle name="Note 3" xfId="187"/>
    <cellStyle name="Note 3 2" xfId="717"/>
    <cellStyle name="Note 4" xfId="603"/>
    <cellStyle name="Note 4 2" xfId="981"/>
    <cellStyle name="Note 5" xfId="22794"/>
    <cellStyle name="Output" xfId="38" builtinId="21" customBuiltin="1"/>
    <cellStyle name="Output 2" xfId="82"/>
    <cellStyle name="Output 2 2" xfId="723"/>
    <cellStyle name="Output 3" xfId="188"/>
    <cellStyle name="Output 3 2" xfId="718"/>
    <cellStyle name="Output 4" xfId="595"/>
    <cellStyle name="Output 4 2" xfId="980"/>
    <cellStyle name="Output 5" xfId="22795"/>
    <cellStyle name="Percent" xfId="39" builtinId="5"/>
    <cellStyle name="Percent 2" xfId="96"/>
    <cellStyle name="Percent 2 2" xfId="102"/>
    <cellStyle name="Percent 3" xfId="189"/>
    <cellStyle name="Percent 4" xfId="615"/>
    <cellStyle name="Percent 4 2" xfId="1808"/>
    <cellStyle name="Percent 5" xfId="22754"/>
    <cellStyle name="Percent 5 2" xfId="45342"/>
    <cellStyle name="Percent 5 3" xfId="45341"/>
    <cellStyle name="Percent 6" xfId="22796"/>
    <cellStyle name="Title" xfId="40" builtinId="15" customBuiltin="1"/>
    <cellStyle name="Title 2" xfId="83"/>
    <cellStyle name="Title 3" xfId="190"/>
    <cellStyle name="Title 4" xfId="614"/>
    <cellStyle name="Title 5" xfId="22797"/>
    <cellStyle name="Total" xfId="41" builtinId="25" customBuiltin="1"/>
    <cellStyle name="Total 2" xfId="84"/>
    <cellStyle name="Total 2 2" xfId="724"/>
    <cellStyle name="Total 3" xfId="191"/>
    <cellStyle name="Total 3 2" xfId="719"/>
    <cellStyle name="Total 4" xfId="612"/>
    <cellStyle name="Total 4 2" xfId="983"/>
    <cellStyle name="Total 5" xfId="22798"/>
    <cellStyle name="Warning Text" xfId="42" builtinId="11" customBuiltin="1"/>
    <cellStyle name="Warning Text 2" xfId="85"/>
    <cellStyle name="Warning Text 3" xfId="192"/>
    <cellStyle name="Warning Text 4" xfId="608"/>
    <cellStyle name="Warning Text 5" xfId="22799"/>
  </cellStyles>
  <dxfs count="0"/>
  <tableStyles count="0" defaultTableStyle="TableStyleMedium2" defaultPivotStyle="PivotStyleLight16"/>
  <colors>
    <mruColors>
      <color rgb="FFFF33CC"/>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36"/>
  <sheetViews>
    <sheetView zoomScale="90" zoomScaleNormal="90" workbookViewId="0">
      <selection activeCell="Q20" sqref="Q20"/>
    </sheetView>
  </sheetViews>
  <sheetFormatPr defaultRowHeight="12.75"/>
  <cols>
    <col min="1" max="1" width="6.140625" style="312" customWidth="1"/>
    <col min="2" max="2" width="9.140625" style="3" customWidth="1"/>
    <col min="3" max="3" width="8.5703125" style="3" customWidth="1"/>
    <col min="4" max="4" width="8" style="3" customWidth="1"/>
    <col min="5" max="6" width="9.140625" style="3" customWidth="1"/>
    <col min="7" max="7" width="10.42578125" style="312" customWidth="1"/>
    <col min="8" max="8" width="10.5703125" style="312" customWidth="1"/>
    <col min="9" max="9" width="10.85546875" style="312" customWidth="1"/>
    <col min="10" max="10" width="13" style="312" customWidth="1"/>
    <col min="11" max="11" width="10.5703125" style="312" customWidth="1"/>
    <col min="12" max="12" width="11" style="312" customWidth="1"/>
    <col min="13" max="13" width="15.5703125" style="312" customWidth="1"/>
    <col min="14" max="14" width="3.7109375" style="312" customWidth="1"/>
    <col min="15" max="15" width="9" style="312" customWidth="1"/>
    <col min="16" max="16" width="11.5703125" style="312" customWidth="1"/>
    <col min="17" max="17" width="11.140625" style="312" customWidth="1"/>
    <col min="18" max="18" width="8.5703125" style="312" customWidth="1"/>
    <col min="19" max="19" width="8.42578125" style="312" customWidth="1"/>
    <col min="20" max="20" width="8.140625" style="312" customWidth="1"/>
    <col min="21" max="21" width="8.5703125" style="312" customWidth="1"/>
    <col min="22" max="22" width="8.42578125" style="312" customWidth="1"/>
    <col min="23" max="23" width="3.7109375" style="312" customWidth="1"/>
    <col min="24" max="24" width="9.5703125" style="312" customWidth="1"/>
    <col min="25" max="25" width="11.5703125" style="312" customWidth="1"/>
    <col min="26" max="26" width="10.140625" style="312" customWidth="1"/>
    <col min="27" max="27" width="10.42578125" style="312" customWidth="1"/>
    <col min="28" max="28" width="12.140625" style="312" customWidth="1"/>
    <col min="29" max="29" width="11.28515625" style="312" customWidth="1"/>
    <col min="30" max="16384" width="9.140625" style="312"/>
  </cols>
  <sheetData>
    <row r="1" spans="1:31" ht="13.5" thickBot="1"/>
    <row r="2" spans="1:31" ht="15.75" customHeight="1" thickBot="1">
      <c r="A2" s="530" t="s">
        <v>648</v>
      </c>
      <c r="B2" s="530"/>
      <c r="C2" s="530"/>
      <c r="D2" s="530"/>
      <c r="E2" s="530"/>
      <c r="F2" s="530"/>
      <c r="G2" s="530"/>
      <c r="H2" s="530"/>
      <c r="I2" s="530"/>
      <c r="J2" s="530"/>
      <c r="K2" s="530"/>
      <c r="L2" s="530"/>
      <c r="M2" s="530"/>
      <c r="N2" s="387"/>
      <c r="O2" s="530" t="s">
        <v>649</v>
      </c>
      <c r="P2" s="530"/>
      <c r="Q2" s="530"/>
      <c r="R2" s="530"/>
      <c r="S2" s="530"/>
      <c r="T2" s="530"/>
      <c r="U2" s="530"/>
      <c r="V2" s="530"/>
      <c r="X2" s="531" t="s">
        <v>650</v>
      </c>
      <c r="Y2" s="532"/>
      <c r="Z2" s="532"/>
      <c r="AA2" s="532"/>
      <c r="AB2" s="533"/>
      <c r="AC2" s="390" t="s">
        <v>651</v>
      </c>
    </row>
    <row r="3" spans="1:31" ht="13.5" thickBot="1">
      <c r="A3" s="391"/>
      <c r="B3" s="392" t="s">
        <v>581</v>
      </c>
      <c r="C3" s="392" t="s">
        <v>582</v>
      </c>
      <c r="D3" s="392" t="s">
        <v>583</v>
      </c>
      <c r="E3" s="392" t="s">
        <v>584</v>
      </c>
      <c r="F3" s="392" t="s">
        <v>603</v>
      </c>
      <c r="G3" s="392" t="s">
        <v>604</v>
      </c>
      <c r="H3" s="392" t="s">
        <v>605</v>
      </c>
      <c r="I3" s="392" t="s">
        <v>634</v>
      </c>
      <c r="J3" s="392" t="s">
        <v>635</v>
      </c>
      <c r="K3" s="392" t="s">
        <v>636</v>
      </c>
      <c r="L3" s="392" t="s">
        <v>637</v>
      </c>
      <c r="M3" s="392" t="s">
        <v>638</v>
      </c>
      <c r="N3" s="393"/>
      <c r="O3" s="394"/>
      <c r="P3" s="394"/>
      <c r="Q3" s="394"/>
      <c r="R3" s="394"/>
      <c r="S3" s="394"/>
      <c r="T3" s="394"/>
      <c r="U3" s="394"/>
      <c r="V3" s="394"/>
      <c r="X3" s="530" t="s">
        <v>0</v>
      </c>
      <c r="Y3" s="530"/>
      <c r="Z3" s="530" t="s">
        <v>1</v>
      </c>
      <c r="AA3" s="530"/>
      <c r="AB3" s="530"/>
      <c r="AC3" s="530"/>
    </row>
    <row r="4" spans="1:31" ht="179.25" customHeight="1" thickBot="1">
      <c r="A4" s="392" t="s">
        <v>33</v>
      </c>
      <c r="B4" s="392" t="s">
        <v>625</v>
      </c>
      <c r="C4" s="392" t="s">
        <v>626</v>
      </c>
      <c r="D4" s="392" t="s">
        <v>627</v>
      </c>
      <c r="E4" s="392" t="s">
        <v>628</v>
      </c>
      <c r="F4" s="392" t="s">
        <v>629</v>
      </c>
      <c r="G4" s="392" t="s">
        <v>630</v>
      </c>
      <c r="H4" s="392" t="s">
        <v>631</v>
      </c>
      <c r="I4" s="392" t="s">
        <v>652</v>
      </c>
      <c r="J4" s="392" t="s">
        <v>632</v>
      </c>
      <c r="K4" s="392" t="s">
        <v>653</v>
      </c>
      <c r="L4" s="392" t="s">
        <v>633</v>
      </c>
      <c r="M4" s="392" t="s">
        <v>654</v>
      </c>
      <c r="N4" s="393"/>
      <c r="O4" s="395" t="s">
        <v>655</v>
      </c>
      <c r="P4" s="395" t="s">
        <v>656</v>
      </c>
      <c r="Q4" s="395" t="s">
        <v>657</v>
      </c>
      <c r="R4" s="395" t="s">
        <v>658</v>
      </c>
      <c r="S4" s="395" t="s">
        <v>659</v>
      </c>
      <c r="T4" s="395" t="s">
        <v>660</v>
      </c>
      <c r="U4" s="395" t="s">
        <v>661</v>
      </c>
      <c r="V4" s="395" t="s">
        <v>662</v>
      </c>
      <c r="X4" s="396" t="s">
        <v>663</v>
      </c>
      <c r="Y4" s="396" t="s">
        <v>664</v>
      </c>
      <c r="Z4" s="396" t="s">
        <v>682</v>
      </c>
      <c r="AA4" s="396" t="s">
        <v>665</v>
      </c>
      <c r="AB4" s="396" t="s">
        <v>666</v>
      </c>
      <c r="AC4" s="397" t="s">
        <v>667</v>
      </c>
    </row>
    <row r="5" spans="1:31" ht="48.75" thickBot="1">
      <c r="A5" s="391"/>
      <c r="B5" s="398" t="s">
        <v>668</v>
      </c>
      <c r="C5" s="399" t="s">
        <v>639</v>
      </c>
      <c r="D5" s="399" t="s">
        <v>640</v>
      </c>
      <c r="E5" s="400"/>
      <c r="F5" s="400"/>
      <c r="G5" s="398" t="s">
        <v>669</v>
      </c>
      <c r="H5" s="398" t="s">
        <v>670</v>
      </c>
      <c r="I5" s="398"/>
      <c r="J5" s="398"/>
      <c r="K5" s="401" t="s">
        <v>671</v>
      </c>
      <c r="L5" s="398" t="s">
        <v>672</v>
      </c>
      <c r="M5" s="401" t="s">
        <v>673</v>
      </c>
      <c r="N5" s="402"/>
      <c r="O5" s="403" t="s">
        <v>674</v>
      </c>
      <c r="P5" s="403"/>
      <c r="Q5" s="403"/>
      <c r="R5" s="394"/>
      <c r="S5" s="394"/>
      <c r="T5" s="394"/>
      <c r="U5" s="394"/>
      <c r="V5" s="394"/>
      <c r="X5" s="394"/>
      <c r="Y5" s="394"/>
      <c r="Z5" s="394"/>
      <c r="AA5" s="394"/>
      <c r="AB5" s="394"/>
      <c r="AC5" s="401"/>
    </row>
    <row r="6" spans="1:31" ht="13.5" thickBot="1">
      <c r="A6" s="391">
        <v>2007</v>
      </c>
      <c r="B6" s="400">
        <v>0</v>
      </c>
      <c r="C6" s="400">
        <f t="shared" ref="C6:C15" si="0">SUM(R6:V6)</f>
        <v>0</v>
      </c>
      <c r="D6" s="404">
        <v>0</v>
      </c>
      <c r="E6" s="404">
        <v>0</v>
      </c>
      <c r="F6" s="404">
        <v>0</v>
      </c>
      <c r="G6" s="400">
        <f>E6+F6</f>
        <v>0</v>
      </c>
      <c r="H6" s="400">
        <v>0</v>
      </c>
      <c r="I6" s="404">
        <v>0</v>
      </c>
      <c r="J6" s="404">
        <v>0</v>
      </c>
      <c r="K6" s="400">
        <f>H6-(I6+J6)</f>
        <v>0</v>
      </c>
      <c r="L6" s="400">
        <v>0</v>
      </c>
      <c r="M6" s="400">
        <f>B6-C6+MAX(0,D6-E6)-F6-AC5</f>
        <v>0</v>
      </c>
      <c r="N6" s="405"/>
      <c r="O6" s="406">
        <v>0</v>
      </c>
      <c r="P6" s="407">
        <f xml:space="preserve"> M6-B6+C6</f>
        <v>0</v>
      </c>
      <c r="Q6" s="407">
        <v>0</v>
      </c>
      <c r="R6" s="394">
        <f t="shared" ref="R6:R12" si="1">IF(AND(O6=0, O5=1), Q6/5, 0)</f>
        <v>0</v>
      </c>
      <c r="S6" s="394"/>
      <c r="T6" s="394"/>
      <c r="U6" s="394"/>
      <c r="V6" s="394"/>
      <c r="X6" s="408">
        <v>0</v>
      </c>
      <c r="Y6" s="409">
        <f t="shared" ref="Y6:Y12" si="2">X6</f>
        <v>0</v>
      </c>
      <c r="Z6" s="410">
        <v>0</v>
      </c>
      <c r="AA6" s="410">
        <v>0</v>
      </c>
      <c r="AB6" s="411">
        <v>0</v>
      </c>
      <c r="AC6" s="394">
        <f t="shared" ref="AC6:AC12" si="3">-MIN(0, B6-C6+D6-E6-AC5)</f>
        <v>0</v>
      </c>
    </row>
    <row r="7" spans="1:31" ht="13.5" thickBot="1">
      <c r="A7" s="391">
        <v>2008</v>
      </c>
      <c r="B7" s="400">
        <f>M6</f>
        <v>0</v>
      </c>
      <c r="C7" s="400">
        <f t="shared" si="0"/>
        <v>0</v>
      </c>
      <c r="D7" s="404">
        <v>0</v>
      </c>
      <c r="E7" s="404">
        <v>0</v>
      </c>
      <c r="F7" s="404">
        <v>0</v>
      </c>
      <c r="G7" s="400">
        <f t="shared" ref="G7:G16" si="4">E7+F7</f>
        <v>0</v>
      </c>
      <c r="H7" s="400">
        <f>G7+K6</f>
        <v>0</v>
      </c>
      <c r="I7" s="404">
        <v>0</v>
      </c>
      <c r="J7" s="404">
        <v>0</v>
      </c>
      <c r="K7" s="400">
        <f t="shared" ref="K7:K14" si="5">H7-(I7+J7)</f>
        <v>0</v>
      </c>
      <c r="L7" s="400">
        <f>K7-K6</f>
        <v>0</v>
      </c>
      <c r="M7" s="400">
        <f>B7-C7+MAX(0,D7-E7)-F7-AC6</f>
        <v>0</v>
      </c>
      <c r="N7" s="405"/>
      <c r="O7" s="406">
        <v>0</v>
      </c>
      <c r="P7" s="407">
        <f xml:space="preserve"> M7-B7+C7</f>
        <v>0</v>
      </c>
      <c r="Q7" s="407">
        <f>MAX(0, IF(AND(O5=1,O6=0),P6,P6+P5))</f>
        <v>0</v>
      </c>
      <c r="R7" s="394">
        <f t="shared" si="1"/>
        <v>0</v>
      </c>
      <c r="S7" s="394">
        <f t="shared" ref="S7:S14" si="6">MAX(0, MIN(R6, B7))</f>
        <v>0</v>
      </c>
      <c r="T7" s="394"/>
      <c r="U7" s="394"/>
      <c r="V7" s="394"/>
      <c r="X7" s="408">
        <v>0</v>
      </c>
      <c r="Y7" s="409">
        <f t="shared" si="2"/>
        <v>0</v>
      </c>
      <c r="Z7" s="410">
        <v>0</v>
      </c>
      <c r="AA7" s="410">
        <v>0</v>
      </c>
      <c r="AB7" s="411">
        <v>0</v>
      </c>
      <c r="AC7" s="394">
        <f t="shared" si="3"/>
        <v>0</v>
      </c>
    </row>
    <row r="8" spans="1:31" ht="13.5" thickBot="1">
      <c r="A8" s="391">
        <v>2009</v>
      </c>
      <c r="B8" s="400">
        <f>M7</f>
        <v>0</v>
      </c>
      <c r="C8" s="400">
        <f t="shared" si="0"/>
        <v>0</v>
      </c>
      <c r="D8" s="404">
        <v>0</v>
      </c>
      <c r="E8" s="404">
        <v>0</v>
      </c>
      <c r="F8" s="404">
        <v>0</v>
      </c>
      <c r="G8" s="400">
        <f t="shared" si="4"/>
        <v>0</v>
      </c>
      <c r="H8" s="400">
        <f>G8+K7</f>
        <v>0</v>
      </c>
      <c r="I8" s="404">
        <v>0</v>
      </c>
      <c r="J8" s="404">
        <v>0</v>
      </c>
      <c r="K8" s="400">
        <f t="shared" si="5"/>
        <v>0</v>
      </c>
      <c r="L8" s="400">
        <f t="shared" ref="L8:L14" si="7">K8-K7</f>
        <v>0</v>
      </c>
      <c r="M8" s="400">
        <f>B8-C8+MAX(0,D8-E8)-F8-AC7</f>
        <v>0</v>
      </c>
      <c r="N8" s="405"/>
      <c r="O8" s="406">
        <v>0</v>
      </c>
      <c r="P8" s="407">
        <f xml:space="preserve"> M8-B8+C8</f>
        <v>0</v>
      </c>
      <c r="Q8" s="407">
        <f>MAX(0, IF(AND(O6=1,O7=0),P7,IF(AND(O5=1,O6=0),P7+P6,P7+P6+P5)))</f>
        <v>0</v>
      </c>
      <c r="R8" s="394">
        <f t="shared" si="1"/>
        <v>0</v>
      </c>
      <c r="S8" s="394">
        <f t="shared" si="6"/>
        <v>0</v>
      </c>
      <c r="T8" s="394">
        <f t="shared" ref="T8:T14" si="8">MAX(0, MIN(S7, B8))</f>
        <v>0</v>
      </c>
      <c r="U8" s="394"/>
      <c r="V8" s="394"/>
      <c r="X8" s="408">
        <v>0</v>
      </c>
      <c r="Y8" s="409">
        <f t="shared" si="2"/>
        <v>0</v>
      </c>
      <c r="Z8" s="410">
        <v>0</v>
      </c>
      <c r="AA8" s="410">
        <v>0</v>
      </c>
      <c r="AB8" s="411">
        <v>0</v>
      </c>
      <c r="AC8" s="394">
        <f t="shared" si="3"/>
        <v>0</v>
      </c>
    </row>
    <row r="9" spans="1:31" ht="13.5" thickBot="1">
      <c r="A9" s="391">
        <v>2010</v>
      </c>
      <c r="B9" s="400">
        <f>M8</f>
        <v>0</v>
      </c>
      <c r="C9" s="400">
        <f t="shared" si="0"/>
        <v>0</v>
      </c>
      <c r="D9" s="404">
        <v>0</v>
      </c>
      <c r="E9" s="404">
        <v>0</v>
      </c>
      <c r="F9" s="404">
        <v>0</v>
      </c>
      <c r="G9" s="400">
        <f t="shared" si="4"/>
        <v>0</v>
      </c>
      <c r="H9" s="400">
        <f>G9+K8</f>
        <v>0</v>
      </c>
      <c r="I9" s="404">
        <v>0</v>
      </c>
      <c r="J9" s="404">
        <v>0</v>
      </c>
      <c r="K9" s="400">
        <f t="shared" si="5"/>
        <v>0</v>
      </c>
      <c r="L9" s="400">
        <f t="shared" si="7"/>
        <v>0</v>
      </c>
      <c r="M9" s="400">
        <f>B9-C9+MAX(0,D9-E9)-F9-AC8</f>
        <v>0</v>
      </c>
      <c r="N9" s="405"/>
      <c r="O9" s="406">
        <v>0</v>
      </c>
      <c r="P9" s="407">
        <f xml:space="preserve"> M9-B9+C9</f>
        <v>0</v>
      </c>
      <c r="Q9" s="407">
        <f>MAX(0, IF(AND(O7=1,O8=0),P8,IF(AND(O6=1,O7=0),P8+P7,IF(AND(O5=1,O6=0),P8+P7+P6,P8+P7+P6+P5))))</f>
        <v>0</v>
      </c>
      <c r="R9" s="394">
        <f t="shared" si="1"/>
        <v>0</v>
      </c>
      <c r="S9" s="394">
        <f t="shared" si="6"/>
        <v>0</v>
      </c>
      <c r="T9" s="394">
        <f t="shared" si="8"/>
        <v>0</v>
      </c>
      <c r="U9" s="394">
        <f t="shared" ref="U9:U14" si="9">MAX(0, MIN(T8, B9))</f>
        <v>0</v>
      </c>
      <c r="V9" s="394"/>
      <c r="X9" s="408">
        <v>0</v>
      </c>
      <c r="Y9" s="409">
        <f t="shared" si="2"/>
        <v>0</v>
      </c>
      <c r="Z9" s="410">
        <v>0</v>
      </c>
      <c r="AA9" s="410">
        <v>0</v>
      </c>
      <c r="AB9" s="411">
        <v>0</v>
      </c>
      <c r="AC9" s="394">
        <f t="shared" si="3"/>
        <v>0</v>
      </c>
    </row>
    <row r="10" spans="1:31" ht="13.5" thickBot="1">
      <c r="A10" s="391">
        <v>2011</v>
      </c>
      <c r="B10" s="400">
        <v>0</v>
      </c>
      <c r="C10" s="400">
        <v>0</v>
      </c>
      <c r="D10" s="404">
        <v>0</v>
      </c>
      <c r="E10" s="404">
        <v>0</v>
      </c>
      <c r="F10" s="404">
        <v>0</v>
      </c>
      <c r="G10" s="400">
        <v>0</v>
      </c>
      <c r="H10" s="400">
        <v>0</v>
      </c>
      <c r="I10" s="404">
        <v>0</v>
      </c>
      <c r="J10" s="404">
        <v>0</v>
      </c>
      <c r="K10" s="400">
        <v>0</v>
      </c>
      <c r="L10" s="400">
        <v>0</v>
      </c>
      <c r="M10" s="400">
        <v>0</v>
      </c>
      <c r="N10" s="405"/>
      <c r="O10" s="406">
        <v>0</v>
      </c>
      <c r="P10" s="407">
        <v>0</v>
      </c>
      <c r="Q10" s="407">
        <v>0</v>
      </c>
      <c r="R10" s="394">
        <v>0</v>
      </c>
      <c r="S10" s="394">
        <v>0</v>
      </c>
      <c r="T10" s="394">
        <v>0</v>
      </c>
      <c r="U10" s="394">
        <v>0</v>
      </c>
      <c r="V10" s="394">
        <v>0</v>
      </c>
      <c r="X10" s="408">
        <v>0</v>
      </c>
      <c r="Y10" s="409">
        <v>0</v>
      </c>
      <c r="Z10" s="410">
        <v>0</v>
      </c>
      <c r="AA10" s="410">
        <v>0</v>
      </c>
      <c r="AB10" s="411">
        <v>0</v>
      </c>
      <c r="AC10" s="394">
        <v>0</v>
      </c>
    </row>
    <row r="11" spans="1:31" ht="13.5" thickBot="1">
      <c r="A11" s="391">
        <v>2012</v>
      </c>
      <c r="B11" s="400">
        <f>M10</f>
        <v>0</v>
      </c>
      <c r="C11" s="400">
        <f t="shared" si="0"/>
        <v>0</v>
      </c>
      <c r="D11" s="404">
        <v>0</v>
      </c>
      <c r="E11" s="404">
        <v>0</v>
      </c>
      <c r="F11" s="404">
        <v>0</v>
      </c>
      <c r="G11" s="400">
        <f t="shared" si="4"/>
        <v>0</v>
      </c>
      <c r="H11" s="400">
        <f>G11+K10</f>
        <v>0</v>
      </c>
      <c r="I11" s="404">
        <v>0</v>
      </c>
      <c r="J11" s="404">
        <v>0</v>
      </c>
      <c r="K11" s="400">
        <f t="shared" si="5"/>
        <v>0</v>
      </c>
      <c r="L11" s="400">
        <f t="shared" si="7"/>
        <v>0</v>
      </c>
      <c r="M11" s="400">
        <f>B11-C11+MAX(0,D11-E11)-F11-AC10</f>
        <v>0</v>
      </c>
      <c r="N11" s="405"/>
      <c r="O11" s="406">
        <v>0</v>
      </c>
      <c r="P11" s="407">
        <f xml:space="preserve"> M11-B11+C11</f>
        <v>0</v>
      </c>
      <c r="Q11" s="407">
        <f>MAX(0, IF(AND(O9=1,O10=0),P10,IF(AND(O8=1,O9=0),P10+P9,IF(AND(O7=1,O8=0),P10+P9+P8,IF(AND(O6=1,O7=0),P10+P9+P8+P7,P10+P9+P8+P7+P6)))))</f>
        <v>0</v>
      </c>
      <c r="R11" s="394">
        <f t="shared" si="1"/>
        <v>0</v>
      </c>
      <c r="S11" s="394">
        <f t="shared" si="6"/>
        <v>0</v>
      </c>
      <c r="T11" s="394">
        <f t="shared" si="8"/>
        <v>0</v>
      </c>
      <c r="U11" s="394">
        <f t="shared" si="9"/>
        <v>0</v>
      </c>
      <c r="V11" s="394">
        <f>MAX(0, MIN(U10, B11))</f>
        <v>0</v>
      </c>
      <c r="X11" s="408">
        <v>0</v>
      </c>
      <c r="Y11" s="409">
        <f t="shared" si="2"/>
        <v>0</v>
      </c>
      <c r="Z11" s="410">
        <v>0</v>
      </c>
      <c r="AA11" s="410">
        <v>0</v>
      </c>
      <c r="AB11" s="411">
        <v>0</v>
      </c>
      <c r="AC11" s="394">
        <f t="shared" si="3"/>
        <v>0</v>
      </c>
    </row>
    <row r="12" spans="1:31" ht="13.5" thickBot="1">
      <c r="A12" s="391">
        <v>2013</v>
      </c>
      <c r="B12" s="400">
        <f>M11</f>
        <v>0</v>
      </c>
      <c r="C12" s="400">
        <f t="shared" si="0"/>
        <v>0</v>
      </c>
      <c r="D12" s="404">
        <v>0</v>
      </c>
      <c r="E12" s="404">
        <v>0</v>
      </c>
      <c r="F12" s="404">
        <v>0</v>
      </c>
      <c r="G12" s="400">
        <f t="shared" si="4"/>
        <v>0</v>
      </c>
      <c r="H12" s="400">
        <f>G12+K11</f>
        <v>0</v>
      </c>
      <c r="I12" s="404">
        <v>0</v>
      </c>
      <c r="J12" s="404">
        <v>0</v>
      </c>
      <c r="K12" s="400">
        <f t="shared" si="5"/>
        <v>0</v>
      </c>
      <c r="L12" s="400">
        <f t="shared" si="7"/>
        <v>0</v>
      </c>
      <c r="M12" s="400">
        <f>B12-C12+MAX(0,D12-E12)-F12-AC11</f>
        <v>0</v>
      </c>
      <c r="N12" s="405"/>
      <c r="O12" s="406">
        <v>1</v>
      </c>
      <c r="P12" s="407">
        <f xml:space="preserve"> M12-B12+C12</f>
        <v>0</v>
      </c>
      <c r="Q12" s="407">
        <f>MAX(0, IF(AND(O10=1,O11=0),P11,IF(AND(O9=1,O10=0),P11+P10,IF(AND(O8=1,O9=0),P11+P10+P9,IF(AND(O7=1,O8=0),P11+P10+P9+P8,P11+P10+P9+P8+P7)))))</f>
        <v>0</v>
      </c>
      <c r="R12" s="394">
        <f t="shared" si="1"/>
        <v>0</v>
      </c>
      <c r="S12" s="394">
        <f t="shared" si="6"/>
        <v>0</v>
      </c>
      <c r="T12" s="394">
        <f t="shared" si="8"/>
        <v>0</v>
      </c>
      <c r="U12" s="394">
        <f t="shared" si="9"/>
        <v>0</v>
      </c>
      <c r="V12" s="394">
        <f>MAX(0, MIN(U11, B12))</f>
        <v>0</v>
      </c>
      <c r="X12" s="408">
        <v>0</v>
      </c>
      <c r="Y12" s="409">
        <f t="shared" si="2"/>
        <v>0</v>
      </c>
      <c r="Z12" s="410">
        <v>15766</v>
      </c>
      <c r="AA12" s="410">
        <v>0</v>
      </c>
      <c r="AB12" s="411">
        <f>SUM(Z12:AA12)</f>
        <v>15766</v>
      </c>
      <c r="AC12" s="394">
        <f t="shared" si="3"/>
        <v>0</v>
      </c>
    </row>
    <row r="13" spans="1:31" ht="13.5" thickBot="1">
      <c r="A13" s="391">
        <v>2014</v>
      </c>
      <c r="B13" s="400">
        <v>0</v>
      </c>
      <c r="C13" s="400">
        <v>0</v>
      </c>
      <c r="D13" s="404">
        <v>0</v>
      </c>
      <c r="E13" s="404">
        <v>0</v>
      </c>
      <c r="F13" s="404">
        <v>0</v>
      </c>
      <c r="G13" s="400">
        <v>0</v>
      </c>
      <c r="H13" s="400">
        <v>0</v>
      </c>
      <c r="I13" s="404">
        <v>0</v>
      </c>
      <c r="J13" s="404">
        <v>0</v>
      </c>
      <c r="K13" s="400">
        <v>0</v>
      </c>
      <c r="L13" s="400">
        <v>0</v>
      </c>
      <c r="M13" s="400">
        <v>0</v>
      </c>
      <c r="N13" s="405"/>
      <c r="O13" s="406">
        <v>1</v>
      </c>
      <c r="P13" s="407">
        <v>0</v>
      </c>
      <c r="Q13" s="407">
        <v>0</v>
      </c>
      <c r="R13" s="394">
        <v>0</v>
      </c>
      <c r="S13" s="394">
        <v>0</v>
      </c>
      <c r="T13" s="394">
        <v>0</v>
      </c>
      <c r="U13" s="394">
        <v>0</v>
      </c>
      <c r="V13" s="394">
        <v>0</v>
      </c>
      <c r="X13" s="410">
        <v>7448</v>
      </c>
      <c r="Y13" s="409">
        <f t="shared" ref="Y13:Y19" si="10">X13</f>
        <v>7448</v>
      </c>
      <c r="Z13" s="410">
        <v>19397</v>
      </c>
      <c r="AA13" s="410">
        <v>42758</v>
      </c>
      <c r="AB13" s="411">
        <f>SUM(Z13:AA13)</f>
        <v>62155</v>
      </c>
      <c r="AC13" s="394">
        <f>-MIN(0, B13-C13+D13-E13-AC12)</f>
        <v>0</v>
      </c>
    </row>
    <row r="14" spans="1:31" ht="13.5" thickBot="1">
      <c r="A14" s="391">
        <v>2015</v>
      </c>
      <c r="B14" s="400">
        <f t="shared" ref="B14:B19" si="11">M13</f>
        <v>0</v>
      </c>
      <c r="C14" s="400">
        <f t="shared" si="0"/>
        <v>0</v>
      </c>
      <c r="D14" s="404">
        <v>0</v>
      </c>
      <c r="E14" s="404">
        <v>8332</v>
      </c>
      <c r="F14" s="404">
        <v>0</v>
      </c>
      <c r="G14" s="400">
        <f t="shared" si="4"/>
        <v>8332</v>
      </c>
      <c r="H14" s="400">
        <f t="shared" ref="H14:H19" si="12">G14+K13</f>
        <v>8332</v>
      </c>
      <c r="I14" s="404">
        <v>0</v>
      </c>
      <c r="J14" s="404">
        <v>0</v>
      </c>
      <c r="K14" s="400">
        <f t="shared" si="5"/>
        <v>8332</v>
      </c>
      <c r="L14" s="400">
        <f t="shared" si="7"/>
        <v>8332</v>
      </c>
      <c r="M14" s="400">
        <f>B14-C14+MAX(0,D14-E14)-F14</f>
        <v>0</v>
      </c>
      <c r="N14" s="405"/>
      <c r="O14" s="406">
        <v>1</v>
      </c>
      <c r="P14" s="407">
        <f t="shared" ref="P14:P19" si="13" xml:space="preserve"> M14-B14+C14</f>
        <v>0</v>
      </c>
      <c r="Q14" s="407">
        <f t="shared" ref="Q14:Q18" si="14">MAX(0, IF(AND(O12=1,O13=0),P13,IF(AND(O11=1,O12=0),P13+P12,IF(AND(O10=1,O11=0),P13+P12+P11,IF(AND(O9=1,O10=0),P13+P12+P11+P10,P13+P12+P11+P10+P9)))))</f>
        <v>0</v>
      </c>
      <c r="R14" s="394">
        <f t="shared" ref="R14:R19" si="15">IF(AND(O14=0, O13=1), Q14/5, 0)</f>
        <v>0</v>
      </c>
      <c r="S14" s="394">
        <f t="shared" si="6"/>
        <v>0</v>
      </c>
      <c r="T14" s="394">
        <f t="shared" si="8"/>
        <v>0</v>
      </c>
      <c r="U14" s="394">
        <f t="shared" si="9"/>
        <v>0</v>
      </c>
      <c r="V14" s="394">
        <f t="shared" ref="V14:V19" si="16">MAX(0, MIN(U13, B14))</f>
        <v>0</v>
      </c>
      <c r="X14" s="410">
        <v>10760</v>
      </c>
      <c r="Y14" s="409">
        <f t="shared" si="10"/>
        <v>10760</v>
      </c>
      <c r="Z14" s="410">
        <v>1098</v>
      </c>
      <c r="AA14" s="410">
        <v>25932</v>
      </c>
      <c r="AB14" s="411">
        <f>SUM(Z14:AA14)-AC14</f>
        <v>18698</v>
      </c>
      <c r="AC14" s="394">
        <v>8332</v>
      </c>
    </row>
    <row r="15" spans="1:31" ht="13.5" thickBot="1">
      <c r="A15" s="391">
        <v>2016</v>
      </c>
      <c r="B15" s="400">
        <f t="shared" si="11"/>
        <v>0</v>
      </c>
      <c r="C15" s="400">
        <f t="shared" si="0"/>
        <v>0</v>
      </c>
      <c r="D15" s="412">
        <v>41935</v>
      </c>
      <c r="E15" s="404">
        <v>24752</v>
      </c>
      <c r="F15" s="404">
        <v>0</v>
      </c>
      <c r="G15" s="400">
        <f t="shared" si="4"/>
        <v>24752</v>
      </c>
      <c r="H15" s="400">
        <f t="shared" si="12"/>
        <v>33084</v>
      </c>
      <c r="I15" s="404">
        <v>5084</v>
      </c>
      <c r="J15" s="404">
        <v>4321</v>
      </c>
      <c r="K15" s="400">
        <f t="shared" ref="K15:K19" si="17">H15-(I15+J15)</f>
        <v>23679</v>
      </c>
      <c r="L15" s="400">
        <f t="shared" ref="L15:L18" si="18">K15-K14</f>
        <v>15347</v>
      </c>
      <c r="M15" s="413">
        <f>B15-C15+MAX(0,D15-E15)-F15-AC14+AC15</f>
        <v>9300</v>
      </c>
      <c r="N15" s="405"/>
      <c r="O15" s="406">
        <v>1</v>
      </c>
      <c r="P15" s="407">
        <f t="shared" si="13"/>
        <v>9300</v>
      </c>
      <c r="Q15" s="407">
        <f t="shared" si="14"/>
        <v>0</v>
      </c>
      <c r="R15" s="394">
        <f t="shared" si="15"/>
        <v>0</v>
      </c>
      <c r="S15" s="394">
        <f t="shared" ref="S15:S20" si="19">MAX(0, MIN(R14, B15))</f>
        <v>0</v>
      </c>
      <c r="T15" s="394">
        <f t="shared" ref="T15:T20" si="20">MAX(0, MIN(S14, B15))</f>
        <v>0</v>
      </c>
      <c r="U15" s="394">
        <f t="shared" ref="U15:U20" si="21">MAX(0, MIN(T14, B15))</f>
        <v>0</v>
      </c>
      <c r="V15" s="394">
        <f t="shared" si="16"/>
        <v>0</v>
      </c>
      <c r="X15" s="408">
        <v>10130</v>
      </c>
      <c r="Y15" s="411">
        <f t="shared" si="10"/>
        <v>10130</v>
      </c>
      <c r="Z15" s="410">
        <v>499</v>
      </c>
      <c r="AA15" s="410">
        <v>22803</v>
      </c>
      <c r="AB15" s="411">
        <f>E15-AC15+AC14+9300</f>
        <v>41935</v>
      </c>
      <c r="AC15" s="414">
        <v>449</v>
      </c>
      <c r="AE15" s="317"/>
    </row>
    <row r="16" spans="1:31" s="319" customFormat="1" ht="13.5" thickBot="1">
      <c r="A16" s="437">
        <v>2017</v>
      </c>
      <c r="B16" s="407">
        <f t="shared" si="11"/>
        <v>9300</v>
      </c>
      <c r="C16" s="407">
        <f>SUM(R16:V16)</f>
        <v>0</v>
      </c>
      <c r="D16" s="415">
        <v>20000</v>
      </c>
      <c r="E16" s="415">
        <v>20000</v>
      </c>
      <c r="F16" s="406">
        <v>0</v>
      </c>
      <c r="G16" s="407">
        <f t="shared" si="4"/>
        <v>20000</v>
      </c>
      <c r="H16" s="407">
        <f t="shared" si="12"/>
        <v>43679</v>
      </c>
      <c r="I16" s="406">
        <v>20000</v>
      </c>
      <c r="J16" s="406">
        <v>2241</v>
      </c>
      <c r="K16" s="407">
        <f t="shared" si="17"/>
        <v>21438</v>
      </c>
      <c r="L16" s="407">
        <f t="shared" si="18"/>
        <v>-2241</v>
      </c>
      <c r="M16" s="416">
        <f>B16-C16+MAX(0,D16-E16)-F16</f>
        <v>9300</v>
      </c>
      <c r="N16" s="417"/>
      <c r="O16" s="406">
        <v>1</v>
      </c>
      <c r="P16" s="416">
        <f t="shared" si="13"/>
        <v>0</v>
      </c>
      <c r="Q16" s="407">
        <f t="shared" si="14"/>
        <v>9300</v>
      </c>
      <c r="R16" s="418">
        <f t="shared" si="15"/>
        <v>0</v>
      </c>
      <c r="S16" s="418">
        <f t="shared" si="19"/>
        <v>0</v>
      </c>
      <c r="T16" s="418">
        <f t="shared" si="20"/>
        <v>0</v>
      </c>
      <c r="U16" s="418">
        <f t="shared" si="21"/>
        <v>0</v>
      </c>
      <c r="V16" s="418">
        <f t="shared" si="16"/>
        <v>0</v>
      </c>
      <c r="X16" s="410">
        <v>11330</v>
      </c>
      <c r="Y16" s="419">
        <f t="shared" si="10"/>
        <v>11330</v>
      </c>
      <c r="Z16" s="410">
        <v>4563</v>
      </c>
      <c r="AA16" s="410">
        <f>8438+2668</f>
        <v>11106</v>
      </c>
      <c r="AB16" s="419">
        <v>20000</v>
      </c>
      <c r="AC16" s="438">
        <v>0</v>
      </c>
    </row>
    <row r="17" spans="1:29" s="319" customFormat="1" ht="13.5" thickBot="1">
      <c r="A17" s="437">
        <v>2018</v>
      </c>
      <c r="B17" s="407">
        <f t="shared" si="11"/>
        <v>9300</v>
      </c>
      <c r="C17" s="407">
        <f>SUM(R17:V17)</f>
        <v>0</v>
      </c>
      <c r="D17" s="415">
        <v>0</v>
      </c>
      <c r="E17" s="406">
        <v>0</v>
      </c>
      <c r="F17" s="406">
        <v>0</v>
      </c>
      <c r="G17" s="407">
        <f>E17+F17</f>
        <v>0</v>
      </c>
      <c r="H17" s="407">
        <f t="shared" si="12"/>
        <v>21438</v>
      </c>
      <c r="I17" s="406">
        <v>0</v>
      </c>
      <c r="J17" s="406">
        <v>1339</v>
      </c>
      <c r="K17" s="407">
        <f t="shared" si="17"/>
        <v>20099</v>
      </c>
      <c r="L17" s="407">
        <f t="shared" si="18"/>
        <v>-1339</v>
      </c>
      <c r="M17" s="416">
        <f>B17-C17+MAX(0,D17-E17)-F17-AC16+AC17</f>
        <v>9300</v>
      </c>
      <c r="N17" s="417"/>
      <c r="O17" s="406">
        <v>1</v>
      </c>
      <c r="P17" s="407">
        <f t="shared" si="13"/>
        <v>0</v>
      </c>
      <c r="Q17" s="407">
        <f t="shared" si="14"/>
        <v>9300</v>
      </c>
      <c r="R17" s="418">
        <f t="shared" si="15"/>
        <v>0</v>
      </c>
      <c r="S17" s="418">
        <f t="shared" si="19"/>
        <v>0</v>
      </c>
      <c r="T17" s="418">
        <f t="shared" si="20"/>
        <v>0</v>
      </c>
      <c r="U17" s="418">
        <f t="shared" si="21"/>
        <v>0</v>
      </c>
      <c r="V17" s="418">
        <f t="shared" si="16"/>
        <v>0</v>
      </c>
      <c r="X17" s="410">
        <v>13578</v>
      </c>
      <c r="Y17" s="419">
        <f t="shared" si="10"/>
        <v>13578</v>
      </c>
      <c r="Z17" s="410">
        <v>0</v>
      </c>
      <c r="AA17" s="410">
        <v>0</v>
      </c>
      <c r="AB17" s="419">
        <f>E17-AC17+AC16</f>
        <v>0</v>
      </c>
      <c r="AC17" s="438">
        <v>0</v>
      </c>
    </row>
    <row r="18" spans="1:29" ht="13.5" thickBot="1">
      <c r="A18" s="437">
        <v>2019</v>
      </c>
      <c r="B18" s="407">
        <f t="shared" si="11"/>
        <v>9300</v>
      </c>
      <c r="C18" s="407">
        <f>SUM(R18:V18)</f>
        <v>0</v>
      </c>
      <c r="D18" s="415">
        <v>0</v>
      </c>
      <c r="E18" s="406">
        <v>0</v>
      </c>
      <c r="F18" s="406">
        <v>0</v>
      </c>
      <c r="G18" s="407">
        <f>E18+F18</f>
        <v>0</v>
      </c>
      <c r="H18" s="407">
        <f t="shared" si="12"/>
        <v>20099</v>
      </c>
      <c r="I18" s="406">
        <v>0</v>
      </c>
      <c r="J18" s="406">
        <v>2340</v>
      </c>
      <c r="K18" s="407">
        <f t="shared" si="17"/>
        <v>17759</v>
      </c>
      <c r="L18" s="407">
        <f t="shared" si="18"/>
        <v>-2340</v>
      </c>
      <c r="M18" s="416">
        <f>B18-C18+MAX(0,D18-E18)-F18-AC17+AC18</f>
        <v>9300</v>
      </c>
      <c r="N18" s="417"/>
      <c r="O18" s="406">
        <v>1</v>
      </c>
      <c r="P18" s="407">
        <f t="shared" si="13"/>
        <v>0</v>
      </c>
      <c r="Q18" s="407">
        <f t="shared" si="14"/>
        <v>9300</v>
      </c>
      <c r="R18" s="418">
        <f t="shared" si="15"/>
        <v>0</v>
      </c>
      <c r="S18" s="418">
        <f t="shared" si="19"/>
        <v>0</v>
      </c>
      <c r="T18" s="418">
        <f t="shared" si="20"/>
        <v>0</v>
      </c>
      <c r="U18" s="418">
        <f t="shared" si="21"/>
        <v>0</v>
      </c>
      <c r="V18" s="418">
        <f t="shared" si="16"/>
        <v>0</v>
      </c>
      <c r="W18" s="319"/>
      <c r="X18" s="410">
        <v>8905</v>
      </c>
      <c r="Y18" s="419">
        <f t="shared" si="10"/>
        <v>8905</v>
      </c>
      <c r="Z18" s="410">
        <v>0</v>
      </c>
      <c r="AA18" s="410">
        <v>0</v>
      </c>
      <c r="AB18" s="419">
        <f>E18-AC18+AC17</f>
        <v>0</v>
      </c>
      <c r="AC18" s="438">
        <v>0</v>
      </c>
    </row>
    <row r="19" spans="1:29" ht="13.5" thickBot="1">
      <c r="A19" s="437">
        <v>2020</v>
      </c>
      <c r="B19" s="407">
        <f t="shared" si="11"/>
        <v>9300</v>
      </c>
      <c r="C19" s="407">
        <f>SUM(R19:V19)</f>
        <v>1860</v>
      </c>
      <c r="D19" s="415">
        <v>0</v>
      </c>
      <c r="E19" s="406">
        <v>0</v>
      </c>
      <c r="F19" s="406">
        <v>0</v>
      </c>
      <c r="G19" s="407">
        <f>E19+F19</f>
        <v>0</v>
      </c>
      <c r="H19" s="407">
        <f t="shared" si="12"/>
        <v>17759</v>
      </c>
      <c r="I19" s="404">
        <v>0</v>
      </c>
      <c r="J19" s="404">
        <v>3889</v>
      </c>
      <c r="K19" s="407">
        <f t="shared" si="17"/>
        <v>13870</v>
      </c>
      <c r="L19" s="407">
        <f>K19-K18</f>
        <v>-3889</v>
      </c>
      <c r="M19" s="416">
        <f>B19-C19+MAX(0,D19-E19)-F19-AC18+AC19</f>
        <v>7440</v>
      </c>
      <c r="N19" s="417"/>
      <c r="O19" s="406">
        <v>0</v>
      </c>
      <c r="P19" s="407">
        <f t="shared" si="13"/>
        <v>0</v>
      </c>
      <c r="Q19" s="407">
        <f>MAX(0, IF(AND(O17=1,O18=0),P18,IF(AND(O16=1,O17=0),P18+P17,IF(AND(O15=1,O16=0),P18+P17+P16,IF(AND(O14=1,O15=0),P18+P17+P16+P15,P18+P17+P16+P15+P14)))))</f>
        <v>9300</v>
      </c>
      <c r="R19" s="418">
        <f t="shared" si="15"/>
        <v>1860</v>
      </c>
      <c r="S19" s="418">
        <f t="shared" si="19"/>
        <v>0</v>
      </c>
      <c r="T19" s="418">
        <f t="shared" si="20"/>
        <v>0</v>
      </c>
      <c r="U19" s="418">
        <f t="shared" si="21"/>
        <v>0</v>
      </c>
      <c r="V19" s="418">
        <f t="shared" si="16"/>
        <v>0</v>
      </c>
      <c r="W19" s="319"/>
      <c r="X19" s="408">
        <v>6218</v>
      </c>
      <c r="Y19" s="419">
        <f t="shared" si="10"/>
        <v>6218</v>
      </c>
      <c r="Z19" s="408">
        <v>0</v>
      </c>
      <c r="AA19" s="408">
        <v>0</v>
      </c>
      <c r="AB19" s="419">
        <f>E19-AC19+AC18</f>
        <v>0</v>
      </c>
      <c r="AC19" s="438">
        <v>0</v>
      </c>
    </row>
    <row r="20" spans="1:29" ht="13.5" thickBot="1">
      <c r="A20" s="437">
        <v>2021</v>
      </c>
      <c r="B20" s="416">
        <f>M19</f>
        <v>7440</v>
      </c>
      <c r="C20" s="407">
        <f>SUM(R20:V20)</f>
        <v>1860</v>
      </c>
      <c r="D20" s="415">
        <v>0</v>
      </c>
      <c r="E20" s="406">
        <v>0</v>
      </c>
      <c r="F20" s="406">
        <v>0</v>
      </c>
      <c r="G20" s="407">
        <f>E20+F20</f>
        <v>0</v>
      </c>
      <c r="H20" s="407">
        <f t="shared" ref="H20" si="22">G20+K19</f>
        <v>13870</v>
      </c>
      <c r="I20" s="404">
        <v>0</v>
      </c>
      <c r="J20" s="404">
        <v>1550</v>
      </c>
      <c r="K20" s="407">
        <f>H20-(I20+J20)</f>
        <v>12320</v>
      </c>
      <c r="L20" s="407">
        <f>K20-K19</f>
        <v>-1550</v>
      </c>
      <c r="M20" s="416">
        <f>B20-C20+MAX(0,D20-E20)-F20-AC19+AC20</f>
        <v>5580</v>
      </c>
      <c r="N20" s="417"/>
      <c r="O20" s="406">
        <v>0</v>
      </c>
      <c r="P20" s="407">
        <f t="shared" ref="P20" si="23" xml:space="preserve"> M20-B20+C20</f>
        <v>0</v>
      </c>
      <c r="Q20" s="407">
        <f>MAX(0, IF(AND(O18=1,O19=0),P19,IF(AND(O17=1,O18=0),P19+P18,IF(AND(O16=1,O17=0),P19+P18+P17,IF(AND(O15=1,O16=0),P19+P18+P17+P16,P19+P18+P17+P16+P15)))))</f>
        <v>0</v>
      </c>
      <c r="R20" s="418">
        <f t="shared" ref="R20" si="24">IF(AND(O20=0, O19=1), Q20/5, 0)</f>
        <v>0</v>
      </c>
      <c r="S20" s="418">
        <f t="shared" si="19"/>
        <v>1860</v>
      </c>
      <c r="T20" s="418">
        <f t="shared" si="20"/>
        <v>0</v>
      </c>
      <c r="U20" s="418">
        <f t="shared" si="21"/>
        <v>0</v>
      </c>
      <c r="V20" s="418">
        <f t="shared" ref="V20" si="25">MAX(0, MIN(U19, B20))</f>
        <v>0</v>
      </c>
      <c r="W20" s="319"/>
      <c r="X20" s="408">
        <v>9390</v>
      </c>
      <c r="Y20" s="419">
        <f t="shared" ref="Y20" si="26">X20</f>
        <v>9390</v>
      </c>
      <c r="Z20" s="408">
        <v>0</v>
      </c>
      <c r="AA20" s="408">
        <v>0</v>
      </c>
      <c r="AB20" s="419">
        <f>E20-AC20+AC19</f>
        <v>0</v>
      </c>
      <c r="AC20" s="438">
        <v>0</v>
      </c>
    </row>
    <row r="21" spans="1:29">
      <c r="C21" s="312"/>
      <c r="D21" s="312"/>
      <c r="E21" s="312"/>
      <c r="F21" s="312"/>
      <c r="AA21" s="420"/>
    </row>
    <row r="22" spans="1:29">
      <c r="A22" s="421"/>
      <c r="B22" s="99" t="s">
        <v>675</v>
      </c>
      <c r="C22" s="312"/>
      <c r="D22" s="312"/>
      <c r="E22" s="312"/>
      <c r="F22" s="312"/>
    </row>
    <row r="23" spans="1:29" ht="39" customHeight="1">
      <c r="B23" s="534" t="s">
        <v>676</v>
      </c>
      <c r="C23" s="534"/>
      <c r="D23" s="534"/>
      <c r="E23" s="534"/>
      <c r="F23" s="534"/>
      <c r="G23" s="534"/>
      <c r="H23" s="534"/>
      <c r="I23" s="534"/>
      <c r="J23" s="534"/>
      <c r="K23" s="534"/>
      <c r="L23" s="534"/>
      <c r="M23" s="534"/>
      <c r="N23" s="534"/>
      <c r="O23" s="534"/>
      <c r="P23" s="534"/>
      <c r="Q23" s="534"/>
      <c r="R23" s="534"/>
      <c r="AA23" s="317"/>
    </row>
    <row r="24" spans="1:29" ht="26.25" customHeight="1">
      <c r="B24" s="529" t="s">
        <v>677</v>
      </c>
      <c r="C24" s="529"/>
      <c r="D24" s="529"/>
      <c r="E24" s="529"/>
      <c r="F24" s="529"/>
      <c r="G24" s="529"/>
      <c r="H24" s="529"/>
      <c r="I24" s="529"/>
      <c r="J24" s="529"/>
      <c r="K24" s="529"/>
      <c r="L24" s="529"/>
      <c r="M24" s="529"/>
      <c r="N24" s="529"/>
      <c r="O24" s="529"/>
      <c r="P24" s="529"/>
      <c r="Q24" s="529"/>
      <c r="R24" s="529"/>
      <c r="AA24" s="317"/>
      <c r="AB24" s="317"/>
    </row>
    <row r="25" spans="1:29">
      <c r="B25" s="99" t="s">
        <v>678</v>
      </c>
      <c r="AB25" s="102"/>
    </row>
    <row r="26" spans="1:29">
      <c r="B26" s="99"/>
    </row>
    <row r="27" spans="1:29">
      <c r="AA27" s="317"/>
    </row>
    <row r="28" spans="1:29">
      <c r="J28" s="102"/>
      <c r="T28" s="102"/>
      <c r="AB28" s="317"/>
    </row>
    <row r="29" spans="1:29">
      <c r="D29" s="422"/>
    </row>
    <row r="30" spans="1:29">
      <c r="AA30" s="317"/>
    </row>
    <row r="31" spans="1:29">
      <c r="AA31" s="317"/>
    </row>
    <row r="33" spans="2:25">
      <c r="B33" s="422"/>
      <c r="E33" s="422"/>
      <c r="Y33" s="317"/>
    </row>
    <row r="35" spans="2:25">
      <c r="B35" s="422"/>
    </row>
    <row r="36" spans="2:25">
      <c r="E36" s="422"/>
    </row>
  </sheetData>
  <mergeCells count="7">
    <mergeCell ref="B24:R24"/>
    <mergeCell ref="A2:M2"/>
    <mergeCell ref="O2:V2"/>
    <mergeCell ref="X2:AB2"/>
    <mergeCell ref="X3:Y3"/>
    <mergeCell ref="Z3:AC3"/>
    <mergeCell ref="B23:R2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A6414"/>
  <sheetViews>
    <sheetView tabSelected="1" zoomScale="98" zoomScaleNormal="98" zoomScaleSheetLayoutView="80" workbookViewId="0">
      <pane xSplit="1" ySplit="1" topLeftCell="B206" activePane="bottomRight" state="frozen"/>
      <selection activeCell="F50" sqref="F50"/>
      <selection pane="topRight" activeCell="F50" sqref="F50"/>
      <selection pane="bottomLeft" activeCell="F50" sqref="F50"/>
      <selection pane="bottomRight" activeCell="G230" sqref="G230"/>
    </sheetView>
  </sheetViews>
  <sheetFormatPr defaultRowHeight="12.75"/>
  <cols>
    <col min="1" max="1" width="28.5703125" customWidth="1"/>
    <col min="2" max="2" width="88.42578125" style="99" customWidth="1"/>
    <col min="3" max="5" width="8.28515625" style="14" bestFit="1" customWidth="1"/>
    <col min="6" max="6" width="8.85546875" style="319" customWidth="1"/>
    <col min="7" max="7" width="11" style="319" customWidth="1"/>
    <col min="8" max="8" width="9.140625" style="120"/>
    <col min="9" max="9" width="13.85546875" style="120" customWidth="1"/>
    <col min="10" max="12" width="9.140625" style="120"/>
    <col min="13" max="13" width="14.140625" bestFit="1" customWidth="1"/>
    <col min="15" max="17" width="9.140625" style="312"/>
  </cols>
  <sheetData>
    <row r="1" spans="1:12">
      <c r="A1" s="4" t="s">
        <v>78</v>
      </c>
      <c r="B1" s="4"/>
      <c r="C1" s="100">
        <f>D1-1</f>
        <v>2017</v>
      </c>
      <c r="D1" s="100">
        <f>E1-1</f>
        <v>2018</v>
      </c>
      <c r="E1" s="100">
        <f>F1-1</f>
        <v>2019</v>
      </c>
      <c r="F1" s="100">
        <f>G1-1</f>
        <v>2020</v>
      </c>
      <c r="G1" s="519">
        <f>A2</f>
        <v>2021</v>
      </c>
    </row>
    <row r="2" spans="1:12" s="312" customFormat="1">
      <c r="A2" s="423">
        <v>2021</v>
      </c>
      <c r="B2" s="12"/>
      <c r="C2" s="256"/>
      <c r="D2" s="256"/>
      <c r="E2" s="256"/>
      <c r="F2" s="319"/>
      <c r="G2" s="319"/>
      <c r="H2" s="120"/>
      <c r="I2" s="120"/>
      <c r="J2" s="120"/>
      <c r="K2" s="120"/>
      <c r="L2" s="120"/>
    </row>
    <row r="3" spans="1:12">
      <c r="A3" s="4" t="s">
        <v>79</v>
      </c>
      <c r="B3" s="12"/>
    </row>
    <row r="4" spans="1:12">
      <c r="A4" s="32" t="s">
        <v>65</v>
      </c>
      <c r="B4" s="47" t="s">
        <v>193</v>
      </c>
      <c r="C4" s="150">
        <f>GM_output!B9</f>
        <v>16906</v>
      </c>
      <c r="D4" s="150">
        <f>GM_output!H9</f>
        <v>17365</v>
      </c>
      <c r="E4" s="150">
        <f>GM_output!N9</f>
        <v>17492</v>
      </c>
      <c r="F4" s="150">
        <f>GM_output!T9</f>
        <v>17390</v>
      </c>
      <c r="G4" s="150">
        <f>GM_output!Z9</f>
        <v>17951</v>
      </c>
      <c r="I4" s="520"/>
    </row>
    <row r="5" spans="1:12">
      <c r="A5" s="32" t="s">
        <v>66</v>
      </c>
      <c r="B5" s="47" t="s">
        <v>194</v>
      </c>
      <c r="C5" s="150">
        <f>GM_output!C9</f>
        <v>0</v>
      </c>
      <c r="D5" s="150">
        <f>GM_output!I9</f>
        <v>0</v>
      </c>
      <c r="E5" s="150">
        <f>GM_output!O9</f>
        <v>0</v>
      </c>
      <c r="F5" s="150">
        <f>GM_output!U9</f>
        <v>0</v>
      </c>
      <c r="G5" s="150">
        <f>GM_output!AA9</f>
        <v>0</v>
      </c>
    </row>
    <row r="6" spans="1:12">
      <c r="A6" s="32"/>
      <c r="B6" s="47" t="s">
        <v>197</v>
      </c>
      <c r="C6" s="150">
        <f>GM_output!D9</f>
        <v>1174</v>
      </c>
      <c r="D6" s="150">
        <f>GM_output!J9</f>
        <v>1205</v>
      </c>
      <c r="E6" s="150">
        <f>GM_output!P9</f>
        <v>1229</v>
      </c>
      <c r="F6" s="150">
        <f>GM_output!V9</f>
        <v>1246</v>
      </c>
      <c r="G6" s="150">
        <f>GM_output!AB9</f>
        <v>1272</v>
      </c>
    </row>
    <row r="7" spans="1:12">
      <c r="A7" t="s">
        <v>67</v>
      </c>
      <c r="B7" s="46" t="s">
        <v>193</v>
      </c>
      <c r="C7" s="150">
        <f>GM_output!B4</f>
        <v>2102</v>
      </c>
      <c r="D7" s="150">
        <f>GM_output!H4</f>
        <v>2639</v>
      </c>
      <c r="E7" s="150">
        <f>GM_output!N4</f>
        <v>2084</v>
      </c>
      <c r="F7" s="150">
        <f>GM_output!T4</f>
        <v>1646</v>
      </c>
      <c r="G7" s="150">
        <f>GM_output!Z4</f>
        <v>1443</v>
      </c>
    </row>
    <row r="8" spans="1:12">
      <c r="A8" t="s">
        <v>66</v>
      </c>
      <c r="B8" s="46" t="s">
        <v>194</v>
      </c>
      <c r="C8" s="150">
        <f>GM_output!C4</f>
        <v>157</v>
      </c>
      <c r="D8" s="150">
        <f>GM_output!I4</f>
        <v>178</v>
      </c>
      <c r="E8" s="150">
        <f>GM_output!O4</f>
        <v>111</v>
      </c>
      <c r="F8" s="150">
        <f>GM_output!U4</f>
        <v>81</v>
      </c>
      <c r="G8" s="150">
        <f>GM_output!AA4</f>
        <v>115</v>
      </c>
    </row>
    <row r="9" spans="1:12">
      <c r="B9" s="46" t="s">
        <v>197</v>
      </c>
      <c r="C9" s="150">
        <f>GM_output!D4</f>
        <v>77</v>
      </c>
      <c r="D9" s="150">
        <f>GM_output!J4</f>
        <v>112</v>
      </c>
      <c r="E9" s="150">
        <f>GM_output!P4</f>
        <v>76</v>
      </c>
      <c r="F9" s="150">
        <f>GM_output!V4</f>
        <v>73</v>
      </c>
      <c r="G9" s="150">
        <f>GM_output!AB4</f>
        <v>110</v>
      </c>
    </row>
    <row r="10" spans="1:12">
      <c r="A10" s="32" t="s">
        <v>68</v>
      </c>
      <c r="B10" s="47" t="s">
        <v>193</v>
      </c>
      <c r="C10" s="150">
        <f>GM_output!B6</f>
        <v>502</v>
      </c>
      <c r="D10" s="150">
        <f>GM_output!H6</f>
        <v>521</v>
      </c>
      <c r="E10" s="150">
        <f>GM_output!N6</f>
        <v>537</v>
      </c>
      <c r="F10" s="150">
        <f>GM_output!T6</f>
        <v>482</v>
      </c>
      <c r="G10" s="150">
        <f>GM_output!Z6</f>
        <v>437</v>
      </c>
    </row>
    <row r="11" spans="1:12">
      <c r="A11" s="32" t="s">
        <v>66</v>
      </c>
      <c r="B11" s="47" t="s">
        <v>194</v>
      </c>
      <c r="C11" s="150">
        <f>GM_output!C6</f>
        <v>0</v>
      </c>
      <c r="D11" s="150">
        <f>GM_output!I6</f>
        <v>0</v>
      </c>
      <c r="E11" s="150">
        <f>GM_output!O6</f>
        <v>0</v>
      </c>
      <c r="F11" s="150">
        <f>GM_output!U6</f>
        <v>0</v>
      </c>
      <c r="G11" s="150">
        <f>GM_output!AA6</f>
        <v>0</v>
      </c>
    </row>
    <row r="12" spans="1:12">
      <c r="A12" s="32"/>
      <c r="B12" s="47" t="s">
        <v>197</v>
      </c>
      <c r="C12" s="150">
        <f>GM_output!D6</f>
        <v>3544</v>
      </c>
      <c r="D12" s="150">
        <f>GM_output!J6</f>
        <v>3601</v>
      </c>
      <c r="E12" s="150">
        <f>GM_output!P6</f>
        <v>3660</v>
      </c>
      <c r="F12" s="150">
        <f>GM_output!V6</f>
        <v>3603</v>
      </c>
      <c r="G12" s="150">
        <f>GM_output!AB6</f>
        <v>3569</v>
      </c>
    </row>
    <row r="13" spans="1:12">
      <c r="A13" s="14" t="s">
        <v>69</v>
      </c>
      <c r="B13" s="48" t="s">
        <v>193</v>
      </c>
      <c r="C13" s="150">
        <f>GM_output!B17</f>
        <v>112</v>
      </c>
      <c r="D13" s="150">
        <f>GM_output!H17</f>
        <v>123</v>
      </c>
      <c r="E13" s="150">
        <f>GM_output!N17</f>
        <v>134</v>
      </c>
      <c r="F13" s="150">
        <f>GM_output!T17</f>
        <v>94</v>
      </c>
      <c r="G13" s="150">
        <f>GM_output!Z17</f>
        <v>82</v>
      </c>
    </row>
    <row r="14" spans="1:12">
      <c r="A14" s="14" t="s">
        <v>66</v>
      </c>
      <c r="B14" s="48" t="s">
        <v>194</v>
      </c>
      <c r="C14" s="150">
        <f>GM_output!C17</f>
        <v>0</v>
      </c>
      <c r="D14" s="150">
        <f>GM_output!I17</f>
        <v>0</v>
      </c>
      <c r="E14" s="150">
        <f>GM_output!O17</f>
        <v>0</v>
      </c>
      <c r="F14" s="150">
        <f>GM_output!U17</f>
        <v>0</v>
      </c>
      <c r="G14" s="150">
        <f>GM_output!AA17</f>
        <v>0</v>
      </c>
    </row>
    <row r="15" spans="1:12">
      <c r="A15" s="14"/>
      <c r="B15" s="48" t="s">
        <v>197</v>
      </c>
      <c r="C15" s="150">
        <f>GM_output!D17</f>
        <v>5064</v>
      </c>
      <c r="D15" s="150">
        <f>GM_output!J17</f>
        <v>5200</v>
      </c>
      <c r="E15" s="150">
        <f>GM_output!P17</f>
        <v>5293</v>
      </c>
      <c r="F15" s="150">
        <f>GM_output!V17</f>
        <v>5190</v>
      </c>
      <c r="G15" s="150">
        <f>GM_output!AB17</f>
        <v>5113</v>
      </c>
    </row>
    <row r="16" spans="1:12">
      <c r="A16" s="32" t="s">
        <v>212</v>
      </c>
      <c r="B16" s="47" t="s">
        <v>193</v>
      </c>
      <c r="C16" s="150">
        <f>GM_output!B19+GM_output!B21</f>
        <v>13537</v>
      </c>
      <c r="D16" s="150">
        <f>GM_output!H19+GM_output!H21</f>
        <v>14602</v>
      </c>
      <c r="E16" s="150">
        <f>GM_output!N19+GM_output!N21</f>
        <v>13154</v>
      </c>
      <c r="F16" s="150">
        <f>GM_output!T19+GM_output!T21</f>
        <v>11037</v>
      </c>
      <c r="G16" s="150">
        <f>GM_output!Z19+GM_output!Z21</f>
        <v>13764</v>
      </c>
    </row>
    <row r="17" spans="1:7">
      <c r="A17" s="32" t="s">
        <v>66</v>
      </c>
      <c r="B17" s="47" t="s">
        <v>194</v>
      </c>
      <c r="C17" s="150">
        <f>GM_output!C19+GM_output!C21</f>
        <v>4637</v>
      </c>
      <c r="D17" s="150">
        <f>GM_output!I19+GM_output!I21</f>
        <v>6630</v>
      </c>
      <c r="E17" s="150">
        <f>GM_output!O19+GM_output!O21</f>
        <v>3366</v>
      </c>
      <c r="F17" s="150">
        <f>GM_output!U19+GM_output!U21</f>
        <v>3490</v>
      </c>
      <c r="G17" s="150">
        <f>GM_output!AA19+GM_output!AA21</f>
        <v>5176</v>
      </c>
    </row>
    <row r="18" spans="1:7">
      <c r="A18" s="32"/>
      <c r="B18" s="47" t="s">
        <v>197</v>
      </c>
      <c r="C18" s="150">
        <f>GM_output!D19+GM_output!D21</f>
        <v>699</v>
      </c>
      <c r="D18" s="150">
        <f>GM_output!J19+GM_output!J21</f>
        <v>974</v>
      </c>
      <c r="E18" s="150">
        <f>GM_output!P19+GM_output!P21</f>
        <v>607</v>
      </c>
      <c r="F18" s="150">
        <f>GM_output!V19+GM_output!V21</f>
        <v>717</v>
      </c>
      <c r="G18" s="150">
        <f>GM_output!AB19+GM_output!AB21</f>
        <v>774</v>
      </c>
    </row>
    <row r="19" spans="1:7">
      <c r="A19" t="s">
        <v>70</v>
      </c>
      <c r="B19" s="46" t="s">
        <v>193</v>
      </c>
      <c r="C19" s="150">
        <f>GM_output!B8+GM_output!B23</f>
        <v>1218</v>
      </c>
      <c r="D19" s="150">
        <f>GM_output!H8+GM_output!H23</f>
        <v>1175</v>
      </c>
      <c r="E19" s="150">
        <f>GM_output!N8+GM_output!N23</f>
        <v>1684</v>
      </c>
      <c r="F19" s="150">
        <f>GM_output!T8+GM_output!T23</f>
        <v>1137</v>
      </c>
      <c r="G19" s="150">
        <f>GM_output!Z8+GM_output!Z23</f>
        <v>200</v>
      </c>
    </row>
    <row r="20" spans="1:7">
      <c r="A20" t="s">
        <v>66</v>
      </c>
      <c r="B20" s="46" t="s">
        <v>194</v>
      </c>
      <c r="C20" s="150">
        <f>GM_output!C8+GM_output!C23</f>
        <v>0</v>
      </c>
      <c r="D20" s="150">
        <f>GM_output!I8+GM_output!I23</f>
        <v>0</v>
      </c>
      <c r="E20" s="150">
        <f>GM_output!O8+GM_output!O23</f>
        <v>0</v>
      </c>
      <c r="F20" s="150">
        <f>GM_output!U8+GM_output!U23</f>
        <v>0</v>
      </c>
      <c r="G20" s="150">
        <f>GM_output!AA8+GM_output!AA23</f>
        <v>0</v>
      </c>
    </row>
    <row r="21" spans="1:7">
      <c r="B21" s="46" t="s">
        <v>197</v>
      </c>
      <c r="C21" s="150">
        <f>GM_output!D8+GM_output!D23</f>
        <v>79918</v>
      </c>
      <c r="D21" s="150">
        <f>GM_output!J8+GM_output!J23</f>
        <v>82359</v>
      </c>
      <c r="E21" s="150">
        <f>GM_output!P8+GM_output!P23</f>
        <v>81732</v>
      </c>
      <c r="F21" s="150">
        <f>GM_output!V8+GM_output!V23</f>
        <v>78767</v>
      </c>
      <c r="G21" s="150">
        <f>GM_output!AB8+GM_output!AB23</f>
        <v>79922</v>
      </c>
    </row>
    <row r="22" spans="1:7">
      <c r="A22" s="32" t="s">
        <v>71</v>
      </c>
      <c r="B22" s="47" t="s">
        <v>193</v>
      </c>
      <c r="C22" s="150">
        <f>GM_output!B7</f>
        <v>0</v>
      </c>
      <c r="D22" s="150">
        <f>GM_output!H7</f>
        <v>0</v>
      </c>
      <c r="E22" s="150">
        <f>GM_output!N7</f>
        <v>0</v>
      </c>
      <c r="F22" s="150">
        <f>GM_output!T7</f>
        <v>0</v>
      </c>
      <c r="G22" s="150">
        <f>GM_output!Z7</f>
        <v>0</v>
      </c>
    </row>
    <row r="23" spans="1:7">
      <c r="A23" s="32" t="s">
        <v>66</v>
      </c>
      <c r="B23" s="47" t="s">
        <v>194</v>
      </c>
      <c r="C23" s="150">
        <f>GM_output!C7</f>
        <v>0</v>
      </c>
      <c r="D23" s="150">
        <f>GM_output!I7</f>
        <v>0</v>
      </c>
      <c r="E23" s="150">
        <f>GM_output!O7</f>
        <v>0</v>
      </c>
      <c r="F23" s="150">
        <f>GM_output!U7</f>
        <v>0</v>
      </c>
      <c r="G23" s="150">
        <f>GM_output!AA7</f>
        <v>0</v>
      </c>
    </row>
    <row r="24" spans="1:7">
      <c r="A24" s="32"/>
      <c r="B24" s="47" t="s">
        <v>197</v>
      </c>
      <c r="C24" s="150">
        <f>GM_output!D7</f>
        <v>891</v>
      </c>
      <c r="D24" s="150">
        <f>GM_output!J7</f>
        <v>867</v>
      </c>
      <c r="E24" s="150">
        <f>GM_output!P7</f>
        <v>826</v>
      </c>
      <c r="F24" s="150">
        <f>GM_output!V7</f>
        <v>811</v>
      </c>
      <c r="G24" s="150">
        <f>GM_output!AB7</f>
        <v>828</v>
      </c>
    </row>
    <row r="25" spans="1:7">
      <c r="A25" t="s">
        <v>72</v>
      </c>
      <c r="B25" s="46" t="s">
        <v>193</v>
      </c>
      <c r="C25" s="150">
        <f>GM_output!B16+GM_output!B20</f>
        <v>0</v>
      </c>
      <c r="D25" s="150">
        <f>GM_output!H16+GM_output!H20</f>
        <v>0</v>
      </c>
      <c r="E25" s="150">
        <f>GM_output!N16+GM_output!N20</f>
        <v>0</v>
      </c>
      <c r="F25" s="150">
        <f>GM_output!T16+GM_output!T20</f>
        <v>0</v>
      </c>
      <c r="G25" s="150">
        <f>GM_output!Z16+GM_output!Z20</f>
        <v>0</v>
      </c>
    </row>
    <row r="26" spans="1:7">
      <c r="A26" t="s">
        <v>66</v>
      </c>
      <c r="B26" s="46" t="s">
        <v>194</v>
      </c>
      <c r="C26" s="150">
        <f>GM_output!C16+GM_output!C20</f>
        <v>0</v>
      </c>
      <c r="D26" s="150">
        <f>GM_output!I16+GM_output!I20</f>
        <v>0</v>
      </c>
      <c r="E26" s="150">
        <f>GM_output!O16+GM_output!O20</f>
        <v>0</v>
      </c>
      <c r="F26" s="150">
        <f>GM_output!U16+GM_output!U20</f>
        <v>0</v>
      </c>
      <c r="G26" s="150">
        <f>GM_output!AA16+GM_output!AA20</f>
        <v>0</v>
      </c>
    </row>
    <row r="27" spans="1:7">
      <c r="B27" s="46" t="s">
        <v>197</v>
      </c>
      <c r="C27" s="150">
        <f>GM_output!D16+GM_output!D20</f>
        <v>8247</v>
      </c>
      <c r="D27" s="150">
        <f>GM_output!J16+GM_output!J20</f>
        <v>9645</v>
      </c>
      <c r="E27" s="150">
        <f>GM_output!P16+GM_output!P20</f>
        <v>10339</v>
      </c>
      <c r="F27" s="150">
        <f>GM_output!V16+GM_output!V20</f>
        <v>8756</v>
      </c>
      <c r="G27" s="150">
        <f>GM_output!AB16+GM_output!AB20</f>
        <v>8862</v>
      </c>
    </row>
    <row r="28" spans="1:7">
      <c r="A28" s="32" t="s">
        <v>73</v>
      </c>
      <c r="B28" s="47" t="s">
        <v>193</v>
      </c>
      <c r="C28" s="150">
        <f>GM_output!B14+GM_output!B25</f>
        <v>0</v>
      </c>
      <c r="D28" s="150">
        <f>GM_output!H14+GM_output!H25</f>
        <v>0</v>
      </c>
      <c r="E28" s="150">
        <f>GM_output!N14+GM_output!N25</f>
        <v>0</v>
      </c>
      <c r="F28" s="150">
        <f>GM_output!T14+GM_output!T25</f>
        <v>0</v>
      </c>
      <c r="G28" s="150">
        <f>GM_output!Z14+GM_output!Z25</f>
        <v>0</v>
      </c>
    </row>
    <row r="29" spans="1:7">
      <c r="A29" s="32" t="s">
        <v>66</v>
      </c>
      <c r="B29" s="47" t="s">
        <v>194</v>
      </c>
      <c r="C29" s="150">
        <f>GM_output!C14+GM_output!C25</f>
        <v>0</v>
      </c>
      <c r="D29" s="150">
        <f>GM_output!I14+GM_output!I25</f>
        <v>0</v>
      </c>
      <c r="E29" s="150">
        <f>GM_output!O14+GM_output!O25</f>
        <v>0</v>
      </c>
      <c r="F29" s="150">
        <f>GM_output!U14+GM_output!U25</f>
        <v>0</v>
      </c>
      <c r="G29" s="150">
        <f>GM_output!AA14+GM_output!AA25</f>
        <v>0</v>
      </c>
    </row>
    <row r="30" spans="1:7">
      <c r="A30" s="32"/>
      <c r="B30" s="47" t="s">
        <v>197</v>
      </c>
      <c r="C30" s="150">
        <f>GM_output!D14+GM_output!D25</f>
        <v>20695</v>
      </c>
      <c r="D30" s="150">
        <f>GM_output!J14+GM_output!J25</f>
        <v>21374</v>
      </c>
      <c r="E30" s="150">
        <f>GM_output!P14+GM_output!P25</f>
        <v>21376</v>
      </c>
      <c r="F30" s="150">
        <f>GM_output!V14+GM_output!V25</f>
        <v>19867</v>
      </c>
      <c r="G30" s="150">
        <f>GM_output!AB14+GM_output!AB25</f>
        <v>20562</v>
      </c>
    </row>
    <row r="31" spans="1:7">
      <c r="A31" t="s">
        <v>74</v>
      </c>
      <c r="B31" s="46" t="s">
        <v>193</v>
      </c>
      <c r="C31" s="150">
        <f>GM_output!B5</f>
        <v>0</v>
      </c>
      <c r="D31" s="150">
        <f>GM_output!H5</f>
        <v>0</v>
      </c>
      <c r="E31" s="150">
        <f>GM_output!N5</f>
        <v>0</v>
      </c>
      <c r="F31" s="150">
        <f>GM_output!T5</f>
        <v>0</v>
      </c>
      <c r="G31" s="150">
        <f>GM_output!Z5</f>
        <v>0</v>
      </c>
    </row>
    <row r="32" spans="1:7">
      <c r="A32" t="s">
        <v>66</v>
      </c>
      <c r="B32" s="46" t="s">
        <v>194</v>
      </c>
      <c r="C32" s="150">
        <f>GM_output!C5</f>
        <v>6391</v>
      </c>
      <c r="D32" s="150">
        <f>GM_output!I5</f>
        <v>6564</v>
      </c>
      <c r="E32" s="150">
        <f>GM_output!O5</f>
        <v>6509</v>
      </c>
      <c r="F32" s="150">
        <f>GM_output!U5</f>
        <v>6025</v>
      </c>
      <c r="G32" s="150">
        <f>GM_output!AA5</f>
        <v>5163</v>
      </c>
    </row>
    <row r="33" spans="1:12">
      <c r="B33" s="46" t="s">
        <v>197</v>
      </c>
      <c r="C33" s="150">
        <f>GM_output!D5</f>
        <v>4451</v>
      </c>
      <c r="D33" s="150">
        <f>GM_output!J5</f>
        <v>4284</v>
      </c>
      <c r="E33" s="150">
        <f>GM_output!P5</f>
        <v>4081</v>
      </c>
      <c r="F33" s="150">
        <f>GM_output!V5</f>
        <v>3875</v>
      </c>
      <c r="G33" s="150">
        <f>GM_output!AB5</f>
        <v>3228</v>
      </c>
    </row>
    <row r="34" spans="1:12">
      <c r="A34" s="32" t="s">
        <v>75</v>
      </c>
      <c r="B34" s="47" t="s">
        <v>193</v>
      </c>
      <c r="C34" s="150">
        <f>GM_output!B18</f>
        <v>0</v>
      </c>
      <c r="D34" s="150">
        <f>GM_output!H18</f>
        <v>0</v>
      </c>
      <c r="E34" s="150">
        <f>GM_output!N18</f>
        <v>0</v>
      </c>
      <c r="F34" s="150">
        <f>GM_output!T18</f>
        <v>0</v>
      </c>
      <c r="G34" s="150">
        <f>GM_output!Z18</f>
        <v>0</v>
      </c>
    </row>
    <row r="35" spans="1:12">
      <c r="A35" s="32" t="s">
        <v>66</v>
      </c>
      <c r="B35" s="47" t="s">
        <v>194</v>
      </c>
      <c r="C35" s="150">
        <f>GM_output!C18</f>
        <v>2305</v>
      </c>
      <c r="D35" s="150">
        <f>GM_output!I18</f>
        <v>2960</v>
      </c>
      <c r="E35" s="150">
        <f>GM_output!O18</f>
        <v>2675</v>
      </c>
      <c r="F35" s="150">
        <f>GM_output!U18</f>
        <v>2075</v>
      </c>
      <c r="G35" s="150">
        <f>GM_output!AA18</f>
        <v>1241</v>
      </c>
    </row>
    <row r="36" spans="1:12">
      <c r="A36" s="32"/>
      <c r="B36" s="47" t="s">
        <v>197</v>
      </c>
      <c r="C36" s="150">
        <f>GM_output!D18</f>
        <v>2183</v>
      </c>
      <c r="D36" s="150">
        <f>GM_output!J18</f>
        <v>2144</v>
      </c>
      <c r="E36" s="150">
        <f>GM_output!P18</f>
        <v>1886</v>
      </c>
      <c r="F36" s="150">
        <f>GM_output!V18</f>
        <v>1654</v>
      </c>
      <c r="G36" s="150">
        <f>GM_output!AB18</f>
        <v>1560</v>
      </c>
    </row>
    <row r="37" spans="1:12">
      <c r="A37" t="s">
        <v>76</v>
      </c>
      <c r="B37" s="46" t="s">
        <v>193</v>
      </c>
      <c r="C37" s="150">
        <f>GM_output!B15+GM_output!B22</f>
        <v>0</v>
      </c>
      <c r="D37" s="150">
        <f>GM_output!H15+GM_output!H22</f>
        <v>0</v>
      </c>
      <c r="E37" s="150">
        <f>GM_output!N15+GM_output!N22</f>
        <v>0</v>
      </c>
      <c r="F37" s="150">
        <f>GM_output!T15+GM_output!T22</f>
        <v>0</v>
      </c>
      <c r="G37" s="150">
        <f>GM_output!Z15+GM_output!Z22</f>
        <v>0</v>
      </c>
    </row>
    <row r="38" spans="1:12">
      <c r="A38" t="s">
        <v>66</v>
      </c>
      <c r="B38" s="46" t="s">
        <v>194</v>
      </c>
      <c r="C38" s="150">
        <f>GM_output!C15+GM_output!C22</f>
        <v>7551</v>
      </c>
      <c r="D38" s="150">
        <f>GM_output!I15+GM_output!I22</f>
        <v>9886</v>
      </c>
      <c r="E38" s="150">
        <f>GM_output!O15+GM_output!O22</f>
        <v>8738</v>
      </c>
      <c r="F38" s="150">
        <f>GM_output!U15+GM_output!U22</f>
        <v>3668</v>
      </c>
      <c r="G38" s="150">
        <f>GM_output!AA15+GM_output!AA22</f>
        <v>2724</v>
      </c>
    </row>
    <row r="39" spans="1:12">
      <c r="B39" s="46" t="s">
        <v>197</v>
      </c>
      <c r="C39" s="150">
        <f>GM_output!D15+GM_output!D22</f>
        <v>0</v>
      </c>
      <c r="D39" s="150">
        <f>GM_output!J15+GM_output!J22</f>
        <v>0</v>
      </c>
      <c r="E39" s="150">
        <f>GM_output!P15+GM_output!P22</f>
        <v>23</v>
      </c>
      <c r="F39" s="150">
        <f>GM_output!V15+GM_output!V22</f>
        <v>0</v>
      </c>
      <c r="G39" s="150">
        <f>GM_output!AB15+GM_output!AB22</f>
        <v>0</v>
      </c>
    </row>
    <row r="40" spans="1:12">
      <c r="A40" s="32" t="s">
        <v>77</v>
      </c>
      <c r="B40" s="47" t="s">
        <v>193</v>
      </c>
      <c r="C40" s="150">
        <f>GM_output!B29</f>
        <v>-3316</v>
      </c>
      <c r="D40" s="150">
        <f>GM_output!H29</f>
        <v>-1978</v>
      </c>
      <c r="E40" s="150">
        <f>GM_output!N29</f>
        <v>-2522</v>
      </c>
      <c r="F40" s="150">
        <f>GM_output!T29</f>
        <v>-5115</v>
      </c>
      <c r="G40" s="150">
        <f>GM_output!Z29</f>
        <v>-3839</v>
      </c>
    </row>
    <row r="41" spans="1:12">
      <c r="A41" s="40" t="s">
        <v>66</v>
      </c>
      <c r="B41" s="47" t="s">
        <v>567</v>
      </c>
      <c r="C41" s="150">
        <f>GM_output!C30</f>
        <v>-26</v>
      </c>
      <c r="D41" s="150">
        <f>GM_output!I30</f>
        <v>964</v>
      </c>
      <c r="E41" s="150">
        <f>GM_output!O30</f>
        <v>352</v>
      </c>
      <c r="F41" s="150">
        <f>GM_output!U30</f>
        <v>-769</v>
      </c>
      <c r="G41" s="150">
        <f>GM_output!AA30</f>
        <v>-353</v>
      </c>
    </row>
    <row r="42" spans="1:12" s="312" customFormat="1">
      <c r="A42" s="40"/>
      <c r="B42" s="47" t="s">
        <v>568</v>
      </c>
      <c r="C42" s="150">
        <f>GM_output!C13</f>
        <v>53</v>
      </c>
      <c r="D42" s="150">
        <f>GM_output!I13</f>
        <v>47</v>
      </c>
      <c r="E42" s="150">
        <f>GM_output!O13</f>
        <v>49</v>
      </c>
      <c r="F42" s="150">
        <f>GM_output!U13</f>
        <v>51</v>
      </c>
      <c r="G42" s="150">
        <f>GM_output!AA13</f>
        <v>56</v>
      </c>
      <c r="H42" s="120"/>
      <c r="I42" s="120"/>
      <c r="J42" s="120"/>
      <c r="K42" s="120"/>
      <c r="L42" s="120"/>
    </row>
    <row r="43" spans="1:12">
      <c r="A43" s="40"/>
      <c r="B43" s="47" t="s">
        <v>195</v>
      </c>
      <c r="C43" s="150">
        <f>GM_output!D30</f>
        <v>64732</v>
      </c>
      <c r="D43" s="150">
        <f>GM_output!J30</f>
        <v>88133</v>
      </c>
      <c r="E43" s="150">
        <f>GM_output!P30</f>
        <v>83486</v>
      </c>
      <c r="F43" s="150">
        <f>GM_output!V30</f>
        <v>52721</v>
      </c>
      <c r="G43" s="150">
        <f>GM_output!AB30</f>
        <v>62951</v>
      </c>
    </row>
    <row r="44" spans="1:12">
      <c r="A44" s="40"/>
      <c r="B44" s="47" t="s">
        <v>196</v>
      </c>
      <c r="C44" s="150">
        <f>GM_output!D13</f>
        <v>2546</v>
      </c>
      <c r="D44" s="150">
        <f>GM_output!J13</f>
        <v>2440</v>
      </c>
      <c r="E44" s="150">
        <f>GM_output!P13</f>
        <v>1723</v>
      </c>
      <c r="F44" s="150">
        <f>GM_output!V13</f>
        <v>1769</v>
      </c>
      <c r="G44" s="150">
        <f>GM_output!AB13</f>
        <v>2534</v>
      </c>
    </row>
    <row r="45" spans="1:12">
      <c r="C45" s="143"/>
      <c r="D45" s="143"/>
      <c r="E45" s="142"/>
      <c r="F45" s="143"/>
      <c r="G45" s="143"/>
    </row>
    <row r="46" spans="1:12">
      <c r="A46" s="4" t="s">
        <v>80</v>
      </c>
      <c r="B46" s="12"/>
      <c r="C46" s="143"/>
      <c r="D46" s="143"/>
      <c r="E46" s="142"/>
      <c r="F46" s="143"/>
      <c r="G46" s="143"/>
    </row>
    <row r="47" spans="1:12">
      <c r="A47" s="32" t="s">
        <v>65</v>
      </c>
      <c r="B47" s="47" t="s">
        <v>159</v>
      </c>
      <c r="C47" s="150">
        <f>GM_output!E9</f>
        <v>0</v>
      </c>
      <c r="D47" s="150">
        <f>GM_output!K9</f>
        <v>0</v>
      </c>
      <c r="E47" s="150">
        <f>GM_output!Q9</f>
        <v>0</v>
      </c>
      <c r="F47" s="150">
        <f>GM_output!W9</f>
        <v>0</v>
      </c>
      <c r="G47" s="150">
        <f>GM_output!AC9</f>
        <v>0</v>
      </c>
    </row>
    <row r="48" spans="1:12">
      <c r="A48" t="s">
        <v>67</v>
      </c>
      <c r="B48" s="46" t="s">
        <v>159</v>
      </c>
      <c r="C48" s="150">
        <f>GM_output!E4</f>
        <v>0</v>
      </c>
      <c r="D48" s="150">
        <f>GM_output!K4</f>
        <v>0</v>
      </c>
      <c r="E48" s="150">
        <f>GM_output!Q4</f>
        <v>0</v>
      </c>
      <c r="F48" s="150">
        <f>GM_output!W4</f>
        <v>0</v>
      </c>
      <c r="G48" s="150">
        <f>GM_output!AC4</f>
        <v>0</v>
      </c>
    </row>
    <row r="49" spans="1:7">
      <c r="A49" s="32" t="s">
        <v>68</v>
      </c>
      <c r="B49" s="47" t="s">
        <v>159</v>
      </c>
      <c r="C49" s="150">
        <f>GM_output!E6</f>
        <v>0</v>
      </c>
      <c r="D49" s="150">
        <f>GM_output!K6</f>
        <v>0</v>
      </c>
      <c r="E49" s="150">
        <f>GM_output!Q6</f>
        <v>0</v>
      </c>
      <c r="F49" s="150">
        <f>GM_output!W6</f>
        <v>0</v>
      </c>
      <c r="G49" s="150">
        <f>GM_output!AC6</f>
        <v>0</v>
      </c>
    </row>
    <row r="50" spans="1:7">
      <c r="A50" t="s">
        <v>69</v>
      </c>
      <c r="B50" s="46" t="s">
        <v>159</v>
      </c>
      <c r="C50" s="150">
        <f>GM_output!E17</f>
        <v>0</v>
      </c>
      <c r="D50" s="150">
        <f>GM_output!K17</f>
        <v>0</v>
      </c>
      <c r="E50" s="150">
        <f>GM_output!Q17</f>
        <v>0</v>
      </c>
      <c r="F50" s="150">
        <f>GM_output!W17</f>
        <v>0</v>
      </c>
      <c r="G50" s="150">
        <f>GM_output!AC17</f>
        <v>0</v>
      </c>
    </row>
    <row r="51" spans="1:7">
      <c r="A51" s="32" t="s">
        <v>212</v>
      </c>
      <c r="B51" s="47" t="s">
        <v>159</v>
      </c>
      <c r="C51" s="150">
        <f>GM_output!E19+GM_output!E21</f>
        <v>0</v>
      </c>
      <c r="D51" s="150">
        <f>GM_output!K19+GM_output!K21</f>
        <v>0</v>
      </c>
      <c r="E51" s="150">
        <f>GM_output!Q19+GM_output!Q21</f>
        <v>0</v>
      </c>
      <c r="F51" s="150">
        <f>GM_output!W19+GM_output!W21</f>
        <v>0</v>
      </c>
      <c r="G51" s="150">
        <f>GM_output!AC19+GM_output!AC21</f>
        <v>0</v>
      </c>
    </row>
    <row r="52" spans="1:7">
      <c r="A52" t="s">
        <v>70</v>
      </c>
      <c r="B52" s="46" t="s">
        <v>159</v>
      </c>
      <c r="C52" s="150">
        <f>GM_output!E8+GM_output!E23</f>
        <v>0</v>
      </c>
      <c r="D52" s="150">
        <f>GM_output!K8+GM_output!K23</f>
        <v>10</v>
      </c>
      <c r="E52" s="150">
        <f>GM_output!Q8+GM_output!Q23</f>
        <v>10</v>
      </c>
      <c r="F52" s="150">
        <f>GM_output!W8+GM_output!W23</f>
        <v>0</v>
      </c>
      <c r="G52" s="150">
        <f>GM_output!AC8+GM_output!AC23</f>
        <v>0</v>
      </c>
    </row>
    <row r="53" spans="1:7">
      <c r="A53" s="32" t="s">
        <v>71</v>
      </c>
      <c r="B53" s="47" t="s">
        <v>159</v>
      </c>
      <c r="C53" s="150">
        <f>GM_output!E7</f>
        <v>0</v>
      </c>
      <c r="D53" s="150">
        <f>GM_output!K7</f>
        <v>0</v>
      </c>
      <c r="E53" s="150">
        <f>GM_output!Q7</f>
        <v>0</v>
      </c>
      <c r="F53" s="150">
        <f>GM_output!W7</f>
        <v>0</v>
      </c>
      <c r="G53" s="150">
        <f>GM_output!AC7</f>
        <v>0</v>
      </c>
    </row>
    <row r="54" spans="1:7">
      <c r="A54" t="s">
        <v>72</v>
      </c>
      <c r="B54" s="46" t="s">
        <v>159</v>
      </c>
      <c r="C54" s="150">
        <f>GM_output!E16+GM_output!E20</f>
        <v>37</v>
      </c>
      <c r="D54" s="150">
        <f>GM_output!K16+GM_output!K20</f>
        <v>65</v>
      </c>
      <c r="E54" s="150">
        <f>GM_output!Q16+GM_output!Q20</f>
        <v>65</v>
      </c>
      <c r="F54" s="150">
        <f>GM_output!W16+GM_output!W20</f>
        <v>49</v>
      </c>
      <c r="G54" s="150">
        <f>GM_output!AC16+GM_output!AC20</f>
        <v>49</v>
      </c>
    </row>
    <row r="55" spans="1:7">
      <c r="A55" s="32" t="s">
        <v>73</v>
      </c>
      <c r="B55" s="47" t="s">
        <v>159</v>
      </c>
      <c r="C55" s="150">
        <f>GM_output!E14+GM_output!E25</f>
        <v>10337</v>
      </c>
      <c r="D55" s="150">
        <f>GM_output!K14+GM_output!K25</f>
        <v>11274</v>
      </c>
      <c r="E55" s="150">
        <f>GM_output!Q14+GM_output!Q25</f>
        <v>11292</v>
      </c>
      <c r="F55" s="150">
        <f>GM_output!W14+GM_output!W25</f>
        <v>10592</v>
      </c>
      <c r="G55" s="150">
        <f>GM_output!AC14+GM_output!AC25</f>
        <v>10693</v>
      </c>
    </row>
    <row r="56" spans="1:7">
      <c r="A56" t="s">
        <v>74</v>
      </c>
      <c r="B56" s="46" t="s">
        <v>159</v>
      </c>
      <c r="C56" s="150">
        <f>GM_output!E5</f>
        <v>0</v>
      </c>
      <c r="D56" s="150">
        <f>GM_output!K5</f>
        <v>0</v>
      </c>
      <c r="E56" s="150">
        <f>GM_output!Q5</f>
        <v>0</v>
      </c>
      <c r="F56" s="150">
        <f>GM_output!W5</f>
        <v>0</v>
      </c>
      <c r="G56" s="150">
        <f>GM_output!AC5</f>
        <v>0</v>
      </c>
    </row>
    <row r="57" spans="1:7">
      <c r="A57" s="32" t="s">
        <v>75</v>
      </c>
      <c r="B57" s="47" t="s">
        <v>159</v>
      </c>
      <c r="C57" s="150">
        <f>GM_output!E18</f>
        <v>62</v>
      </c>
      <c r="D57" s="150">
        <f>GM_output!K18</f>
        <v>58</v>
      </c>
      <c r="E57" s="150">
        <f>GM_output!Q18</f>
        <v>32</v>
      </c>
      <c r="F57" s="150">
        <f>GM_output!W18</f>
        <v>27</v>
      </c>
      <c r="G57" s="150">
        <f>GM_output!AC18</f>
        <v>29</v>
      </c>
    </row>
    <row r="58" spans="1:7">
      <c r="A58" t="s">
        <v>76</v>
      </c>
      <c r="B58" s="46" t="s">
        <v>159</v>
      </c>
      <c r="C58" s="150">
        <f>GM_output!E15+GM_output!E22</f>
        <v>0</v>
      </c>
      <c r="D58" s="150">
        <f>GM_output!K15+GM_output!K22</f>
        <v>0</v>
      </c>
      <c r="E58" s="150">
        <f>GM_output!Q15+GM_output!Q22</f>
        <v>0</v>
      </c>
      <c r="F58" s="150">
        <f>GM_output!W15+GM_output!W22</f>
        <v>0</v>
      </c>
      <c r="G58" s="150">
        <f>GM_output!AC15+GM_output!AC22</f>
        <v>0</v>
      </c>
    </row>
    <row r="59" spans="1:7">
      <c r="A59" s="32" t="s">
        <v>77</v>
      </c>
      <c r="B59" s="47" t="s">
        <v>258</v>
      </c>
      <c r="C59" s="150">
        <f>GM_output!E30</f>
        <v>9015</v>
      </c>
      <c r="D59" s="150">
        <f>GM_output!K30</f>
        <v>14529</v>
      </c>
      <c r="E59" s="150">
        <f>GM_output!Q30</f>
        <v>15131</v>
      </c>
      <c r="F59" s="150">
        <f>GM_output!W30</f>
        <v>8314</v>
      </c>
      <c r="G59" s="150">
        <f>GM_output!AC30</f>
        <v>10699</v>
      </c>
    </row>
    <row r="60" spans="1:7">
      <c r="A60" s="32"/>
      <c r="B60" s="47" t="s">
        <v>259</v>
      </c>
      <c r="C60" s="150">
        <f>GM_output!E13</f>
        <v>-12</v>
      </c>
      <c r="D60" s="150">
        <f>GM_output!K13</f>
        <v>-17</v>
      </c>
      <c r="E60" s="150">
        <f>GM_output!Q13</f>
        <v>-14</v>
      </c>
      <c r="F60" s="150">
        <f>GM_output!W13</f>
        <v>-20</v>
      </c>
      <c r="G60" s="150">
        <f>GM_output!AC13</f>
        <v>-14</v>
      </c>
    </row>
    <row r="61" spans="1:7">
      <c r="B61" s="48" t="s">
        <v>4</v>
      </c>
      <c r="C61" s="141">
        <f>SUM(C47:C60)</f>
        <v>19439</v>
      </c>
      <c r="D61" s="141">
        <f>SUM(D47:D60)</f>
        <v>25919</v>
      </c>
      <c r="E61" s="141">
        <f>SUM(E47:E60)</f>
        <v>26516</v>
      </c>
      <c r="F61" s="141">
        <f>SUM(F47:F60)</f>
        <v>18962</v>
      </c>
      <c r="G61" s="141">
        <f>SUM(G47:G60)</f>
        <v>21456</v>
      </c>
    </row>
    <row r="62" spans="1:7">
      <c r="A62" s="4" t="s">
        <v>81</v>
      </c>
      <c r="B62" s="12" t="s">
        <v>66</v>
      </c>
      <c r="C62" s="143"/>
      <c r="D62" s="143"/>
      <c r="E62" s="143"/>
      <c r="F62" s="143"/>
      <c r="G62" s="143"/>
    </row>
    <row r="63" spans="1:7">
      <c r="A63" s="32" t="s">
        <v>65</v>
      </c>
      <c r="B63" s="47" t="s">
        <v>404</v>
      </c>
      <c r="C63" s="189">
        <v>406</v>
      </c>
      <c r="D63" s="189">
        <v>463</v>
      </c>
      <c r="E63" s="465">
        <v>217</v>
      </c>
      <c r="F63" s="465">
        <v>301</v>
      </c>
      <c r="G63" s="465">
        <v>195</v>
      </c>
    </row>
    <row r="64" spans="1:7">
      <c r="A64" s="32"/>
      <c r="B64" s="47" t="s">
        <v>213</v>
      </c>
      <c r="C64" s="189">
        <v>26</v>
      </c>
      <c r="D64" s="189">
        <v>16</v>
      </c>
      <c r="E64" s="465">
        <v>19</v>
      </c>
      <c r="F64" s="465">
        <v>24</v>
      </c>
      <c r="G64" s="465">
        <v>22</v>
      </c>
    </row>
    <row r="65" spans="1:7">
      <c r="A65" s="32"/>
      <c r="B65" s="47" t="s">
        <v>172</v>
      </c>
      <c r="C65" s="189">
        <v>0</v>
      </c>
      <c r="D65" s="189">
        <v>0</v>
      </c>
      <c r="E65" s="465">
        <v>0</v>
      </c>
      <c r="F65" s="465">
        <v>0</v>
      </c>
      <c r="G65" s="465">
        <v>0</v>
      </c>
    </row>
    <row r="66" spans="1:7">
      <c r="A66" t="s">
        <v>67</v>
      </c>
      <c r="B66" s="48" t="s">
        <v>404</v>
      </c>
      <c r="C66" s="189">
        <v>20</v>
      </c>
      <c r="D66" s="189">
        <v>0</v>
      </c>
      <c r="E66" s="465">
        <v>0</v>
      </c>
      <c r="F66" s="465">
        <v>0</v>
      </c>
      <c r="G66" s="465">
        <f>F66</f>
        <v>0</v>
      </c>
    </row>
    <row r="67" spans="1:7">
      <c r="B67" s="48" t="s">
        <v>213</v>
      </c>
      <c r="C67" s="189">
        <v>0</v>
      </c>
      <c r="D67" s="189">
        <v>0</v>
      </c>
      <c r="E67" s="465">
        <v>0</v>
      </c>
      <c r="F67" s="465">
        <v>0</v>
      </c>
      <c r="G67" s="465">
        <v>0</v>
      </c>
    </row>
    <row r="68" spans="1:7">
      <c r="A68" t="s">
        <v>66</v>
      </c>
      <c r="B68" s="48" t="s">
        <v>172</v>
      </c>
      <c r="C68" s="189">
        <v>0</v>
      </c>
      <c r="D68" s="189">
        <v>0</v>
      </c>
      <c r="E68" s="465">
        <v>0</v>
      </c>
      <c r="F68" s="465">
        <v>0</v>
      </c>
      <c r="G68" s="465">
        <v>0</v>
      </c>
    </row>
    <row r="69" spans="1:7">
      <c r="A69" t="s">
        <v>66</v>
      </c>
      <c r="B69" s="48" t="s">
        <v>215</v>
      </c>
      <c r="C69" s="189">
        <v>0</v>
      </c>
      <c r="D69" s="189">
        <v>0</v>
      </c>
      <c r="E69" s="465">
        <v>0</v>
      </c>
      <c r="F69" s="465">
        <v>0</v>
      </c>
      <c r="G69" s="465">
        <v>0</v>
      </c>
    </row>
    <row r="70" spans="1:7">
      <c r="B70" s="48" t="s">
        <v>216</v>
      </c>
      <c r="C70" s="189">
        <v>0</v>
      </c>
      <c r="D70" s="189">
        <v>0</v>
      </c>
      <c r="E70" s="465">
        <v>0</v>
      </c>
      <c r="F70" s="465">
        <v>0</v>
      </c>
      <c r="G70" s="465">
        <v>0</v>
      </c>
    </row>
    <row r="71" spans="1:7">
      <c r="A71" t="s">
        <v>66</v>
      </c>
      <c r="B71" s="48" t="s">
        <v>174</v>
      </c>
      <c r="C71" s="189">
        <v>0</v>
      </c>
      <c r="D71" s="189">
        <v>0</v>
      </c>
      <c r="E71" s="465">
        <v>0</v>
      </c>
      <c r="F71" s="465">
        <v>0</v>
      </c>
      <c r="G71" s="465">
        <v>0</v>
      </c>
    </row>
    <row r="72" spans="1:7">
      <c r="B72" s="48" t="s">
        <v>214</v>
      </c>
      <c r="C72" s="189">
        <v>0</v>
      </c>
      <c r="D72" s="189">
        <v>0</v>
      </c>
      <c r="E72" s="465">
        <v>0</v>
      </c>
      <c r="F72" s="465">
        <v>0</v>
      </c>
      <c r="G72" s="465">
        <v>0</v>
      </c>
    </row>
    <row r="73" spans="1:7">
      <c r="A73" t="s">
        <v>66</v>
      </c>
      <c r="B73" s="48" t="s">
        <v>405</v>
      </c>
      <c r="C73" s="189">
        <v>0</v>
      </c>
      <c r="D73" s="189">
        <v>0</v>
      </c>
      <c r="E73" s="465">
        <v>0</v>
      </c>
      <c r="F73" s="465">
        <v>0</v>
      </c>
      <c r="G73" s="465">
        <v>0</v>
      </c>
    </row>
    <row r="74" spans="1:7">
      <c r="A74" t="s">
        <v>66</v>
      </c>
      <c r="B74" s="48" t="s">
        <v>173</v>
      </c>
      <c r="C74" s="189">
        <v>0</v>
      </c>
      <c r="D74" s="189">
        <v>0</v>
      </c>
      <c r="E74" s="465">
        <v>0</v>
      </c>
      <c r="F74" s="465">
        <v>0</v>
      </c>
      <c r="G74" s="465">
        <v>0</v>
      </c>
    </row>
    <row r="75" spans="1:7">
      <c r="A75" s="32" t="s">
        <v>68</v>
      </c>
      <c r="B75" s="47" t="s">
        <v>404</v>
      </c>
      <c r="C75" s="189">
        <v>0</v>
      </c>
      <c r="D75" s="189">
        <v>0</v>
      </c>
      <c r="E75" s="465">
        <v>0</v>
      </c>
      <c r="F75" s="465">
        <v>0</v>
      </c>
      <c r="G75" s="465">
        <v>0</v>
      </c>
    </row>
    <row r="76" spans="1:7">
      <c r="A76" s="32"/>
      <c r="B76" s="47" t="s">
        <v>213</v>
      </c>
      <c r="C76" s="189">
        <v>0</v>
      </c>
      <c r="D76" s="189">
        <v>0</v>
      </c>
      <c r="E76" s="465">
        <v>0</v>
      </c>
      <c r="F76" s="465">
        <v>0</v>
      </c>
      <c r="G76" s="465">
        <v>0</v>
      </c>
    </row>
    <row r="77" spans="1:7">
      <c r="A77" s="32"/>
      <c r="B77" s="47" t="s">
        <v>172</v>
      </c>
      <c r="C77" s="189">
        <v>0</v>
      </c>
      <c r="D77" s="189">
        <v>0</v>
      </c>
      <c r="E77" s="465">
        <v>0</v>
      </c>
      <c r="F77" s="465">
        <v>0</v>
      </c>
      <c r="G77" s="465">
        <v>0</v>
      </c>
    </row>
    <row r="78" spans="1:7">
      <c r="A78" s="32"/>
      <c r="B78" s="47" t="s">
        <v>214</v>
      </c>
      <c r="C78" s="189">
        <v>400.26</v>
      </c>
      <c r="D78" s="189">
        <v>240.5</v>
      </c>
      <c r="E78" s="465">
        <v>295</v>
      </c>
      <c r="F78" s="465">
        <v>91.63</v>
      </c>
      <c r="G78" s="465">
        <v>98</v>
      </c>
    </row>
    <row r="79" spans="1:7">
      <c r="A79" s="32" t="s">
        <v>66</v>
      </c>
      <c r="B79" s="47" t="s">
        <v>405</v>
      </c>
      <c r="C79" s="189">
        <v>1.9458</v>
      </c>
      <c r="D79" s="189">
        <v>4.1958333333333302</v>
      </c>
      <c r="E79" s="465">
        <v>0</v>
      </c>
      <c r="F79" s="465">
        <v>4.3174999999999999</v>
      </c>
      <c r="G79" s="465">
        <v>6</v>
      </c>
    </row>
    <row r="80" spans="1:7">
      <c r="A80" s="32" t="s">
        <v>66</v>
      </c>
      <c r="B80" s="47" t="s">
        <v>173</v>
      </c>
      <c r="C80" s="189">
        <v>0</v>
      </c>
      <c r="D80" s="189">
        <v>0</v>
      </c>
      <c r="E80" s="465">
        <v>0</v>
      </c>
      <c r="F80" s="465">
        <v>0</v>
      </c>
      <c r="G80" s="465">
        <v>0</v>
      </c>
    </row>
    <row r="81" spans="1:7">
      <c r="A81" t="s">
        <v>69</v>
      </c>
      <c r="B81" s="48" t="s">
        <v>214</v>
      </c>
      <c r="C81" s="189">
        <v>0</v>
      </c>
      <c r="D81" s="189">
        <v>0</v>
      </c>
      <c r="E81" s="465">
        <v>0</v>
      </c>
      <c r="F81" s="465">
        <v>0</v>
      </c>
      <c r="G81" s="465">
        <v>0</v>
      </c>
    </row>
    <row r="82" spans="1:7">
      <c r="B82" s="48" t="s">
        <v>405</v>
      </c>
      <c r="C82" s="189">
        <v>0</v>
      </c>
      <c r="D82" s="189">
        <v>0</v>
      </c>
      <c r="E82" s="465">
        <v>0</v>
      </c>
      <c r="F82" s="465">
        <v>0.11700270819034</v>
      </c>
      <c r="G82" s="465">
        <v>0</v>
      </c>
    </row>
    <row r="83" spans="1:7">
      <c r="A83" t="s">
        <v>66</v>
      </c>
      <c r="B83" s="48" t="s">
        <v>173</v>
      </c>
      <c r="C83" s="189">
        <v>0</v>
      </c>
      <c r="D83" s="189">
        <v>0</v>
      </c>
      <c r="E83" s="465">
        <v>0</v>
      </c>
      <c r="F83" s="465">
        <v>0</v>
      </c>
      <c r="G83" s="465">
        <v>0</v>
      </c>
    </row>
    <row r="84" spans="1:7">
      <c r="A84" s="32" t="s">
        <v>212</v>
      </c>
      <c r="B84" s="47" t="s">
        <v>404</v>
      </c>
      <c r="C84" s="189">
        <v>0</v>
      </c>
      <c r="D84" s="189">
        <f>C84</f>
        <v>0</v>
      </c>
      <c r="E84" s="465">
        <f>D84</f>
        <v>0</v>
      </c>
      <c r="F84" s="465">
        <f>E84</f>
        <v>0</v>
      </c>
      <c r="G84" s="465">
        <v>0</v>
      </c>
    </row>
    <row r="85" spans="1:7">
      <c r="A85" s="32"/>
      <c r="B85" s="47" t="s">
        <v>213</v>
      </c>
      <c r="C85" s="189">
        <v>0</v>
      </c>
      <c r="D85" s="189">
        <v>0</v>
      </c>
      <c r="E85" s="465">
        <v>0</v>
      </c>
      <c r="F85" s="465">
        <v>0</v>
      </c>
      <c r="G85" s="465">
        <v>0</v>
      </c>
    </row>
    <row r="86" spans="1:7">
      <c r="A86" s="32" t="s">
        <v>66</v>
      </c>
      <c r="B86" s="47" t="s">
        <v>172</v>
      </c>
      <c r="C86" s="189">
        <v>0</v>
      </c>
      <c r="D86" s="189">
        <v>0</v>
      </c>
      <c r="E86" s="465">
        <v>0</v>
      </c>
      <c r="F86" s="465">
        <v>0</v>
      </c>
      <c r="G86" s="465">
        <v>0</v>
      </c>
    </row>
    <row r="87" spans="1:7">
      <c r="A87" s="32"/>
      <c r="B87" s="47" t="s">
        <v>215</v>
      </c>
      <c r="C87" s="189">
        <v>0</v>
      </c>
      <c r="D87" s="189">
        <v>0</v>
      </c>
      <c r="E87" s="465">
        <v>0</v>
      </c>
      <c r="F87" s="465">
        <v>0</v>
      </c>
      <c r="G87" s="465">
        <v>0</v>
      </c>
    </row>
    <row r="88" spans="1:7">
      <c r="A88" s="32" t="s">
        <v>66</v>
      </c>
      <c r="B88" s="47" t="s">
        <v>216</v>
      </c>
      <c r="C88" s="189">
        <v>0</v>
      </c>
      <c r="D88" s="189">
        <v>0</v>
      </c>
      <c r="E88" s="465">
        <v>0</v>
      </c>
      <c r="F88" s="465">
        <v>0</v>
      </c>
      <c r="G88" s="465">
        <v>0</v>
      </c>
    </row>
    <row r="89" spans="1:7">
      <c r="A89" s="32" t="s">
        <v>66</v>
      </c>
      <c r="B89" s="47" t="s">
        <v>174</v>
      </c>
      <c r="C89" s="189">
        <v>0</v>
      </c>
      <c r="D89" s="189">
        <v>0</v>
      </c>
      <c r="E89" s="465">
        <v>0</v>
      </c>
      <c r="F89" s="465">
        <v>0</v>
      </c>
      <c r="G89" s="465">
        <v>0</v>
      </c>
    </row>
    <row r="90" spans="1:7">
      <c r="A90" s="32"/>
      <c r="B90" s="47" t="s">
        <v>214</v>
      </c>
      <c r="C90" s="189">
        <v>0</v>
      </c>
      <c r="D90" s="189">
        <v>0</v>
      </c>
      <c r="E90" s="465">
        <v>0</v>
      </c>
      <c r="F90" s="465">
        <v>0</v>
      </c>
      <c r="G90" s="465">
        <v>0</v>
      </c>
    </row>
    <row r="91" spans="1:7">
      <c r="A91" s="32" t="s">
        <v>66</v>
      </c>
      <c r="B91" s="47" t="s">
        <v>405</v>
      </c>
      <c r="C91" s="189">
        <v>0</v>
      </c>
      <c r="D91" s="189">
        <v>0</v>
      </c>
      <c r="E91" s="465">
        <v>0</v>
      </c>
      <c r="F91" s="465">
        <v>0</v>
      </c>
      <c r="G91" s="465">
        <v>0</v>
      </c>
    </row>
    <row r="92" spans="1:7">
      <c r="A92" s="32"/>
      <c r="B92" s="47" t="s">
        <v>173</v>
      </c>
      <c r="C92" s="189">
        <v>0</v>
      </c>
      <c r="D92" s="189">
        <v>0</v>
      </c>
      <c r="E92" s="465">
        <v>0</v>
      </c>
      <c r="F92" s="465">
        <v>0</v>
      </c>
      <c r="G92" s="465">
        <v>0</v>
      </c>
    </row>
    <row r="93" spans="1:7">
      <c r="A93" t="s">
        <v>70</v>
      </c>
      <c r="B93" s="48" t="s">
        <v>214</v>
      </c>
      <c r="C93" s="189">
        <v>0</v>
      </c>
      <c r="D93" s="189">
        <v>0</v>
      </c>
      <c r="E93" s="465">
        <v>0</v>
      </c>
      <c r="F93" s="465">
        <v>0</v>
      </c>
      <c r="G93" s="465">
        <v>0</v>
      </c>
    </row>
    <row r="94" spans="1:7">
      <c r="B94" s="48" t="s">
        <v>405</v>
      </c>
      <c r="C94" s="189">
        <v>0</v>
      </c>
      <c r="D94" s="189">
        <v>0</v>
      </c>
      <c r="E94" s="465">
        <v>2</v>
      </c>
      <c r="F94" s="465">
        <v>0</v>
      </c>
      <c r="G94" s="465">
        <v>0</v>
      </c>
    </row>
    <row r="95" spans="1:7">
      <c r="A95" t="s">
        <v>66</v>
      </c>
      <c r="B95" s="48" t="s">
        <v>173</v>
      </c>
      <c r="C95" s="189">
        <v>0</v>
      </c>
      <c r="D95" s="189">
        <v>0</v>
      </c>
      <c r="E95" s="465">
        <v>0</v>
      </c>
      <c r="F95" s="465">
        <v>0</v>
      </c>
      <c r="G95" s="465">
        <v>0</v>
      </c>
    </row>
    <row r="96" spans="1:7">
      <c r="A96" s="32" t="s">
        <v>71</v>
      </c>
      <c r="B96" s="47" t="s">
        <v>215</v>
      </c>
      <c r="C96" s="189">
        <v>0</v>
      </c>
      <c r="D96" s="189">
        <v>0</v>
      </c>
      <c r="E96" s="465">
        <v>0</v>
      </c>
      <c r="F96" s="465">
        <v>0</v>
      </c>
      <c r="G96" s="465">
        <v>0</v>
      </c>
    </row>
    <row r="97" spans="1:7">
      <c r="A97" s="32"/>
      <c r="B97" s="47" t="s">
        <v>216</v>
      </c>
      <c r="C97" s="189">
        <v>0</v>
      </c>
      <c r="D97" s="189">
        <v>0</v>
      </c>
      <c r="E97" s="465">
        <v>0</v>
      </c>
      <c r="F97" s="465">
        <v>0</v>
      </c>
      <c r="G97" s="465">
        <v>0</v>
      </c>
    </row>
    <row r="98" spans="1:7">
      <c r="A98" s="32" t="s">
        <v>66</v>
      </c>
      <c r="B98" s="47" t="s">
        <v>174</v>
      </c>
      <c r="C98" s="189">
        <v>0</v>
      </c>
      <c r="D98" s="189">
        <v>0</v>
      </c>
      <c r="E98" s="465">
        <v>0</v>
      </c>
      <c r="F98" s="465">
        <v>0</v>
      </c>
      <c r="G98" s="465">
        <v>0</v>
      </c>
    </row>
    <row r="99" spans="1:7">
      <c r="A99" s="32"/>
      <c r="B99" s="47" t="s">
        <v>214</v>
      </c>
      <c r="C99" s="189">
        <v>0</v>
      </c>
      <c r="D99" s="189">
        <v>0</v>
      </c>
      <c r="E99" s="465">
        <v>0</v>
      </c>
      <c r="F99" s="465">
        <v>0</v>
      </c>
      <c r="G99" s="465">
        <v>0</v>
      </c>
    </row>
    <row r="100" spans="1:7">
      <c r="A100" s="32" t="s">
        <v>66</v>
      </c>
      <c r="B100" s="47" t="s">
        <v>405</v>
      </c>
      <c r="C100" s="189">
        <v>0</v>
      </c>
      <c r="D100" s="189">
        <v>0</v>
      </c>
      <c r="E100" s="465">
        <v>0</v>
      </c>
      <c r="F100" s="465">
        <v>0</v>
      </c>
      <c r="G100" s="465">
        <v>0</v>
      </c>
    </row>
    <row r="101" spans="1:7">
      <c r="A101" s="32" t="s">
        <v>66</v>
      </c>
      <c r="B101" s="47" t="s">
        <v>173</v>
      </c>
      <c r="C101" s="189">
        <v>0</v>
      </c>
      <c r="D101" s="189">
        <v>0</v>
      </c>
      <c r="E101" s="465">
        <v>0</v>
      </c>
      <c r="F101" s="465">
        <v>0</v>
      </c>
      <c r="G101" s="465">
        <v>0</v>
      </c>
    </row>
    <row r="102" spans="1:7">
      <c r="A102" t="s">
        <v>72</v>
      </c>
      <c r="B102" s="48" t="s">
        <v>214</v>
      </c>
      <c r="C102" s="189">
        <v>0</v>
      </c>
      <c r="D102" s="189">
        <v>0</v>
      </c>
      <c r="E102" s="465">
        <v>0</v>
      </c>
      <c r="F102" s="465">
        <v>0</v>
      </c>
      <c r="G102" s="465">
        <v>0</v>
      </c>
    </row>
    <row r="103" spans="1:7">
      <c r="B103" s="48" t="s">
        <v>405</v>
      </c>
      <c r="C103" s="189">
        <v>49.134500000000003</v>
      </c>
      <c r="D103" s="189">
        <v>6.4930608391520881</v>
      </c>
      <c r="E103" s="465">
        <v>1</v>
      </c>
      <c r="F103" s="465">
        <v>0.23323547519556848</v>
      </c>
      <c r="G103" s="465">
        <v>79</v>
      </c>
    </row>
    <row r="104" spans="1:7">
      <c r="A104" t="s">
        <v>66</v>
      </c>
      <c r="B104" s="48" t="s">
        <v>173</v>
      </c>
      <c r="C104" s="189">
        <v>0</v>
      </c>
      <c r="D104" s="189">
        <v>0</v>
      </c>
      <c r="E104" s="465">
        <v>0</v>
      </c>
      <c r="F104" s="465">
        <v>0</v>
      </c>
      <c r="G104" s="465">
        <v>0</v>
      </c>
    </row>
    <row r="105" spans="1:7">
      <c r="A105" s="32" t="s">
        <v>73</v>
      </c>
      <c r="B105" s="47" t="s">
        <v>543</v>
      </c>
      <c r="C105" s="189">
        <v>0</v>
      </c>
      <c r="D105" s="189">
        <v>0</v>
      </c>
      <c r="E105" s="465">
        <v>0</v>
      </c>
      <c r="F105" s="465">
        <v>0</v>
      </c>
      <c r="G105" s="465">
        <v>0</v>
      </c>
    </row>
    <row r="106" spans="1:7">
      <c r="A106" s="32" t="s">
        <v>66</v>
      </c>
      <c r="B106" s="47" t="s">
        <v>544</v>
      </c>
      <c r="C106" s="189">
        <v>57.977699999999999</v>
      </c>
      <c r="D106" s="189">
        <v>11.0602718126858</v>
      </c>
      <c r="E106" s="465">
        <v>0</v>
      </c>
      <c r="F106" s="465">
        <v>57.2629921773772</v>
      </c>
      <c r="G106" s="465">
        <v>62</v>
      </c>
    </row>
    <row r="107" spans="1:7">
      <c r="A107" s="32" t="s">
        <v>66</v>
      </c>
      <c r="B107" s="47" t="s">
        <v>545</v>
      </c>
      <c r="C107" s="189">
        <v>0</v>
      </c>
      <c r="D107" s="189">
        <v>0</v>
      </c>
      <c r="E107" s="465">
        <v>0</v>
      </c>
      <c r="F107" s="465">
        <v>0</v>
      </c>
      <c r="G107" s="465">
        <v>0</v>
      </c>
    </row>
    <row r="108" spans="1:7">
      <c r="A108" s="32"/>
      <c r="B108" s="47" t="s">
        <v>217</v>
      </c>
      <c r="C108" s="189">
        <v>0</v>
      </c>
      <c r="D108" s="189">
        <v>0</v>
      </c>
      <c r="E108" s="465">
        <v>0</v>
      </c>
      <c r="F108" s="465">
        <v>0</v>
      </c>
      <c r="G108" s="465">
        <v>0</v>
      </c>
    </row>
    <row r="109" spans="1:7">
      <c r="A109" s="32" t="s">
        <v>66</v>
      </c>
      <c r="B109" s="47" t="s">
        <v>236</v>
      </c>
      <c r="C109" s="189">
        <v>55.893999999999998</v>
      </c>
      <c r="D109" s="189">
        <v>11</v>
      </c>
      <c r="E109" s="465">
        <v>160</v>
      </c>
      <c r="F109" s="465">
        <v>228.99992447728903</v>
      </c>
      <c r="G109" s="465">
        <v>61</v>
      </c>
    </row>
    <row r="110" spans="1:7">
      <c r="A110" s="32" t="s">
        <v>66</v>
      </c>
      <c r="B110" s="47" t="s">
        <v>175</v>
      </c>
      <c r="C110" s="189">
        <v>0</v>
      </c>
      <c r="D110" s="189">
        <v>0</v>
      </c>
      <c r="E110" s="465">
        <v>0</v>
      </c>
      <c r="F110" s="465">
        <v>0</v>
      </c>
      <c r="G110" s="465">
        <v>0</v>
      </c>
    </row>
    <row r="111" spans="1:7">
      <c r="A111" t="s">
        <v>74</v>
      </c>
      <c r="B111" s="48" t="s">
        <v>404</v>
      </c>
      <c r="C111" s="189">
        <v>0</v>
      </c>
      <c r="D111" s="189">
        <v>0</v>
      </c>
      <c r="E111" s="465">
        <v>0</v>
      </c>
      <c r="F111" s="465">
        <v>0</v>
      </c>
      <c r="G111" s="465">
        <v>0</v>
      </c>
    </row>
    <row r="112" spans="1:7">
      <c r="B112" s="48" t="s">
        <v>213</v>
      </c>
      <c r="C112" s="189">
        <v>0</v>
      </c>
      <c r="D112" s="189">
        <v>0</v>
      </c>
      <c r="E112" s="465">
        <v>0</v>
      </c>
      <c r="F112" s="465">
        <v>0</v>
      </c>
      <c r="G112" s="465">
        <v>0</v>
      </c>
    </row>
    <row r="113" spans="1:7">
      <c r="A113" t="s">
        <v>66</v>
      </c>
      <c r="B113" s="48" t="s">
        <v>172</v>
      </c>
      <c r="C113" s="189">
        <v>0</v>
      </c>
      <c r="D113" s="189">
        <v>0</v>
      </c>
      <c r="E113" s="465">
        <v>0</v>
      </c>
      <c r="F113" s="465">
        <v>0</v>
      </c>
      <c r="G113" s="465">
        <v>0</v>
      </c>
    </row>
    <row r="114" spans="1:7">
      <c r="B114" s="48" t="s">
        <v>215</v>
      </c>
      <c r="C114" s="189">
        <v>0</v>
      </c>
      <c r="D114" s="189">
        <v>0</v>
      </c>
      <c r="E114" s="465">
        <v>0</v>
      </c>
      <c r="F114" s="465">
        <v>0</v>
      </c>
      <c r="G114" s="465">
        <v>0</v>
      </c>
    </row>
    <row r="115" spans="1:7">
      <c r="A115" t="s">
        <v>66</v>
      </c>
      <c r="B115" s="48" t="s">
        <v>216</v>
      </c>
      <c r="C115" s="189">
        <v>11</v>
      </c>
      <c r="D115" s="189">
        <v>3</v>
      </c>
      <c r="E115" s="465">
        <v>2</v>
      </c>
      <c r="F115" s="465">
        <v>23.283000000000001</v>
      </c>
      <c r="G115" s="465">
        <v>14</v>
      </c>
    </row>
    <row r="116" spans="1:7">
      <c r="A116" t="s">
        <v>66</v>
      </c>
      <c r="B116" s="48" t="s">
        <v>174</v>
      </c>
      <c r="C116" s="189">
        <v>0</v>
      </c>
      <c r="D116" s="189">
        <v>0</v>
      </c>
      <c r="E116" s="465">
        <v>0</v>
      </c>
      <c r="F116" s="465">
        <v>0</v>
      </c>
      <c r="G116" s="465">
        <v>0</v>
      </c>
    </row>
    <row r="117" spans="1:7">
      <c r="B117" s="48" t="s">
        <v>543</v>
      </c>
      <c r="C117" s="189">
        <v>0</v>
      </c>
      <c r="D117" s="189">
        <v>0</v>
      </c>
      <c r="E117" s="465">
        <v>0</v>
      </c>
      <c r="F117" s="465">
        <v>0</v>
      </c>
      <c r="G117" s="465">
        <v>0</v>
      </c>
    </row>
    <row r="118" spans="1:7">
      <c r="A118" t="s">
        <v>66</v>
      </c>
      <c r="B118" s="48" t="s">
        <v>544</v>
      </c>
      <c r="C118" s="189">
        <v>0</v>
      </c>
      <c r="D118" s="189">
        <v>0</v>
      </c>
      <c r="E118" s="465">
        <v>0</v>
      </c>
      <c r="F118" s="465">
        <v>0</v>
      </c>
      <c r="G118" s="465">
        <v>0</v>
      </c>
    </row>
    <row r="119" spans="1:7">
      <c r="A119" t="s">
        <v>66</v>
      </c>
      <c r="B119" s="48" t="s">
        <v>545</v>
      </c>
      <c r="C119" s="189">
        <v>0</v>
      </c>
      <c r="D119" s="189">
        <v>0</v>
      </c>
      <c r="E119" s="465">
        <v>0</v>
      </c>
      <c r="F119" s="465">
        <v>0</v>
      </c>
      <c r="G119" s="465">
        <v>0</v>
      </c>
    </row>
    <row r="120" spans="1:7">
      <c r="B120" s="48" t="s">
        <v>217</v>
      </c>
      <c r="C120" s="189">
        <v>0</v>
      </c>
      <c r="D120" s="189">
        <v>0</v>
      </c>
      <c r="E120" s="465">
        <v>0</v>
      </c>
      <c r="F120" s="465">
        <v>0</v>
      </c>
      <c r="G120" s="465">
        <v>0</v>
      </c>
    </row>
    <row r="121" spans="1:7">
      <c r="B121" s="48" t="s">
        <v>236</v>
      </c>
      <c r="C121" s="189">
        <v>0</v>
      </c>
      <c r="D121" s="189">
        <v>0</v>
      </c>
      <c r="E121" s="465">
        <v>0</v>
      </c>
      <c r="F121" s="465">
        <v>0</v>
      </c>
      <c r="G121" s="465">
        <v>0</v>
      </c>
    </row>
    <row r="122" spans="1:7">
      <c r="B122" s="48" t="s">
        <v>175</v>
      </c>
      <c r="C122" s="189">
        <v>0</v>
      </c>
      <c r="D122" s="189">
        <v>0</v>
      </c>
      <c r="E122" s="465">
        <v>0</v>
      </c>
      <c r="F122" s="465">
        <v>0</v>
      </c>
      <c r="G122" s="465">
        <v>0</v>
      </c>
    </row>
    <row r="123" spans="1:7">
      <c r="A123" s="32" t="s">
        <v>75</v>
      </c>
      <c r="B123" s="47" t="s">
        <v>215</v>
      </c>
      <c r="C123" s="189">
        <v>0</v>
      </c>
      <c r="D123" s="189">
        <v>0</v>
      </c>
      <c r="E123" s="465">
        <v>0</v>
      </c>
      <c r="F123" s="465">
        <v>0</v>
      </c>
      <c r="G123" s="465">
        <v>0</v>
      </c>
    </row>
    <row r="124" spans="1:7">
      <c r="A124" s="32"/>
      <c r="B124" s="47" t="s">
        <v>216</v>
      </c>
      <c r="C124" s="189">
        <v>0</v>
      </c>
      <c r="D124" s="189">
        <v>0</v>
      </c>
      <c r="E124" s="465">
        <v>0</v>
      </c>
      <c r="F124" s="465">
        <v>0</v>
      </c>
      <c r="G124" s="465">
        <v>0</v>
      </c>
    </row>
    <row r="125" spans="1:7">
      <c r="A125" s="32" t="s">
        <v>66</v>
      </c>
      <c r="B125" s="47" t="s">
        <v>174</v>
      </c>
      <c r="C125" s="189">
        <v>0</v>
      </c>
      <c r="D125" s="189">
        <v>0</v>
      </c>
      <c r="E125" s="465">
        <v>0</v>
      </c>
      <c r="F125" s="465">
        <v>0</v>
      </c>
      <c r="G125" s="465">
        <v>0</v>
      </c>
    </row>
    <row r="126" spans="1:7">
      <c r="A126" s="32"/>
      <c r="B126" s="47" t="s">
        <v>543</v>
      </c>
      <c r="C126" s="189">
        <v>0</v>
      </c>
      <c r="D126" s="189">
        <v>0</v>
      </c>
      <c r="E126" s="465">
        <v>0</v>
      </c>
      <c r="F126" s="465">
        <v>0</v>
      </c>
      <c r="G126" s="465">
        <v>0</v>
      </c>
    </row>
    <row r="127" spans="1:7">
      <c r="A127" s="32" t="s">
        <v>66</v>
      </c>
      <c r="B127" s="47" t="s">
        <v>544</v>
      </c>
      <c r="C127" s="189">
        <v>0</v>
      </c>
      <c r="D127" s="189">
        <v>0</v>
      </c>
      <c r="E127" s="465">
        <v>0</v>
      </c>
      <c r="F127" s="465">
        <v>0</v>
      </c>
      <c r="G127" s="465">
        <v>0</v>
      </c>
    </row>
    <row r="128" spans="1:7">
      <c r="A128" s="32" t="s">
        <v>66</v>
      </c>
      <c r="B128" s="47" t="s">
        <v>545</v>
      </c>
      <c r="C128" s="189">
        <v>0</v>
      </c>
      <c r="D128" s="189">
        <v>0</v>
      </c>
      <c r="E128" s="465">
        <v>0</v>
      </c>
      <c r="F128" s="465">
        <v>0</v>
      </c>
      <c r="G128" s="465">
        <v>0</v>
      </c>
    </row>
    <row r="129" spans="1:7">
      <c r="A129" s="32"/>
      <c r="B129" s="47" t="s">
        <v>217</v>
      </c>
      <c r="C129" s="189">
        <v>0</v>
      </c>
      <c r="D129" s="189">
        <v>0</v>
      </c>
      <c r="E129" s="465">
        <v>0</v>
      </c>
      <c r="F129" s="465">
        <v>0</v>
      </c>
      <c r="G129" s="465">
        <v>0</v>
      </c>
    </row>
    <row r="130" spans="1:7">
      <c r="A130" s="32" t="s">
        <v>66</v>
      </c>
      <c r="B130" s="47" t="s">
        <v>236</v>
      </c>
      <c r="C130" s="189">
        <v>0</v>
      </c>
      <c r="D130" s="189">
        <v>0.31364033830646271</v>
      </c>
      <c r="E130" s="465">
        <v>0.31364033830646271</v>
      </c>
      <c r="F130" s="465">
        <v>0</v>
      </c>
      <c r="G130" s="465">
        <v>0</v>
      </c>
    </row>
    <row r="131" spans="1:7">
      <c r="A131" s="32" t="s">
        <v>66</v>
      </c>
      <c r="B131" s="47" t="s">
        <v>175</v>
      </c>
      <c r="C131" s="189">
        <v>0</v>
      </c>
      <c r="D131" s="189">
        <v>0</v>
      </c>
      <c r="E131" s="465">
        <v>0</v>
      </c>
      <c r="F131" s="465">
        <v>0</v>
      </c>
      <c r="G131" s="465">
        <v>0</v>
      </c>
    </row>
    <row r="132" spans="1:7">
      <c r="A132" t="s">
        <v>76</v>
      </c>
      <c r="B132" s="48" t="s">
        <v>215</v>
      </c>
      <c r="C132" s="189">
        <v>0</v>
      </c>
      <c r="D132" s="189">
        <v>0</v>
      </c>
      <c r="E132" s="465">
        <v>0</v>
      </c>
      <c r="F132" s="465">
        <v>0</v>
      </c>
      <c r="G132" s="465">
        <v>0</v>
      </c>
    </row>
    <row r="133" spans="1:7">
      <c r="B133" s="48" t="s">
        <v>216</v>
      </c>
      <c r="C133" s="189">
        <v>412</v>
      </c>
      <c r="D133" s="189">
        <v>436</v>
      </c>
      <c r="E133" s="465">
        <v>908</v>
      </c>
      <c r="F133" s="465">
        <v>1392.21</v>
      </c>
      <c r="G133" s="465">
        <v>519</v>
      </c>
    </row>
    <row r="134" spans="1:7">
      <c r="A134" t="s">
        <v>66</v>
      </c>
      <c r="B134" s="48" t="s">
        <v>174</v>
      </c>
      <c r="C134" s="189">
        <v>369</v>
      </c>
      <c r="D134" s="189">
        <v>307</v>
      </c>
      <c r="E134" s="465">
        <v>288</v>
      </c>
      <c r="F134" s="465">
        <v>361</v>
      </c>
      <c r="G134" s="465">
        <v>376</v>
      </c>
    </row>
    <row r="135" spans="1:7">
      <c r="B135" s="48" t="s">
        <v>217</v>
      </c>
      <c r="C135" s="189">
        <v>0</v>
      </c>
      <c r="D135" s="189">
        <v>0</v>
      </c>
      <c r="E135" s="465">
        <v>0</v>
      </c>
      <c r="F135" s="465">
        <v>0</v>
      </c>
      <c r="G135" s="465">
        <v>0</v>
      </c>
    </row>
    <row r="136" spans="1:7">
      <c r="A136" t="s">
        <v>66</v>
      </c>
      <c r="B136" s="48" t="s">
        <v>236</v>
      </c>
      <c r="C136" s="189">
        <v>96.929900000000004</v>
      </c>
      <c r="D136" s="189">
        <v>110.24238380341461</v>
      </c>
      <c r="E136" s="465">
        <v>196</v>
      </c>
      <c r="F136" s="465">
        <v>171.77234913286273</v>
      </c>
      <c r="G136" s="465">
        <v>92</v>
      </c>
    </row>
    <row r="137" spans="1:7">
      <c r="A137" t="s">
        <v>66</v>
      </c>
      <c r="B137" s="48" t="s">
        <v>175</v>
      </c>
      <c r="C137" s="189">
        <v>0</v>
      </c>
      <c r="D137" s="189">
        <v>0</v>
      </c>
      <c r="E137" s="465">
        <v>0</v>
      </c>
      <c r="F137" s="465">
        <v>0</v>
      </c>
      <c r="G137" s="465">
        <v>0</v>
      </c>
    </row>
    <row r="138" spans="1:7">
      <c r="A138" s="32" t="s">
        <v>77</v>
      </c>
      <c r="B138" s="47" t="s">
        <v>215</v>
      </c>
      <c r="C138" s="189">
        <v>0</v>
      </c>
      <c r="D138" s="189">
        <v>0</v>
      </c>
      <c r="E138" s="465">
        <v>0</v>
      </c>
      <c r="F138" s="465">
        <v>0</v>
      </c>
      <c r="G138" s="465">
        <v>0</v>
      </c>
    </row>
    <row r="139" spans="1:7">
      <c r="A139" s="32"/>
      <c r="B139" s="47" t="s">
        <v>216</v>
      </c>
      <c r="C139" s="189">
        <v>969</v>
      </c>
      <c r="D139" s="189">
        <v>690</v>
      </c>
      <c r="E139" s="465">
        <v>197</v>
      </c>
      <c r="F139" s="465">
        <v>753</v>
      </c>
      <c r="G139" s="465">
        <v>889.36</v>
      </c>
    </row>
    <row r="140" spans="1:7">
      <c r="A140" s="32" t="s">
        <v>66</v>
      </c>
      <c r="B140" s="47" t="s">
        <v>174</v>
      </c>
      <c r="C140" s="189">
        <v>0</v>
      </c>
      <c r="D140" s="189">
        <v>0</v>
      </c>
      <c r="E140" s="465">
        <v>0</v>
      </c>
      <c r="F140" s="465">
        <v>0</v>
      </c>
      <c r="G140" s="465">
        <v>0</v>
      </c>
    </row>
    <row r="141" spans="1:7">
      <c r="A141" s="32"/>
      <c r="B141" s="47" t="s">
        <v>214</v>
      </c>
      <c r="C141" s="189">
        <v>2268</v>
      </c>
      <c r="D141" s="189">
        <v>2677.0466470953293</v>
      </c>
      <c r="E141" s="465">
        <v>3286</v>
      </c>
      <c r="F141" s="465">
        <v>1751.5329999999999</v>
      </c>
      <c r="G141" s="465">
        <v>1830</v>
      </c>
    </row>
    <row r="142" spans="1:7">
      <c r="A142" s="32" t="s">
        <v>66</v>
      </c>
      <c r="B142" s="47" t="s">
        <v>405</v>
      </c>
      <c r="C142" s="189">
        <v>1687.6172999999999</v>
      </c>
      <c r="D142" s="189">
        <v>1489</v>
      </c>
      <c r="E142" s="465">
        <v>316</v>
      </c>
      <c r="F142" s="465">
        <v>1452.824987345437</v>
      </c>
      <c r="G142" s="465">
        <v>1461</v>
      </c>
    </row>
    <row r="143" spans="1:7">
      <c r="A143" s="32" t="s">
        <v>66</v>
      </c>
      <c r="B143" s="47" t="s">
        <v>173</v>
      </c>
      <c r="C143" s="189">
        <v>0</v>
      </c>
      <c r="D143" s="189">
        <v>0</v>
      </c>
      <c r="E143" s="465">
        <v>0</v>
      </c>
      <c r="F143" s="465">
        <v>0</v>
      </c>
      <c r="G143" s="465">
        <v>0</v>
      </c>
    </row>
    <row r="144" spans="1:7">
      <c r="A144" s="32"/>
      <c r="B144" s="47" t="s">
        <v>264</v>
      </c>
      <c r="C144" s="189">
        <v>0</v>
      </c>
      <c r="D144" s="189">
        <v>0</v>
      </c>
      <c r="E144" s="465">
        <v>0</v>
      </c>
      <c r="F144" s="465">
        <v>0</v>
      </c>
      <c r="G144" s="465">
        <v>0</v>
      </c>
    </row>
    <row r="145" spans="1:8">
      <c r="A145" s="32" t="s">
        <v>66</v>
      </c>
      <c r="B145" s="47" t="s">
        <v>406</v>
      </c>
      <c r="C145" s="189">
        <v>1261.3290999999999</v>
      </c>
      <c r="D145" s="189">
        <v>1177</v>
      </c>
      <c r="E145" s="465">
        <v>84</v>
      </c>
      <c r="F145" s="465">
        <v>551.79057092585458</v>
      </c>
      <c r="G145" s="465">
        <v>665</v>
      </c>
    </row>
    <row r="146" spans="1:8">
      <c r="A146" s="32" t="s">
        <v>66</v>
      </c>
      <c r="B146" s="47" t="s">
        <v>263</v>
      </c>
      <c r="C146" s="189">
        <v>0</v>
      </c>
      <c r="D146" s="189">
        <v>0</v>
      </c>
      <c r="E146" s="465">
        <v>0</v>
      </c>
      <c r="F146" s="465">
        <v>0</v>
      </c>
      <c r="G146" s="465">
        <v>0</v>
      </c>
    </row>
    <row r="147" spans="1:8">
      <c r="C147" s="187"/>
      <c r="D147" s="319"/>
      <c r="E147" s="319"/>
    </row>
    <row r="148" spans="1:8">
      <c r="A148" s="44" t="s">
        <v>237</v>
      </c>
      <c r="C148" s="187"/>
      <c r="D148" s="319"/>
      <c r="E148" s="319"/>
    </row>
    <row r="149" spans="1:8">
      <c r="A149" t="s">
        <v>66</v>
      </c>
      <c r="B149" s="46" t="s">
        <v>401</v>
      </c>
      <c r="C149" s="126">
        <v>0.6</v>
      </c>
      <c r="D149" s="126">
        <v>0.6</v>
      </c>
      <c r="E149" s="255">
        <v>0.6</v>
      </c>
      <c r="F149" s="255">
        <v>0.6</v>
      </c>
      <c r="G149" s="255">
        <v>0.6</v>
      </c>
    </row>
    <row r="150" spans="1:8">
      <c r="A150" t="s">
        <v>66</v>
      </c>
      <c r="B150" s="46" t="s">
        <v>402</v>
      </c>
      <c r="C150" s="126">
        <v>0.75</v>
      </c>
      <c r="D150" s="126">
        <v>0.75</v>
      </c>
      <c r="E150" s="255">
        <v>0.75</v>
      </c>
      <c r="F150" s="255">
        <v>0.75</v>
      </c>
      <c r="G150" s="255">
        <v>0.75</v>
      </c>
    </row>
    <row r="151" spans="1:8">
      <c r="A151" t="s">
        <v>66</v>
      </c>
      <c r="B151" s="46" t="s">
        <v>403</v>
      </c>
      <c r="C151" s="126">
        <v>0.5</v>
      </c>
      <c r="D151" s="126">
        <v>0.5</v>
      </c>
      <c r="E151" s="255">
        <v>0.5</v>
      </c>
      <c r="F151" s="255">
        <v>0.5</v>
      </c>
      <c r="G151" s="255">
        <v>0.5</v>
      </c>
    </row>
    <row r="152" spans="1:8">
      <c r="C152" s="319"/>
      <c r="D152" s="319"/>
      <c r="E152" s="319"/>
    </row>
    <row r="153" spans="1:8">
      <c r="A153" s="44" t="s">
        <v>399</v>
      </c>
      <c r="B153" s="12"/>
      <c r="C153" s="319"/>
      <c r="D153" s="319"/>
      <c r="E153" s="319"/>
    </row>
    <row r="154" spans="1:8">
      <c r="A154" s="32" t="s">
        <v>65</v>
      </c>
      <c r="B154" s="47" t="s">
        <v>238</v>
      </c>
      <c r="C154" s="189">
        <v>38</v>
      </c>
      <c r="D154" s="189">
        <f>C154</f>
        <v>38</v>
      </c>
      <c r="E154" s="465">
        <v>40</v>
      </c>
      <c r="F154" s="465">
        <v>40</v>
      </c>
      <c r="G154" s="465">
        <v>39</v>
      </c>
      <c r="H154" s="521"/>
    </row>
    <row r="155" spans="1:8">
      <c r="A155" t="s">
        <v>67</v>
      </c>
      <c r="B155" s="48" t="s">
        <v>238</v>
      </c>
      <c r="C155" s="189">
        <v>0</v>
      </c>
      <c r="D155" s="189">
        <v>0</v>
      </c>
      <c r="E155" s="465">
        <v>0</v>
      </c>
      <c r="F155" s="465">
        <v>0</v>
      </c>
      <c r="G155" s="465">
        <v>0</v>
      </c>
    </row>
    <row r="156" spans="1:8">
      <c r="A156" t="s">
        <v>66</v>
      </c>
      <c r="B156" s="48" t="s">
        <v>240</v>
      </c>
      <c r="C156" s="189">
        <v>11</v>
      </c>
      <c r="D156" s="189">
        <v>12.149672055208329</v>
      </c>
      <c r="E156" s="465">
        <v>12</v>
      </c>
      <c r="F156" s="465">
        <v>18.850000000000001</v>
      </c>
      <c r="G156" s="465">
        <v>15.63</v>
      </c>
    </row>
    <row r="157" spans="1:8">
      <c r="A157" t="s">
        <v>66</v>
      </c>
      <c r="B157" s="48" t="s">
        <v>239</v>
      </c>
      <c r="C157" s="189">
        <v>0</v>
      </c>
      <c r="D157" s="189">
        <v>0</v>
      </c>
      <c r="E157" s="465">
        <v>0</v>
      </c>
      <c r="F157" s="465">
        <v>0</v>
      </c>
      <c r="G157" s="465">
        <v>0</v>
      </c>
    </row>
    <row r="158" spans="1:8">
      <c r="A158" s="32" t="s">
        <v>68</v>
      </c>
      <c r="B158" s="47" t="s">
        <v>238</v>
      </c>
      <c r="C158" s="189">
        <v>0</v>
      </c>
      <c r="D158" s="189">
        <v>0</v>
      </c>
      <c r="E158" s="465">
        <v>0</v>
      </c>
      <c r="F158" s="465">
        <v>0</v>
      </c>
      <c r="G158" s="465">
        <v>0</v>
      </c>
    </row>
    <row r="159" spans="1:8">
      <c r="A159" s="32"/>
      <c r="B159" s="47" t="s">
        <v>239</v>
      </c>
      <c r="C159" s="189">
        <v>6.6659416670000002</v>
      </c>
      <c r="D159" s="189">
        <v>7.66926666666666</v>
      </c>
      <c r="E159" s="465">
        <v>7</v>
      </c>
      <c r="F159" s="465">
        <v>12.827374999999996</v>
      </c>
      <c r="G159" s="465">
        <v>11</v>
      </c>
    </row>
    <row r="160" spans="1:8">
      <c r="A160" t="s">
        <v>69</v>
      </c>
      <c r="B160" s="48" t="s">
        <v>239</v>
      </c>
      <c r="C160" s="189">
        <v>97.501833329999997</v>
      </c>
      <c r="D160" s="189">
        <v>87.498319999999893</v>
      </c>
      <c r="E160" s="465">
        <v>88</v>
      </c>
      <c r="F160" s="465">
        <v>152.37366666666662</v>
      </c>
      <c r="G160" s="465">
        <v>127</v>
      </c>
    </row>
    <row r="161" spans="1:7">
      <c r="A161" s="32" t="s">
        <v>212</v>
      </c>
      <c r="B161" s="47" t="s">
        <v>238</v>
      </c>
      <c r="C161" s="189">
        <v>14</v>
      </c>
      <c r="D161" s="189">
        <v>0</v>
      </c>
      <c r="E161" s="465">
        <v>0</v>
      </c>
      <c r="F161" s="465">
        <v>0</v>
      </c>
      <c r="G161" s="465">
        <v>0</v>
      </c>
    </row>
    <row r="162" spans="1:7">
      <c r="A162" s="32" t="s">
        <v>66</v>
      </c>
      <c r="B162" s="47" t="s">
        <v>240</v>
      </c>
      <c r="C162" s="189">
        <v>96</v>
      </c>
      <c r="D162" s="189">
        <v>106.31038709374998</v>
      </c>
      <c r="E162" s="465">
        <v>107</v>
      </c>
      <c r="F162" s="465">
        <v>164.96</v>
      </c>
      <c r="G162" s="465">
        <v>136.74</v>
      </c>
    </row>
    <row r="163" spans="1:7">
      <c r="A163" s="32" t="s">
        <v>66</v>
      </c>
      <c r="B163" s="47" t="s">
        <v>239</v>
      </c>
      <c r="C163" s="189">
        <v>0</v>
      </c>
      <c r="D163" s="189">
        <v>0</v>
      </c>
      <c r="E163" s="465">
        <v>0</v>
      </c>
      <c r="F163" s="465">
        <v>0</v>
      </c>
      <c r="G163" s="465">
        <v>0</v>
      </c>
    </row>
    <row r="164" spans="1:7">
      <c r="A164" t="s">
        <v>70</v>
      </c>
      <c r="B164" s="48" t="s">
        <v>239</v>
      </c>
      <c r="C164" s="189">
        <v>43.363672729999998</v>
      </c>
      <c r="D164" s="189">
        <v>53.095329166666602</v>
      </c>
      <c r="E164" s="465">
        <v>69</v>
      </c>
      <c r="F164" s="465">
        <v>123.70389583333331</v>
      </c>
      <c r="G164" s="465">
        <v>106</v>
      </c>
    </row>
    <row r="165" spans="1:7">
      <c r="A165" s="32" t="s">
        <v>71</v>
      </c>
      <c r="B165" s="47" t="s">
        <v>240</v>
      </c>
      <c r="C165" s="189">
        <v>9</v>
      </c>
      <c r="D165" s="189">
        <v>8.367945328124998</v>
      </c>
      <c r="E165" s="465">
        <v>11</v>
      </c>
      <c r="F165" s="465">
        <v>16.63</v>
      </c>
      <c r="G165" s="465">
        <v>15.89</v>
      </c>
    </row>
    <row r="166" spans="1:7">
      <c r="A166" s="32" t="s">
        <v>66</v>
      </c>
      <c r="B166" s="47" t="s">
        <v>239</v>
      </c>
      <c r="C166" s="189">
        <v>0</v>
      </c>
      <c r="D166" s="189">
        <v>0</v>
      </c>
      <c r="E166" s="465">
        <v>0</v>
      </c>
      <c r="F166" s="465">
        <v>0</v>
      </c>
      <c r="G166" s="465">
        <v>0</v>
      </c>
    </row>
    <row r="167" spans="1:7">
      <c r="A167" t="s">
        <v>72</v>
      </c>
      <c r="B167" s="48" t="s">
        <v>239</v>
      </c>
      <c r="C167" s="189">
        <v>214.68115</v>
      </c>
      <c r="D167" s="189">
        <v>137.306343749999</v>
      </c>
      <c r="E167" s="465">
        <v>88</v>
      </c>
      <c r="F167" s="465">
        <v>257.81296874999992</v>
      </c>
      <c r="G167" s="465">
        <v>222</v>
      </c>
    </row>
    <row r="168" spans="1:7">
      <c r="A168" s="32" t="s">
        <v>73</v>
      </c>
      <c r="B168" s="47" t="s">
        <v>546</v>
      </c>
      <c r="C168" s="189">
        <v>257.95853749999998</v>
      </c>
      <c r="D168" s="189">
        <v>162.38474375000001</v>
      </c>
      <c r="E168" s="465">
        <v>93</v>
      </c>
      <c r="F168" s="465">
        <v>303.91091875000001</v>
      </c>
      <c r="G168" s="465">
        <v>251</v>
      </c>
    </row>
    <row r="169" spans="1:7">
      <c r="A169" s="32"/>
      <c r="B169" s="47" t="s">
        <v>400</v>
      </c>
      <c r="C169" s="189">
        <v>1.5657000000000001</v>
      </c>
      <c r="D169" s="189">
        <v>2.1309499999999901</v>
      </c>
      <c r="E169" s="465">
        <v>1</v>
      </c>
      <c r="F169" s="465">
        <v>3.4787499999999998</v>
      </c>
      <c r="G169" s="465">
        <v>3</v>
      </c>
    </row>
    <row r="170" spans="1:7">
      <c r="A170" t="s">
        <v>74</v>
      </c>
      <c r="B170" s="48" t="s">
        <v>238</v>
      </c>
      <c r="C170" s="189">
        <v>0</v>
      </c>
      <c r="D170" s="189">
        <v>0</v>
      </c>
      <c r="E170" s="465">
        <v>0</v>
      </c>
      <c r="F170" s="465">
        <v>0</v>
      </c>
      <c r="G170" s="465">
        <v>0</v>
      </c>
    </row>
    <row r="171" spans="1:7">
      <c r="A171" t="s">
        <v>66</v>
      </c>
      <c r="B171" s="48" t="s">
        <v>240</v>
      </c>
      <c r="C171" s="189">
        <v>213</v>
      </c>
      <c r="D171" s="189">
        <v>196.6141792039798</v>
      </c>
      <c r="E171" s="465">
        <v>252</v>
      </c>
      <c r="F171" s="465">
        <v>390.79</v>
      </c>
      <c r="G171" s="465">
        <v>373.29</v>
      </c>
    </row>
    <row r="172" spans="1:7">
      <c r="A172" t="s">
        <v>66</v>
      </c>
      <c r="B172" s="48" t="s">
        <v>546</v>
      </c>
      <c r="C172" s="189">
        <v>84.291502500000007</v>
      </c>
      <c r="D172" s="189">
        <v>71.263358333333301</v>
      </c>
      <c r="E172" s="465">
        <v>70</v>
      </c>
      <c r="F172" s="465">
        <v>168.97670250000002</v>
      </c>
      <c r="G172" s="465">
        <v>126</v>
      </c>
    </row>
    <row r="173" spans="1:7">
      <c r="B173" s="48" t="s">
        <v>400</v>
      </c>
      <c r="C173" s="189">
        <v>0</v>
      </c>
      <c r="D173" s="189">
        <v>0</v>
      </c>
      <c r="E173" s="465">
        <v>0</v>
      </c>
      <c r="F173" s="465">
        <v>0</v>
      </c>
      <c r="G173" s="465">
        <v>0</v>
      </c>
    </row>
    <row r="174" spans="1:7">
      <c r="A174" s="32" t="s">
        <v>75</v>
      </c>
      <c r="B174" s="47" t="s">
        <v>240</v>
      </c>
      <c r="C174" s="189">
        <v>228</v>
      </c>
      <c r="D174" s="189">
        <v>211.12234948125001</v>
      </c>
      <c r="E174" s="465">
        <v>271</v>
      </c>
      <c r="F174" s="465">
        <v>419.62</v>
      </c>
      <c r="G174" s="465">
        <v>400.84</v>
      </c>
    </row>
    <row r="175" spans="1:7">
      <c r="A175" s="32" t="s">
        <v>66</v>
      </c>
      <c r="B175" s="47" t="s">
        <v>546</v>
      </c>
      <c r="C175" s="189">
        <v>36.86540875</v>
      </c>
      <c r="D175" s="189">
        <v>27.117141666666601</v>
      </c>
      <c r="E175" s="465">
        <v>42</v>
      </c>
      <c r="F175" s="465">
        <v>79.426739583333315</v>
      </c>
      <c r="G175" s="465">
        <v>46</v>
      </c>
    </row>
    <row r="176" spans="1:7">
      <c r="A176" s="32"/>
      <c r="B176" s="47" t="s">
        <v>400</v>
      </c>
      <c r="C176" s="189">
        <v>1.97085</v>
      </c>
      <c r="D176" s="189">
        <v>1.4910000000000001</v>
      </c>
      <c r="E176" s="465">
        <v>2</v>
      </c>
      <c r="F176" s="465">
        <v>4.6528687499999997</v>
      </c>
      <c r="G176" s="465">
        <v>2</v>
      </c>
    </row>
    <row r="177" spans="1:17">
      <c r="A177" t="s">
        <v>76</v>
      </c>
      <c r="B177" s="48" t="s">
        <v>240</v>
      </c>
      <c r="C177" s="189">
        <v>227</v>
      </c>
      <c r="D177" s="189">
        <v>140.60064060333332</v>
      </c>
      <c r="E177" s="465">
        <v>194</v>
      </c>
      <c r="F177" s="465">
        <v>333.31</v>
      </c>
      <c r="G177" s="465">
        <v>270.39</v>
      </c>
    </row>
    <row r="178" spans="1:17">
      <c r="A178" t="s">
        <v>66</v>
      </c>
      <c r="B178" s="48" t="s">
        <v>239</v>
      </c>
      <c r="C178" s="189">
        <v>9.5476733330000005</v>
      </c>
      <c r="D178" s="189">
        <v>7.2230666666666599</v>
      </c>
      <c r="E178" s="465">
        <v>13</v>
      </c>
      <c r="F178" s="465">
        <v>26.417954791666659</v>
      </c>
      <c r="G178" s="465">
        <v>12</v>
      </c>
    </row>
    <row r="179" spans="1:17">
      <c r="A179" s="32" t="s">
        <v>77</v>
      </c>
      <c r="B179" s="47" t="s">
        <v>240</v>
      </c>
      <c r="C179" s="189">
        <v>70</v>
      </c>
      <c r="D179" s="189">
        <v>49.91693107337499</v>
      </c>
      <c r="E179" s="465">
        <v>76</v>
      </c>
      <c r="F179" s="465">
        <v>118.52</v>
      </c>
      <c r="G179" s="465">
        <v>77.930000000000007</v>
      </c>
    </row>
    <row r="180" spans="1:17">
      <c r="A180" s="32"/>
      <c r="B180" s="47" t="s">
        <v>462</v>
      </c>
      <c r="C180" s="189">
        <v>917.02710890000003</v>
      </c>
      <c r="D180" s="189">
        <v>632.43047149999802</v>
      </c>
      <c r="E180" s="465">
        <v>536</v>
      </c>
      <c r="F180" s="465">
        <v>1477.9915206458338</v>
      </c>
      <c r="G180" s="465">
        <v>983</v>
      </c>
    </row>
    <row r="181" spans="1:17">
      <c r="A181" s="32" t="s">
        <v>66</v>
      </c>
      <c r="B181" s="47" t="s">
        <v>463</v>
      </c>
      <c r="C181" s="189">
        <v>93.334166670000002</v>
      </c>
      <c r="D181" s="189">
        <v>-8.8209000000000106</v>
      </c>
      <c r="E181" s="465">
        <v>-6</v>
      </c>
      <c r="F181" s="465">
        <v>83.536200000000008</v>
      </c>
      <c r="G181" s="465">
        <v>51</v>
      </c>
      <c r="M181" s="319"/>
      <c r="N181" s="319"/>
      <c r="O181" s="319"/>
      <c r="P181" s="319"/>
      <c r="Q181" s="319"/>
    </row>
    <row r="182" spans="1:17">
      <c r="A182" t="s">
        <v>66</v>
      </c>
      <c r="B182" s="99" t="s">
        <v>66</v>
      </c>
      <c r="C182" s="143"/>
      <c r="D182" s="145"/>
      <c r="E182" s="143"/>
      <c r="F182" s="145"/>
      <c r="G182" s="145"/>
      <c r="M182" s="319"/>
      <c r="N182" s="319"/>
      <c r="O182" s="319"/>
      <c r="P182" s="319"/>
      <c r="Q182" s="319"/>
    </row>
    <row r="183" spans="1:17">
      <c r="A183" s="4" t="s">
        <v>82</v>
      </c>
      <c r="B183" s="12" t="s">
        <v>66</v>
      </c>
      <c r="C183" s="143"/>
      <c r="D183" s="146"/>
      <c r="E183" s="143"/>
      <c r="F183" s="466"/>
      <c r="G183" s="466"/>
      <c r="J183" s="521"/>
      <c r="K183" s="521"/>
      <c r="L183" s="521"/>
      <c r="M183" s="99"/>
      <c r="N183" s="99"/>
      <c r="O183" s="99"/>
      <c r="P183"/>
      <c r="Q183"/>
    </row>
    <row r="184" spans="1:17">
      <c r="A184" s="32" t="s">
        <v>65</v>
      </c>
      <c r="B184" s="382" t="s">
        <v>83</v>
      </c>
      <c r="C184" s="254">
        <v>26046</v>
      </c>
      <c r="D184" s="254">
        <v>32580</v>
      </c>
      <c r="E184" s="465">
        <v>25436</v>
      </c>
      <c r="F184" s="465">
        <v>22984.165289256216</v>
      </c>
      <c r="G184" s="465">
        <v>25846</v>
      </c>
      <c r="H184" s="189"/>
      <c r="I184" s="145"/>
      <c r="J184" s="521"/>
      <c r="K184" s="114"/>
      <c r="L184" s="521"/>
      <c r="M184" s="99"/>
      <c r="N184" s="99"/>
      <c r="O184" s="99"/>
      <c r="P184"/>
      <c r="Q184"/>
    </row>
    <row r="185" spans="1:17">
      <c r="A185" t="s">
        <v>67</v>
      </c>
      <c r="B185" s="64" t="s">
        <v>84</v>
      </c>
      <c r="C185" s="254">
        <v>646</v>
      </c>
      <c r="D185" s="254">
        <v>821</v>
      </c>
      <c r="E185" s="465">
        <v>1113</v>
      </c>
      <c r="F185" s="465">
        <v>1656.6148760330564</v>
      </c>
      <c r="G185" s="465">
        <v>1635</v>
      </c>
      <c r="H185" s="189"/>
      <c r="I185" s="145"/>
      <c r="J185" s="521"/>
      <c r="K185" s="114"/>
      <c r="L185" s="521"/>
      <c r="M185" s="99"/>
      <c r="N185" s="99"/>
      <c r="O185" s="99"/>
      <c r="P185"/>
      <c r="Q185"/>
    </row>
    <row r="186" spans="1:17">
      <c r="A186" s="32" t="s">
        <v>68</v>
      </c>
      <c r="B186" s="382" t="s">
        <v>85</v>
      </c>
      <c r="C186" s="254">
        <v>1282</v>
      </c>
      <c r="D186" s="254">
        <v>1858</v>
      </c>
      <c r="E186" s="465">
        <v>1355</v>
      </c>
      <c r="F186" s="465">
        <v>2143.4181818181801</v>
      </c>
      <c r="G186" s="465">
        <v>1583</v>
      </c>
      <c r="H186" s="189"/>
      <c r="I186" s="145"/>
      <c r="J186" s="521"/>
      <c r="K186" s="114"/>
      <c r="L186" s="521"/>
      <c r="M186" s="99"/>
      <c r="N186" s="99"/>
      <c r="O186" s="99"/>
      <c r="P186"/>
      <c r="Q186"/>
    </row>
    <row r="187" spans="1:17">
      <c r="A187" t="s">
        <v>69</v>
      </c>
      <c r="B187" s="64" t="s">
        <v>86</v>
      </c>
      <c r="C187" s="254">
        <v>8686</v>
      </c>
      <c r="D187" s="254">
        <v>4095</v>
      </c>
      <c r="E187" s="465">
        <v>3748</v>
      </c>
      <c r="F187" s="465">
        <v>4049</v>
      </c>
      <c r="G187" s="465">
        <v>3583</v>
      </c>
      <c r="H187" s="189"/>
      <c r="I187" s="145"/>
      <c r="J187" s="521"/>
      <c r="K187" s="114"/>
      <c r="L187" s="521"/>
      <c r="M187" s="99"/>
      <c r="N187" s="99"/>
      <c r="O187" s="99"/>
      <c r="P187"/>
      <c r="Q187"/>
    </row>
    <row r="188" spans="1:17">
      <c r="A188" s="32" t="s">
        <v>212</v>
      </c>
      <c r="B188" s="382" t="s">
        <v>87</v>
      </c>
      <c r="C188" s="254">
        <v>2385</v>
      </c>
      <c r="D188" s="254">
        <v>1970</v>
      </c>
      <c r="E188" s="465">
        <v>2385</v>
      </c>
      <c r="F188" s="465">
        <v>7229.355371900826</v>
      </c>
      <c r="G188" s="465">
        <v>321</v>
      </c>
      <c r="H188" s="189"/>
      <c r="I188" s="145"/>
      <c r="J188" s="521"/>
      <c r="K188" s="114"/>
      <c r="L188" s="521"/>
      <c r="M188" s="99"/>
      <c r="N188" s="99"/>
      <c r="O188" s="99"/>
      <c r="P188"/>
      <c r="Q188"/>
    </row>
    <row r="189" spans="1:17">
      <c r="A189" t="s">
        <v>70</v>
      </c>
      <c r="B189" s="64" t="s">
        <v>88</v>
      </c>
      <c r="C189" s="254">
        <v>27490</v>
      </c>
      <c r="D189" s="254">
        <v>25906</v>
      </c>
      <c r="E189" s="465">
        <v>27267</v>
      </c>
      <c r="F189" s="465">
        <v>19122</v>
      </c>
      <c r="G189" s="465">
        <v>16678</v>
      </c>
      <c r="H189" s="189"/>
      <c r="I189" s="145"/>
      <c r="J189" s="521"/>
      <c r="K189" s="114"/>
      <c r="L189" s="521"/>
      <c r="M189" s="99"/>
      <c r="N189" s="99"/>
      <c r="O189" s="99"/>
      <c r="P189"/>
      <c r="Q189"/>
    </row>
    <row r="190" spans="1:17">
      <c r="A190" s="32" t="s">
        <v>71</v>
      </c>
      <c r="B190" s="382" t="s">
        <v>235</v>
      </c>
      <c r="C190" s="254">
        <v>2392</v>
      </c>
      <c r="D190" s="254">
        <v>3911</v>
      </c>
      <c r="E190" s="465">
        <v>3284</v>
      </c>
      <c r="F190" s="465">
        <v>2492</v>
      </c>
      <c r="G190" s="465">
        <v>1999</v>
      </c>
      <c r="H190" s="189"/>
      <c r="I190" s="145"/>
      <c r="J190" s="521"/>
      <c r="K190" s="114"/>
      <c r="L190" s="521"/>
      <c r="M190" s="99"/>
      <c r="N190" s="99"/>
      <c r="O190" s="99"/>
      <c r="P190"/>
      <c r="Q190"/>
    </row>
    <row r="191" spans="1:17">
      <c r="A191" t="s">
        <v>72</v>
      </c>
      <c r="B191" s="64" t="s">
        <v>89</v>
      </c>
      <c r="C191" s="254">
        <v>4346</v>
      </c>
      <c r="D191" s="254">
        <v>3932</v>
      </c>
      <c r="E191" s="465">
        <v>3457</v>
      </c>
      <c r="F191" s="465">
        <v>4284</v>
      </c>
      <c r="G191" s="465">
        <v>4012</v>
      </c>
      <c r="H191" s="189"/>
      <c r="I191" s="145"/>
      <c r="J191" s="521"/>
      <c r="K191" s="114"/>
      <c r="L191" s="521"/>
      <c r="M191" s="99"/>
      <c r="N191" s="99"/>
      <c r="O191" s="99"/>
      <c r="P191"/>
      <c r="Q191"/>
    </row>
    <row r="192" spans="1:17">
      <c r="A192" s="32" t="s">
        <v>73</v>
      </c>
      <c r="B192" s="382" t="s">
        <v>90</v>
      </c>
      <c r="C192" s="254">
        <v>41207</v>
      </c>
      <c r="D192" s="254">
        <v>25135</v>
      </c>
      <c r="E192" s="465">
        <v>48769</v>
      </c>
      <c r="F192" s="465">
        <v>39930.267768594946</v>
      </c>
      <c r="G192" s="465">
        <v>22871</v>
      </c>
      <c r="H192" s="189"/>
      <c r="I192" s="145"/>
      <c r="J192" s="521"/>
      <c r="K192" s="114"/>
      <c r="L192" s="521"/>
      <c r="M192" s="99"/>
      <c r="N192" s="99"/>
      <c r="O192" s="99"/>
      <c r="P192"/>
      <c r="Q192"/>
    </row>
    <row r="193" spans="1:27">
      <c r="A193" t="s">
        <v>74</v>
      </c>
      <c r="B193" s="64" t="s">
        <v>91</v>
      </c>
      <c r="C193" s="254">
        <v>1082</v>
      </c>
      <c r="D193" s="254">
        <v>1023</v>
      </c>
      <c r="E193" s="465">
        <v>1632</v>
      </c>
      <c r="F193" s="465">
        <v>788</v>
      </c>
      <c r="G193" s="465">
        <v>796</v>
      </c>
      <c r="H193" s="189"/>
      <c r="I193" s="145"/>
      <c r="J193" s="521"/>
      <c r="K193" s="114"/>
      <c r="L193" s="521"/>
      <c r="M193" s="99"/>
      <c r="N193" s="99"/>
      <c r="O193" s="99"/>
      <c r="P193"/>
      <c r="Q193"/>
    </row>
    <row r="194" spans="1:27">
      <c r="A194" s="32" t="s">
        <v>75</v>
      </c>
      <c r="B194" s="382" t="s">
        <v>92</v>
      </c>
      <c r="C194" s="254">
        <v>8238</v>
      </c>
      <c r="D194" s="254">
        <v>12574</v>
      </c>
      <c r="E194" s="465">
        <v>42888</v>
      </c>
      <c r="F194" s="465">
        <v>16223</v>
      </c>
      <c r="G194" s="465">
        <v>14925</v>
      </c>
      <c r="H194" s="189"/>
      <c r="I194" s="145"/>
      <c r="J194" s="521"/>
      <c r="K194" s="114"/>
      <c r="L194" s="521"/>
      <c r="M194" s="99"/>
      <c r="N194" s="99"/>
      <c r="O194" s="99"/>
      <c r="P194"/>
      <c r="Q194"/>
    </row>
    <row r="195" spans="1:27">
      <c r="A195" t="s">
        <v>76</v>
      </c>
      <c r="B195" s="64" t="s">
        <v>93</v>
      </c>
      <c r="C195" s="254">
        <v>2181</v>
      </c>
      <c r="D195" s="254">
        <v>4205</v>
      </c>
      <c r="E195" s="465">
        <v>40960</v>
      </c>
      <c r="F195" s="465">
        <v>8281.6859504132335</v>
      </c>
      <c r="G195" s="465">
        <v>6646</v>
      </c>
      <c r="H195" s="189"/>
      <c r="I195" s="145"/>
      <c r="J195" s="521"/>
      <c r="K195" s="114"/>
      <c r="L195" s="521"/>
      <c r="M195" s="99"/>
      <c r="N195" s="99"/>
      <c r="O195" s="99"/>
      <c r="P195"/>
      <c r="Q195"/>
    </row>
    <row r="196" spans="1:27">
      <c r="A196" s="32" t="s">
        <v>77</v>
      </c>
      <c r="B196" s="382" t="s">
        <v>94</v>
      </c>
      <c r="C196" s="254">
        <v>94437</v>
      </c>
      <c r="D196" s="254">
        <v>63585</v>
      </c>
      <c r="E196" s="465">
        <v>502644</v>
      </c>
      <c r="F196" s="465">
        <v>202415.70247933877</v>
      </c>
      <c r="G196" s="465">
        <v>115649</v>
      </c>
      <c r="H196" s="189"/>
      <c r="I196" s="145"/>
      <c r="J196" s="521"/>
      <c r="K196" s="114"/>
      <c r="L196" s="521"/>
      <c r="M196" s="99"/>
      <c r="N196" s="99"/>
      <c r="O196" s="99"/>
      <c r="P196"/>
      <c r="Q196"/>
    </row>
    <row r="197" spans="1:27">
      <c r="A197" s="32" t="s">
        <v>66</v>
      </c>
      <c r="B197" s="382" t="s">
        <v>95</v>
      </c>
      <c r="C197" s="254">
        <v>127121</v>
      </c>
      <c r="D197" s="254">
        <v>110861</v>
      </c>
      <c r="E197" s="465">
        <v>626375</v>
      </c>
      <c r="F197" s="465">
        <v>251238.74380165289</v>
      </c>
      <c r="G197" s="465">
        <v>142152</v>
      </c>
      <c r="H197" s="189"/>
      <c r="I197" s="145"/>
      <c r="J197" s="521"/>
      <c r="K197" s="114"/>
      <c r="L197" s="521"/>
      <c r="M197" s="99"/>
      <c r="N197" s="99"/>
      <c r="O197" s="99"/>
      <c r="P197"/>
      <c r="Q197"/>
    </row>
    <row r="198" spans="1:27">
      <c r="C198" s="145"/>
      <c r="D198" s="145"/>
      <c r="E198" s="145"/>
      <c r="F198" s="102"/>
      <c r="G198" s="102"/>
      <c r="H198" s="145"/>
      <c r="M198" s="319"/>
      <c r="N198" s="285"/>
      <c r="O198" s="285"/>
      <c r="P198" s="285"/>
      <c r="Q198" s="285"/>
      <c r="R198" s="99"/>
      <c r="S198" s="99"/>
      <c r="T198" s="99"/>
      <c r="U198" s="99"/>
      <c r="V198" s="439"/>
      <c r="W198" s="99"/>
      <c r="X198" s="99"/>
      <c r="Y198" s="99"/>
      <c r="Z198" s="99"/>
      <c r="AA198" s="99"/>
    </row>
    <row r="199" spans="1:27">
      <c r="A199" s="4" t="s">
        <v>498</v>
      </c>
      <c r="B199" s="383" t="s">
        <v>549</v>
      </c>
      <c r="C199" s="145"/>
      <c r="D199" s="145"/>
      <c r="E199" s="145"/>
      <c r="F199" s="102"/>
      <c r="G199" s="102"/>
      <c r="N199" s="99"/>
      <c r="O199" s="99"/>
      <c r="P199" s="99"/>
      <c r="Q199" s="99"/>
      <c r="R199" s="99"/>
      <c r="S199" s="99"/>
      <c r="T199" s="99"/>
      <c r="U199" s="99"/>
      <c r="V199" s="99"/>
      <c r="W199" s="99"/>
      <c r="X199" s="99"/>
      <c r="Y199" s="99"/>
      <c r="Z199" s="99"/>
      <c r="AA199" s="99"/>
    </row>
    <row r="200" spans="1:27">
      <c r="A200" s="32" t="s">
        <v>77</v>
      </c>
      <c r="B200" s="47" t="s">
        <v>481</v>
      </c>
      <c r="C200" s="254">
        <v>11314.512396694214</v>
      </c>
      <c r="D200" s="189">
        <v>4619.1074380165282</v>
      </c>
      <c r="E200" s="465">
        <v>13289</v>
      </c>
      <c r="F200" s="465">
        <v>55338.842975206615</v>
      </c>
      <c r="G200" s="465">
        <v>7475</v>
      </c>
      <c r="H200" s="189"/>
      <c r="I200" s="520"/>
      <c r="N200" s="99"/>
      <c r="O200" s="99"/>
      <c r="P200" s="99"/>
      <c r="Q200" s="99"/>
      <c r="R200" s="99"/>
      <c r="S200" s="99"/>
      <c r="T200" s="99"/>
      <c r="U200" s="99"/>
      <c r="V200" s="99"/>
      <c r="W200" s="99"/>
      <c r="X200" s="99"/>
      <c r="Y200" s="99"/>
      <c r="Z200" s="99"/>
      <c r="AA200" s="99"/>
    </row>
    <row r="201" spans="1:27">
      <c r="B201" s="46" t="s">
        <v>482</v>
      </c>
      <c r="C201" s="254">
        <v>6368.9256198347111</v>
      </c>
      <c r="D201" s="189">
        <v>5520.7933884297527</v>
      </c>
      <c r="E201" s="465">
        <v>6875</v>
      </c>
      <c r="F201" s="465">
        <v>33332.231404958678</v>
      </c>
      <c r="G201" s="465">
        <v>7332</v>
      </c>
      <c r="H201" s="522"/>
      <c r="N201" s="99"/>
      <c r="O201" s="99"/>
      <c r="P201" s="99"/>
      <c r="Q201" s="99"/>
      <c r="R201" s="99"/>
      <c r="S201" s="99"/>
      <c r="T201" s="99"/>
      <c r="U201" s="99"/>
      <c r="V201" s="99"/>
      <c r="W201" s="99"/>
      <c r="X201" s="99"/>
      <c r="Y201" s="99"/>
      <c r="Z201" s="99"/>
      <c r="AA201" s="99"/>
    </row>
    <row r="202" spans="1:27">
      <c r="A202" s="32"/>
      <c r="B202" s="47" t="s">
        <v>483</v>
      </c>
      <c r="C202" s="254">
        <v>6420.0991735537173</v>
      </c>
      <c r="D202" s="189">
        <v>7386.4462809917322</v>
      </c>
      <c r="E202" s="465">
        <v>61131</v>
      </c>
      <c r="F202" s="465">
        <v>33774.545454545456</v>
      </c>
      <c r="G202" s="465">
        <v>28746</v>
      </c>
      <c r="H202" s="522"/>
      <c r="N202" s="99"/>
      <c r="O202" s="99"/>
      <c r="P202" s="99"/>
      <c r="Q202" s="99"/>
      <c r="R202" s="99"/>
      <c r="S202" s="99"/>
      <c r="T202" s="99"/>
      <c r="U202" s="99"/>
      <c r="V202" s="99"/>
      <c r="W202" s="99"/>
      <c r="X202" s="99"/>
      <c r="Y202" s="99"/>
      <c r="Z202" s="99"/>
      <c r="AA202" s="99"/>
    </row>
    <row r="203" spans="1:27">
      <c r="B203" s="46" t="s">
        <v>484</v>
      </c>
      <c r="C203" s="254">
        <v>6932.8264462809911</v>
      </c>
      <c r="D203" s="189">
        <v>3658.1157024793401</v>
      </c>
      <c r="E203" s="465">
        <v>21669</v>
      </c>
      <c r="F203" s="465">
        <v>23420.826446280997</v>
      </c>
      <c r="G203" s="465">
        <v>20400</v>
      </c>
      <c r="H203" s="522"/>
      <c r="N203" s="99"/>
      <c r="O203" s="99"/>
      <c r="P203" s="99"/>
      <c r="Q203" s="99"/>
      <c r="R203" s="99"/>
      <c r="S203" s="99"/>
      <c r="T203" s="99"/>
      <c r="U203" s="99"/>
      <c r="V203" s="99"/>
      <c r="W203" s="99"/>
      <c r="X203" s="99"/>
      <c r="Y203" s="99"/>
      <c r="Z203" s="99"/>
      <c r="AA203" s="99"/>
    </row>
    <row r="204" spans="1:27">
      <c r="A204" s="32"/>
      <c r="B204" s="47" t="s">
        <v>485</v>
      </c>
      <c r="C204" s="254">
        <v>33285.818181818177</v>
      </c>
      <c r="D204" s="189">
        <v>2309.3553719008264</v>
      </c>
      <c r="E204" s="465">
        <v>66000</v>
      </c>
      <c r="F204" s="465">
        <v>31731.570247933883</v>
      </c>
      <c r="G204" s="465">
        <v>25198</v>
      </c>
      <c r="H204" s="522"/>
      <c r="N204" s="99"/>
      <c r="O204" s="99"/>
      <c r="P204" s="99"/>
      <c r="Q204" s="99"/>
      <c r="R204" s="99"/>
      <c r="S204" s="99"/>
      <c r="T204" s="99"/>
      <c r="U204" s="99"/>
      <c r="V204" s="99"/>
      <c r="W204" s="99"/>
      <c r="X204" s="99"/>
      <c r="Y204" s="99"/>
      <c r="Z204" s="99"/>
      <c r="AA204" s="99"/>
    </row>
    <row r="205" spans="1:27">
      <c r="B205" s="46" t="s">
        <v>486</v>
      </c>
      <c r="C205" s="254">
        <v>11955.966942148762</v>
      </c>
      <c r="D205" s="189">
        <v>7600.6611570247942</v>
      </c>
      <c r="E205" s="465">
        <v>69761</v>
      </c>
      <c r="F205" s="465">
        <v>10809.917355371901</v>
      </c>
      <c r="G205" s="465">
        <v>14672</v>
      </c>
      <c r="N205" s="99"/>
      <c r="O205" s="99"/>
      <c r="P205" s="99"/>
      <c r="Q205" s="99"/>
      <c r="R205" s="99"/>
      <c r="S205" s="99"/>
      <c r="T205" s="99"/>
      <c r="U205" s="99"/>
      <c r="V205" s="99"/>
      <c r="W205" s="99"/>
      <c r="X205" s="99"/>
      <c r="Y205" s="99"/>
      <c r="Z205" s="99"/>
      <c r="AA205" s="99"/>
    </row>
    <row r="206" spans="1:27">
      <c r="A206" s="32"/>
      <c r="B206" s="47" t="s">
        <v>499</v>
      </c>
      <c r="C206" s="254">
        <v>24711.867768595039</v>
      </c>
      <c r="D206" s="189">
        <v>3805.0909090909095</v>
      </c>
      <c r="E206" s="465">
        <v>118015</v>
      </c>
      <c r="F206" s="465">
        <v>30810.644628099173</v>
      </c>
      <c r="G206" s="465">
        <v>8141</v>
      </c>
      <c r="N206" s="99"/>
      <c r="O206" s="99"/>
      <c r="P206" s="99"/>
      <c r="Q206" s="99"/>
      <c r="R206" s="99"/>
      <c r="S206" s="99"/>
      <c r="T206" s="99"/>
      <c r="U206" s="99"/>
      <c r="V206" s="99"/>
      <c r="W206" s="99"/>
      <c r="X206" s="99"/>
      <c r="Y206" s="99"/>
      <c r="Z206" s="99"/>
      <c r="AA206" s="99"/>
    </row>
    <row r="207" spans="1:27">
      <c r="B207" s="46" t="s">
        <v>488</v>
      </c>
      <c r="C207" s="254">
        <v>5873.8512396694214</v>
      </c>
      <c r="D207" s="189">
        <v>5064.7933884297527</v>
      </c>
      <c r="E207" s="465">
        <v>82834</v>
      </c>
      <c r="F207" s="465">
        <v>8336.9256198347102</v>
      </c>
      <c r="G207" s="465">
        <v>8550</v>
      </c>
      <c r="N207" s="99"/>
      <c r="O207" s="99"/>
      <c r="P207" s="99"/>
      <c r="Q207" s="99"/>
      <c r="R207" s="99"/>
      <c r="S207" s="99"/>
      <c r="T207" s="99"/>
      <c r="U207" s="99"/>
      <c r="V207" s="99"/>
      <c r="W207" s="99"/>
      <c r="X207" s="99"/>
      <c r="Y207" s="99"/>
      <c r="Z207" s="99"/>
      <c r="AA207" s="99"/>
    </row>
    <row r="208" spans="1:27">
      <c r="A208" s="32"/>
      <c r="B208" s="47" t="s">
        <v>489</v>
      </c>
      <c r="C208" s="254">
        <v>3531.768595041322</v>
      </c>
      <c r="D208" s="189">
        <v>23847.669421487601</v>
      </c>
      <c r="E208" s="465">
        <v>30188</v>
      </c>
      <c r="F208" s="465">
        <v>3488.1322314049585</v>
      </c>
      <c r="G208" s="465">
        <v>3034</v>
      </c>
      <c r="H208" s="189"/>
      <c r="N208" s="99"/>
      <c r="O208" s="99"/>
      <c r="P208" s="99"/>
      <c r="Q208" s="99"/>
      <c r="R208" s="99"/>
      <c r="S208" s="99"/>
      <c r="T208" s="99"/>
      <c r="U208" s="99"/>
      <c r="V208" s="99"/>
      <c r="W208" s="99"/>
      <c r="X208" s="99"/>
      <c r="Y208" s="99"/>
      <c r="Z208" s="99"/>
      <c r="AA208" s="99"/>
    </row>
    <row r="209" spans="1:27">
      <c r="B209" s="46" t="s">
        <v>490</v>
      </c>
      <c r="C209" s="254">
        <v>8751.6694214876024</v>
      </c>
      <c r="D209" s="189">
        <v>17603.305785123968</v>
      </c>
      <c r="E209" s="465">
        <v>21527</v>
      </c>
      <c r="F209" s="465">
        <v>4297.5867768595044</v>
      </c>
      <c r="G209" s="465">
        <v>2535</v>
      </c>
      <c r="H209" s="189"/>
      <c r="N209" s="99"/>
      <c r="O209" s="99"/>
      <c r="P209" s="99"/>
      <c r="Q209" s="99"/>
      <c r="R209" s="99"/>
      <c r="S209" s="99"/>
      <c r="T209" s="99"/>
      <c r="U209" s="99"/>
      <c r="V209" s="99"/>
      <c r="W209" s="99"/>
      <c r="X209" s="99"/>
      <c r="Y209" s="99"/>
      <c r="Z209" s="99"/>
      <c r="AA209" s="99"/>
    </row>
    <row r="210" spans="1:27">
      <c r="A210" s="32"/>
      <c r="B210" s="47" t="s">
        <v>491</v>
      </c>
      <c r="C210" s="254">
        <v>2399.2066115702482</v>
      </c>
      <c r="D210" s="189">
        <v>9231.0743801652898</v>
      </c>
      <c r="E210" s="465">
        <v>59330</v>
      </c>
      <c r="F210" s="465">
        <v>7632.3966942148763</v>
      </c>
      <c r="G210" s="465">
        <v>7470</v>
      </c>
      <c r="H210" s="189"/>
      <c r="N210" s="99"/>
      <c r="O210" s="99"/>
      <c r="P210" s="99"/>
      <c r="Q210" s="99"/>
      <c r="R210" s="99"/>
      <c r="S210" s="99"/>
      <c r="T210" s="99"/>
      <c r="U210" s="99"/>
      <c r="V210" s="99"/>
      <c r="W210" s="99"/>
      <c r="X210" s="99"/>
      <c r="Y210" s="99"/>
      <c r="Z210" s="99"/>
      <c r="AA210" s="99"/>
    </row>
    <row r="211" spans="1:27">
      <c r="B211" s="46" t="s">
        <v>492</v>
      </c>
      <c r="C211" s="254">
        <v>5575.1404958677695</v>
      </c>
      <c r="D211" s="189">
        <v>20215.537190082636</v>
      </c>
      <c r="E211" s="465">
        <v>75757</v>
      </c>
      <c r="F211" s="465">
        <v>8265.1239669421484</v>
      </c>
      <c r="G211" s="465">
        <v>8600</v>
      </c>
      <c r="H211" s="189"/>
      <c r="N211" s="99"/>
      <c r="O211" s="99"/>
      <c r="P211" s="99"/>
      <c r="Q211" s="99"/>
      <c r="R211" s="99"/>
      <c r="S211" s="99"/>
      <c r="T211" s="99"/>
      <c r="U211" s="99"/>
      <c r="V211" s="99"/>
      <c r="W211" s="99"/>
      <c r="X211" s="99"/>
      <c r="Y211" s="99"/>
      <c r="Z211" s="99"/>
      <c r="AA211" s="99"/>
    </row>
    <row r="212" spans="1:27">
      <c r="A212" s="32"/>
      <c r="B212" s="47" t="s">
        <v>528</v>
      </c>
      <c r="C212" s="144">
        <v>80515</v>
      </c>
      <c r="D212" s="254">
        <v>127121</v>
      </c>
      <c r="E212" s="465">
        <f>SUM(E200:E211)</f>
        <v>626376</v>
      </c>
      <c r="F212" s="465">
        <f>SUM(F200:F211)</f>
        <v>251238.74380165286</v>
      </c>
      <c r="G212" s="465">
        <f>SUM(G200:G211)</f>
        <v>142153</v>
      </c>
      <c r="H212" s="145"/>
      <c r="N212" s="99"/>
      <c r="O212" s="99"/>
      <c r="P212" s="99"/>
      <c r="Q212" s="99"/>
      <c r="R212" s="99"/>
      <c r="S212" s="99"/>
      <c r="T212" s="99"/>
      <c r="U212" s="99"/>
      <c r="V212" s="99"/>
      <c r="W212" s="99"/>
      <c r="X212" s="99"/>
      <c r="Y212" s="99"/>
      <c r="Z212" s="99"/>
      <c r="AA212" s="99"/>
    </row>
    <row r="213" spans="1:27">
      <c r="C213" s="143"/>
      <c r="D213" s="143"/>
      <c r="E213" s="145"/>
      <c r="F213" s="143"/>
      <c r="G213" s="143"/>
      <c r="N213" s="99"/>
      <c r="O213" s="99"/>
      <c r="P213" s="99"/>
      <c r="Q213" s="99"/>
      <c r="R213" s="99"/>
      <c r="S213" s="99"/>
      <c r="T213" s="99"/>
      <c r="U213" s="99"/>
      <c r="V213" s="99"/>
      <c r="W213" s="99"/>
      <c r="X213" s="99"/>
      <c r="Y213" s="99"/>
      <c r="Z213" s="99"/>
      <c r="AA213" s="99"/>
    </row>
    <row r="214" spans="1:27">
      <c r="A214" s="4" t="s">
        <v>109</v>
      </c>
      <c r="B214" s="12" t="s">
        <v>66</v>
      </c>
      <c r="C214" s="143"/>
      <c r="D214" s="143"/>
      <c r="E214" s="145"/>
      <c r="F214" s="143"/>
      <c r="G214" s="143"/>
      <c r="N214" s="99"/>
      <c r="O214" s="99"/>
      <c r="P214" s="99"/>
      <c r="Q214" s="99"/>
      <c r="R214" s="99"/>
      <c r="S214" s="99"/>
      <c r="T214" s="99"/>
      <c r="U214" s="99"/>
      <c r="V214" s="99"/>
      <c r="W214" s="99"/>
      <c r="X214" s="99"/>
      <c r="Y214" s="99"/>
      <c r="Z214" s="99"/>
      <c r="AA214" s="99"/>
    </row>
    <row r="215" spans="1:27">
      <c r="A215" s="32" t="s">
        <v>212</v>
      </c>
      <c r="B215" s="47" t="s">
        <v>110</v>
      </c>
      <c r="C215" s="143">
        <f>Fed_Reservoir!C11</f>
        <v>0</v>
      </c>
      <c r="D215" s="143">
        <f>Fed_Reservoir!F11</f>
        <v>0</v>
      </c>
      <c r="E215" s="146">
        <f>Fed_Reservoir!I11</f>
        <v>0</v>
      </c>
      <c r="F215" s="146">
        <f>Fed_Reservoir!L11</f>
        <v>0</v>
      </c>
      <c r="G215" s="146">
        <f>Fed_Reservoir!O11</f>
        <v>0</v>
      </c>
      <c r="I215" s="520"/>
    </row>
    <row r="216" spans="1:27">
      <c r="A216" s="32" t="s">
        <v>66</v>
      </c>
      <c r="B216" s="47" t="s">
        <v>111</v>
      </c>
      <c r="C216" s="146">
        <f>Fed_Reservoir!B28</f>
        <v>0</v>
      </c>
      <c r="D216" s="146">
        <f>Fed_Reservoir!C28</f>
        <v>0</v>
      </c>
      <c r="E216" s="146">
        <f>Fed_Reservoir!D28</f>
        <v>0</v>
      </c>
      <c r="F216" s="146">
        <f>Fed_Reservoir!E28</f>
        <v>0</v>
      </c>
      <c r="G216" s="146">
        <f>Fed_Reservoir!F28</f>
        <v>0</v>
      </c>
    </row>
    <row r="217" spans="1:27">
      <c r="A217" t="s">
        <v>70</v>
      </c>
      <c r="B217" s="48" t="s">
        <v>112</v>
      </c>
      <c r="C217" s="143">
        <f>Fed_Reservoir!C6</f>
        <v>1263</v>
      </c>
      <c r="D217" s="143">
        <f>Fed_Reservoir!F6</f>
        <v>1482</v>
      </c>
      <c r="E217" s="143">
        <f>Fed_Reservoir!I6</f>
        <v>1193</v>
      </c>
      <c r="F217" s="143">
        <f>Fed_Reservoir!L6</f>
        <v>2037</v>
      </c>
      <c r="G217" s="143">
        <f>Fed_Reservoir!O6</f>
        <v>1616</v>
      </c>
    </row>
    <row r="218" spans="1:27">
      <c r="A218" t="s">
        <v>66</v>
      </c>
      <c r="B218" s="48" t="s">
        <v>113</v>
      </c>
      <c r="C218" s="143">
        <f>Fed_Reservoir!B23</f>
        <v>-1669</v>
      </c>
      <c r="D218" s="146">
        <f>Fed_Reservoir!C23</f>
        <v>767</v>
      </c>
      <c r="E218" s="146">
        <f>Fed_Reservoir!D23</f>
        <v>424</v>
      </c>
      <c r="F218" s="146">
        <f>Fed_Reservoir!E23</f>
        <v>-1148</v>
      </c>
      <c r="G218" s="146">
        <f>Fed_Reservoir!F23</f>
        <v>-655</v>
      </c>
    </row>
    <row r="219" spans="1:27">
      <c r="A219" s="32" t="s">
        <v>72</v>
      </c>
      <c r="B219" s="47" t="s">
        <v>114</v>
      </c>
      <c r="C219" s="143">
        <f>Fed_Reservoir!C9</f>
        <v>2068</v>
      </c>
      <c r="D219" s="143">
        <f>Fed_Reservoir!F9</f>
        <v>1395</v>
      </c>
      <c r="E219" s="143">
        <f>Fed_Reservoir!I9</f>
        <v>950</v>
      </c>
      <c r="F219" s="143">
        <f>Fed_Reservoir!L9</f>
        <v>3032</v>
      </c>
      <c r="G219" s="143">
        <f>Fed_Reservoir!O9</f>
        <v>2608</v>
      </c>
    </row>
    <row r="220" spans="1:27">
      <c r="A220" s="32" t="s">
        <v>66</v>
      </c>
      <c r="B220" s="47" t="s">
        <v>115</v>
      </c>
      <c r="C220" s="143">
        <f>Fed_Reservoir!B26</f>
        <v>957</v>
      </c>
      <c r="D220" s="146">
        <f>Fed_Reservoir!C26</f>
        <v>3993</v>
      </c>
      <c r="E220" s="146">
        <f>Fed_Reservoir!D26</f>
        <v>3001</v>
      </c>
      <c r="F220" s="146">
        <f>Fed_Reservoir!E26</f>
        <v>-4190</v>
      </c>
      <c r="G220" s="146">
        <f>Fed_Reservoir!F26</f>
        <v>-2618</v>
      </c>
    </row>
    <row r="221" spans="1:27">
      <c r="A221" s="14" t="s">
        <v>73</v>
      </c>
      <c r="B221" s="48" t="s">
        <v>116</v>
      </c>
      <c r="C221" s="143">
        <f>Fed_Reservoir!C8</f>
        <v>2513</v>
      </c>
      <c r="D221" s="143">
        <f>Fed_Reservoir!F8</f>
        <v>2357</v>
      </c>
      <c r="E221" s="143">
        <f>Fed_Reservoir!I8</f>
        <v>857</v>
      </c>
      <c r="F221" s="143">
        <f>Fed_Reservoir!L8</f>
        <v>2924</v>
      </c>
      <c r="G221" s="143">
        <f>Fed_Reservoir!O8</f>
        <v>2452</v>
      </c>
    </row>
    <row r="222" spans="1:27">
      <c r="A222" s="14" t="s">
        <v>66</v>
      </c>
      <c r="B222" s="48" t="s">
        <v>117</v>
      </c>
      <c r="C222" s="143">
        <f>Fed_Reservoir!B25</f>
        <v>-5538</v>
      </c>
      <c r="D222" s="146">
        <f>Fed_Reservoir!C25</f>
        <v>5139</v>
      </c>
      <c r="E222" s="146">
        <f>Fed_Reservoir!D25</f>
        <v>5232</v>
      </c>
      <c r="F222" s="146">
        <f>Fed_Reservoir!E25</f>
        <v>-9530</v>
      </c>
      <c r="G222" s="146">
        <f>Fed_Reservoir!F25</f>
        <v>2950</v>
      </c>
    </row>
    <row r="223" spans="1:27">
      <c r="A223" s="32" t="s">
        <v>76</v>
      </c>
      <c r="B223" s="47" t="s">
        <v>118</v>
      </c>
      <c r="C223" s="143">
        <f>Fed_Reservoir!C12</f>
        <v>2203</v>
      </c>
      <c r="D223" s="143">
        <f>Fed_Reservoir!F12</f>
        <v>1399</v>
      </c>
      <c r="E223" s="143">
        <f>Fed_Reservoir!I12</f>
        <v>2714</v>
      </c>
      <c r="F223" s="143">
        <f>Fed_Reservoir!L12</f>
        <v>4594</v>
      </c>
      <c r="G223" s="143">
        <f>Fed_Reservoir!O12</f>
        <v>3342</v>
      </c>
    </row>
    <row r="224" spans="1:27">
      <c r="A224" s="32" t="s">
        <v>66</v>
      </c>
      <c r="B224" s="47" t="s">
        <v>119</v>
      </c>
      <c r="C224" s="143">
        <f>Fed_Reservoir!B29</f>
        <v>340</v>
      </c>
      <c r="D224" s="146">
        <f>Fed_Reservoir!C29</f>
        <v>3191</v>
      </c>
      <c r="E224" s="146">
        <f>Fed_Reservoir!D29</f>
        <v>9259</v>
      </c>
      <c r="F224" s="146">
        <f>Fed_Reservoir!E29</f>
        <v>-4632</v>
      </c>
      <c r="G224" s="146">
        <f>Fed_Reservoir!F29</f>
        <v>-3444</v>
      </c>
    </row>
    <row r="225" spans="1:12">
      <c r="A225" s="14" t="s">
        <v>77</v>
      </c>
      <c r="B225" s="48" t="s">
        <v>120</v>
      </c>
      <c r="C225" s="143">
        <f>Fed_Reservoir!C10</f>
        <v>3382</v>
      </c>
      <c r="D225" s="251">
        <f>Fed_Reservoir!F10</f>
        <v>4441</v>
      </c>
      <c r="E225" s="251">
        <f>Fed_Reservoir!I10</f>
        <v>5787</v>
      </c>
      <c r="F225" s="251">
        <f>Fed_Reservoir!L10</f>
        <v>10172</v>
      </c>
      <c r="G225" s="251">
        <f>Fed_Reservoir!O10</f>
        <v>8671</v>
      </c>
    </row>
    <row r="226" spans="1:12">
      <c r="A226" s="14" t="s">
        <v>66</v>
      </c>
      <c r="B226" s="48" t="s">
        <v>121</v>
      </c>
      <c r="C226" s="143">
        <f>Fed_Reservoir!B27</f>
        <v>5370</v>
      </c>
      <c r="D226" s="146">
        <f>Fed_Reservoir!C27</f>
        <v>8017</v>
      </c>
      <c r="E226" s="146">
        <f>Fed_Reservoir!D27</f>
        <v>905</v>
      </c>
      <c r="F226" s="146">
        <f>Fed_Reservoir!E27</f>
        <v>-4786</v>
      </c>
      <c r="G226" s="146">
        <f>Fed_Reservoir!F27</f>
        <v>-9291</v>
      </c>
    </row>
    <row r="227" spans="1:12">
      <c r="A227" s="14" t="s">
        <v>66</v>
      </c>
      <c r="B227" s="48" t="s">
        <v>641</v>
      </c>
      <c r="C227" s="143">
        <f>Fed_Reservoir!C7-C228</f>
        <v>8753</v>
      </c>
      <c r="D227" s="143">
        <f>Fed_Reservoir!F7-D228</f>
        <v>7127</v>
      </c>
      <c r="E227" s="143">
        <f>Fed_Reservoir!I7-E228</f>
        <v>16760</v>
      </c>
      <c r="F227" s="143">
        <f>Fed_Reservoir!L7-F228</f>
        <v>26419</v>
      </c>
      <c r="G227" s="143">
        <f>Fed_Reservoir!O7-G228</f>
        <v>11476</v>
      </c>
    </row>
    <row r="228" spans="1:12" s="312" customFormat="1">
      <c r="A228" s="319"/>
      <c r="B228" s="48" t="s">
        <v>683</v>
      </c>
      <c r="C228" s="282">
        <v>2011</v>
      </c>
      <c r="D228" s="282">
        <v>345</v>
      </c>
      <c r="E228" s="282">
        <v>0</v>
      </c>
      <c r="F228" s="515">
        <v>0</v>
      </c>
      <c r="G228" s="515">
        <v>0</v>
      </c>
      <c r="H228" s="120"/>
      <c r="I228" s="120"/>
      <c r="J228" s="120"/>
      <c r="K228" s="120"/>
      <c r="L228" s="120"/>
    </row>
    <row r="229" spans="1:12">
      <c r="A229" s="14" t="s">
        <v>66</v>
      </c>
      <c r="B229" s="48" t="s">
        <v>122</v>
      </c>
      <c r="C229" s="143">
        <f>Fed_Reservoir!B24</f>
        <v>30044</v>
      </c>
      <c r="D229" s="146">
        <f>Fed_Reservoir!C24</f>
        <v>30781</v>
      </c>
      <c r="E229" s="146">
        <f>Fed_Reservoir!D24</f>
        <v>74701</v>
      </c>
      <c r="F229" s="146">
        <f>Fed_Reservoir!E24</f>
        <v>-50098</v>
      </c>
      <c r="G229" s="146">
        <f>Fed_Reservoir!F24</f>
        <v>754</v>
      </c>
    </row>
    <row r="230" spans="1:12">
      <c r="A230" s="14" t="s">
        <v>66</v>
      </c>
      <c r="B230" s="48" t="s">
        <v>396</v>
      </c>
      <c r="C230" s="282">
        <v>2595</v>
      </c>
      <c r="D230" s="282">
        <v>-194</v>
      </c>
      <c r="E230" s="282">
        <v>-131</v>
      </c>
      <c r="F230" s="515">
        <v>1385</v>
      </c>
      <c r="G230" s="146">
        <f>Fed_Reservoir!O13</f>
        <v>1290</v>
      </c>
    </row>
    <row r="231" spans="1:12">
      <c r="C231" s="143"/>
      <c r="D231" s="143"/>
      <c r="E231" s="143"/>
      <c r="F231" s="282"/>
      <c r="G231" s="282"/>
    </row>
    <row r="232" spans="1:12">
      <c r="A232" s="4" t="s">
        <v>123</v>
      </c>
      <c r="B232" s="12" t="s">
        <v>66</v>
      </c>
      <c r="C232" s="143"/>
      <c r="D232" s="143"/>
      <c r="E232" s="143"/>
      <c r="F232" s="143"/>
      <c r="G232" s="143"/>
    </row>
    <row r="233" spans="1:12">
      <c r="A233" s="32" t="s">
        <v>65</v>
      </c>
      <c r="B233" s="47" t="s">
        <v>124</v>
      </c>
      <c r="C233" s="189">
        <v>0</v>
      </c>
      <c r="D233" s="189">
        <v>0</v>
      </c>
      <c r="E233" s="254">
        <v>0</v>
      </c>
      <c r="F233" s="465">
        <v>0</v>
      </c>
      <c r="G233" s="465">
        <v>0</v>
      </c>
    </row>
    <row r="234" spans="1:12">
      <c r="A234" s="32" t="s">
        <v>66</v>
      </c>
      <c r="B234" s="47" t="s">
        <v>125</v>
      </c>
      <c r="C234" s="189">
        <v>4732</v>
      </c>
      <c r="D234" s="189">
        <v>3676</v>
      </c>
      <c r="E234" s="254">
        <v>3963</v>
      </c>
      <c r="F234" s="465">
        <v>5288</v>
      </c>
      <c r="G234" s="465">
        <v>5640</v>
      </c>
    </row>
    <row r="235" spans="1:12">
      <c r="A235" s="32" t="s">
        <v>66</v>
      </c>
      <c r="B235" s="47" t="s">
        <v>126</v>
      </c>
      <c r="C235" s="147">
        <f>SUM(C233:C234)</f>
        <v>4732</v>
      </c>
      <c r="D235" s="147">
        <f>SUM(D233:D234)</f>
        <v>3676</v>
      </c>
      <c r="E235" s="147">
        <f>SUM(E233:E234)</f>
        <v>3963</v>
      </c>
      <c r="F235" s="147">
        <f t="shared" ref="F235:G235" si="0">SUM(F233:F234)</f>
        <v>5288</v>
      </c>
      <c r="G235" s="147">
        <f t="shared" si="0"/>
        <v>5640</v>
      </c>
    </row>
    <row r="236" spans="1:12">
      <c r="A236" s="14" t="s">
        <v>212</v>
      </c>
      <c r="B236" s="48" t="s">
        <v>127</v>
      </c>
      <c r="C236" s="254">
        <v>716</v>
      </c>
      <c r="D236" s="254">
        <v>594</v>
      </c>
      <c r="E236" s="254">
        <v>0</v>
      </c>
      <c r="F236" s="465">
        <v>0</v>
      </c>
      <c r="G236" s="465">
        <v>0</v>
      </c>
    </row>
    <row r="237" spans="1:12">
      <c r="A237" s="32" t="s">
        <v>70</v>
      </c>
      <c r="B237" s="125" t="s">
        <v>128</v>
      </c>
      <c r="C237" s="148">
        <v>0</v>
      </c>
      <c r="D237" s="148">
        <v>0</v>
      </c>
      <c r="E237" s="500">
        <v>0</v>
      </c>
      <c r="F237" s="516">
        <v>0</v>
      </c>
      <c r="G237" s="516">
        <v>0</v>
      </c>
    </row>
    <row r="238" spans="1:12">
      <c r="A238" s="32" t="s">
        <v>66</v>
      </c>
      <c r="B238" s="47" t="s">
        <v>129</v>
      </c>
      <c r="C238" s="189">
        <v>0</v>
      </c>
      <c r="D238" s="189">
        <v>0</v>
      </c>
      <c r="E238" s="465">
        <v>0</v>
      </c>
      <c r="F238" s="465">
        <v>0</v>
      </c>
      <c r="G238" s="465">
        <v>0</v>
      </c>
    </row>
    <row r="239" spans="1:12">
      <c r="A239" s="32" t="s">
        <v>66</v>
      </c>
      <c r="B239" s="47" t="s">
        <v>130</v>
      </c>
      <c r="C239" s="143">
        <f>Attachment7!B15</f>
        <v>0</v>
      </c>
      <c r="D239" s="143">
        <f>Attachment7!B55</f>
        <v>7426</v>
      </c>
      <c r="E239" s="146">
        <f>Attachment7!B95+Attachment7!B96</f>
        <v>11598</v>
      </c>
      <c r="F239" s="146">
        <f>Attachment7!B135+Attachment7!B136</f>
        <v>6722</v>
      </c>
      <c r="G239" s="146">
        <f>Attachment7!B175+Attachment7!B176</f>
        <v>5988</v>
      </c>
      <c r="I239" s="145"/>
    </row>
    <row r="240" spans="1:12">
      <c r="A240" s="32" t="s">
        <v>66</v>
      </c>
      <c r="B240" s="47" t="s">
        <v>131</v>
      </c>
      <c r="C240" s="143">
        <f>Attachment7!B17</f>
        <v>0</v>
      </c>
      <c r="D240" s="143">
        <f>Attachment7!B57</f>
        <v>0</v>
      </c>
      <c r="E240" s="145">
        <f>Attachment7!B97+Attachment7!B98</f>
        <v>0</v>
      </c>
      <c r="F240" s="145">
        <f>Attachment7!B137+Attachment7!B138</f>
        <v>0</v>
      </c>
      <c r="G240" s="145">
        <f>Attachment7!B177 + Attachment7!B178</f>
        <v>0</v>
      </c>
      <c r="I240" s="145"/>
    </row>
    <row r="241" spans="1:9">
      <c r="A241" s="32" t="s">
        <v>66</v>
      </c>
      <c r="B241" s="47" t="s">
        <v>132</v>
      </c>
      <c r="C241" s="188">
        <f>IF(Attachment7!B15+Attachment7!B16=0,1,(Attachment7!K15+Attachment7!K16)/(Attachment7!B15+Attachment7!B16))</f>
        <v>1</v>
      </c>
      <c r="D241" s="188">
        <f>IF(Attachment7!B55+Attachment7!B56=0,1,(Attachment7!K55+Attachment7!K56)/(Attachment7!B55+Attachment7!B56))</f>
        <v>0.80004497710746014</v>
      </c>
      <c r="E241" s="112">
        <f>IF(Attachment7!B95+Attachment7!B96=0,1,(Attachment7!K95+Attachment7!K96)/(Attachment7!B95+Attachment7!B96))</f>
        <v>0.83343283324711159</v>
      </c>
      <c r="F241" s="112">
        <f>IF(Attachment7!B135+Attachment7!B136=0,1,(Attachment7!K135+Attachment7!K136)/(Attachment7!B135+Attachment7!B136))</f>
        <v>0.82040196370127938</v>
      </c>
      <c r="G241" s="112">
        <f>IF(Attachment7!B175+Attachment7!B176=0,1,(Attachment7!K175+Attachment7!K176)/(Attachment7!B175+Attachment7!B176))</f>
        <v>0.81909752839011352</v>
      </c>
      <c r="I241" s="145"/>
    </row>
    <row r="242" spans="1:9">
      <c r="A242" s="32" t="s">
        <v>66</v>
      </c>
      <c r="B242" s="47" t="s">
        <v>133</v>
      </c>
      <c r="C242" s="188">
        <f>IF(Attachment7!B17+Attachment7!B18=0,1, (Attachment7!K17+Attachment7!K18)/(Attachment7!B17+Attachment7!B18))</f>
        <v>1</v>
      </c>
      <c r="D242" s="188">
        <f>IF(Attachment7!B57+Attachment7!B58=0,1, (Attachment7!K57+Attachment7!K58)/(Attachment7!B57+Attachment7!B58))</f>
        <v>1</v>
      </c>
      <c r="E242" s="123">
        <f>IF(Attachment7!B97+Attachment7!B98=0,1, (Attachment7!K97+Attachment7!K98)/(Attachment7!B97+Attachment7!B98))</f>
        <v>1</v>
      </c>
      <c r="F242" s="123">
        <f>IF(Attachment7!B137+Attachment7!B138=0,1, (Attachment7!K137+Attachment7!K138)/(Attachment7!B137+Attachment7!B138))</f>
        <v>1</v>
      </c>
      <c r="G242" s="123">
        <f>IF(Attachment7!B177+Attachment7!B178=0,1, (Attachment7!K177+Attachment7!K178)/(Attachment7!B177+Attachment7!B178))</f>
        <v>1</v>
      </c>
      <c r="I242" s="145"/>
    </row>
    <row r="243" spans="1:9">
      <c r="A243" s="14" t="s">
        <v>71</v>
      </c>
      <c r="B243" s="48" t="s">
        <v>134</v>
      </c>
      <c r="C243" s="143">
        <f>Attachment7!B19</f>
        <v>16692</v>
      </c>
      <c r="D243" s="143">
        <f>Attachment7!B59</f>
        <v>14295</v>
      </c>
      <c r="E243" s="145">
        <f>Attachment7!B99+Attachment7!B100</f>
        <v>16468</v>
      </c>
      <c r="F243" s="145">
        <f>Attachment7!B139+Attachment7!B140</f>
        <v>19398</v>
      </c>
      <c r="G243" s="145">
        <f>Attachment7!B179 + Attachment7!B180</f>
        <v>18654</v>
      </c>
      <c r="I243" s="145"/>
    </row>
    <row r="244" spans="1:9">
      <c r="A244" s="14" t="s">
        <v>66</v>
      </c>
      <c r="B244" s="48" t="s">
        <v>135</v>
      </c>
      <c r="C244" s="188">
        <f>IF(Attachment7!B19+Attachment7!B20=0,1, (Attachment7!K19+Attachment7!K20)/(Attachment7!B19+Attachment7!B20))</f>
        <v>0.66432806134675293</v>
      </c>
      <c r="D244" s="188">
        <f>IF(Attachment7!B59+Attachment7!B60=0,1, (Attachment7!K59+Attachment7!K60)/(Attachment7!B59+Attachment7!B60))</f>
        <v>0.65655292060160897</v>
      </c>
      <c r="E244" s="265">
        <f>IF(Attachment7!B99+Attachment7!B100=0,1, (Attachment7!K99+Attachment7!K100)/(Attachment7!B99+Attachment7!B100))</f>
        <v>0.66992628127277143</v>
      </c>
      <c r="F244" s="265">
        <f>IF(Attachment7!B139+Attachment7!B140=0,1, (Attachment7!K139+Attachment7!K140)/(Attachment7!B139+Attachment7!B140))</f>
        <v>0.61602526033611704</v>
      </c>
      <c r="G244" s="265">
        <f>IF(Attachment7!B179+Attachment7!B180=0,1, (Attachment7!K179+Attachment7!K180)/(Attachment7!B179+Attachment7!B180))</f>
        <v>0.5985318966441513</v>
      </c>
      <c r="I244" s="145"/>
    </row>
    <row r="245" spans="1:9">
      <c r="A245" s="32" t="s">
        <v>72</v>
      </c>
      <c r="B245" s="47" t="s">
        <v>136</v>
      </c>
      <c r="C245" s="143">
        <f>Attachment7!B21</f>
        <v>0</v>
      </c>
      <c r="D245" s="143">
        <f>Attachment7!B61</f>
        <v>0</v>
      </c>
      <c r="E245" s="145">
        <f>Attachment7!B101+Attachment7!B102</f>
        <v>5772</v>
      </c>
      <c r="F245" s="145">
        <f>Attachment7!B141+Attachment7!B142</f>
        <v>5226</v>
      </c>
      <c r="G245" s="145">
        <f>Attachment7!B181 + Attachment7!B182</f>
        <v>5161</v>
      </c>
      <c r="I245" s="145"/>
    </row>
    <row r="246" spans="1:9">
      <c r="A246" s="32" t="s">
        <v>66</v>
      </c>
      <c r="B246" s="47" t="s">
        <v>137</v>
      </c>
      <c r="C246" s="188">
        <f>IF(Attachment7!B21+Attachment7!B22=0,1, (Attachment7!K21+Attachment7!K22)/(Attachment7!B21+Attachment7!B22))</f>
        <v>1</v>
      </c>
      <c r="D246" s="188">
        <f>IF(Attachment7!B61+Attachment7!B62=0,1, (Attachment7!K61+Attachment7!K62)/(Attachment7!B61+Attachment7!B62))</f>
        <v>1</v>
      </c>
      <c r="E246" s="123">
        <f>IF(Attachment7!B101+Attachment7!B102=0,1, (Attachment7!K101+Attachment7!K102)/(Attachment7!B101+Attachment7!B102))</f>
        <v>0.71196881496881492</v>
      </c>
      <c r="F246" s="123">
        <f>IF(Attachment7!B141+Attachment7!B142=0,1, (Attachment7!K141+Attachment7!K142)/(Attachment7!B141+Attachment7!B142))</f>
        <v>0.66370417145044003</v>
      </c>
      <c r="G246" s="123">
        <f>IF(Attachment7!B181+Attachment7!B182=0,1, (Attachment7!K181+Attachment7!K182)/(Attachment7!B181+Attachment7!B182))</f>
        <v>0.631425305173416</v>
      </c>
      <c r="I246" s="145"/>
    </row>
    <row r="247" spans="1:9">
      <c r="A247" t="s">
        <v>76</v>
      </c>
      <c r="B247" s="48" t="s">
        <v>261</v>
      </c>
      <c r="C247" s="143">
        <f>Attachment7!B33</f>
        <v>771</v>
      </c>
      <c r="D247" s="145">
        <f>Attachment7!B73</f>
        <v>0</v>
      </c>
      <c r="E247" s="149">
        <f>Attachment7!B113</f>
        <v>1320</v>
      </c>
      <c r="F247" s="149">
        <f>Attachment7!B153</f>
        <v>3076</v>
      </c>
      <c r="G247" s="149">
        <f>Attachment7!B193</f>
        <v>2593</v>
      </c>
      <c r="I247" s="145"/>
    </row>
    <row r="248" spans="1:9">
      <c r="A248" t="s">
        <v>66</v>
      </c>
      <c r="B248" s="48" t="s">
        <v>262</v>
      </c>
      <c r="C248" s="188">
        <f>Attachment7!L33</f>
        <v>0.60558754863813224</v>
      </c>
      <c r="D248" s="112">
        <f>Attachment7!L73</f>
        <v>1</v>
      </c>
      <c r="E248" s="265">
        <f>Attachment7!L113</f>
        <v>0.5660484848484848</v>
      </c>
      <c r="F248" s="265">
        <f>Attachment7!L153</f>
        <v>0.61305396618985686</v>
      </c>
      <c r="G248" s="265">
        <f>Attachment7!L193</f>
        <v>0.57981874276899337</v>
      </c>
      <c r="I248" s="145"/>
    </row>
    <row r="249" spans="1:9">
      <c r="A249" s="32" t="s">
        <v>77</v>
      </c>
      <c r="B249" s="47" t="s">
        <v>138</v>
      </c>
      <c r="C249" s="143">
        <f>Attachment7!B23</f>
        <v>7437</v>
      </c>
      <c r="D249" s="143">
        <f>Attachment7!B63</f>
        <v>9172</v>
      </c>
      <c r="E249" s="145">
        <f>Attachment7!B103+Attachment7!B104</f>
        <v>10539</v>
      </c>
      <c r="F249" s="145">
        <f>Attachment7!B143+Attachment7!B144</f>
        <v>7388</v>
      </c>
      <c r="G249" s="145">
        <f>Attachment7!B183 + Attachment7!B184</f>
        <v>8468</v>
      </c>
      <c r="I249" s="145"/>
    </row>
    <row r="250" spans="1:9">
      <c r="A250" s="97"/>
      <c r="B250" s="47" t="s">
        <v>148</v>
      </c>
      <c r="C250" s="188">
        <f>IF(Attachment7!B23+Attachment7!B24=0,1, (Attachment7!K23+Attachment7!K24)/(Attachment7!B23+Attachment7!B24))</f>
        <v>0.64515395993007929</v>
      </c>
      <c r="D250" s="188">
        <f>IF(Attachment7!B63+Attachment7!B64=0,1, (Attachment7!K63+Attachment7!K64)/(Attachment7!B63+Attachment7!B64))</f>
        <v>0.76015678150894017</v>
      </c>
      <c r="E250" s="112">
        <f>IF(Attachment7!B103+Attachment7!B104=0,1, (Attachment7!K103+Attachment7!K104)/(Attachment7!B103+Attachment7!B104))</f>
        <v>0.81121909099535061</v>
      </c>
      <c r="F250" s="112">
        <f>IF(Attachment7!B143+Attachment7!B144=0,1, (Attachment7!K143+Attachment7!K144)/(Attachment7!B143+Attachment7!B144))</f>
        <v>0.66081239848402817</v>
      </c>
      <c r="G250" s="112">
        <f>IF(Attachment7!B183+Attachment7!B184=0,1, (Attachment7!K183+Attachment7!K184)/(Attachment7!B183+Attachment7!B184))</f>
        <v>0.66521681624940965</v>
      </c>
      <c r="I250" s="145"/>
    </row>
    <row r="251" spans="1:9">
      <c r="A251" s="97" t="s">
        <v>66</v>
      </c>
      <c r="B251" s="47" t="s">
        <v>139</v>
      </c>
      <c r="C251" s="143">
        <f>Attachment7!B25</f>
        <v>25406</v>
      </c>
      <c r="D251" s="143">
        <f>Attachment7!B65</f>
        <v>21005</v>
      </c>
      <c r="E251" s="146">
        <f>Attachment7!B105+Attachment7!B106</f>
        <v>24399</v>
      </c>
      <c r="F251" s="146">
        <f>Attachment7!B145+Attachment7!B146</f>
        <v>26714</v>
      </c>
      <c r="G251" s="146">
        <f>Attachment7!B185 + Attachment7!B186</f>
        <v>25971</v>
      </c>
      <c r="I251" s="145"/>
    </row>
    <row r="252" spans="1:9">
      <c r="A252" s="97"/>
      <c r="B252" s="47" t="s">
        <v>149</v>
      </c>
      <c r="C252" s="188">
        <f>IF(Attachment7!B25+Attachment7!B26=0,1, (Attachment7!K25+Attachment7!K26)/(Attachment7!B25+Attachment7!B26))</f>
        <v>0.63137258915216876</v>
      </c>
      <c r="D252" s="188">
        <f>IF(Attachment7!B65+Attachment7!B66=0,1, (Attachment7!K65+Attachment7!K66)/(Attachment7!B65+Attachment7!B66))</f>
        <v>0.64205998571768619</v>
      </c>
      <c r="E252" s="266">
        <f>IF(Attachment7!B105+Attachment7!B106=0,1, (Attachment7!K105+Attachment7!K106)/(Attachment7!B105+Attachment7!B106))</f>
        <v>0.64489290544694444</v>
      </c>
      <c r="F252" s="266">
        <f>IF(Attachment7!B145+Attachment7!B146=0,1, (Attachment7!K145+Attachment7!K146)/(Attachment7!B145+Attachment7!B146))</f>
        <v>0.58974702403234258</v>
      </c>
      <c r="G252" s="266">
        <f>IF(Attachment7!B185+Attachment7!B186=0,1, (Attachment7!K185+Attachment7!K186)/(Attachment7!B185+Attachment7!B186))</f>
        <v>0.59162689153286352</v>
      </c>
      <c r="I252" s="145"/>
    </row>
    <row r="253" spans="1:9">
      <c r="A253" s="97" t="s">
        <v>66</v>
      </c>
      <c r="B253" s="47" t="s">
        <v>140</v>
      </c>
      <c r="C253" s="143">
        <f>Attachment7!B27</f>
        <v>954</v>
      </c>
      <c r="D253" s="143">
        <f>Attachment7!B67</f>
        <v>660</v>
      </c>
      <c r="E253" s="145">
        <f>Attachment7!B107+Attachment7!B108</f>
        <v>2567</v>
      </c>
      <c r="F253" s="145">
        <f>Attachment7!B147+Attachment7!B148</f>
        <v>1593</v>
      </c>
      <c r="G253" s="145">
        <f>Attachment7!B187 + Attachment7!B188</f>
        <v>1381</v>
      </c>
      <c r="I253" s="145"/>
    </row>
    <row r="254" spans="1:9">
      <c r="A254" s="97"/>
      <c r="B254" s="47" t="s">
        <v>150</v>
      </c>
      <c r="C254" s="188">
        <f>IF(Attachment7!B27+Attachment7!B28=0,1, (Attachment7!K27+Attachment7!K28)/(Attachment7!B27+Attachment7!B28))</f>
        <v>0.68191719077568136</v>
      </c>
      <c r="D254" s="188">
        <f>IF(Attachment7!B67+Attachment7!B68=0,1, (Attachment7!K67+Attachment7!K68)/(Attachment7!B67+Attachment7!B68))</f>
        <v>0.67279393939393939</v>
      </c>
      <c r="E254" s="112">
        <f>IF(Attachment7!B107+Attachment7!B108=0,1, (Attachment7!K107+Attachment7!K108)/(Attachment7!B107+Attachment7!B108))</f>
        <v>0.89308609271523187</v>
      </c>
      <c r="F254" s="112">
        <f>IF(Attachment7!B147+Attachment7!B148=0,1, (Attachment7!K147+Attachment7!K148)/(Attachment7!B147+Attachment7!B148))</f>
        <v>0.73953044569993731</v>
      </c>
      <c r="G254" s="112">
        <f>IF(Attachment7!B187+Attachment7!B188=0,1, (Attachment7!K187+Attachment7!K188)/(Attachment7!B187+Attachment7!B188))</f>
        <v>0.72791745112237516</v>
      </c>
      <c r="I254" s="145"/>
    </row>
    <row r="255" spans="1:9">
      <c r="A255" s="97" t="s">
        <v>66</v>
      </c>
      <c r="B255" s="47" t="s">
        <v>141</v>
      </c>
      <c r="C255" s="143">
        <f>Attachment7!B29</f>
        <v>17134</v>
      </c>
      <c r="D255" s="143">
        <f>Attachment7!B69</f>
        <v>15780</v>
      </c>
      <c r="E255" s="145">
        <f>Attachment7!B109+Attachment7!B110</f>
        <v>28473</v>
      </c>
      <c r="F255" s="145">
        <f>Attachment7!B149+Attachment7!B150</f>
        <v>22053</v>
      </c>
      <c r="G255" s="145">
        <f>Attachment7!B189 + Attachment7!B190</f>
        <v>20907</v>
      </c>
      <c r="I255" s="145"/>
    </row>
    <row r="256" spans="1:9">
      <c r="A256" s="97"/>
      <c r="B256" s="47" t="s">
        <v>151</v>
      </c>
      <c r="C256" s="188">
        <f>IF(Attachment7!B29+Attachment7!B30=0,1, (Attachment7!K29+Attachment7!K30)/(Attachment7!B29+Attachment7!B30))</f>
        <v>0.63818069335823502</v>
      </c>
      <c r="D256" s="188">
        <f>IF(Attachment7!B69+Attachment7!B70=0,1, (Attachment7!K69+Attachment7!K70)/(Attachment7!B69+Attachment7!B70))</f>
        <v>0.68769695817490484</v>
      </c>
      <c r="E256" s="112">
        <f>IF(Attachment7!B109+Attachment7!B110=0,1, (Attachment7!K109+Attachment7!K110)/(Attachment7!B109+Attachment7!B110))</f>
        <v>0.89378442735222852</v>
      </c>
      <c r="F256" s="112">
        <f>IF(Attachment7!B149+Attachment7!B150=0,1, (Attachment7!K149+Attachment7!K150)/(Attachment7!B149+Attachment7!B150))</f>
        <v>0.70675327619824957</v>
      </c>
      <c r="G256" s="112">
        <f>IF(Attachment7!B189+Attachment7!B190=0,1, (Attachment7!K189+Attachment7!K190)/(Attachment7!B189+Attachment7!B190))</f>
        <v>0.73293748505285305</v>
      </c>
      <c r="I256" s="145"/>
    </row>
    <row r="257" spans="1:9">
      <c r="A257" s="97" t="s">
        <v>66</v>
      </c>
      <c r="B257" s="47" t="s">
        <v>142</v>
      </c>
      <c r="C257" s="143">
        <f>Attachment7!B31</f>
        <v>798</v>
      </c>
      <c r="D257" s="143">
        <f>Attachment7!B71</f>
        <v>813</v>
      </c>
      <c r="E257" s="145">
        <f>Attachment7!B111+Attachment7!B112</f>
        <v>584</v>
      </c>
      <c r="F257" s="145">
        <f>Attachment7!B151+Attachment7!B152</f>
        <v>1190</v>
      </c>
      <c r="G257" s="145">
        <f>Attachment7!B191 + Attachment7!B192</f>
        <v>904</v>
      </c>
      <c r="I257" s="145"/>
    </row>
    <row r="258" spans="1:9">
      <c r="A258" s="97"/>
      <c r="B258" s="47" t="s">
        <v>152</v>
      </c>
      <c r="C258" s="188">
        <f>IF(Attachment7!B31+Attachment7!B32=0,1, (Attachment7!K31+Attachment7!K32)/(Attachment7!B31+Attachment7!B32))</f>
        <v>0.52134586466165411</v>
      </c>
      <c r="D258" s="188">
        <f>IF(Attachment7!B71+Attachment7!B72=0,1, (Attachment7!K71+Attachment7!K72)/(Attachment7!B71+Attachment7!B72))</f>
        <v>0.55493480934809347</v>
      </c>
      <c r="E258" s="112">
        <f>IF(Attachment7!B111+Attachment7!B112=0,1, (Attachment7!K111+Attachment7!K112)/(Attachment7!B111+Attachment7!B112))</f>
        <v>0.70386986301369858</v>
      </c>
      <c r="F258" s="112">
        <f>IF(Attachment7!B151+Attachment7!B152=0,1, (Attachment7!K151+Attachment7!K152)/(Attachment7!B151+Attachment7!B152))</f>
        <v>0.63433949579831939</v>
      </c>
      <c r="G258" s="112">
        <f>IF(Attachment7!B191+Attachment7!B192=0,1, (Attachment7!K191+Attachment7!K192)/(Attachment7!B191+Attachment7!B192))</f>
        <v>0.66641592920353987</v>
      </c>
      <c r="I258" s="145"/>
    </row>
    <row r="259" spans="1:9">
      <c r="A259" s="97" t="s">
        <v>66</v>
      </c>
      <c r="B259" s="47" t="s">
        <v>143</v>
      </c>
      <c r="C259" s="143">
        <f>Attachment7!B34</f>
        <v>7493</v>
      </c>
      <c r="D259" s="143">
        <f>Attachment7!B74</f>
        <v>8121</v>
      </c>
      <c r="E259" s="146">
        <f>Attachment7!B114+Attachment7!B115</f>
        <v>7741</v>
      </c>
      <c r="F259" s="146">
        <f>Attachment7!B154+Attachment7!B155</f>
        <v>10070</v>
      </c>
      <c r="G259" s="146">
        <f>Attachment7!B194 + Attachment7!B195</f>
        <v>9551</v>
      </c>
      <c r="I259" s="145"/>
    </row>
    <row r="260" spans="1:9">
      <c r="A260" s="97"/>
      <c r="B260" s="47" t="s">
        <v>153</v>
      </c>
      <c r="C260" s="188">
        <f>IF(Attachment7!B34+Attachment7!B35=0,1, (Attachment7!K34+Attachment7!K35)/(Attachment7!B34+Attachment7!B35))</f>
        <v>0.65089657013212332</v>
      </c>
      <c r="D260" s="188">
        <f>IF(Attachment7!B74+Attachment7!B75=0,1, (Attachment7!K74+Attachment7!K75)/(Attachment7!B74+Attachment7!B75))</f>
        <v>0.66209560398965639</v>
      </c>
      <c r="E260" s="112">
        <f>IF(Attachment7!B114+Attachment7!B115=0,1, (Attachment7!K114+Attachment7!K115)/(Attachment7!B114+Attachment7!B115))</f>
        <v>0.81493440124014982</v>
      </c>
      <c r="F260" s="112">
        <f>IF(Attachment7!B154+Attachment7!B155=0,1, (Attachment7!K154+Attachment7!K155)/(Attachment7!B154+Attachment7!B155))</f>
        <v>0.79686407149950345</v>
      </c>
      <c r="G260" s="112">
        <f>IF(Attachment7!B194+Attachment7!B195=0,1, (Attachment7!K194+Attachment7!K195)/(Attachment7!B194+Attachment7!B195))</f>
        <v>0.67789102711757931</v>
      </c>
      <c r="I260" s="145"/>
    </row>
    <row r="261" spans="1:9">
      <c r="A261" s="97"/>
      <c r="B261" s="47"/>
      <c r="C261" s="187"/>
      <c r="E261" s="120"/>
      <c r="F261" s="120"/>
      <c r="G261" s="120"/>
      <c r="I261" s="145"/>
    </row>
    <row r="262" spans="1:9">
      <c r="A262" s="97" t="s">
        <v>66</v>
      </c>
      <c r="B262" s="47" t="s">
        <v>144</v>
      </c>
      <c r="C262" s="143">
        <f>CourtlandAvLove!B15</f>
        <v>62438</v>
      </c>
      <c r="D262" s="143">
        <f>CourtlandAvLove!B16</f>
        <v>46704</v>
      </c>
      <c r="E262" s="150">
        <f>CourtlandAvLove!B17</f>
        <v>55120</v>
      </c>
      <c r="F262" s="150">
        <f>CourtlandAvLove!B18</f>
        <v>44380</v>
      </c>
      <c r="G262" s="150">
        <f>CourtlandAvLove!B19</f>
        <v>73224</v>
      </c>
      <c r="I262" s="145"/>
    </row>
    <row r="263" spans="1:9">
      <c r="A263" s="97"/>
      <c r="B263" s="384" t="s">
        <v>414</v>
      </c>
      <c r="C263" s="143">
        <f>CourtlandAvLove!P15</f>
        <v>471</v>
      </c>
      <c r="D263" s="143">
        <f>CourtlandAvLove!P16</f>
        <v>532</v>
      </c>
      <c r="E263" s="146">
        <f>CourtlandAvLove!P17</f>
        <v>143</v>
      </c>
      <c r="F263" s="146">
        <f>CourtlandAvLove!P18</f>
        <v>499</v>
      </c>
      <c r="G263" s="146">
        <f>CourtlandAvLove!P19</f>
        <v>980</v>
      </c>
      <c r="I263" s="145"/>
    </row>
    <row r="264" spans="1:9">
      <c r="A264" s="97"/>
      <c r="B264" s="47" t="s">
        <v>415</v>
      </c>
      <c r="C264" s="188">
        <f>Attachment7!L36</f>
        <v>0.26769256900212313</v>
      </c>
      <c r="D264" s="188">
        <f>Attachment7!L76</f>
        <v>0.23779999999999998</v>
      </c>
      <c r="E264" s="252">
        <f>Attachment7!L116</f>
        <v>0.24600000000000002</v>
      </c>
      <c r="F264" s="252">
        <f>Attachment7!L156</f>
        <v>0.31386773547094188</v>
      </c>
      <c r="G264" s="252">
        <f>Attachment7!L196</f>
        <v>0.27493428571428574</v>
      </c>
      <c r="I264" s="145"/>
    </row>
    <row r="265" spans="1:9">
      <c r="A265" s="97"/>
      <c r="B265" s="47" t="s">
        <v>416</v>
      </c>
      <c r="C265" s="143">
        <f>CourtlandAvLove!L15</f>
        <v>3484</v>
      </c>
      <c r="D265" s="143">
        <f>CourtlandAvLove!L16</f>
        <v>1548</v>
      </c>
      <c r="E265" s="143">
        <f>CourtlandAvLove!L17</f>
        <v>1491</v>
      </c>
      <c r="F265" s="143">
        <f>CourtlandAvLove!L18</f>
        <v>3847</v>
      </c>
      <c r="G265" s="143">
        <f>CourtlandAvLove!L19</f>
        <v>3712</v>
      </c>
      <c r="I265" s="145"/>
    </row>
    <row r="266" spans="1:9">
      <c r="A266" s="97"/>
      <c r="B266" s="47" t="s">
        <v>417</v>
      </c>
      <c r="C266" s="143">
        <f>CourtlandAvLove!M15</f>
        <v>5903</v>
      </c>
      <c r="D266" s="143">
        <f>CourtlandAvLove!M16</f>
        <v>4065</v>
      </c>
      <c r="E266" s="146">
        <f>CourtlandAvLove!M17</f>
        <v>2765</v>
      </c>
      <c r="F266" s="146">
        <f>CourtlandAvLove!M18</f>
        <v>4278</v>
      </c>
      <c r="G266" s="146">
        <f>CourtlandAvLove!M19</f>
        <v>7815</v>
      </c>
      <c r="I266" s="145"/>
    </row>
    <row r="267" spans="1:9">
      <c r="A267" s="97" t="s">
        <v>66</v>
      </c>
      <c r="B267" s="47" t="s">
        <v>145</v>
      </c>
      <c r="C267" s="143">
        <f>CourtlandAvLove!C15</f>
        <v>52599</v>
      </c>
      <c r="D267" s="143">
        <f>CourtlandAvLove!C16</f>
        <v>40559</v>
      </c>
      <c r="E267" s="150">
        <f>CourtlandAvLove!C17</f>
        <v>50721</v>
      </c>
      <c r="F267" s="150">
        <f>CourtlandAvLove!C18</f>
        <v>35756</v>
      </c>
      <c r="G267" s="150">
        <f>CourtlandAvLove!C19</f>
        <v>60776</v>
      </c>
      <c r="I267" s="145"/>
    </row>
    <row r="268" spans="1:9">
      <c r="A268" s="97"/>
      <c r="B268" s="47" t="s">
        <v>411</v>
      </c>
      <c r="C268" s="143">
        <f>CourtlandAvLove!Q15</f>
        <v>24094</v>
      </c>
      <c r="D268" s="143">
        <f>CourtlandAvLove!Q16</f>
        <v>17007</v>
      </c>
      <c r="E268" s="146">
        <f>CourtlandAvLove!Q17</f>
        <v>13664</v>
      </c>
      <c r="F268" s="146">
        <f>CourtlandAvLove!Q18</f>
        <v>18180</v>
      </c>
      <c r="G268" s="146">
        <f>CourtlandAvLove!Q19</f>
        <v>24977</v>
      </c>
      <c r="I268" s="145"/>
    </row>
    <row r="269" spans="1:9">
      <c r="A269" s="97"/>
      <c r="B269" s="47" t="s">
        <v>154</v>
      </c>
      <c r="C269" s="188">
        <f>Attachment7!L37</f>
        <v>0.58363937419595791</v>
      </c>
      <c r="D269" s="188">
        <f>Attachment7!L77</f>
        <v>0.53652500734991471</v>
      </c>
      <c r="E269" s="269">
        <f>Attachment7!L117</f>
        <v>0.65140601580796254</v>
      </c>
      <c r="F269" s="269">
        <f>Attachment7!L157</f>
        <v>0.60707028216269721</v>
      </c>
      <c r="G269" s="269">
        <f>Attachment7!L197</f>
        <v>0.58613387516515192</v>
      </c>
      <c r="I269" s="145"/>
    </row>
    <row r="270" spans="1:9">
      <c r="A270" s="97"/>
      <c r="B270" s="47" t="s">
        <v>418</v>
      </c>
      <c r="C270" s="143">
        <f>CourtlandAvLove!O15</f>
        <v>3866</v>
      </c>
      <c r="D270" s="143">
        <f>CourtlandAvLove!O16</f>
        <v>5681</v>
      </c>
      <c r="E270" s="150">
        <f>CourtlandAvLove!O17</f>
        <v>7553</v>
      </c>
      <c r="F270" s="150">
        <f>CourtlandAvLove!O18</f>
        <v>3950</v>
      </c>
      <c r="G270" s="150">
        <f>CourtlandAvLove!O19</f>
        <v>8795</v>
      </c>
      <c r="I270" s="145"/>
    </row>
    <row r="271" spans="1:9">
      <c r="A271" s="97" t="s">
        <v>66</v>
      </c>
      <c r="B271" s="47" t="s">
        <v>146</v>
      </c>
      <c r="C271" s="143">
        <f>CourtlandAvLove!H15</f>
        <v>28120</v>
      </c>
      <c r="D271" s="143">
        <f>CourtlandAvLove!H16</f>
        <v>19419</v>
      </c>
      <c r="E271" s="150">
        <f>CourtlandAvLove!H17</f>
        <v>30995</v>
      </c>
      <c r="F271" s="150">
        <f>CourtlandAvLove!H18</f>
        <v>17473</v>
      </c>
      <c r="G271" s="150">
        <f>CourtlandAvLove!H19</f>
        <v>30657</v>
      </c>
      <c r="I271" s="145"/>
    </row>
    <row r="272" spans="1:9">
      <c r="A272" s="97" t="s">
        <v>66</v>
      </c>
      <c r="B272" s="47" t="s">
        <v>420</v>
      </c>
      <c r="C272" s="189">
        <v>25525</v>
      </c>
      <c r="D272" s="189">
        <v>14050</v>
      </c>
      <c r="E272" s="465">
        <v>10662</v>
      </c>
      <c r="F272" s="465">
        <v>14183</v>
      </c>
      <c r="G272" s="465">
        <v>24651</v>
      </c>
    </row>
    <row r="273" spans="1:7">
      <c r="A273" s="97"/>
      <c r="B273" s="47" t="s">
        <v>155</v>
      </c>
      <c r="C273" s="188">
        <f>Attachment7!L38</f>
        <v>0.41957856842105262</v>
      </c>
      <c r="D273" s="188">
        <f>Attachment7!L78</f>
        <v>0.49400414270778881</v>
      </c>
      <c r="E273" s="269">
        <f>Attachment7!L118</f>
        <v>0.56052460700389095</v>
      </c>
      <c r="F273" s="269">
        <f>Attachment7!L158</f>
        <v>0.51217636200277716</v>
      </c>
      <c r="G273" s="269">
        <f>Attachment7!L198</f>
        <v>0.42398638171229186</v>
      </c>
    </row>
    <row r="274" spans="1:7">
      <c r="A274" s="97"/>
      <c r="B274" s="47"/>
      <c r="C274" s="187"/>
      <c r="E274" s="124"/>
      <c r="F274" s="124"/>
      <c r="G274" s="124"/>
    </row>
    <row r="275" spans="1:7">
      <c r="A275" s="97"/>
      <c r="B275" s="82" t="s">
        <v>419</v>
      </c>
      <c r="C275" s="187"/>
      <c r="E275" s="124"/>
      <c r="F275" s="124"/>
      <c r="G275" s="124"/>
    </row>
    <row r="276" spans="1:7">
      <c r="A276" s="97" t="s">
        <v>66</v>
      </c>
      <c r="B276" s="47" t="s">
        <v>467</v>
      </c>
      <c r="C276" s="143">
        <f>Fed_Reservoir!B39</f>
        <v>38784.591548472919</v>
      </c>
      <c r="D276" s="143">
        <f>Fed_Reservoir!B40</f>
        <v>37077</v>
      </c>
      <c r="E276" s="145">
        <f>Fed_Reservoir!B41</f>
        <v>37221.863849490997</v>
      </c>
      <c r="F276" s="145">
        <f>Fed_Reservoir!B42</f>
        <v>32827.674475489039</v>
      </c>
      <c r="G276" s="145">
        <f>Fed_Reservoir!B43</f>
        <v>52212</v>
      </c>
    </row>
    <row r="277" spans="1:7">
      <c r="A277" s="97" t="s">
        <v>66</v>
      </c>
      <c r="B277" s="47" t="s">
        <v>468</v>
      </c>
      <c r="C277" s="143">
        <f>Fed_Reservoir!C39</f>
        <v>26806.759204000991</v>
      </c>
      <c r="D277" s="143">
        <f>Fed_Reservoir!C40</f>
        <v>25860</v>
      </c>
      <c r="E277" s="145">
        <f>Fed_Reservoir!C41</f>
        <v>26706.586401333665</v>
      </c>
      <c r="F277" s="145">
        <f>Fed_Reservoir!C42</f>
        <v>32808.708010000002</v>
      </c>
      <c r="G277" s="145">
        <f>Fed_Reservoir!C43</f>
        <v>30809</v>
      </c>
    </row>
    <row r="278" spans="1:7">
      <c r="E278" s="120"/>
      <c r="G278" s="120"/>
    </row>
    <row r="309" spans="5:7">
      <c r="E309" s="264"/>
      <c r="G309" s="264"/>
    </row>
    <row r="310" spans="5:7">
      <c r="E310" s="264"/>
      <c r="G310" s="264"/>
    </row>
    <row r="311" spans="5:7">
      <c r="E311" s="264"/>
      <c r="G311" s="264"/>
    </row>
    <row r="312" spans="5:7">
      <c r="E312" s="264"/>
      <c r="G312" s="264"/>
    </row>
    <row r="313" spans="5:7">
      <c r="E313" s="264"/>
      <c r="G313" s="264"/>
    </row>
    <row r="314" spans="5:7">
      <c r="E314" s="264"/>
      <c r="G314" s="264"/>
    </row>
    <row r="315" spans="5:7">
      <c r="E315" s="264"/>
      <c r="G315" s="264"/>
    </row>
    <row r="316" spans="5:7">
      <c r="E316" s="264"/>
      <c r="G316" s="264"/>
    </row>
    <row r="317" spans="5:7">
      <c r="E317" s="264"/>
      <c r="G317" s="264"/>
    </row>
    <row r="318" spans="5:7">
      <c r="E318" s="264"/>
      <c r="G318" s="264"/>
    </row>
    <row r="319" spans="5:7">
      <c r="E319" s="264"/>
      <c r="G319" s="264"/>
    </row>
    <row r="320" spans="5:7">
      <c r="E320" s="264"/>
      <c r="G320" s="264"/>
    </row>
    <row r="321" spans="5:7">
      <c r="E321" s="264"/>
      <c r="G321" s="264"/>
    </row>
    <row r="322" spans="5:7">
      <c r="E322" s="264"/>
      <c r="G322" s="264"/>
    </row>
    <row r="323" spans="5:7">
      <c r="E323" s="264"/>
      <c r="G323" s="264"/>
    </row>
    <row r="324" spans="5:7">
      <c r="E324" s="264"/>
      <c r="G324" s="264"/>
    </row>
    <row r="325" spans="5:7">
      <c r="E325" s="264"/>
      <c r="G325" s="264"/>
    </row>
    <row r="326" spans="5:7">
      <c r="E326" s="264"/>
      <c r="G326" s="264"/>
    </row>
    <row r="327" spans="5:7">
      <c r="E327" s="264"/>
      <c r="G327" s="264"/>
    </row>
    <row r="328" spans="5:7">
      <c r="E328" s="264"/>
      <c r="G328" s="264"/>
    </row>
    <row r="329" spans="5:7">
      <c r="E329" s="264"/>
      <c r="G329" s="264"/>
    </row>
    <row r="330" spans="5:7">
      <c r="E330" s="264"/>
      <c r="G330" s="264"/>
    </row>
    <row r="331" spans="5:7">
      <c r="E331" s="264"/>
      <c r="G331" s="264"/>
    </row>
    <row r="332" spans="5:7">
      <c r="E332" s="264"/>
      <c r="G332" s="264"/>
    </row>
    <row r="333" spans="5:7">
      <c r="E333" s="264"/>
      <c r="G333" s="264"/>
    </row>
    <row r="334" spans="5:7">
      <c r="E334" s="264"/>
      <c r="G334" s="264"/>
    </row>
    <row r="335" spans="5:7">
      <c r="E335" s="264"/>
      <c r="G335" s="264"/>
    </row>
    <row r="336" spans="5:7">
      <c r="E336" s="264"/>
      <c r="G336" s="264"/>
    </row>
    <row r="337" spans="5:7">
      <c r="E337" s="264"/>
      <c r="G337" s="264"/>
    </row>
    <row r="338" spans="5:7">
      <c r="E338" s="264"/>
      <c r="G338" s="264"/>
    </row>
    <row r="339" spans="5:7">
      <c r="E339" s="264"/>
      <c r="G339" s="264"/>
    </row>
    <row r="340" spans="5:7">
      <c r="E340" s="264"/>
      <c r="G340" s="264"/>
    </row>
    <row r="341" spans="5:7">
      <c r="E341" s="264"/>
      <c r="G341" s="264"/>
    </row>
    <row r="342" spans="5:7">
      <c r="E342" s="264"/>
      <c r="G342" s="264"/>
    </row>
    <row r="343" spans="5:7">
      <c r="E343" s="264"/>
      <c r="G343" s="264"/>
    </row>
    <row r="344" spans="5:7">
      <c r="E344" s="264"/>
      <c r="G344" s="264"/>
    </row>
    <row r="345" spans="5:7">
      <c r="E345" s="264"/>
      <c r="G345" s="264"/>
    </row>
    <row r="346" spans="5:7">
      <c r="E346" s="264"/>
      <c r="G346" s="264"/>
    </row>
    <row r="347" spans="5:7">
      <c r="E347" s="264"/>
      <c r="G347" s="264"/>
    </row>
    <row r="348" spans="5:7">
      <c r="E348" s="264"/>
      <c r="G348" s="264"/>
    </row>
    <row r="349" spans="5:7">
      <c r="E349" s="264"/>
      <c r="G349" s="264"/>
    </row>
    <row r="350" spans="5:7">
      <c r="E350" s="264"/>
      <c r="G350" s="264"/>
    </row>
    <row r="351" spans="5:7">
      <c r="E351" s="264"/>
      <c r="G351" s="264"/>
    </row>
    <row r="352" spans="5:7">
      <c r="E352" s="264"/>
      <c r="G352" s="264"/>
    </row>
    <row r="353" spans="5:7">
      <c r="E353" s="264"/>
      <c r="G353" s="264"/>
    </row>
    <row r="354" spans="5:7">
      <c r="E354" s="264"/>
      <c r="G354" s="264"/>
    </row>
    <row r="355" spans="5:7">
      <c r="E355" s="264"/>
      <c r="G355" s="264"/>
    </row>
    <row r="356" spans="5:7">
      <c r="E356" s="264"/>
      <c r="G356" s="264"/>
    </row>
    <row r="357" spans="5:7">
      <c r="E357" s="264"/>
      <c r="G357" s="264"/>
    </row>
    <row r="358" spans="5:7">
      <c r="E358" s="264"/>
      <c r="G358" s="264"/>
    </row>
    <row r="359" spans="5:7">
      <c r="E359" s="264"/>
      <c r="G359" s="264"/>
    </row>
    <row r="360" spans="5:7">
      <c r="E360" s="264"/>
      <c r="G360" s="264"/>
    </row>
    <row r="361" spans="5:7">
      <c r="E361" s="264"/>
      <c r="G361" s="264"/>
    </row>
    <row r="362" spans="5:7">
      <c r="E362" s="264"/>
      <c r="G362" s="264"/>
    </row>
    <row r="363" spans="5:7">
      <c r="E363" s="264"/>
      <c r="G363" s="264"/>
    </row>
    <row r="364" spans="5:7">
      <c r="E364" s="264"/>
      <c r="G364" s="264"/>
    </row>
    <row r="365" spans="5:7">
      <c r="E365" s="264"/>
      <c r="G365" s="264"/>
    </row>
    <row r="366" spans="5:7">
      <c r="E366" s="264"/>
      <c r="G366" s="264"/>
    </row>
    <row r="367" spans="5:7">
      <c r="E367" s="264"/>
      <c r="G367" s="264"/>
    </row>
    <row r="368" spans="5:7">
      <c r="E368" s="264"/>
      <c r="G368" s="264"/>
    </row>
    <row r="369" spans="5:7">
      <c r="E369" s="264"/>
      <c r="G369" s="264"/>
    </row>
    <row r="370" spans="5:7">
      <c r="E370" s="264"/>
      <c r="G370" s="264"/>
    </row>
    <row r="371" spans="5:7">
      <c r="E371" s="264"/>
      <c r="G371" s="264"/>
    </row>
    <row r="391" spans="5:7">
      <c r="E391" s="264"/>
      <c r="G391" s="264"/>
    </row>
    <row r="392" spans="5:7">
      <c r="E392" s="264"/>
      <c r="G392" s="264"/>
    </row>
    <row r="393" spans="5:7">
      <c r="E393" s="264"/>
      <c r="G393" s="264"/>
    </row>
    <row r="394" spans="5:7">
      <c r="E394" s="264"/>
      <c r="G394" s="264"/>
    </row>
    <row r="395" spans="5:7">
      <c r="E395" s="264"/>
      <c r="G395" s="264"/>
    </row>
    <row r="396" spans="5:7">
      <c r="E396" s="264"/>
      <c r="G396" s="264"/>
    </row>
    <row r="397" spans="5:7">
      <c r="E397" s="264"/>
      <c r="G397" s="264"/>
    </row>
    <row r="398" spans="5:7">
      <c r="E398" s="264"/>
      <c r="G398" s="264"/>
    </row>
    <row r="399" spans="5:7">
      <c r="E399" s="264"/>
      <c r="G399" s="264"/>
    </row>
    <row r="400" spans="5:7">
      <c r="E400" s="264"/>
      <c r="G400" s="264"/>
    </row>
    <row r="401" spans="5:7">
      <c r="E401" s="264"/>
      <c r="G401" s="264"/>
    </row>
    <row r="402" spans="5:7">
      <c r="E402" s="264"/>
      <c r="G402" s="264"/>
    </row>
    <row r="403" spans="5:7">
      <c r="E403" s="264"/>
      <c r="G403" s="264"/>
    </row>
    <row r="404" spans="5:7">
      <c r="E404" s="264"/>
      <c r="G404" s="264"/>
    </row>
    <row r="405" spans="5:7">
      <c r="E405" s="264"/>
      <c r="G405" s="264"/>
    </row>
    <row r="406" spans="5:7">
      <c r="E406" s="264"/>
      <c r="G406" s="264"/>
    </row>
    <row r="407" spans="5:7">
      <c r="E407" s="264"/>
      <c r="G407" s="264"/>
    </row>
    <row r="408" spans="5:7">
      <c r="E408" s="264"/>
      <c r="G408" s="264"/>
    </row>
    <row r="409" spans="5:7">
      <c r="E409" s="264"/>
      <c r="G409" s="264"/>
    </row>
    <row r="410" spans="5:7">
      <c r="E410" s="264"/>
      <c r="G410" s="264"/>
    </row>
    <row r="411" spans="5:7">
      <c r="E411" s="264"/>
      <c r="G411" s="264"/>
    </row>
    <row r="412" spans="5:7">
      <c r="E412" s="264"/>
      <c r="G412" s="264"/>
    </row>
    <row r="413" spans="5:7">
      <c r="E413" s="264"/>
      <c r="G413" s="264"/>
    </row>
    <row r="414" spans="5:7">
      <c r="E414" s="264"/>
      <c r="G414" s="264"/>
    </row>
    <row r="415" spans="5:7">
      <c r="E415" s="264"/>
      <c r="G415" s="264"/>
    </row>
    <row r="416" spans="5:7">
      <c r="E416" s="264"/>
      <c r="G416" s="264"/>
    </row>
    <row r="417" spans="5:7">
      <c r="E417" s="264"/>
      <c r="G417" s="264"/>
    </row>
    <row r="418" spans="5:7">
      <c r="E418" s="264"/>
      <c r="G418" s="264"/>
    </row>
    <row r="419" spans="5:7">
      <c r="E419" s="264"/>
      <c r="G419" s="264"/>
    </row>
    <row r="420" spans="5:7">
      <c r="E420" s="264"/>
      <c r="G420" s="264"/>
    </row>
    <row r="421" spans="5:7">
      <c r="E421" s="264"/>
      <c r="G421" s="264"/>
    </row>
    <row r="422" spans="5:7">
      <c r="E422" s="264"/>
      <c r="G422" s="264"/>
    </row>
    <row r="423" spans="5:7">
      <c r="E423" s="264"/>
      <c r="G423" s="264"/>
    </row>
    <row r="424" spans="5:7">
      <c r="E424" s="264"/>
      <c r="G424" s="264"/>
    </row>
    <row r="425" spans="5:7">
      <c r="E425" s="264"/>
      <c r="G425" s="264"/>
    </row>
    <row r="426" spans="5:7">
      <c r="E426" s="264"/>
      <c r="G426" s="264"/>
    </row>
    <row r="427" spans="5:7">
      <c r="E427" s="264"/>
      <c r="G427" s="264"/>
    </row>
    <row r="428" spans="5:7">
      <c r="E428" s="264"/>
      <c r="G428" s="264"/>
    </row>
    <row r="429" spans="5:7">
      <c r="E429" s="264"/>
      <c r="G429" s="264"/>
    </row>
    <row r="430" spans="5:7">
      <c r="E430" s="264"/>
      <c r="G430" s="264"/>
    </row>
    <row r="431" spans="5:7">
      <c r="E431" s="264"/>
      <c r="G431" s="264"/>
    </row>
    <row r="432" spans="5:7">
      <c r="E432" s="264"/>
      <c r="G432" s="264"/>
    </row>
    <row r="433" spans="5:7">
      <c r="E433" s="264"/>
      <c r="G433" s="264"/>
    </row>
    <row r="434" spans="5:7">
      <c r="E434" s="264"/>
      <c r="G434" s="264"/>
    </row>
    <row r="435" spans="5:7">
      <c r="E435" s="264"/>
      <c r="G435" s="264"/>
    </row>
    <row r="436" spans="5:7">
      <c r="E436" s="264"/>
      <c r="G436" s="264"/>
    </row>
    <row r="437" spans="5:7">
      <c r="E437" s="264"/>
      <c r="G437" s="264"/>
    </row>
    <row r="438" spans="5:7">
      <c r="E438" s="264"/>
      <c r="G438" s="264"/>
    </row>
    <row r="439" spans="5:7">
      <c r="E439" s="264"/>
      <c r="G439" s="264"/>
    </row>
    <row r="440" spans="5:7">
      <c r="E440" s="264"/>
      <c r="G440" s="264"/>
    </row>
    <row r="441" spans="5:7">
      <c r="E441" s="264"/>
      <c r="G441" s="264"/>
    </row>
    <row r="442" spans="5:7">
      <c r="E442" s="264"/>
      <c r="G442" s="264"/>
    </row>
    <row r="443" spans="5:7">
      <c r="E443" s="264"/>
      <c r="G443" s="264"/>
    </row>
    <row r="444" spans="5:7">
      <c r="E444" s="264"/>
      <c r="G444" s="264"/>
    </row>
    <row r="445" spans="5:7">
      <c r="E445" s="264"/>
      <c r="G445" s="264"/>
    </row>
    <row r="446" spans="5:7">
      <c r="E446" s="264"/>
      <c r="G446" s="264"/>
    </row>
    <row r="447" spans="5:7">
      <c r="E447" s="264"/>
      <c r="G447" s="264"/>
    </row>
    <row r="448" spans="5:7">
      <c r="E448" s="264"/>
      <c r="G448" s="264"/>
    </row>
    <row r="449" spans="5:7">
      <c r="E449" s="264"/>
      <c r="G449" s="264"/>
    </row>
    <row r="450" spans="5:7">
      <c r="E450" s="264"/>
      <c r="G450" s="264"/>
    </row>
    <row r="451" spans="5:7">
      <c r="E451" s="264"/>
      <c r="G451" s="264"/>
    </row>
    <row r="452" spans="5:7">
      <c r="E452" s="264"/>
      <c r="G452" s="264"/>
    </row>
    <row r="453" spans="5:7">
      <c r="E453" s="264"/>
      <c r="G453" s="264"/>
    </row>
    <row r="454" spans="5:7">
      <c r="E454" s="264"/>
      <c r="G454" s="264"/>
    </row>
    <row r="455" spans="5:7">
      <c r="E455" s="264"/>
      <c r="G455" s="264"/>
    </row>
    <row r="456" spans="5:7">
      <c r="E456" s="264"/>
      <c r="G456" s="264"/>
    </row>
    <row r="457" spans="5:7">
      <c r="E457" s="264"/>
      <c r="G457" s="264"/>
    </row>
    <row r="458" spans="5:7">
      <c r="E458" s="264"/>
      <c r="G458" s="264"/>
    </row>
    <row r="459" spans="5:7">
      <c r="E459" s="264"/>
      <c r="G459" s="264"/>
    </row>
    <row r="460" spans="5:7">
      <c r="E460" s="264"/>
      <c r="G460" s="264"/>
    </row>
    <row r="461" spans="5:7">
      <c r="E461" s="264"/>
      <c r="G461" s="264"/>
    </row>
    <row r="462" spans="5:7">
      <c r="E462" s="264"/>
      <c r="G462" s="264"/>
    </row>
    <row r="463" spans="5:7">
      <c r="E463" s="264"/>
      <c r="G463" s="264"/>
    </row>
    <row r="464" spans="5:7">
      <c r="E464" s="264"/>
      <c r="G464" s="264"/>
    </row>
    <row r="465" spans="5:7">
      <c r="E465" s="264"/>
      <c r="G465" s="264"/>
    </row>
    <row r="466" spans="5:7">
      <c r="E466" s="264"/>
      <c r="G466" s="264"/>
    </row>
    <row r="467" spans="5:7">
      <c r="E467" s="264"/>
      <c r="G467" s="264"/>
    </row>
    <row r="468" spans="5:7">
      <c r="E468" s="264"/>
      <c r="G468" s="264"/>
    </row>
    <row r="469" spans="5:7">
      <c r="E469" s="264"/>
      <c r="G469" s="264"/>
    </row>
    <row r="470" spans="5:7">
      <c r="E470" s="264"/>
      <c r="G470" s="264"/>
    </row>
    <row r="471" spans="5:7">
      <c r="E471" s="264"/>
      <c r="G471" s="264"/>
    </row>
    <row r="472" spans="5:7">
      <c r="E472" s="264"/>
      <c r="G472" s="264"/>
    </row>
    <row r="473" spans="5:7">
      <c r="E473" s="264"/>
      <c r="G473" s="264"/>
    </row>
    <row r="474" spans="5:7">
      <c r="E474" s="264"/>
      <c r="G474" s="264"/>
    </row>
    <row r="475" spans="5:7">
      <c r="E475" s="264"/>
      <c r="G475" s="264"/>
    </row>
    <row r="476" spans="5:7">
      <c r="E476" s="264"/>
      <c r="G476" s="264"/>
    </row>
    <row r="477" spans="5:7">
      <c r="E477" s="264"/>
      <c r="G477" s="264"/>
    </row>
    <row r="478" spans="5:7">
      <c r="E478" s="264"/>
      <c r="G478" s="264"/>
    </row>
    <row r="479" spans="5:7">
      <c r="E479" s="264"/>
      <c r="G479" s="264"/>
    </row>
    <row r="480" spans="5:7">
      <c r="E480" s="264"/>
      <c r="G480" s="264"/>
    </row>
    <row r="481" spans="5:7">
      <c r="E481" s="264"/>
      <c r="G481" s="264"/>
    </row>
    <row r="482" spans="5:7">
      <c r="E482" s="264"/>
      <c r="G482" s="264"/>
    </row>
    <row r="483" spans="5:7">
      <c r="E483" s="264"/>
      <c r="G483" s="264"/>
    </row>
    <row r="484" spans="5:7">
      <c r="E484" s="264"/>
      <c r="G484" s="264"/>
    </row>
    <row r="485" spans="5:7">
      <c r="E485" s="264"/>
      <c r="G485" s="264"/>
    </row>
    <row r="486" spans="5:7">
      <c r="E486" s="264"/>
      <c r="G486" s="264"/>
    </row>
    <row r="487" spans="5:7">
      <c r="E487" s="264"/>
      <c r="G487" s="264"/>
    </row>
    <row r="488" spans="5:7">
      <c r="E488" s="264"/>
      <c r="G488" s="264"/>
    </row>
    <row r="489" spans="5:7">
      <c r="E489" s="264"/>
      <c r="G489" s="264"/>
    </row>
    <row r="490" spans="5:7">
      <c r="E490" s="264"/>
      <c r="G490" s="264"/>
    </row>
    <row r="491" spans="5:7">
      <c r="E491" s="264"/>
      <c r="G491" s="264"/>
    </row>
    <row r="492" spans="5:7">
      <c r="E492" s="264"/>
      <c r="G492" s="264"/>
    </row>
    <row r="493" spans="5:7">
      <c r="E493" s="264"/>
      <c r="G493" s="264"/>
    </row>
    <row r="494" spans="5:7">
      <c r="E494" s="264"/>
      <c r="G494" s="264"/>
    </row>
    <row r="495" spans="5:7">
      <c r="E495" s="264"/>
      <c r="G495" s="264"/>
    </row>
    <row r="496" spans="5:7">
      <c r="E496" s="264"/>
      <c r="G496" s="264"/>
    </row>
    <row r="497" spans="5:7">
      <c r="E497" s="264"/>
      <c r="G497" s="264"/>
    </row>
    <row r="498" spans="5:7">
      <c r="E498" s="264"/>
      <c r="G498" s="264"/>
    </row>
    <row r="499" spans="5:7">
      <c r="E499" s="264"/>
      <c r="G499" s="264"/>
    </row>
    <row r="500" spans="5:7">
      <c r="E500" s="264"/>
      <c r="G500" s="264"/>
    </row>
    <row r="501" spans="5:7">
      <c r="E501" s="264"/>
      <c r="G501" s="264"/>
    </row>
    <row r="502" spans="5:7">
      <c r="E502" s="264"/>
      <c r="G502" s="264"/>
    </row>
    <row r="503" spans="5:7">
      <c r="E503" s="264"/>
      <c r="G503" s="264"/>
    </row>
    <row r="504" spans="5:7">
      <c r="E504" s="264"/>
      <c r="G504" s="264"/>
    </row>
    <row r="505" spans="5:7">
      <c r="E505" s="264"/>
      <c r="G505" s="264"/>
    </row>
    <row r="506" spans="5:7">
      <c r="E506" s="264"/>
      <c r="G506" s="264"/>
    </row>
    <row r="507" spans="5:7">
      <c r="E507" s="264"/>
      <c r="G507" s="264"/>
    </row>
    <row r="508" spans="5:7">
      <c r="E508" s="264"/>
      <c r="G508" s="264"/>
    </row>
    <row r="509" spans="5:7">
      <c r="E509" s="264"/>
      <c r="G509" s="264"/>
    </row>
    <row r="510" spans="5:7">
      <c r="E510" s="264"/>
      <c r="G510" s="264"/>
    </row>
    <row r="511" spans="5:7">
      <c r="E511" s="264"/>
      <c r="G511" s="264"/>
    </row>
    <row r="512" spans="5:7">
      <c r="E512" s="264"/>
      <c r="G512" s="264"/>
    </row>
    <row r="513" spans="5:7">
      <c r="E513" s="264"/>
      <c r="G513" s="264"/>
    </row>
    <row r="514" spans="5:7">
      <c r="E514" s="264"/>
      <c r="G514" s="264"/>
    </row>
    <row r="515" spans="5:7">
      <c r="E515" s="264"/>
      <c r="G515" s="264"/>
    </row>
    <row r="516" spans="5:7">
      <c r="E516" s="264"/>
      <c r="G516" s="264"/>
    </row>
    <row r="517" spans="5:7">
      <c r="E517" s="264"/>
      <c r="G517" s="264"/>
    </row>
    <row r="518" spans="5:7">
      <c r="E518" s="264"/>
      <c r="G518" s="264"/>
    </row>
    <row r="519" spans="5:7">
      <c r="E519" s="264"/>
      <c r="G519" s="264"/>
    </row>
    <row r="520" spans="5:7">
      <c r="E520" s="264"/>
      <c r="G520" s="264"/>
    </row>
    <row r="521" spans="5:7">
      <c r="E521" s="264"/>
      <c r="G521" s="264"/>
    </row>
    <row r="522" spans="5:7">
      <c r="E522" s="264"/>
      <c r="G522" s="264"/>
    </row>
    <row r="523" spans="5:7">
      <c r="E523" s="264"/>
      <c r="G523" s="264"/>
    </row>
    <row r="524" spans="5:7">
      <c r="E524" s="264"/>
      <c r="G524" s="264"/>
    </row>
    <row r="525" spans="5:7">
      <c r="E525" s="264"/>
      <c r="G525" s="264"/>
    </row>
    <row r="526" spans="5:7">
      <c r="E526" s="264"/>
      <c r="G526" s="264"/>
    </row>
    <row r="527" spans="5:7">
      <c r="E527" s="264"/>
      <c r="G527" s="264"/>
    </row>
    <row r="528" spans="5:7">
      <c r="E528" s="264"/>
      <c r="G528" s="264"/>
    </row>
    <row r="529" spans="5:7">
      <c r="E529" s="264"/>
      <c r="G529" s="264"/>
    </row>
    <row r="530" spans="5:7">
      <c r="E530" s="264"/>
      <c r="G530" s="264"/>
    </row>
    <row r="531" spans="5:7">
      <c r="E531" s="264"/>
      <c r="G531" s="264"/>
    </row>
    <row r="532" spans="5:7">
      <c r="E532" s="264"/>
      <c r="G532" s="264"/>
    </row>
    <row r="533" spans="5:7">
      <c r="E533" s="264"/>
      <c r="G533" s="264"/>
    </row>
    <row r="534" spans="5:7">
      <c r="E534" s="264"/>
      <c r="G534" s="264"/>
    </row>
    <row r="535" spans="5:7">
      <c r="E535" s="264"/>
      <c r="G535" s="264"/>
    </row>
    <row r="536" spans="5:7">
      <c r="E536" s="264"/>
      <c r="G536" s="264"/>
    </row>
    <row r="537" spans="5:7">
      <c r="E537" s="264"/>
      <c r="G537" s="264"/>
    </row>
    <row r="538" spans="5:7">
      <c r="E538" s="264"/>
      <c r="G538" s="264"/>
    </row>
    <row r="539" spans="5:7">
      <c r="E539" s="264"/>
      <c r="G539" s="264"/>
    </row>
    <row r="540" spans="5:7">
      <c r="E540" s="264"/>
      <c r="G540" s="264"/>
    </row>
    <row r="541" spans="5:7">
      <c r="E541" s="264"/>
      <c r="G541" s="264"/>
    </row>
    <row r="542" spans="5:7">
      <c r="E542" s="264"/>
      <c r="G542" s="264"/>
    </row>
    <row r="543" spans="5:7">
      <c r="E543" s="264"/>
      <c r="G543" s="264"/>
    </row>
    <row r="544" spans="5:7">
      <c r="E544" s="264"/>
      <c r="G544" s="264"/>
    </row>
    <row r="545" spans="5:7">
      <c r="E545" s="264"/>
      <c r="G545" s="264"/>
    </row>
    <row r="546" spans="5:7">
      <c r="E546" s="264"/>
      <c r="G546" s="264"/>
    </row>
    <row r="547" spans="5:7">
      <c r="E547" s="264"/>
      <c r="G547" s="264"/>
    </row>
    <row r="548" spans="5:7">
      <c r="E548" s="264"/>
      <c r="G548" s="264"/>
    </row>
    <row r="549" spans="5:7">
      <c r="E549" s="264"/>
      <c r="G549" s="264"/>
    </row>
    <row r="550" spans="5:7">
      <c r="E550" s="264"/>
      <c r="G550" s="264"/>
    </row>
    <row r="551" spans="5:7">
      <c r="E551" s="264"/>
      <c r="G551" s="264"/>
    </row>
    <row r="552" spans="5:7">
      <c r="E552" s="264"/>
      <c r="G552" s="264"/>
    </row>
    <row r="553" spans="5:7">
      <c r="E553" s="264"/>
      <c r="G553" s="264"/>
    </row>
    <row r="554" spans="5:7">
      <c r="E554" s="264"/>
      <c r="G554" s="264"/>
    </row>
    <row r="555" spans="5:7">
      <c r="E555" s="264"/>
      <c r="G555" s="264"/>
    </row>
    <row r="556" spans="5:7">
      <c r="E556" s="264"/>
      <c r="G556" s="264"/>
    </row>
    <row r="557" spans="5:7">
      <c r="E557" s="264"/>
      <c r="G557" s="264"/>
    </row>
    <row r="558" spans="5:7">
      <c r="E558" s="264"/>
      <c r="G558" s="264"/>
    </row>
    <row r="559" spans="5:7">
      <c r="E559" s="264"/>
      <c r="G559" s="264"/>
    </row>
    <row r="560" spans="5:7">
      <c r="E560" s="264"/>
      <c r="G560" s="264"/>
    </row>
    <row r="561" spans="5:7">
      <c r="E561" s="264"/>
      <c r="G561" s="264"/>
    </row>
    <row r="562" spans="5:7">
      <c r="E562" s="264"/>
      <c r="G562" s="264"/>
    </row>
    <row r="563" spans="5:7">
      <c r="E563" s="264"/>
      <c r="G563" s="264"/>
    </row>
    <row r="564" spans="5:7">
      <c r="E564" s="264"/>
      <c r="G564" s="264"/>
    </row>
    <row r="565" spans="5:7">
      <c r="E565" s="264"/>
      <c r="G565" s="264"/>
    </row>
    <row r="566" spans="5:7">
      <c r="E566" s="264"/>
      <c r="G566" s="264"/>
    </row>
    <row r="567" spans="5:7">
      <c r="E567" s="264"/>
      <c r="G567" s="264"/>
    </row>
    <row r="568" spans="5:7">
      <c r="E568" s="264"/>
      <c r="G568" s="264"/>
    </row>
    <row r="569" spans="5:7">
      <c r="E569" s="264"/>
      <c r="G569" s="264"/>
    </row>
    <row r="570" spans="5:7">
      <c r="E570" s="264"/>
      <c r="G570" s="264"/>
    </row>
    <row r="571" spans="5:7">
      <c r="E571" s="264"/>
      <c r="G571" s="264"/>
    </row>
    <row r="572" spans="5:7">
      <c r="E572" s="264"/>
      <c r="G572" s="264"/>
    </row>
    <row r="573" spans="5:7">
      <c r="E573" s="264"/>
      <c r="G573" s="264"/>
    </row>
    <row r="574" spans="5:7">
      <c r="E574" s="264"/>
      <c r="G574" s="264"/>
    </row>
    <row r="575" spans="5:7">
      <c r="E575" s="264"/>
      <c r="G575" s="264"/>
    </row>
    <row r="576" spans="5:7">
      <c r="E576" s="264"/>
      <c r="G576" s="264"/>
    </row>
    <row r="577" spans="5:7">
      <c r="E577" s="264"/>
      <c r="G577" s="264"/>
    </row>
    <row r="578" spans="5:7">
      <c r="E578" s="264"/>
      <c r="G578" s="264"/>
    </row>
    <row r="579" spans="5:7">
      <c r="E579" s="264"/>
      <c r="G579" s="264"/>
    </row>
    <row r="580" spans="5:7">
      <c r="E580" s="264"/>
      <c r="G580" s="264"/>
    </row>
    <row r="581" spans="5:7">
      <c r="E581" s="264"/>
      <c r="G581" s="264"/>
    </row>
    <row r="582" spans="5:7">
      <c r="E582" s="264"/>
      <c r="G582" s="264"/>
    </row>
    <row r="583" spans="5:7">
      <c r="E583" s="264"/>
      <c r="G583" s="264"/>
    </row>
    <row r="584" spans="5:7">
      <c r="E584" s="264"/>
      <c r="G584" s="264"/>
    </row>
    <row r="585" spans="5:7">
      <c r="E585" s="264"/>
      <c r="G585" s="264"/>
    </row>
    <row r="586" spans="5:7">
      <c r="E586" s="264"/>
      <c r="G586" s="264"/>
    </row>
    <row r="587" spans="5:7">
      <c r="E587" s="264"/>
      <c r="G587" s="264"/>
    </row>
    <row r="588" spans="5:7">
      <c r="E588" s="264"/>
      <c r="G588" s="264"/>
    </row>
    <row r="589" spans="5:7">
      <c r="E589" s="264"/>
      <c r="G589" s="264"/>
    </row>
    <row r="590" spans="5:7">
      <c r="E590" s="264"/>
      <c r="G590" s="264"/>
    </row>
    <row r="591" spans="5:7">
      <c r="E591" s="264"/>
      <c r="G591" s="264"/>
    </row>
    <row r="592" spans="5:7">
      <c r="E592" s="264"/>
      <c r="G592" s="264"/>
    </row>
    <row r="593" spans="5:7">
      <c r="E593" s="264"/>
      <c r="G593" s="264"/>
    </row>
    <row r="594" spans="5:7">
      <c r="E594" s="264"/>
      <c r="G594" s="264"/>
    </row>
    <row r="595" spans="5:7">
      <c r="E595" s="264"/>
      <c r="G595" s="264"/>
    </row>
    <row r="596" spans="5:7">
      <c r="E596" s="264"/>
      <c r="G596" s="264"/>
    </row>
    <row r="597" spans="5:7">
      <c r="E597" s="264"/>
      <c r="G597" s="264"/>
    </row>
    <row r="598" spans="5:7">
      <c r="E598" s="264"/>
      <c r="G598" s="264"/>
    </row>
    <row r="599" spans="5:7">
      <c r="E599" s="264"/>
      <c r="G599" s="264"/>
    </row>
    <row r="600" spans="5:7">
      <c r="E600" s="264"/>
      <c r="G600" s="264"/>
    </row>
    <row r="601" spans="5:7">
      <c r="E601" s="264"/>
      <c r="G601" s="264"/>
    </row>
    <row r="602" spans="5:7">
      <c r="E602" s="264"/>
      <c r="G602" s="264"/>
    </row>
    <row r="603" spans="5:7">
      <c r="E603" s="264"/>
      <c r="G603" s="264"/>
    </row>
    <row r="604" spans="5:7">
      <c r="E604" s="264"/>
      <c r="G604" s="264"/>
    </row>
    <row r="605" spans="5:7">
      <c r="E605" s="264"/>
      <c r="G605" s="264"/>
    </row>
    <row r="606" spans="5:7">
      <c r="E606" s="264"/>
      <c r="G606" s="264"/>
    </row>
    <row r="607" spans="5:7">
      <c r="E607" s="264"/>
      <c r="G607" s="264"/>
    </row>
    <row r="608" spans="5:7">
      <c r="E608" s="264"/>
      <c r="G608" s="264"/>
    </row>
    <row r="609" spans="5:7">
      <c r="E609" s="264"/>
      <c r="G609" s="264"/>
    </row>
    <row r="610" spans="5:7">
      <c r="E610" s="264"/>
      <c r="G610" s="264"/>
    </row>
    <row r="611" spans="5:7">
      <c r="E611" s="264"/>
      <c r="G611" s="264"/>
    </row>
    <row r="612" spans="5:7">
      <c r="E612" s="264"/>
      <c r="G612" s="264"/>
    </row>
    <row r="613" spans="5:7">
      <c r="E613" s="264"/>
      <c r="G613" s="264"/>
    </row>
    <row r="614" spans="5:7">
      <c r="E614" s="264"/>
      <c r="G614" s="264"/>
    </row>
    <row r="615" spans="5:7">
      <c r="E615" s="264"/>
      <c r="G615" s="264"/>
    </row>
    <row r="616" spans="5:7">
      <c r="E616" s="264"/>
      <c r="G616" s="264"/>
    </row>
    <row r="617" spans="5:7">
      <c r="E617" s="264"/>
      <c r="G617" s="264"/>
    </row>
    <row r="618" spans="5:7">
      <c r="E618" s="264"/>
      <c r="G618" s="264"/>
    </row>
    <row r="619" spans="5:7">
      <c r="E619" s="264"/>
      <c r="G619" s="264"/>
    </row>
    <row r="620" spans="5:7">
      <c r="E620" s="264"/>
      <c r="G620" s="264"/>
    </row>
    <row r="621" spans="5:7">
      <c r="E621" s="264"/>
      <c r="G621" s="264"/>
    </row>
    <row r="622" spans="5:7">
      <c r="E622" s="264"/>
      <c r="G622" s="264"/>
    </row>
    <row r="623" spans="5:7">
      <c r="E623" s="264"/>
      <c r="G623" s="264"/>
    </row>
    <row r="624" spans="5:7">
      <c r="E624" s="264"/>
      <c r="G624" s="264"/>
    </row>
    <row r="625" spans="5:7">
      <c r="E625" s="264"/>
      <c r="G625" s="264"/>
    </row>
    <row r="626" spans="5:7">
      <c r="E626" s="264"/>
      <c r="G626" s="264"/>
    </row>
    <row r="627" spans="5:7">
      <c r="E627" s="264"/>
      <c r="G627" s="264"/>
    </row>
    <row r="628" spans="5:7">
      <c r="E628" s="264"/>
      <c r="G628" s="264"/>
    </row>
    <row r="629" spans="5:7">
      <c r="E629" s="264"/>
      <c r="G629" s="264"/>
    </row>
    <row r="630" spans="5:7">
      <c r="E630" s="264"/>
      <c r="G630" s="264"/>
    </row>
    <row r="631" spans="5:7">
      <c r="E631" s="264"/>
      <c r="G631" s="264"/>
    </row>
    <row r="632" spans="5:7">
      <c r="E632" s="264"/>
      <c r="G632" s="264"/>
    </row>
    <row r="633" spans="5:7">
      <c r="E633" s="264"/>
      <c r="G633" s="264"/>
    </row>
    <row r="634" spans="5:7">
      <c r="E634" s="264"/>
      <c r="G634" s="264"/>
    </row>
    <row r="635" spans="5:7">
      <c r="E635" s="264"/>
      <c r="G635" s="264"/>
    </row>
    <row r="636" spans="5:7">
      <c r="E636" s="264"/>
      <c r="G636" s="264"/>
    </row>
    <row r="637" spans="5:7">
      <c r="E637" s="264"/>
      <c r="G637" s="264"/>
    </row>
    <row r="638" spans="5:7">
      <c r="E638" s="264"/>
      <c r="G638" s="264"/>
    </row>
    <row r="639" spans="5:7">
      <c r="E639" s="264"/>
      <c r="G639" s="264"/>
    </row>
    <row r="640" spans="5:7">
      <c r="E640" s="264"/>
      <c r="G640" s="264"/>
    </row>
    <row r="641" spans="5:7">
      <c r="E641" s="264"/>
      <c r="G641" s="264"/>
    </row>
    <row r="642" spans="5:7">
      <c r="E642" s="264"/>
      <c r="G642" s="264"/>
    </row>
    <row r="643" spans="5:7">
      <c r="E643" s="264"/>
      <c r="G643" s="264"/>
    </row>
    <row r="644" spans="5:7">
      <c r="E644" s="264"/>
      <c r="G644" s="264"/>
    </row>
    <row r="645" spans="5:7">
      <c r="E645" s="264"/>
      <c r="G645" s="264"/>
    </row>
    <row r="646" spans="5:7">
      <c r="E646" s="264"/>
      <c r="G646" s="264"/>
    </row>
    <row r="647" spans="5:7">
      <c r="E647" s="264"/>
      <c r="G647" s="264"/>
    </row>
    <row r="648" spans="5:7">
      <c r="E648" s="264"/>
      <c r="G648" s="264"/>
    </row>
    <row r="649" spans="5:7">
      <c r="E649" s="264"/>
      <c r="G649" s="264"/>
    </row>
    <row r="650" spans="5:7">
      <c r="E650" s="264"/>
      <c r="G650" s="264"/>
    </row>
    <row r="651" spans="5:7">
      <c r="E651" s="264"/>
      <c r="G651" s="264"/>
    </row>
    <row r="652" spans="5:7">
      <c r="E652" s="264"/>
      <c r="G652" s="264"/>
    </row>
    <row r="653" spans="5:7">
      <c r="E653" s="264"/>
      <c r="G653" s="264"/>
    </row>
    <row r="654" spans="5:7">
      <c r="E654" s="264"/>
      <c r="G654" s="264"/>
    </row>
    <row r="655" spans="5:7">
      <c r="E655" s="264"/>
      <c r="G655" s="264"/>
    </row>
    <row r="656" spans="5:7">
      <c r="E656" s="264"/>
      <c r="G656" s="264"/>
    </row>
    <row r="657" spans="5:7">
      <c r="E657" s="264"/>
      <c r="G657" s="264"/>
    </row>
    <row r="658" spans="5:7">
      <c r="E658" s="264"/>
      <c r="G658" s="264"/>
    </row>
    <row r="659" spans="5:7">
      <c r="E659" s="264"/>
      <c r="G659" s="264"/>
    </row>
    <row r="660" spans="5:7">
      <c r="E660" s="264"/>
      <c r="G660" s="264"/>
    </row>
    <row r="661" spans="5:7">
      <c r="E661" s="264"/>
      <c r="G661" s="264"/>
    </row>
    <row r="662" spans="5:7">
      <c r="E662" s="264"/>
      <c r="G662" s="264"/>
    </row>
    <row r="663" spans="5:7">
      <c r="E663" s="264"/>
      <c r="G663" s="264"/>
    </row>
    <row r="664" spans="5:7">
      <c r="E664" s="264"/>
      <c r="G664" s="264"/>
    </row>
    <row r="665" spans="5:7">
      <c r="E665" s="264"/>
      <c r="G665" s="264"/>
    </row>
    <row r="666" spans="5:7">
      <c r="E666" s="264"/>
      <c r="G666" s="264"/>
    </row>
    <row r="667" spans="5:7">
      <c r="E667" s="264"/>
      <c r="G667" s="264"/>
    </row>
    <row r="668" spans="5:7">
      <c r="E668" s="264"/>
      <c r="G668" s="264"/>
    </row>
    <row r="669" spans="5:7">
      <c r="E669" s="264"/>
      <c r="G669" s="264"/>
    </row>
    <row r="670" spans="5:7">
      <c r="E670" s="264"/>
      <c r="G670" s="264"/>
    </row>
    <row r="671" spans="5:7">
      <c r="E671" s="264"/>
      <c r="G671" s="264"/>
    </row>
    <row r="672" spans="5:7">
      <c r="E672" s="264"/>
      <c r="G672" s="264"/>
    </row>
    <row r="673" spans="5:7">
      <c r="E673" s="264"/>
      <c r="G673" s="264"/>
    </row>
    <row r="674" spans="5:7">
      <c r="E674" s="264"/>
      <c r="G674" s="264"/>
    </row>
    <row r="675" spans="5:7">
      <c r="E675" s="264"/>
      <c r="G675" s="264"/>
    </row>
    <row r="676" spans="5:7">
      <c r="E676" s="264"/>
      <c r="G676" s="264"/>
    </row>
    <row r="677" spans="5:7">
      <c r="E677" s="264"/>
      <c r="G677" s="264"/>
    </row>
    <row r="678" spans="5:7">
      <c r="E678" s="264"/>
      <c r="G678" s="264"/>
    </row>
    <row r="679" spans="5:7">
      <c r="E679" s="264"/>
      <c r="G679" s="264"/>
    </row>
    <row r="680" spans="5:7">
      <c r="E680" s="264"/>
      <c r="G680" s="264"/>
    </row>
    <row r="681" spans="5:7">
      <c r="E681" s="264"/>
      <c r="G681" s="264"/>
    </row>
    <row r="682" spans="5:7">
      <c r="E682" s="264"/>
      <c r="G682" s="264"/>
    </row>
    <row r="683" spans="5:7">
      <c r="E683" s="264"/>
      <c r="G683" s="264"/>
    </row>
    <row r="684" spans="5:7">
      <c r="E684" s="264"/>
      <c r="G684" s="264"/>
    </row>
    <row r="685" spans="5:7">
      <c r="E685" s="264"/>
      <c r="G685" s="264"/>
    </row>
    <row r="686" spans="5:7">
      <c r="E686" s="264"/>
      <c r="G686" s="264"/>
    </row>
    <row r="687" spans="5:7">
      <c r="E687" s="264"/>
      <c r="G687" s="264"/>
    </row>
    <row r="688" spans="5:7">
      <c r="E688" s="264"/>
      <c r="G688" s="264"/>
    </row>
    <row r="689" spans="5:7">
      <c r="E689" s="264"/>
      <c r="G689" s="264"/>
    </row>
    <row r="690" spans="5:7">
      <c r="E690" s="264"/>
      <c r="G690" s="264"/>
    </row>
    <row r="691" spans="5:7">
      <c r="E691" s="264"/>
      <c r="G691" s="264"/>
    </row>
    <row r="692" spans="5:7">
      <c r="E692" s="264"/>
      <c r="G692" s="264"/>
    </row>
    <row r="693" spans="5:7">
      <c r="E693" s="264"/>
      <c r="G693" s="264"/>
    </row>
    <row r="694" spans="5:7">
      <c r="E694" s="264"/>
      <c r="G694" s="264"/>
    </row>
    <row r="695" spans="5:7">
      <c r="E695" s="264"/>
      <c r="G695" s="264"/>
    </row>
    <row r="696" spans="5:7">
      <c r="E696" s="264"/>
      <c r="G696" s="264"/>
    </row>
    <row r="697" spans="5:7">
      <c r="E697" s="264"/>
      <c r="G697" s="264"/>
    </row>
    <row r="698" spans="5:7">
      <c r="E698" s="264"/>
      <c r="G698" s="264"/>
    </row>
    <row r="699" spans="5:7">
      <c r="E699" s="264"/>
      <c r="G699" s="264"/>
    </row>
    <row r="700" spans="5:7">
      <c r="E700" s="264"/>
      <c r="G700" s="264"/>
    </row>
    <row r="701" spans="5:7">
      <c r="E701" s="264"/>
      <c r="G701" s="264"/>
    </row>
    <row r="702" spans="5:7">
      <c r="E702" s="264"/>
      <c r="G702" s="264"/>
    </row>
    <row r="703" spans="5:7">
      <c r="E703" s="264"/>
      <c r="G703" s="264"/>
    </row>
    <row r="704" spans="5:7">
      <c r="E704" s="264"/>
      <c r="G704" s="264"/>
    </row>
    <row r="705" spans="5:7">
      <c r="E705" s="264"/>
      <c r="G705" s="264"/>
    </row>
    <row r="706" spans="5:7">
      <c r="E706" s="264"/>
      <c r="G706" s="264"/>
    </row>
    <row r="707" spans="5:7">
      <c r="E707" s="264"/>
      <c r="G707" s="264"/>
    </row>
    <row r="708" spans="5:7">
      <c r="E708" s="264"/>
      <c r="G708" s="264"/>
    </row>
    <row r="709" spans="5:7">
      <c r="E709" s="264"/>
      <c r="G709" s="264"/>
    </row>
    <row r="710" spans="5:7">
      <c r="E710" s="264"/>
      <c r="G710" s="264"/>
    </row>
    <row r="711" spans="5:7">
      <c r="E711" s="264"/>
      <c r="G711" s="264"/>
    </row>
    <row r="712" spans="5:7">
      <c r="E712" s="264"/>
      <c r="G712" s="264"/>
    </row>
    <row r="713" spans="5:7">
      <c r="E713" s="264"/>
      <c r="G713" s="264"/>
    </row>
    <row r="714" spans="5:7">
      <c r="E714" s="264"/>
      <c r="G714" s="264"/>
    </row>
    <row r="715" spans="5:7">
      <c r="E715" s="264"/>
      <c r="G715" s="264"/>
    </row>
    <row r="716" spans="5:7">
      <c r="E716" s="264"/>
      <c r="G716" s="264"/>
    </row>
    <row r="717" spans="5:7">
      <c r="E717" s="264"/>
      <c r="G717" s="264"/>
    </row>
    <row r="718" spans="5:7">
      <c r="E718" s="264"/>
      <c r="G718" s="264"/>
    </row>
    <row r="719" spans="5:7">
      <c r="E719" s="264"/>
      <c r="G719" s="264"/>
    </row>
    <row r="720" spans="5:7">
      <c r="E720" s="264"/>
      <c r="G720" s="264"/>
    </row>
    <row r="721" spans="5:7">
      <c r="E721" s="264"/>
      <c r="G721" s="264"/>
    </row>
    <row r="722" spans="5:7">
      <c r="E722" s="264"/>
      <c r="G722" s="264"/>
    </row>
    <row r="723" spans="5:7">
      <c r="E723" s="264"/>
      <c r="G723" s="264"/>
    </row>
    <row r="724" spans="5:7">
      <c r="E724" s="264"/>
      <c r="G724" s="264"/>
    </row>
    <row r="725" spans="5:7">
      <c r="E725" s="264"/>
      <c r="G725" s="264"/>
    </row>
    <row r="726" spans="5:7">
      <c r="E726" s="264"/>
      <c r="G726" s="264"/>
    </row>
    <row r="727" spans="5:7">
      <c r="E727" s="264"/>
      <c r="G727" s="264"/>
    </row>
    <row r="728" spans="5:7">
      <c r="E728" s="264"/>
      <c r="G728" s="264"/>
    </row>
    <row r="729" spans="5:7">
      <c r="E729" s="264"/>
      <c r="G729" s="264"/>
    </row>
    <row r="730" spans="5:7">
      <c r="E730" s="264"/>
      <c r="G730" s="264"/>
    </row>
    <row r="731" spans="5:7">
      <c r="E731" s="264"/>
      <c r="G731" s="264"/>
    </row>
    <row r="732" spans="5:7">
      <c r="E732" s="264"/>
      <c r="G732" s="264"/>
    </row>
    <row r="733" spans="5:7">
      <c r="E733" s="264"/>
      <c r="G733" s="264"/>
    </row>
    <row r="734" spans="5:7">
      <c r="E734" s="264"/>
      <c r="G734" s="264"/>
    </row>
    <row r="735" spans="5:7">
      <c r="E735" s="264"/>
      <c r="G735" s="264"/>
    </row>
    <row r="736" spans="5:7">
      <c r="E736" s="264"/>
      <c r="G736" s="264"/>
    </row>
    <row r="737" spans="5:7">
      <c r="E737" s="264"/>
      <c r="G737" s="264"/>
    </row>
    <row r="738" spans="5:7">
      <c r="E738" s="264"/>
      <c r="G738" s="264"/>
    </row>
    <row r="739" spans="5:7">
      <c r="E739" s="264"/>
      <c r="G739" s="264"/>
    </row>
    <row r="740" spans="5:7">
      <c r="E740" s="264"/>
      <c r="G740" s="264"/>
    </row>
    <row r="741" spans="5:7">
      <c r="E741" s="264"/>
      <c r="G741" s="264"/>
    </row>
    <row r="742" spans="5:7">
      <c r="E742" s="264"/>
      <c r="G742" s="264"/>
    </row>
    <row r="743" spans="5:7">
      <c r="E743" s="264"/>
      <c r="G743" s="264"/>
    </row>
    <row r="744" spans="5:7">
      <c r="E744" s="264"/>
      <c r="G744" s="264"/>
    </row>
    <row r="745" spans="5:7">
      <c r="E745" s="264"/>
      <c r="G745" s="264"/>
    </row>
    <row r="746" spans="5:7">
      <c r="E746" s="264"/>
      <c r="G746" s="264"/>
    </row>
    <row r="747" spans="5:7">
      <c r="E747" s="264"/>
      <c r="G747" s="264"/>
    </row>
    <row r="748" spans="5:7">
      <c r="E748" s="264"/>
      <c r="G748" s="264"/>
    </row>
    <row r="749" spans="5:7">
      <c r="E749" s="264"/>
      <c r="G749" s="264"/>
    </row>
    <row r="750" spans="5:7">
      <c r="E750" s="264"/>
      <c r="G750" s="264"/>
    </row>
    <row r="751" spans="5:7">
      <c r="E751" s="264"/>
      <c r="G751" s="264"/>
    </row>
    <row r="752" spans="5:7">
      <c r="E752" s="264"/>
      <c r="G752" s="264"/>
    </row>
    <row r="753" spans="5:7">
      <c r="E753" s="264"/>
      <c r="G753" s="264"/>
    </row>
    <row r="754" spans="5:7">
      <c r="E754" s="264"/>
      <c r="G754" s="264"/>
    </row>
    <row r="755" spans="5:7">
      <c r="E755" s="264"/>
      <c r="G755" s="264"/>
    </row>
    <row r="756" spans="5:7">
      <c r="E756" s="264"/>
      <c r="G756" s="264"/>
    </row>
    <row r="757" spans="5:7">
      <c r="E757" s="264"/>
      <c r="G757" s="264"/>
    </row>
    <row r="758" spans="5:7">
      <c r="E758" s="264"/>
      <c r="G758" s="264"/>
    </row>
    <row r="759" spans="5:7">
      <c r="E759" s="264"/>
      <c r="G759" s="264"/>
    </row>
    <row r="760" spans="5:7">
      <c r="E760" s="264"/>
      <c r="G760" s="264"/>
    </row>
    <row r="761" spans="5:7">
      <c r="E761" s="264"/>
      <c r="G761" s="264"/>
    </row>
    <row r="762" spans="5:7">
      <c r="E762" s="264"/>
      <c r="G762" s="264"/>
    </row>
    <row r="763" spans="5:7">
      <c r="E763" s="264"/>
      <c r="G763" s="264"/>
    </row>
    <row r="764" spans="5:7">
      <c r="E764" s="264"/>
      <c r="G764" s="264"/>
    </row>
    <row r="765" spans="5:7">
      <c r="E765" s="264"/>
      <c r="G765" s="264"/>
    </row>
    <row r="766" spans="5:7">
      <c r="E766" s="264"/>
      <c r="G766" s="264"/>
    </row>
    <row r="767" spans="5:7">
      <c r="E767" s="264"/>
      <c r="G767" s="264"/>
    </row>
    <row r="768" spans="5:7">
      <c r="E768" s="264"/>
      <c r="G768" s="264"/>
    </row>
    <row r="769" spans="5:7">
      <c r="E769" s="264"/>
      <c r="G769" s="264"/>
    </row>
    <row r="770" spans="5:7">
      <c r="E770" s="264"/>
      <c r="G770" s="264"/>
    </row>
    <row r="771" spans="5:7">
      <c r="E771" s="264"/>
      <c r="G771" s="264"/>
    </row>
    <row r="772" spans="5:7">
      <c r="E772" s="264"/>
      <c r="G772" s="264"/>
    </row>
    <row r="773" spans="5:7">
      <c r="E773" s="264"/>
      <c r="G773" s="264"/>
    </row>
    <row r="774" spans="5:7">
      <c r="E774" s="264"/>
      <c r="G774" s="264"/>
    </row>
    <row r="775" spans="5:7">
      <c r="E775" s="264"/>
      <c r="G775" s="264"/>
    </row>
    <row r="776" spans="5:7">
      <c r="E776" s="264"/>
      <c r="G776" s="264"/>
    </row>
    <row r="777" spans="5:7">
      <c r="E777" s="264"/>
      <c r="G777" s="264"/>
    </row>
    <row r="778" spans="5:7">
      <c r="E778" s="264"/>
      <c r="G778" s="264"/>
    </row>
    <row r="779" spans="5:7">
      <c r="E779" s="264"/>
      <c r="G779" s="264"/>
    </row>
    <row r="780" spans="5:7">
      <c r="E780" s="264"/>
      <c r="G780" s="264"/>
    </row>
    <row r="781" spans="5:7">
      <c r="E781" s="264"/>
      <c r="G781" s="264"/>
    </row>
    <row r="782" spans="5:7">
      <c r="E782" s="264"/>
      <c r="G782" s="264"/>
    </row>
    <row r="783" spans="5:7">
      <c r="E783" s="264"/>
      <c r="G783" s="264"/>
    </row>
    <row r="784" spans="5:7">
      <c r="E784" s="264"/>
      <c r="G784" s="264"/>
    </row>
    <row r="785" spans="5:7">
      <c r="E785" s="264"/>
      <c r="G785" s="264"/>
    </row>
    <row r="786" spans="5:7">
      <c r="E786" s="264"/>
      <c r="G786" s="264"/>
    </row>
    <row r="787" spans="5:7">
      <c r="E787" s="264"/>
      <c r="G787" s="264"/>
    </row>
    <row r="788" spans="5:7">
      <c r="E788" s="264"/>
      <c r="G788" s="264"/>
    </row>
    <row r="789" spans="5:7">
      <c r="E789" s="264"/>
      <c r="G789" s="264"/>
    </row>
    <row r="790" spans="5:7">
      <c r="E790" s="264"/>
      <c r="G790" s="264"/>
    </row>
    <row r="791" spans="5:7">
      <c r="E791" s="264"/>
      <c r="G791" s="264"/>
    </row>
    <row r="792" spans="5:7">
      <c r="E792" s="264"/>
      <c r="G792" s="264"/>
    </row>
    <row r="793" spans="5:7">
      <c r="E793" s="264"/>
      <c r="G793" s="264"/>
    </row>
    <row r="794" spans="5:7">
      <c r="E794" s="264"/>
      <c r="G794" s="264"/>
    </row>
    <row r="795" spans="5:7">
      <c r="E795" s="264"/>
      <c r="G795" s="264"/>
    </row>
    <row r="796" spans="5:7">
      <c r="E796" s="264"/>
      <c r="G796" s="264"/>
    </row>
    <row r="797" spans="5:7">
      <c r="E797" s="264"/>
      <c r="G797" s="264"/>
    </row>
    <row r="798" spans="5:7">
      <c r="E798" s="264"/>
      <c r="G798" s="264"/>
    </row>
    <row r="799" spans="5:7">
      <c r="E799" s="264"/>
      <c r="G799" s="264"/>
    </row>
    <row r="800" spans="5:7">
      <c r="E800" s="264"/>
      <c r="G800" s="264"/>
    </row>
    <row r="801" spans="5:7">
      <c r="E801" s="264"/>
      <c r="G801" s="264"/>
    </row>
    <row r="802" spans="5:7">
      <c r="E802" s="264"/>
      <c r="G802" s="264"/>
    </row>
    <row r="803" spans="5:7">
      <c r="E803" s="264"/>
      <c r="G803" s="264"/>
    </row>
    <row r="804" spans="5:7">
      <c r="E804" s="264"/>
      <c r="G804" s="264"/>
    </row>
    <row r="805" spans="5:7">
      <c r="E805" s="264"/>
      <c r="G805" s="264"/>
    </row>
    <row r="806" spans="5:7">
      <c r="E806" s="264"/>
      <c r="G806" s="264"/>
    </row>
    <row r="807" spans="5:7">
      <c r="E807" s="264"/>
      <c r="G807" s="264"/>
    </row>
    <row r="808" spans="5:7">
      <c r="E808" s="264"/>
      <c r="G808" s="264"/>
    </row>
    <row r="809" spans="5:7">
      <c r="E809" s="264"/>
      <c r="G809" s="264"/>
    </row>
    <row r="810" spans="5:7">
      <c r="E810" s="264"/>
      <c r="G810" s="264"/>
    </row>
    <row r="811" spans="5:7">
      <c r="E811" s="264"/>
      <c r="G811" s="264"/>
    </row>
    <row r="812" spans="5:7">
      <c r="E812" s="264"/>
      <c r="G812" s="264"/>
    </row>
    <row r="813" spans="5:7">
      <c r="E813" s="264"/>
      <c r="G813" s="264"/>
    </row>
    <row r="814" spans="5:7">
      <c r="E814" s="264"/>
      <c r="G814" s="264"/>
    </row>
    <row r="815" spans="5:7">
      <c r="E815" s="264"/>
      <c r="G815" s="264"/>
    </row>
    <row r="816" spans="5:7">
      <c r="E816" s="264"/>
      <c r="G816" s="264"/>
    </row>
    <row r="817" spans="5:7">
      <c r="E817" s="264"/>
      <c r="G817" s="264"/>
    </row>
    <row r="818" spans="5:7">
      <c r="E818" s="264"/>
      <c r="G818" s="264"/>
    </row>
    <row r="819" spans="5:7">
      <c r="E819" s="264"/>
      <c r="G819" s="264"/>
    </row>
    <row r="820" spans="5:7">
      <c r="E820" s="264"/>
      <c r="G820" s="264"/>
    </row>
    <row r="821" spans="5:7">
      <c r="E821" s="264"/>
      <c r="G821" s="264"/>
    </row>
    <row r="822" spans="5:7">
      <c r="E822" s="264"/>
      <c r="G822" s="264"/>
    </row>
    <row r="823" spans="5:7">
      <c r="E823" s="264"/>
      <c r="G823" s="264"/>
    </row>
    <row r="824" spans="5:7">
      <c r="E824" s="264"/>
      <c r="G824" s="264"/>
    </row>
    <row r="825" spans="5:7">
      <c r="E825" s="264"/>
      <c r="G825" s="264"/>
    </row>
    <row r="826" spans="5:7">
      <c r="E826" s="264"/>
      <c r="G826" s="264"/>
    </row>
    <row r="827" spans="5:7">
      <c r="E827" s="264"/>
      <c r="G827" s="264"/>
    </row>
    <row r="828" spans="5:7">
      <c r="E828" s="264"/>
      <c r="G828" s="264"/>
    </row>
    <row r="829" spans="5:7">
      <c r="E829" s="264"/>
      <c r="G829" s="264"/>
    </row>
    <row r="830" spans="5:7">
      <c r="E830" s="264"/>
      <c r="G830" s="264"/>
    </row>
    <row r="831" spans="5:7">
      <c r="E831" s="264"/>
      <c r="G831" s="264"/>
    </row>
    <row r="832" spans="5:7">
      <c r="E832" s="264"/>
      <c r="G832" s="264"/>
    </row>
    <row r="833" spans="5:7">
      <c r="E833" s="264"/>
      <c r="G833" s="264"/>
    </row>
    <row r="834" spans="5:7">
      <c r="E834" s="264"/>
      <c r="G834" s="264"/>
    </row>
    <row r="835" spans="5:7">
      <c r="E835" s="264"/>
      <c r="G835" s="264"/>
    </row>
    <row r="836" spans="5:7">
      <c r="E836" s="264"/>
      <c r="G836" s="264"/>
    </row>
    <row r="837" spans="5:7">
      <c r="E837" s="264"/>
      <c r="G837" s="264"/>
    </row>
    <row r="838" spans="5:7">
      <c r="E838" s="264"/>
      <c r="G838" s="264"/>
    </row>
    <row r="839" spans="5:7">
      <c r="E839" s="264"/>
      <c r="G839" s="264"/>
    </row>
    <row r="840" spans="5:7">
      <c r="E840" s="264"/>
      <c r="G840" s="264"/>
    </row>
    <row r="841" spans="5:7">
      <c r="E841" s="264"/>
      <c r="G841" s="264"/>
    </row>
    <row r="842" spans="5:7">
      <c r="E842" s="264"/>
      <c r="G842" s="264"/>
    </row>
    <row r="843" spans="5:7">
      <c r="E843" s="264"/>
      <c r="G843" s="264"/>
    </row>
    <row r="844" spans="5:7">
      <c r="E844" s="264"/>
      <c r="G844" s="264"/>
    </row>
    <row r="845" spans="5:7">
      <c r="E845" s="264"/>
      <c r="G845" s="264"/>
    </row>
    <row r="846" spans="5:7">
      <c r="E846" s="264"/>
      <c r="G846" s="264"/>
    </row>
    <row r="847" spans="5:7">
      <c r="E847" s="264"/>
      <c r="G847" s="264"/>
    </row>
    <row r="848" spans="5:7">
      <c r="E848" s="264"/>
      <c r="G848" s="264"/>
    </row>
    <row r="849" spans="5:7">
      <c r="E849" s="264"/>
      <c r="G849" s="264"/>
    </row>
    <row r="850" spans="5:7">
      <c r="E850" s="264"/>
      <c r="G850" s="264"/>
    </row>
    <row r="851" spans="5:7">
      <c r="E851" s="264"/>
      <c r="G851" s="264"/>
    </row>
    <row r="852" spans="5:7">
      <c r="E852" s="264"/>
      <c r="G852" s="264"/>
    </row>
    <row r="853" spans="5:7">
      <c r="E853" s="264"/>
      <c r="G853" s="264"/>
    </row>
    <row r="854" spans="5:7">
      <c r="E854" s="264"/>
      <c r="G854" s="264"/>
    </row>
    <row r="855" spans="5:7">
      <c r="E855" s="264"/>
      <c r="G855" s="264"/>
    </row>
    <row r="856" spans="5:7">
      <c r="E856" s="264"/>
      <c r="G856" s="264"/>
    </row>
    <row r="857" spans="5:7">
      <c r="E857" s="264"/>
      <c r="G857" s="264"/>
    </row>
    <row r="858" spans="5:7">
      <c r="E858" s="264"/>
      <c r="G858" s="264"/>
    </row>
    <row r="859" spans="5:7">
      <c r="E859" s="264"/>
      <c r="G859" s="264"/>
    </row>
    <row r="860" spans="5:7">
      <c r="E860" s="264"/>
      <c r="G860" s="264"/>
    </row>
    <row r="861" spans="5:7">
      <c r="E861" s="264"/>
      <c r="G861" s="264"/>
    </row>
    <row r="862" spans="5:7">
      <c r="E862" s="264"/>
      <c r="G862" s="264"/>
    </row>
    <row r="863" spans="5:7">
      <c r="E863" s="264"/>
      <c r="G863" s="264"/>
    </row>
    <row r="864" spans="5:7">
      <c r="E864" s="264"/>
      <c r="G864" s="264"/>
    </row>
    <row r="865" spans="5:7">
      <c r="E865" s="264"/>
      <c r="G865" s="264"/>
    </row>
    <row r="866" spans="5:7">
      <c r="E866" s="264"/>
      <c r="G866" s="264"/>
    </row>
    <row r="867" spans="5:7">
      <c r="E867" s="264"/>
      <c r="G867" s="264"/>
    </row>
    <row r="868" spans="5:7">
      <c r="E868" s="264"/>
      <c r="G868" s="264"/>
    </row>
    <row r="869" spans="5:7">
      <c r="E869" s="264"/>
      <c r="G869" s="264"/>
    </row>
    <row r="870" spans="5:7">
      <c r="E870" s="264"/>
      <c r="G870" s="264"/>
    </row>
    <row r="871" spans="5:7">
      <c r="E871" s="264"/>
      <c r="G871" s="264"/>
    </row>
    <row r="872" spans="5:7">
      <c r="E872" s="264"/>
      <c r="G872" s="264"/>
    </row>
    <row r="873" spans="5:7">
      <c r="E873" s="264"/>
      <c r="G873" s="264"/>
    </row>
    <row r="874" spans="5:7">
      <c r="E874" s="264"/>
      <c r="G874" s="264"/>
    </row>
    <row r="875" spans="5:7">
      <c r="E875" s="264"/>
      <c r="G875" s="264"/>
    </row>
    <row r="876" spans="5:7">
      <c r="E876" s="264"/>
      <c r="G876" s="264"/>
    </row>
    <row r="877" spans="5:7">
      <c r="E877" s="264"/>
      <c r="G877" s="264"/>
    </row>
    <row r="878" spans="5:7">
      <c r="E878" s="264"/>
      <c r="G878" s="264"/>
    </row>
    <row r="879" spans="5:7">
      <c r="E879" s="264"/>
      <c r="G879" s="264"/>
    </row>
    <row r="880" spans="5:7">
      <c r="E880" s="264"/>
      <c r="G880" s="264"/>
    </row>
    <row r="881" spans="5:7">
      <c r="E881" s="264"/>
      <c r="G881" s="264"/>
    </row>
    <row r="882" spans="5:7">
      <c r="E882" s="264"/>
      <c r="G882" s="264"/>
    </row>
    <row r="883" spans="5:7">
      <c r="E883" s="264"/>
      <c r="G883" s="264"/>
    </row>
    <row r="884" spans="5:7">
      <c r="E884" s="264"/>
      <c r="G884" s="264"/>
    </row>
    <row r="885" spans="5:7">
      <c r="E885" s="264"/>
      <c r="G885" s="264"/>
    </row>
    <row r="886" spans="5:7">
      <c r="E886" s="264"/>
      <c r="G886" s="264"/>
    </row>
    <row r="887" spans="5:7">
      <c r="E887" s="264"/>
      <c r="G887" s="264"/>
    </row>
    <row r="888" spans="5:7">
      <c r="E888" s="264"/>
      <c r="G888" s="264"/>
    </row>
    <row r="889" spans="5:7">
      <c r="E889" s="264"/>
      <c r="G889" s="264"/>
    </row>
    <row r="890" spans="5:7">
      <c r="E890" s="264"/>
      <c r="G890" s="264"/>
    </row>
    <row r="891" spans="5:7">
      <c r="E891" s="264"/>
      <c r="G891" s="264"/>
    </row>
    <row r="892" spans="5:7">
      <c r="E892" s="264"/>
      <c r="G892" s="264"/>
    </row>
    <row r="893" spans="5:7">
      <c r="E893" s="264"/>
      <c r="G893" s="264"/>
    </row>
    <row r="894" spans="5:7">
      <c r="E894" s="264"/>
      <c r="G894" s="264"/>
    </row>
    <row r="895" spans="5:7">
      <c r="E895" s="264"/>
      <c r="G895" s="264"/>
    </row>
    <row r="896" spans="5:7">
      <c r="E896" s="264"/>
      <c r="G896" s="264"/>
    </row>
    <row r="897" spans="5:7">
      <c r="E897" s="264"/>
      <c r="G897" s="264"/>
    </row>
    <row r="898" spans="5:7">
      <c r="E898" s="264"/>
      <c r="G898" s="264"/>
    </row>
    <row r="899" spans="5:7">
      <c r="E899" s="264"/>
      <c r="G899" s="264"/>
    </row>
    <row r="900" spans="5:7">
      <c r="E900" s="264"/>
      <c r="G900" s="264"/>
    </row>
    <row r="901" spans="5:7">
      <c r="E901" s="264"/>
      <c r="G901" s="264"/>
    </row>
    <row r="902" spans="5:7">
      <c r="E902" s="264"/>
      <c r="G902" s="264"/>
    </row>
    <row r="903" spans="5:7">
      <c r="E903" s="264"/>
      <c r="G903" s="264"/>
    </row>
    <row r="904" spans="5:7">
      <c r="E904" s="264"/>
      <c r="G904" s="264"/>
    </row>
    <row r="905" spans="5:7">
      <c r="E905" s="264"/>
      <c r="G905" s="264"/>
    </row>
    <row r="906" spans="5:7">
      <c r="E906" s="264"/>
      <c r="G906" s="264"/>
    </row>
    <row r="907" spans="5:7">
      <c r="E907" s="264"/>
      <c r="G907" s="264"/>
    </row>
    <row r="908" spans="5:7">
      <c r="E908" s="264"/>
      <c r="G908" s="264"/>
    </row>
    <row r="909" spans="5:7">
      <c r="E909" s="264"/>
      <c r="G909" s="264"/>
    </row>
    <row r="910" spans="5:7">
      <c r="E910" s="264"/>
      <c r="G910" s="264"/>
    </row>
    <row r="911" spans="5:7">
      <c r="E911" s="264"/>
      <c r="G911" s="264"/>
    </row>
    <row r="912" spans="5:7">
      <c r="E912" s="264"/>
      <c r="G912" s="264"/>
    </row>
    <row r="913" spans="5:7">
      <c r="E913" s="264"/>
      <c r="G913" s="264"/>
    </row>
    <row r="914" spans="5:7">
      <c r="E914" s="264"/>
      <c r="G914" s="264"/>
    </row>
    <row r="915" spans="5:7">
      <c r="E915" s="264"/>
      <c r="G915" s="264"/>
    </row>
    <row r="916" spans="5:7">
      <c r="E916" s="264"/>
      <c r="G916" s="264"/>
    </row>
    <row r="917" spans="5:7">
      <c r="E917" s="264"/>
      <c r="G917" s="264"/>
    </row>
    <row r="918" spans="5:7">
      <c r="E918" s="264"/>
      <c r="G918" s="264"/>
    </row>
    <row r="919" spans="5:7">
      <c r="E919" s="264"/>
      <c r="G919" s="264"/>
    </row>
    <row r="920" spans="5:7">
      <c r="E920" s="264"/>
      <c r="G920" s="264"/>
    </row>
    <row r="921" spans="5:7">
      <c r="E921" s="264"/>
      <c r="G921" s="264"/>
    </row>
    <row r="922" spans="5:7">
      <c r="E922" s="264"/>
      <c r="G922" s="264"/>
    </row>
    <row r="923" spans="5:7">
      <c r="E923" s="264"/>
      <c r="G923" s="264"/>
    </row>
    <row r="924" spans="5:7">
      <c r="E924" s="264"/>
      <c r="G924" s="264"/>
    </row>
    <row r="925" spans="5:7">
      <c r="E925" s="264"/>
      <c r="G925" s="264"/>
    </row>
    <row r="926" spans="5:7">
      <c r="E926" s="264"/>
      <c r="G926" s="264"/>
    </row>
    <row r="927" spans="5:7">
      <c r="E927" s="264"/>
      <c r="G927" s="264"/>
    </row>
    <row r="928" spans="5:7">
      <c r="E928" s="264"/>
      <c r="G928" s="264"/>
    </row>
    <row r="929" spans="5:7">
      <c r="E929" s="264"/>
      <c r="G929" s="264"/>
    </row>
    <row r="930" spans="5:7">
      <c r="E930" s="264"/>
      <c r="G930" s="264"/>
    </row>
    <row r="931" spans="5:7">
      <c r="E931" s="264"/>
      <c r="G931" s="264"/>
    </row>
    <row r="932" spans="5:7">
      <c r="E932" s="264"/>
      <c r="G932" s="264"/>
    </row>
    <row r="933" spans="5:7">
      <c r="E933" s="264"/>
      <c r="G933" s="264"/>
    </row>
    <row r="934" spans="5:7">
      <c r="E934" s="264"/>
      <c r="G934" s="264"/>
    </row>
    <row r="935" spans="5:7">
      <c r="E935" s="264"/>
      <c r="G935" s="264"/>
    </row>
    <row r="936" spans="5:7">
      <c r="E936" s="264"/>
      <c r="G936" s="264"/>
    </row>
    <row r="937" spans="5:7">
      <c r="E937" s="264"/>
      <c r="G937" s="264"/>
    </row>
    <row r="938" spans="5:7">
      <c r="E938" s="264"/>
      <c r="G938" s="264"/>
    </row>
    <row r="939" spans="5:7">
      <c r="E939" s="264"/>
      <c r="G939" s="264"/>
    </row>
    <row r="940" spans="5:7">
      <c r="E940" s="264"/>
      <c r="G940" s="264"/>
    </row>
    <row r="941" spans="5:7">
      <c r="E941" s="264"/>
      <c r="G941" s="264"/>
    </row>
    <row r="942" spans="5:7">
      <c r="E942" s="264"/>
      <c r="G942" s="264"/>
    </row>
    <row r="943" spans="5:7">
      <c r="E943" s="264"/>
      <c r="G943" s="264"/>
    </row>
    <row r="944" spans="5:7">
      <c r="E944" s="264"/>
      <c r="G944" s="264"/>
    </row>
    <row r="945" spans="5:7">
      <c r="E945" s="264"/>
      <c r="G945" s="264"/>
    </row>
    <row r="946" spans="5:7">
      <c r="E946" s="264"/>
      <c r="G946" s="264"/>
    </row>
    <row r="947" spans="5:7">
      <c r="E947" s="264"/>
      <c r="G947" s="264"/>
    </row>
    <row r="948" spans="5:7">
      <c r="E948" s="264"/>
      <c r="G948" s="264"/>
    </row>
    <row r="949" spans="5:7">
      <c r="E949" s="264"/>
      <c r="G949" s="264"/>
    </row>
    <row r="950" spans="5:7">
      <c r="E950" s="264"/>
      <c r="G950" s="264"/>
    </row>
    <row r="951" spans="5:7">
      <c r="E951" s="264"/>
      <c r="G951" s="264"/>
    </row>
    <row r="952" spans="5:7">
      <c r="E952" s="264"/>
      <c r="G952" s="264"/>
    </row>
    <row r="953" spans="5:7">
      <c r="E953" s="264"/>
      <c r="G953" s="264"/>
    </row>
    <row r="954" spans="5:7">
      <c r="E954" s="264"/>
      <c r="G954" s="264"/>
    </row>
    <row r="955" spans="5:7">
      <c r="E955" s="264"/>
      <c r="G955" s="264"/>
    </row>
    <row r="956" spans="5:7">
      <c r="E956" s="264"/>
      <c r="G956" s="264"/>
    </row>
    <row r="957" spans="5:7">
      <c r="E957" s="264"/>
      <c r="G957" s="264"/>
    </row>
    <row r="958" spans="5:7">
      <c r="E958" s="264"/>
      <c r="G958" s="264"/>
    </row>
    <row r="959" spans="5:7">
      <c r="E959" s="264"/>
      <c r="G959" s="264"/>
    </row>
    <row r="960" spans="5:7">
      <c r="E960" s="264"/>
      <c r="G960" s="264"/>
    </row>
    <row r="961" spans="5:7">
      <c r="E961" s="264"/>
      <c r="G961" s="264"/>
    </row>
    <row r="962" spans="5:7">
      <c r="E962" s="264"/>
      <c r="G962" s="264"/>
    </row>
    <row r="963" spans="5:7">
      <c r="E963" s="264"/>
      <c r="G963" s="264"/>
    </row>
    <row r="964" spans="5:7">
      <c r="E964" s="264"/>
      <c r="G964" s="264"/>
    </row>
    <row r="965" spans="5:7">
      <c r="E965" s="264"/>
      <c r="G965" s="264"/>
    </row>
    <row r="966" spans="5:7">
      <c r="E966" s="264"/>
      <c r="G966" s="264"/>
    </row>
    <row r="967" spans="5:7">
      <c r="E967" s="264"/>
      <c r="G967" s="264"/>
    </row>
    <row r="968" spans="5:7">
      <c r="E968" s="264"/>
      <c r="G968" s="264"/>
    </row>
    <row r="969" spans="5:7">
      <c r="E969" s="264"/>
      <c r="G969" s="264"/>
    </row>
    <row r="970" spans="5:7">
      <c r="E970" s="264"/>
      <c r="G970" s="264"/>
    </row>
    <row r="971" spans="5:7">
      <c r="E971" s="264"/>
      <c r="G971" s="264"/>
    </row>
    <row r="972" spans="5:7">
      <c r="E972" s="264"/>
      <c r="G972" s="264"/>
    </row>
    <row r="973" spans="5:7">
      <c r="E973" s="264"/>
      <c r="G973" s="264"/>
    </row>
    <row r="974" spans="5:7">
      <c r="E974" s="264"/>
      <c r="G974" s="264"/>
    </row>
    <row r="975" spans="5:7">
      <c r="E975" s="264"/>
      <c r="G975" s="264"/>
    </row>
    <row r="976" spans="5:7">
      <c r="E976" s="264"/>
      <c r="G976" s="264"/>
    </row>
    <row r="977" spans="5:7">
      <c r="E977" s="264"/>
      <c r="G977" s="264"/>
    </row>
    <row r="978" spans="5:7">
      <c r="E978" s="264"/>
      <c r="G978" s="264"/>
    </row>
    <row r="979" spans="5:7">
      <c r="E979" s="264"/>
      <c r="G979" s="264"/>
    </row>
    <row r="980" spans="5:7">
      <c r="E980" s="264"/>
      <c r="G980" s="264"/>
    </row>
    <row r="981" spans="5:7">
      <c r="E981" s="264"/>
      <c r="G981" s="264"/>
    </row>
    <row r="982" spans="5:7">
      <c r="E982" s="264"/>
      <c r="G982" s="264"/>
    </row>
    <row r="983" spans="5:7">
      <c r="E983" s="264"/>
      <c r="G983" s="264"/>
    </row>
    <row r="984" spans="5:7">
      <c r="E984" s="264"/>
      <c r="G984" s="264"/>
    </row>
    <row r="985" spans="5:7">
      <c r="E985" s="264"/>
      <c r="G985" s="264"/>
    </row>
    <row r="986" spans="5:7">
      <c r="E986" s="264"/>
      <c r="G986" s="264"/>
    </row>
    <row r="987" spans="5:7">
      <c r="E987" s="264"/>
      <c r="G987" s="264"/>
    </row>
    <row r="988" spans="5:7">
      <c r="E988" s="264"/>
      <c r="G988" s="264"/>
    </row>
    <row r="989" spans="5:7">
      <c r="E989" s="264"/>
      <c r="G989" s="264"/>
    </row>
    <row r="990" spans="5:7">
      <c r="E990" s="264"/>
      <c r="G990" s="264"/>
    </row>
    <row r="991" spans="5:7">
      <c r="E991" s="264"/>
      <c r="G991" s="264"/>
    </row>
    <row r="992" spans="5:7">
      <c r="E992" s="264"/>
      <c r="G992" s="264"/>
    </row>
    <row r="993" spans="5:7">
      <c r="E993" s="264"/>
      <c r="G993" s="264"/>
    </row>
    <row r="994" spans="5:7">
      <c r="E994" s="264"/>
      <c r="G994" s="264"/>
    </row>
    <row r="995" spans="5:7">
      <c r="E995" s="264"/>
      <c r="G995" s="264"/>
    </row>
    <row r="996" spans="5:7">
      <c r="E996" s="264"/>
      <c r="G996" s="264"/>
    </row>
    <row r="997" spans="5:7">
      <c r="E997" s="264"/>
      <c r="G997" s="264"/>
    </row>
    <row r="998" spans="5:7">
      <c r="E998" s="264"/>
      <c r="G998" s="264"/>
    </row>
    <row r="999" spans="5:7">
      <c r="E999" s="264"/>
      <c r="G999" s="264"/>
    </row>
    <row r="1000" spans="5:7">
      <c r="E1000" s="264"/>
      <c r="G1000" s="264"/>
    </row>
    <row r="1001" spans="5:7">
      <c r="E1001" s="264"/>
      <c r="G1001" s="264"/>
    </row>
    <row r="1002" spans="5:7">
      <c r="E1002" s="264"/>
      <c r="G1002" s="264"/>
    </row>
    <row r="1003" spans="5:7">
      <c r="E1003" s="264"/>
      <c r="G1003" s="264"/>
    </row>
    <row r="1004" spans="5:7">
      <c r="E1004" s="264"/>
      <c r="G1004" s="264"/>
    </row>
    <row r="1005" spans="5:7">
      <c r="E1005" s="264"/>
      <c r="G1005" s="264"/>
    </row>
    <row r="1006" spans="5:7">
      <c r="E1006" s="264"/>
      <c r="G1006" s="264"/>
    </row>
    <row r="1007" spans="5:7">
      <c r="E1007" s="264"/>
      <c r="G1007" s="264"/>
    </row>
    <row r="1008" spans="5:7">
      <c r="E1008" s="264"/>
      <c r="G1008" s="264"/>
    </row>
    <row r="1009" spans="5:7">
      <c r="E1009" s="264"/>
      <c r="G1009" s="264"/>
    </row>
    <row r="1010" spans="5:7">
      <c r="E1010" s="264"/>
      <c r="G1010" s="264"/>
    </row>
    <row r="1011" spans="5:7">
      <c r="E1011" s="264"/>
      <c r="G1011" s="264"/>
    </row>
    <row r="1012" spans="5:7">
      <c r="E1012" s="264"/>
      <c r="G1012" s="264"/>
    </row>
    <row r="1013" spans="5:7">
      <c r="E1013" s="264"/>
      <c r="G1013" s="264"/>
    </row>
    <row r="1014" spans="5:7">
      <c r="E1014" s="264"/>
      <c r="G1014" s="264"/>
    </row>
    <row r="1015" spans="5:7">
      <c r="E1015" s="264"/>
      <c r="G1015" s="264"/>
    </row>
    <row r="1016" spans="5:7">
      <c r="E1016" s="264"/>
      <c r="G1016" s="264"/>
    </row>
    <row r="1017" spans="5:7">
      <c r="E1017" s="264"/>
      <c r="G1017" s="264"/>
    </row>
    <row r="1018" spans="5:7">
      <c r="E1018" s="264"/>
      <c r="G1018" s="264"/>
    </row>
    <row r="1019" spans="5:7">
      <c r="E1019" s="264"/>
      <c r="G1019" s="264"/>
    </row>
    <row r="1020" spans="5:7">
      <c r="E1020" s="264"/>
      <c r="G1020" s="264"/>
    </row>
    <row r="1021" spans="5:7">
      <c r="E1021" s="264"/>
      <c r="G1021" s="264"/>
    </row>
    <row r="1022" spans="5:7">
      <c r="E1022" s="264"/>
      <c r="G1022" s="264"/>
    </row>
    <row r="1023" spans="5:7">
      <c r="E1023" s="264"/>
      <c r="G1023" s="264"/>
    </row>
    <row r="1024" spans="5:7">
      <c r="E1024" s="264"/>
      <c r="G1024" s="264"/>
    </row>
    <row r="1025" spans="5:7">
      <c r="E1025" s="264"/>
      <c r="G1025" s="264"/>
    </row>
    <row r="1026" spans="5:7">
      <c r="E1026" s="264"/>
      <c r="G1026" s="264"/>
    </row>
    <row r="1027" spans="5:7">
      <c r="E1027" s="264"/>
      <c r="G1027" s="264"/>
    </row>
    <row r="1028" spans="5:7">
      <c r="E1028" s="264"/>
      <c r="G1028" s="264"/>
    </row>
    <row r="1029" spans="5:7">
      <c r="E1029" s="264"/>
      <c r="G1029" s="264"/>
    </row>
    <row r="1030" spans="5:7">
      <c r="E1030" s="264"/>
      <c r="G1030" s="264"/>
    </row>
    <row r="1031" spans="5:7">
      <c r="E1031" s="264"/>
      <c r="G1031" s="264"/>
    </row>
    <row r="1032" spans="5:7">
      <c r="E1032" s="264"/>
      <c r="G1032" s="264"/>
    </row>
    <row r="1033" spans="5:7">
      <c r="E1033" s="264"/>
      <c r="G1033" s="264"/>
    </row>
    <row r="1034" spans="5:7">
      <c r="E1034" s="264"/>
      <c r="G1034" s="264"/>
    </row>
    <row r="1035" spans="5:7">
      <c r="E1035" s="264"/>
      <c r="G1035" s="264"/>
    </row>
    <row r="1036" spans="5:7">
      <c r="E1036" s="264"/>
      <c r="G1036" s="264"/>
    </row>
    <row r="1037" spans="5:7">
      <c r="E1037" s="264"/>
      <c r="G1037" s="264"/>
    </row>
    <row r="1038" spans="5:7">
      <c r="E1038" s="264"/>
      <c r="G1038" s="264"/>
    </row>
    <row r="1039" spans="5:7">
      <c r="E1039" s="264"/>
      <c r="G1039" s="264"/>
    </row>
    <row r="1040" spans="5:7">
      <c r="E1040" s="264"/>
      <c r="G1040" s="264"/>
    </row>
    <row r="1041" spans="5:7">
      <c r="E1041" s="264"/>
      <c r="G1041" s="264"/>
    </row>
    <row r="1042" spans="5:7">
      <c r="E1042" s="264"/>
      <c r="G1042" s="264"/>
    </row>
    <row r="1043" spans="5:7">
      <c r="E1043" s="264"/>
      <c r="G1043" s="264"/>
    </row>
    <row r="1044" spans="5:7">
      <c r="E1044" s="264"/>
      <c r="G1044" s="264"/>
    </row>
    <row r="1045" spans="5:7">
      <c r="E1045" s="264"/>
      <c r="G1045" s="264"/>
    </row>
    <row r="1046" spans="5:7">
      <c r="E1046" s="264"/>
      <c r="G1046" s="264"/>
    </row>
    <row r="1047" spans="5:7">
      <c r="E1047" s="264"/>
      <c r="G1047" s="264"/>
    </row>
    <row r="1048" spans="5:7">
      <c r="E1048" s="264"/>
      <c r="G1048" s="264"/>
    </row>
    <row r="1049" spans="5:7">
      <c r="E1049" s="264"/>
      <c r="G1049" s="264"/>
    </row>
    <row r="1050" spans="5:7">
      <c r="E1050" s="264"/>
      <c r="G1050" s="264"/>
    </row>
    <row r="1051" spans="5:7">
      <c r="E1051" s="264"/>
      <c r="G1051" s="264"/>
    </row>
    <row r="1052" spans="5:7">
      <c r="E1052" s="264"/>
      <c r="G1052" s="264"/>
    </row>
    <row r="1053" spans="5:7">
      <c r="E1053" s="264"/>
      <c r="G1053" s="264"/>
    </row>
    <row r="1054" spans="5:7">
      <c r="E1054" s="264"/>
      <c r="G1054" s="264"/>
    </row>
    <row r="1055" spans="5:7">
      <c r="E1055" s="264"/>
      <c r="G1055" s="264"/>
    </row>
    <row r="1056" spans="5:7">
      <c r="E1056" s="264"/>
      <c r="G1056" s="264"/>
    </row>
    <row r="1057" spans="5:7">
      <c r="E1057" s="264"/>
      <c r="G1057" s="264"/>
    </row>
    <row r="1058" spans="5:7">
      <c r="E1058" s="264"/>
      <c r="G1058" s="264"/>
    </row>
    <row r="1059" spans="5:7">
      <c r="E1059" s="264"/>
      <c r="G1059" s="264"/>
    </row>
    <row r="1060" spans="5:7">
      <c r="E1060" s="264"/>
      <c r="G1060" s="264"/>
    </row>
    <row r="1061" spans="5:7">
      <c r="E1061" s="264"/>
      <c r="G1061" s="264"/>
    </row>
    <row r="1062" spans="5:7">
      <c r="E1062" s="264"/>
      <c r="G1062" s="264"/>
    </row>
    <row r="1063" spans="5:7">
      <c r="E1063" s="264"/>
      <c r="G1063" s="264"/>
    </row>
    <row r="1064" spans="5:7">
      <c r="E1064" s="264"/>
      <c r="G1064" s="264"/>
    </row>
    <row r="1065" spans="5:7">
      <c r="E1065" s="264"/>
      <c r="G1065" s="264"/>
    </row>
    <row r="1066" spans="5:7">
      <c r="E1066" s="264"/>
      <c r="G1066" s="264"/>
    </row>
    <row r="1067" spans="5:7">
      <c r="E1067" s="264"/>
      <c r="G1067" s="264"/>
    </row>
    <row r="1068" spans="5:7">
      <c r="E1068" s="264"/>
      <c r="G1068" s="264"/>
    </row>
    <row r="1069" spans="5:7">
      <c r="E1069" s="264"/>
      <c r="G1069" s="264"/>
    </row>
    <row r="1070" spans="5:7">
      <c r="E1070" s="264"/>
      <c r="G1070" s="264"/>
    </row>
    <row r="1071" spans="5:7">
      <c r="E1071" s="264"/>
      <c r="G1071" s="264"/>
    </row>
    <row r="1072" spans="5:7">
      <c r="E1072" s="264"/>
      <c r="G1072" s="264"/>
    </row>
    <row r="1073" spans="5:7">
      <c r="E1073" s="264"/>
      <c r="G1073" s="264"/>
    </row>
    <row r="1074" spans="5:7">
      <c r="E1074" s="264"/>
      <c r="G1074" s="264"/>
    </row>
    <row r="1075" spans="5:7">
      <c r="E1075" s="264"/>
      <c r="G1075" s="264"/>
    </row>
    <row r="1076" spans="5:7">
      <c r="E1076" s="264"/>
      <c r="G1076" s="264"/>
    </row>
    <row r="1077" spans="5:7">
      <c r="E1077" s="264"/>
      <c r="G1077" s="264"/>
    </row>
    <row r="1078" spans="5:7">
      <c r="E1078" s="264"/>
      <c r="G1078" s="264"/>
    </row>
    <row r="1079" spans="5:7">
      <c r="E1079" s="264"/>
      <c r="G1079" s="264"/>
    </row>
    <row r="1080" spans="5:7">
      <c r="E1080" s="264"/>
      <c r="G1080" s="264"/>
    </row>
    <row r="1081" spans="5:7">
      <c r="E1081" s="264"/>
      <c r="G1081" s="264"/>
    </row>
    <row r="1082" spans="5:7">
      <c r="E1082" s="264"/>
      <c r="G1082" s="264"/>
    </row>
    <row r="1083" spans="5:7">
      <c r="E1083" s="264"/>
      <c r="G1083" s="264"/>
    </row>
    <row r="1084" spans="5:7">
      <c r="E1084" s="264"/>
      <c r="G1084" s="264"/>
    </row>
    <row r="1085" spans="5:7">
      <c r="E1085" s="264"/>
      <c r="G1085" s="264"/>
    </row>
    <row r="1086" spans="5:7">
      <c r="E1086" s="264"/>
      <c r="G1086" s="264"/>
    </row>
    <row r="1087" spans="5:7">
      <c r="E1087" s="264"/>
      <c r="G1087" s="264"/>
    </row>
    <row r="1088" spans="5:7">
      <c r="E1088" s="264"/>
      <c r="G1088" s="264"/>
    </row>
    <row r="1089" spans="5:7">
      <c r="E1089" s="264"/>
      <c r="G1089" s="264"/>
    </row>
    <row r="1090" spans="5:7">
      <c r="E1090" s="264"/>
      <c r="G1090" s="264"/>
    </row>
    <row r="1091" spans="5:7">
      <c r="E1091" s="264"/>
      <c r="G1091" s="264"/>
    </row>
    <row r="1092" spans="5:7">
      <c r="E1092" s="264"/>
      <c r="G1092" s="264"/>
    </row>
    <row r="1093" spans="5:7">
      <c r="E1093" s="264"/>
      <c r="G1093" s="264"/>
    </row>
    <row r="1094" spans="5:7">
      <c r="E1094" s="264"/>
      <c r="G1094" s="264"/>
    </row>
    <row r="1095" spans="5:7">
      <c r="E1095" s="264"/>
      <c r="G1095" s="264"/>
    </row>
    <row r="1096" spans="5:7">
      <c r="E1096" s="264"/>
      <c r="G1096" s="264"/>
    </row>
    <row r="1097" spans="5:7">
      <c r="E1097" s="264"/>
      <c r="G1097" s="264"/>
    </row>
    <row r="1098" spans="5:7">
      <c r="E1098" s="264"/>
      <c r="G1098" s="264"/>
    </row>
    <row r="1099" spans="5:7">
      <c r="E1099" s="264"/>
      <c r="G1099" s="264"/>
    </row>
    <row r="1100" spans="5:7">
      <c r="E1100" s="264"/>
      <c r="G1100" s="264"/>
    </row>
    <row r="1101" spans="5:7">
      <c r="E1101" s="264"/>
      <c r="G1101" s="264"/>
    </row>
    <row r="1102" spans="5:7">
      <c r="E1102" s="264"/>
      <c r="G1102" s="264"/>
    </row>
    <row r="1103" spans="5:7">
      <c r="E1103" s="264"/>
      <c r="G1103" s="264"/>
    </row>
    <row r="1104" spans="5:7">
      <c r="E1104" s="264"/>
      <c r="G1104" s="264"/>
    </row>
    <row r="1105" spans="5:7">
      <c r="E1105" s="264"/>
      <c r="G1105" s="264"/>
    </row>
    <row r="1106" spans="5:7">
      <c r="E1106" s="264"/>
      <c r="G1106" s="264"/>
    </row>
    <row r="1107" spans="5:7">
      <c r="E1107" s="264"/>
      <c r="G1107" s="264"/>
    </row>
    <row r="1108" spans="5:7">
      <c r="E1108" s="264"/>
      <c r="G1108" s="264"/>
    </row>
    <row r="1109" spans="5:7">
      <c r="E1109" s="264"/>
      <c r="G1109" s="264"/>
    </row>
    <row r="1110" spans="5:7">
      <c r="E1110" s="264"/>
      <c r="G1110" s="264"/>
    </row>
    <row r="1111" spans="5:7">
      <c r="E1111" s="264"/>
      <c r="G1111" s="264"/>
    </row>
    <row r="1112" spans="5:7">
      <c r="E1112" s="264"/>
      <c r="G1112" s="264"/>
    </row>
    <row r="1113" spans="5:7">
      <c r="E1113" s="264"/>
      <c r="G1113" s="264"/>
    </row>
    <row r="1114" spans="5:7">
      <c r="E1114" s="264"/>
      <c r="G1114" s="264"/>
    </row>
    <row r="1115" spans="5:7">
      <c r="E1115" s="264"/>
      <c r="G1115" s="264"/>
    </row>
    <row r="1116" spans="5:7">
      <c r="E1116" s="264"/>
      <c r="G1116" s="264"/>
    </row>
    <row r="1117" spans="5:7">
      <c r="E1117" s="264"/>
      <c r="G1117" s="264"/>
    </row>
    <row r="1118" spans="5:7">
      <c r="E1118" s="264"/>
      <c r="G1118" s="264"/>
    </row>
    <row r="1119" spans="5:7">
      <c r="E1119" s="264"/>
      <c r="G1119" s="264"/>
    </row>
    <row r="1120" spans="5:7">
      <c r="E1120" s="264"/>
      <c r="G1120" s="264"/>
    </row>
    <row r="1121" spans="5:7">
      <c r="E1121" s="264"/>
      <c r="G1121" s="264"/>
    </row>
    <row r="1122" spans="5:7">
      <c r="E1122" s="264"/>
      <c r="G1122" s="264"/>
    </row>
    <row r="1123" spans="5:7">
      <c r="E1123" s="264"/>
      <c r="G1123" s="264"/>
    </row>
    <row r="1124" spans="5:7">
      <c r="E1124" s="264"/>
      <c r="G1124" s="264"/>
    </row>
    <row r="1125" spans="5:7">
      <c r="E1125" s="264"/>
      <c r="G1125" s="264"/>
    </row>
    <row r="1126" spans="5:7">
      <c r="E1126" s="264"/>
      <c r="G1126" s="264"/>
    </row>
    <row r="1127" spans="5:7">
      <c r="E1127" s="264"/>
      <c r="G1127" s="264"/>
    </row>
    <row r="1128" spans="5:7">
      <c r="E1128" s="264"/>
      <c r="G1128" s="264"/>
    </row>
    <row r="1129" spans="5:7">
      <c r="E1129" s="264"/>
      <c r="G1129" s="264"/>
    </row>
    <row r="1130" spans="5:7">
      <c r="E1130" s="264"/>
      <c r="G1130" s="264"/>
    </row>
    <row r="1131" spans="5:7">
      <c r="E1131" s="264"/>
      <c r="G1131" s="264"/>
    </row>
    <row r="1132" spans="5:7">
      <c r="E1132" s="264"/>
      <c r="G1132" s="264"/>
    </row>
    <row r="1133" spans="5:7">
      <c r="E1133" s="264"/>
      <c r="G1133" s="264"/>
    </row>
    <row r="1134" spans="5:7">
      <c r="E1134" s="264"/>
      <c r="G1134" s="264"/>
    </row>
    <row r="1135" spans="5:7">
      <c r="E1135" s="264"/>
      <c r="G1135" s="264"/>
    </row>
    <row r="1136" spans="5:7">
      <c r="E1136" s="264"/>
      <c r="G1136" s="264"/>
    </row>
    <row r="1137" spans="5:7">
      <c r="E1137" s="264"/>
      <c r="G1137" s="264"/>
    </row>
    <row r="1138" spans="5:7">
      <c r="E1138" s="264"/>
      <c r="G1138" s="264"/>
    </row>
    <row r="1139" spans="5:7">
      <c r="E1139" s="264"/>
      <c r="G1139" s="264"/>
    </row>
    <row r="1140" spans="5:7">
      <c r="E1140" s="264"/>
      <c r="G1140" s="264"/>
    </row>
    <row r="1141" spans="5:7">
      <c r="E1141" s="264"/>
      <c r="G1141" s="264"/>
    </row>
    <row r="1142" spans="5:7">
      <c r="E1142" s="264"/>
      <c r="G1142" s="264"/>
    </row>
    <row r="1143" spans="5:7">
      <c r="E1143" s="264"/>
      <c r="G1143" s="264"/>
    </row>
    <row r="1144" spans="5:7">
      <c r="E1144" s="264"/>
      <c r="G1144" s="264"/>
    </row>
    <row r="1145" spans="5:7">
      <c r="E1145" s="264"/>
      <c r="G1145" s="264"/>
    </row>
    <row r="1146" spans="5:7">
      <c r="E1146" s="264"/>
      <c r="G1146" s="264"/>
    </row>
    <row r="1147" spans="5:7">
      <c r="E1147" s="264"/>
      <c r="G1147" s="264"/>
    </row>
    <row r="1148" spans="5:7">
      <c r="E1148" s="264"/>
      <c r="G1148" s="264"/>
    </row>
    <row r="1149" spans="5:7">
      <c r="E1149" s="264"/>
      <c r="G1149" s="264"/>
    </row>
    <row r="1150" spans="5:7">
      <c r="E1150" s="264"/>
      <c r="G1150" s="264"/>
    </row>
    <row r="1151" spans="5:7">
      <c r="E1151" s="264"/>
      <c r="G1151" s="264"/>
    </row>
    <row r="1152" spans="5:7">
      <c r="E1152" s="264"/>
      <c r="G1152" s="264"/>
    </row>
    <row r="1153" spans="5:7">
      <c r="E1153" s="264"/>
      <c r="G1153" s="264"/>
    </row>
    <row r="1154" spans="5:7">
      <c r="E1154" s="264"/>
      <c r="G1154" s="264"/>
    </row>
    <row r="1155" spans="5:7">
      <c r="E1155" s="264"/>
      <c r="G1155" s="264"/>
    </row>
    <row r="1156" spans="5:7">
      <c r="E1156" s="264"/>
      <c r="G1156" s="264"/>
    </row>
    <row r="1157" spans="5:7">
      <c r="E1157" s="264"/>
      <c r="G1157" s="264"/>
    </row>
    <row r="1158" spans="5:7">
      <c r="E1158" s="264"/>
      <c r="G1158" s="264"/>
    </row>
    <row r="1159" spans="5:7">
      <c r="E1159" s="264"/>
      <c r="G1159" s="264"/>
    </row>
    <row r="1160" spans="5:7">
      <c r="E1160" s="264"/>
      <c r="G1160" s="264"/>
    </row>
    <row r="1161" spans="5:7">
      <c r="E1161" s="264"/>
      <c r="G1161" s="264"/>
    </row>
    <row r="1162" spans="5:7">
      <c r="E1162" s="264"/>
      <c r="G1162" s="264"/>
    </row>
    <row r="1163" spans="5:7">
      <c r="E1163" s="264"/>
      <c r="G1163" s="264"/>
    </row>
    <row r="1164" spans="5:7">
      <c r="E1164" s="264"/>
      <c r="G1164" s="264"/>
    </row>
    <row r="1165" spans="5:7">
      <c r="E1165" s="264"/>
      <c r="G1165" s="264"/>
    </row>
    <row r="1166" spans="5:7">
      <c r="E1166" s="264"/>
      <c r="G1166" s="264"/>
    </row>
    <row r="1167" spans="5:7">
      <c r="E1167" s="264"/>
      <c r="G1167" s="264"/>
    </row>
    <row r="1168" spans="5:7">
      <c r="E1168" s="264"/>
      <c r="G1168" s="264"/>
    </row>
    <row r="1169" spans="5:7">
      <c r="E1169" s="264"/>
      <c r="G1169" s="264"/>
    </row>
    <row r="1170" spans="5:7">
      <c r="E1170" s="264"/>
      <c r="G1170" s="264"/>
    </row>
    <row r="1171" spans="5:7">
      <c r="E1171" s="264"/>
      <c r="G1171" s="264"/>
    </row>
    <row r="1172" spans="5:7">
      <c r="E1172" s="264"/>
      <c r="G1172" s="264"/>
    </row>
    <row r="1173" spans="5:7">
      <c r="E1173" s="264"/>
      <c r="G1173" s="264"/>
    </row>
    <row r="1174" spans="5:7">
      <c r="E1174" s="264"/>
      <c r="G1174" s="264"/>
    </row>
    <row r="1175" spans="5:7">
      <c r="E1175" s="264"/>
      <c r="G1175" s="264"/>
    </row>
    <row r="1176" spans="5:7">
      <c r="E1176" s="264"/>
      <c r="G1176" s="264"/>
    </row>
    <row r="1177" spans="5:7">
      <c r="E1177" s="264"/>
      <c r="G1177" s="264"/>
    </row>
    <row r="1178" spans="5:7">
      <c r="E1178" s="264"/>
      <c r="G1178" s="264"/>
    </row>
    <row r="1179" spans="5:7">
      <c r="E1179" s="264"/>
      <c r="G1179" s="264"/>
    </row>
    <row r="1180" spans="5:7">
      <c r="E1180" s="264"/>
      <c r="G1180" s="264"/>
    </row>
    <row r="1181" spans="5:7">
      <c r="E1181" s="264"/>
      <c r="G1181" s="264"/>
    </row>
    <row r="1182" spans="5:7">
      <c r="E1182" s="264"/>
      <c r="G1182" s="264"/>
    </row>
    <row r="1183" spans="5:7">
      <c r="E1183" s="264"/>
      <c r="G1183" s="264"/>
    </row>
    <row r="1184" spans="5:7">
      <c r="E1184" s="264"/>
      <c r="G1184" s="264"/>
    </row>
    <row r="1185" spans="5:7">
      <c r="E1185" s="264"/>
      <c r="G1185" s="264"/>
    </row>
    <row r="1186" spans="5:7">
      <c r="E1186" s="264"/>
      <c r="G1186" s="264"/>
    </row>
    <row r="1187" spans="5:7">
      <c r="E1187" s="264"/>
      <c r="G1187" s="264"/>
    </row>
    <row r="1188" spans="5:7">
      <c r="E1188" s="264"/>
      <c r="G1188" s="264"/>
    </row>
    <row r="1189" spans="5:7">
      <c r="E1189" s="264"/>
      <c r="G1189" s="264"/>
    </row>
    <row r="1190" spans="5:7">
      <c r="E1190" s="264"/>
      <c r="G1190" s="264"/>
    </row>
    <row r="1191" spans="5:7">
      <c r="E1191" s="264"/>
      <c r="G1191" s="264"/>
    </row>
    <row r="1192" spans="5:7">
      <c r="E1192" s="264"/>
      <c r="G1192" s="264"/>
    </row>
    <row r="1193" spans="5:7">
      <c r="E1193" s="264"/>
      <c r="G1193" s="264"/>
    </row>
    <row r="1194" spans="5:7">
      <c r="E1194" s="264"/>
      <c r="G1194" s="264"/>
    </row>
    <row r="1195" spans="5:7">
      <c r="E1195" s="264"/>
      <c r="G1195" s="264"/>
    </row>
    <row r="1196" spans="5:7">
      <c r="E1196" s="264"/>
      <c r="G1196" s="264"/>
    </row>
    <row r="1197" spans="5:7">
      <c r="E1197" s="264"/>
      <c r="G1197" s="264"/>
    </row>
    <row r="1198" spans="5:7">
      <c r="E1198" s="264"/>
      <c r="G1198" s="264"/>
    </row>
    <row r="1199" spans="5:7">
      <c r="E1199" s="264"/>
      <c r="G1199" s="264"/>
    </row>
    <row r="1200" spans="5:7">
      <c r="E1200" s="264"/>
      <c r="G1200" s="264"/>
    </row>
    <row r="1201" spans="5:7">
      <c r="E1201" s="264"/>
      <c r="G1201" s="264"/>
    </row>
    <row r="1202" spans="5:7">
      <c r="E1202" s="264"/>
      <c r="G1202" s="264"/>
    </row>
    <row r="1203" spans="5:7">
      <c r="E1203" s="264"/>
      <c r="G1203" s="264"/>
    </row>
    <row r="1204" spans="5:7">
      <c r="E1204" s="264"/>
      <c r="G1204" s="264"/>
    </row>
    <row r="1205" spans="5:7">
      <c r="E1205" s="264"/>
      <c r="G1205" s="264"/>
    </row>
    <row r="1206" spans="5:7">
      <c r="E1206" s="264"/>
      <c r="G1206" s="264"/>
    </row>
    <row r="1207" spans="5:7">
      <c r="E1207" s="264"/>
      <c r="G1207" s="264"/>
    </row>
    <row r="1208" spans="5:7">
      <c r="E1208" s="264"/>
      <c r="G1208" s="264"/>
    </row>
    <row r="1209" spans="5:7">
      <c r="E1209" s="264"/>
      <c r="G1209" s="264"/>
    </row>
    <row r="1210" spans="5:7">
      <c r="E1210" s="264"/>
      <c r="G1210" s="264"/>
    </row>
    <row r="1211" spans="5:7">
      <c r="E1211" s="264"/>
      <c r="G1211" s="264"/>
    </row>
    <row r="1212" spans="5:7">
      <c r="E1212" s="264"/>
      <c r="G1212" s="264"/>
    </row>
    <row r="1213" spans="5:7">
      <c r="E1213" s="264"/>
      <c r="G1213" s="264"/>
    </row>
    <row r="1214" spans="5:7">
      <c r="E1214" s="264"/>
      <c r="G1214" s="264"/>
    </row>
    <row r="1215" spans="5:7">
      <c r="E1215" s="264"/>
      <c r="G1215" s="264"/>
    </row>
    <row r="1216" spans="5:7">
      <c r="E1216" s="264"/>
      <c r="G1216" s="264"/>
    </row>
    <row r="1217" spans="5:7">
      <c r="E1217" s="264"/>
      <c r="G1217" s="264"/>
    </row>
    <row r="1218" spans="5:7">
      <c r="E1218" s="264"/>
      <c r="G1218" s="264"/>
    </row>
    <row r="1219" spans="5:7">
      <c r="E1219" s="264"/>
      <c r="G1219" s="264"/>
    </row>
    <row r="1220" spans="5:7">
      <c r="E1220" s="264"/>
      <c r="G1220" s="264"/>
    </row>
    <row r="1221" spans="5:7">
      <c r="E1221" s="264"/>
      <c r="G1221" s="264"/>
    </row>
    <row r="1222" spans="5:7">
      <c r="E1222" s="264"/>
      <c r="G1222" s="264"/>
    </row>
    <row r="1223" spans="5:7">
      <c r="E1223" s="264"/>
      <c r="G1223" s="264"/>
    </row>
    <row r="1224" spans="5:7">
      <c r="E1224" s="264"/>
      <c r="G1224" s="264"/>
    </row>
    <row r="1225" spans="5:7">
      <c r="E1225" s="264"/>
      <c r="G1225" s="264"/>
    </row>
    <row r="1226" spans="5:7">
      <c r="E1226" s="264"/>
      <c r="G1226" s="264"/>
    </row>
    <row r="1227" spans="5:7">
      <c r="E1227" s="264"/>
      <c r="G1227" s="264"/>
    </row>
    <row r="1228" spans="5:7">
      <c r="E1228" s="264"/>
      <c r="G1228" s="264"/>
    </row>
    <row r="1229" spans="5:7">
      <c r="E1229" s="264"/>
      <c r="G1229" s="264"/>
    </row>
    <row r="1230" spans="5:7">
      <c r="E1230" s="264"/>
      <c r="G1230" s="264"/>
    </row>
    <row r="1231" spans="5:7">
      <c r="E1231" s="264"/>
      <c r="G1231" s="264"/>
    </row>
    <row r="1232" spans="5:7">
      <c r="E1232" s="264"/>
      <c r="G1232" s="264"/>
    </row>
    <row r="1233" spans="5:7">
      <c r="E1233" s="264"/>
      <c r="G1233" s="264"/>
    </row>
    <row r="1234" spans="5:7">
      <c r="E1234" s="264"/>
      <c r="G1234" s="264"/>
    </row>
    <row r="1235" spans="5:7">
      <c r="E1235" s="264"/>
      <c r="G1235" s="264"/>
    </row>
    <row r="1236" spans="5:7">
      <c r="E1236" s="264"/>
      <c r="G1236" s="264"/>
    </row>
    <row r="1237" spans="5:7">
      <c r="E1237" s="264"/>
      <c r="G1237" s="264"/>
    </row>
    <row r="1238" spans="5:7">
      <c r="E1238" s="264"/>
      <c r="G1238" s="264"/>
    </row>
    <row r="1239" spans="5:7">
      <c r="E1239" s="264"/>
      <c r="G1239" s="264"/>
    </row>
    <row r="1240" spans="5:7">
      <c r="E1240" s="264"/>
      <c r="G1240" s="264"/>
    </row>
    <row r="1241" spans="5:7">
      <c r="E1241" s="264"/>
      <c r="G1241" s="264"/>
    </row>
    <row r="1242" spans="5:7">
      <c r="E1242" s="264"/>
      <c r="G1242" s="264"/>
    </row>
    <row r="1243" spans="5:7">
      <c r="E1243" s="264"/>
      <c r="G1243" s="264"/>
    </row>
    <row r="1244" spans="5:7">
      <c r="E1244" s="264"/>
      <c r="G1244" s="264"/>
    </row>
    <row r="1245" spans="5:7">
      <c r="E1245" s="264"/>
      <c r="G1245" s="264"/>
    </row>
    <row r="1246" spans="5:7">
      <c r="E1246" s="264"/>
      <c r="G1246" s="264"/>
    </row>
    <row r="1247" spans="5:7">
      <c r="E1247" s="264"/>
      <c r="G1247" s="264"/>
    </row>
    <row r="1248" spans="5:7">
      <c r="E1248" s="264"/>
      <c r="G1248" s="264"/>
    </row>
    <row r="1249" spans="5:7">
      <c r="E1249" s="264"/>
      <c r="G1249" s="264"/>
    </row>
    <row r="1250" spans="5:7">
      <c r="E1250" s="264"/>
      <c r="G1250" s="264"/>
    </row>
    <row r="1251" spans="5:7">
      <c r="E1251" s="264"/>
      <c r="G1251" s="264"/>
    </row>
    <row r="1252" spans="5:7">
      <c r="E1252" s="264"/>
      <c r="G1252" s="264"/>
    </row>
    <row r="1253" spans="5:7">
      <c r="E1253" s="264"/>
      <c r="G1253" s="264"/>
    </row>
    <row r="1254" spans="5:7">
      <c r="E1254" s="264"/>
      <c r="G1254" s="264"/>
    </row>
    <row r="1255" spans="5:7">
      <c r="E1255" s="264"/>
      <c r="G1255" s="264"/>
    </row>
    <row r="1256" spans="5:7">
      <c r="E1256" s="264"/>
      <c r="G1256" s="264"/>
    </row>
    <row r="1257" spans="5:7">
      <c r="E1257" s="264"/>
      <c r="G1257" s="264"/>
    </row>
    <row r="1258" spans="5:7">
      <c r="E1258" s="264"/>
      <c r="G1258" s="264"/>
    </row>
    <row r="1259" spans="5:7">
      <c r="E1259" s="264"/>
      <c r="G1259" s="264"/>
    </row>
    <row r="1260" spans="5:7">
      <c r="E1260" s="264"/>
      <c r="G1260" s="264"/>
    </row>
    <row r="1261" spans="5:7">
      <c r="E1261" s="264"/>
      <c r="G1261" s="264"/>
    </row>
    <row r="1262" spans="5:7">
      <c r="E1262" s="264"/>
      <c r="G1262" s="264"/>
    </row>
    <row r="1263" spans="5:7">
      <c r="E1263" s="264"/>
      <c r="G1263" s="264"/>
    </row>
    <row r="1264" spans="5:7">
      <c r="E1264" s="264"/>
      <c r="G1264" s="264"/>
    </row>
    <row r="1265" spans="5:7">
      <c r="E1265" s="264"/>
      <c r="G1265" s="264"/>
    </row>
    <row r="1266" spans="5:7">
      <c r="E1266" s="264"/>
      <c r="G1266" s="264"/>
    </row>
    <row r="1267" spans="5:7">
      <c r="E1267" s="264"/>
      <c r="G1267" s="264"/>
    </row>
    <row r="1268" spans="5:7">
      <c r="E1268" s="264"/>
      <c r="G1268" s="264"/>
    </row>
    <row r="1269" spans="5:7">
      <c r="E1269" s="264"/>
      <c r="G1269" s="264"/>
    </row>
    <row r="1270" spans="5:7">
      <c r="E1270" s="264"/>
      <c r="G1270" s="264"/>
    </row>
    <row r="1271" spans="5:7">
      <c r="E1271" s="264"/>
      <c r="G1271" s="264"/>
    </row>
    <row r="1272" spans="5:7">
      <c r="E1272" s="264"/>
      <c r="G1272" s="264"/>
    </row>
    <row r="1273" spans="5:7">
      <c r="E1273" s="264"/>
      <c r="G1273" s="264"/>
    </row>
    <row r="1274" spans="5:7">
      <c r="E1274" s="264"/>
      <c r="G1274" s="264"/>
    </row>
    <row r="1275" spans="5:7">
      <c r="E1275" s="264"/>
      <c r="G1275" s="264"/>
    </row>
    <row r="1276" spans="5:7">
      <c r="E1276" s="264"/>
      <c r="G1276" s="264"/>
    </row>
    <row r="1277" spans="5:7">
      <c r="E1277" s="264"/>
      <c r="G1277" s="264"/>
    </row>
    <row r="1278" spans="5:7">
      <c r="E1278" s="264"/>
      <c r="G1278" s="264"/>
    </row>
    <row r="1279" spans="5:7">
      <c r="E1279" s="264"/>
      <c r="G1279" s="264"/>
    </row>
    <row r="1280" spans="5:7">
      <c r="E1280" s="264"/>
      <c r="G1280" s="264"/>
    </row>
    <row r="1281" spans="5:7">
      <c r="E1281" s="264"/>
      <c r="G1281" s="264"/>
    </row>
    <row r="1282" spans="5:7">
      <c r="E1282" s="264"/>
      <c r="G1282" s="264"/>
    </row>
    <row r="1283" spans="5:7">
      <c r="E1283" s="264"/>
      <c r="G1283" s="264"/>
    </row>
    <row r="1284" spans="5:7">
      <c r="E1284" s="264"/>
      <c r="G1284" s="264"/>
    </row>
    <row r="1285" spans="5:7">
      <c r="E1285" s="264"/>
      <c r="G1285" s="264"/>
    </row>
    <row r="1286" spans="5:7">
      <c r="E1286" s="264"/>
      <c r="G1286" s="264"/>
    </row>
    <row r="1287" spans="5:7">
      <c r="E1287" s="264"/>
      <c r="G1287" s="264"/>
    </row>
    <row r="1288" spans="5:7">
      <c r="E1288" s="264"/>
      <c r="G1288" s="264"/>
    </row>
    <row r="1289" spans="5:7">
      <c r="E1289" s="264"/>
      <c r="G1289" s="264"/>
    </row>
    <row r="1290" spans="5:7">
      <c r="E1290" s="264"/>
      <c r="G1290" s="264"/>
    </row>
    <row r="1291" spans="5:7">
      <c r="E1291" s="264"/>
      <c r="G1291" s="264"/>
    </row>
    <row r="1292" spans="5:7">
      <c r="E1292" s="264"/>
      <c r="G1292" s="264"/>
    </row>
    <row r="1293" spans="5:7">
      <c r="E1293" s="264"/>
      <c r="G1293" s="264"/>
    </row>
    <row r="1294" spans="5:7">
      <c r="E1294" s="264"/>
      <c r="G1294" s="264"/>
    </row>
    <row r="1295" spans="5:7">
      <c r="E1295" s="264"/>
      <c r="G1295" s="264"/>
    </row>
    <row r="1296" spans="5:7">
      <c r="E1296" s="264"/>
      <c r="G1296" s="264"/>
    </row>
    <row r="1297" spans="5:7">
      <c r="E1297" s="264"/>
      <c r="G1297" s="264"/>
    </row>
    <row r="1298" spans="5:7">
      <c r="E1298" s="264"/>
      <c r="G1298" s="264"/>
    </row>
    <row r="1299" spans="5:7">
      <c r="E1299" s="264"/>
      <c r="G1299" s="264"/>
    </row>
    <row r="1300" spans="5:7">
      <c r="E1300" s="264"/>
      <c r="G1300" s="264"/>
    </row>
    <row r="1301" spans="5:7">
      <c r="E1301" s="264"/>
      <c r="G1301" s="264"/>
    </row>
    <row r="1302" spans="5:7">
      <c r="E1302" s="264"/>
      <c r="G1302" s="264"/>
    </row>
    <row r="1303" spans="5:7">
      <c r="E1303" s="264"/>
      <c r="G1303" s="264"/>
    </row>
    <row r="1304" spans="5:7">
      <c r="E1304" s="264"/>
      <c r="G1304" s="264"/>
    </row>
    <row r="1305" spans="5:7">
      <c r="E1305" s="264"/>
      <c r="G1305" s="264"/>
    </row>
    <row r="1306" spans="5:7">
      <c r="E1306" s="264"/>
      <c r="G1306" s="264"/>
    </row>
    <row r="1307" spans="5:7">
      <c r="E1307" s="264"/>
      <c r="G1307" s="264"/>
    </row>
    <row r="1308" spans="5:7">
      <c r="E1308" s="264"/>
      <c r="G1308" s="264"/>
    </row>
    <row r="1309" spans="5:7">
      <c r="E1309" s="264"/>
      <c r="G1309" s="264"/>
    </row>
    <row r="1310" spans="5:7">
      <c r="E1310" s="264"/>
      <c r="G1310" s="264"/>
    </row>
    <row r="1311" spans="5:7">
      <c r="E1311" s="264"/>
      <c r="G1311" s="264"/>
    </row>
    <row r="1312" spans="5:7">
      <c r="E1312" s="264"/>
      <c r="G1312" s="264"/>
    </row>
    <row r="1313" spans="5:7">
      <c r="E1313" s="264"/>
      <c r="G1313" s="264"/>
    </row>
    <row r="1314" spans="5:7">
      <c r="E1314" s="264"/>
      <c r="G1314" s="264"/>
    </row>
    <row r="1315" spans="5:7">
      <c r="E1315" s="264"/>
      <c r="G1315" s="264"/>
    </row>
    <row r="1316" spans="5:7">
      <c r="E1316" s="264"/>
      <c r="G1316" s="264"/>
    </row>
    <row r="1317" spans="5:7">
      <c r="E1317" s="264"/>
      <c r="G1317" s="264"/>
    </row>
    <row r="1318" spans="5:7">
      <c r="E1318" s="264"/>
      <c r="G1318" s="264"/>
    </row>
    <row r="1319" spans="5:7">
      <c r="E1319" s="264"/>
      <c r="G1319" s="264"/>
    </row>
    <row r="1320" spans="5:7">
      <c r="E1320" s="264"/>
      <c r="G1320" s="264"/>
    </row>
    <row r="1321" spans="5:7">
      <c r="E1321" s="264"/>
      <c r="G1321" s="264"/>
    </row>
    <row r="1322" spans="5:7">
      <c r="E1322" s="264"/>
      <c r="G1322" s="264"/>
    </row>
    <row r="1323" spans="5:7">
      <c r="E1323" s="264"/>
      <c r="G1323" s="264"/>
    </row>
    <row r="1324" spans="5:7">
      <c r="E1324" s="264"/>
      <c r="G1324" s="264"/>
    </row>
    <row r="1325" spans="5:7">
      <c r="E1325" s="264"/>
      <c r="G1325" s="264"/>
    </row>
    <row r="1326" spans="5:7">
      <c r="E1326" s="264"/>
      <c r="G1326" s="264"/>
    </row>
    <row r="1327" spans="5:7">
      <c r="E1327" s="264"/>
      <c r="G1327" s="264"/>
    </row>
    <row r="1328" spans="5:7">
      <c r="E1328" s="264"/>
      <c r="G1328" s="264"/>
    </row>
    <row r="1329" spans="5:7">
      <c r="E1329" s="264"/>
      <c r="G1329" s="264"/>
    </row>
    <row r="1330" spans="5:7">
      <c r="E1330" s="264"/>
      <c r="G1330" s="264"/>
    </row>
    <row r="1331" spans="5:7">
      <c r="E1331" s="264"/>
      <c r="G1331" s="264"/>
    </row>
    <row r="1332" spans="5:7">
      <c r="E1332" s="264"/>
      <c r="G1332" s="264"/>
    </row>
    <row r="1333" spans="5:7">
      <c r="E1333" s="264"/>
      <c r="G1333" s="264"/>
    </row>
    <row r="1334" spans="5:7">
      <c r="E1334" s="264"/>
      <c r="G1334" s="264"/>
    </row>
    <row r="1335" spans="5:7">
      <c r="E1335" s="264"/>
      <c r="G1335" s="264"/>
    </row>
    <row r="1336" spans="5:7">
      <c r="E1336" s="264"/>
      <c r="G1336" s="264"/>
    </row>
    <row r="1337" spans="5:7">
      <c r="E1337" s="264"/>
      <c r="G1337" s="264"/>
    </row>
    <row r="1338" spans="5:7">
      <c r="E1338" s="264"/>
      <c r="G1338" s="264"/>
    </row>
    <row r="1339" spans="5:7">
      <c r="E1339" s="264"/>
      <c r="G1339" s="264"/>
    </row>
    <row r="1340" spans="5:7">
      <c r="E1340" s="264"/>
      <c r="G1340" s="264"/>
    </row>
    <row r="1341" spans="5:7">
      <c r="E1341" s="264"/>
      <c r="G1341" s="264"/>
    </row>
    <row r="1342" spans="5:7">
      <c r="E1342" s="264"/>
      <c r="G1342" s="264"/>
    </row>
    <row r="1343" spans="5:7">
      <c r="E1343" s="264"/>
      <c r="G1343" s="264"/>
    </row>
    <row r="1344" spans="5:7">
      <c r="E1344" s="264"/>
      <c r="G1344" s="264"/>
    </row>
    <row r="1345" spans="5:7">
      <c r="E1345" s="264"/>
      <c r="G1345" s="264"/>
    </row>
    <row r="1346" spans="5:7">
      <c r="E1346" s="264"/>
      <c r="G1346" s="264"/>
    </row>
    <row r="1347" spans="5:7">
      <c r="E1347" s="264"/>
      <c r="G1347" s="264"/>
    </row>
    <row r="1348" spans="5:7">
      <c r="E1348" s="264"/>
      <c r="G1348" s="264"/>
    </row>
    <row r="1349" spans="5:7">
      <c r="E1349" s="264"/>
      <c r="G1349" s="264"/>
    </row>
    <row r="1350" spans="5:7">
      <c r="E1350" s="264"/>
      <c r="G1350" s="264"/>
    </row>
    <row r="1351" spans="5:7">
      <c r="E1351" s="264"/>
      <c r="G1351" s="264"/>
    </row>
    <row r="1352" spans="5:7">
      <c r="E1352" s="264"/>
      <c r="G1352" s="264"/>
    </row>
    <row r="1353" spans="5:7">
      <c r="E1353" s="264"/>
      <c r="G1353" s="264"/>
    </row>
    <row r="1354" spans="5:7">
      <c r="E1354" s="264"/>
      <c r="G1354" s="264"/>
    </row>
    <row r="1355" spans="5:7">
      <c r="E1355" s="264"/>
      <c r="G1355" s="264"/>
    </row>
    <row r="1356" spans="5:7">
      <c r="E1356" s="264"/>
      <c r="G1356" s="264"/>
    </row>
    <row r="1357" spans="5:7">
      <c r="E1357" s="264"/>
      <c r="G1357" s="264"/>
    </row>
    <row r="1358" spans="5:7">
      <c r="E1358" s="264"/>
      <c r="G1358" s="264"/>
    </row>
    <row r="1359" spans="5:7">
      <c r="E1359" s="264"/>
      <c r="G1359" s="264"/>
    </row>
    <row r="1360" spans="5:7">
      <c r="E1360" s="264"/>
      <c r="G1360" s="264"/>
    </row>
    <row r="1361" spans="5:7">
      <c r="E1361" s="264"/>
      <c r="G1361" s="264"/>
    </row>
    <row r="1362" spans="5:7">
      <c r="E1362" s="264"/>
      <c r="G1362" s="264"/>
    </row>
    <row r="1363" spans="5:7">
      <c r="E1363" s="264"/>
      <c r="G1363" s="264"/>
    </row>
    <row r="1364" spans="5:7">
      <c r="E1364" s="264"/>
      <c r="G1364" s="264"/>
    </row>
    <row r="1365" spans="5:7">
      <c r="E1365" s="264"/>
      <c r="G1365" s="264"/>
    </row>
    <row r="1366" spans="5:7">
      <c r="E1366" s="264"/>
      <c r="G1366" s="264"/>
    </row>
    <row r="1367" spans="5:7">
      <c r="E1367" s="264"/>
      <c r="G1367" s="264"/>
    </row>
    <row r="1368" spans="5:7">
      <c r="E1368" s="264"/>
      <c r="G1368" s="264"/>
    </row>
    <row r="1369" spans="5:7">
      <c r="E1369" s="264"/>
      <c r="G1369" s="264"/>
    </row>
    <row r="1370" spans="5:7">
      <c r="E1370" s="264"/>
      <c r="G1370" s="264"/>
    </row>
    <row r="1371" spans="5:7">
      <c r="E1371" s="264"/>
      <c r="G1371" s="264"/>
    </row>
    <row r="1372" spans="5:7">
      <c r="E1372" s="264"/>
      <c r="G1372" s="264"/>
    </row>
    <row r="1373" spans="5:7">
      <c r="E1373" s="264"/>
      <c r="G1373" s="264"/>
    </row>
    <row r="1374" spans="5:7">
      <c r="E1374" s="264"/>
      <c r="G1374" s="264"/>
    </row>
    <row r="1375" spans="5:7">
      <c r="E1375" s="264"/>
      <c r="G1375" s="264"/>
    </row>
    <row r="1376" spans="5:7">
      <c r="E1376" s="264"/>
      <c r="G1376" s="264"/>
    </row>
    <row r="1377" spans="5:7">
      <c r="E1377" s="264"/>
      <c r="G1377" s="264"/>
    </row>
    <row r="1378" spans="5:7">
      <c r="E1378" s="264"/>
      <c r="G1378" s="264"/>
    </row>
    <row r="1379" spans="5:7">
      <c r="E1379" s="264"/>
      <c r="G1379" s="264"/>
    </row>
    <row r="1380" spans="5:7">
      <c r="E1380" s="264"/>
      <c r="G1380" s="264"/>
    </row>
    <row r="1381" spans="5:7">
      <c r="E1381" s="264"/>
      <c r="G1381" s="264"/>
    </row>
    <row r="1382" spans="5:7">
      <c r="E1382" s="264"/>
      <c r="G1382" s="264"/>
    </row>
    <row r="1383" spans="5:7">
      <c r="E1383" s="264"/>
      <c r="G1383" s="264"/>
    </row>
    <row r="1384" spans="5:7">
      <c r="E1384" s="264"/>
      <c r="G1384" s="264"/>
    </row>
    <row r="1385" spans="5:7">
      <c r="E1385" s="264"/>
      <c r="G1385" s="264"/>
    </row>
    <row r="1386" spans="5:7">
      <c r="E1386" s="264"/>
      <c r="G1386" s="264"/>
    </row>
    <row r="1387" spans="5:7">
      <c r="E1387" s="264"/>
      <c r="G1387" s="264"/>
    </row>
    <row r="1388" spans="5:7">
      <c r="E1388" s="264"/>
      <c r="G1388" s="264"/>
    </row>
    <row r="1389" spans="5:7">
      <c r="E1389" s="264"/>
      <c r="G1389" s="264"/>
    </row>
    <row r="1390" spans="5:7">
      <c r="E1390" s="264"/>
      <c r="G1390" s="264"/>
    </row>
    <row r="1391" spans="5:7">
      <c r="E1391" s="264"/>
      <c r="G1391" s="264"/>
    </row>
    <row r="1392" spans="5:7">
      <c r="E1392" s="264"/>
      <c r="G1392" s="264"/>
    </row>
    <row r="1393" spans="5:7">
      <c r="E1393" s="264"/>
      <c r="G1393" s="264"/>
    </row>
    <row r="1394" spans="5:7">
      <c r="E1394" s="264"/>
      <c r="G1394" s="264"/>
    </row>
    <row r="1395" spans="5:7">
      <c r="E1395" s="264"/>
      <c r="G1395" s="264"/>
    </row>
    <row r="1396" spans="5:7">
      <c r="E1396" s="264"/>
      <c r="G1396" s="264"/>
    </row>
    <row r="1397" spans="5:7">
      <c r="E1397" s="264"/>
      <c r="G1397" s="264"/>
    </row>
    <row r="1398" spans="5:7">
      <c r="E1398" s="264"/>
      <c r="G1398" s="264"/>
    </row>
    <row r="1399" spans="5:7">
      <c r="E1399" s="264"/>
      <c r="G1399" s="264"/>
    </row>
    <row r="1400" spans="5:7">
      <c r="E1400" s="264"/>
      <c r="G1400" s="264"/>
    </row>
    <row r="1401" spans="5:7">
      <c r="E1401" s="264"/>
      <c r="G1401" s="264"/>
    </row>
    <row r="1402" spans="5:7">
      <c r="E1402" s="264"/>
      <c r="G1402" s="264"/>
    </row>
    <row r="1403" spans="5:7">
      <c r="E1403" s="264"/>
      <c r="G1403" s="264"/>
    </row>
    <row r="1404" spans="5:7">
      <c r="E1404" s="264"/>
      <c r="G1404" s="264"/>
    </row>
    <row r="1405" spans="5:7">
      <c r="E1405" s="264"/>
      <c r="G1405" s="264"/>
    </row>
    <row r="1406" spans="5:7">
      <c r="E1406" s="264"/>
      <c r="G1406" s="264"/>
    </row>
    <row r="1407" spans="5:7">
      <c r="E1407" s="264"/>
      <c r="G1407" s="264"/>
    </row>
    <row r="1408" spans="5:7">
      <c r="E1408" s="264"/>
      <c r="G1408" s="264"/>
    </row>
    <row r="1409" spans="5:7">
      <c r="E1409" s="264"/>
      <c r="G1409" s="264"/>
    </row>
    <row r="1410" spans="5:7">
      <c r="E1410" s="264"/>
      <c r="G1410" s="264"/>
    </row>
    <row r="1411" spans="5:7">
      <c r="E1411" s="264"/>
      <c r="G1411" s="264"/>
    </row>
    <row r="1412" spans="5:7">
      <c r="E1412" s="264"/>
      <c r="G1412" s="264"/>
    </row>
    <row r="1413" spans="5:7">
      <c r="E1413" s="264"/>
      <c r="G1413" s="264"/>
    </row>
    <row r="1414" spans="5:7">
      <c r="E1414" s="264"/>
      <c r="G1414" s="264"/>
    </row>
    <row r="1415" spans="5:7">
      <c r="E1415" s="264"/>
      <c r="G1415" s="264"/>
    </row>
    <row r="1416" spans="5:7">
      <c r="E1416" s="264"/>
      <c r="G1416" s="264"/>
    </row>
    <row r="1417" spans="5:7">
      <c r="E1417" s="264"/>
      <c r="G1417" s="264"/>
    </row>
    <row r="1418" spans="5:7">
      <c r="E1418" s="264"/>
      <c r="G1418" s="264"/>
    </row>
    <row r="1419" spans="5:7">
      <c r="E1419" s="264"/>
      <c r="G1419" s="264"/>
    </row>
    <row r="1420" spans="5:7">
      <c r="E1420" s="264"/>
      <c r="G1420" s="264"/>
    </row>
    <row r="1421" spans="5:7">
      <c r="E1421" s="264"/>
      <c r="G1421" s="264"/>
    </row>
    <row r="1422" spans="5:7">
      <c r="E1422" s="264"/>
      <c r="G1422" s="264"/>
    </row>
    <row r="1423" spans="5:7">
      <c r="E1423" s="264"/>
      <c r="G1423" s="264"/>
    </row>
    <row r="1424" spans="5:7">
      <c r="E1424" s="264"/>
      <c r="G1424" s="264"/>
    </row>
    <row r="1425" spans="5:7">
      <c r="E1425" s="264"/>
      <c r="G1425" s="264"/>
    </row>
    <row r="1426" spans="5:7">
      <c r="E1426" s="264"/>
      <c r="G1426" s="264"/>
    </row>
    <row r="1427" spans="5:7">
      <c r="E1427" s="264"/>
      <c r="G1427" s="264"/>
    </row>
    <row r="1428" spans="5:7">
      <c r="E1428" s="264"/>
      <c r="G1428" s="264"/>
    </row>
    <row r="1429" spans="5:7">
      <c r="E1429" s="264"/>
      <c r="G1429" s="264"/>
    </row>
    <row r="1430" spans="5:7">
      <c r="E1430" s="264"/>
      <c r="G1430" s="264"/>
    </row>
    <row r="1431" spans="5:7">
      <c r="E1431" s="264"/>
      <c r="G1431" s="264"/>
    </row>
    <row r="1432" spans="5:7">
      <c r="E1432" s="264"/>
      <c r="G1432" s="264"/>
    </row>
    <row r="1433" spans="5:7">
      <c r="E1433" s="264"/>
      <c r="G1433" s="264"/>
    </row>
    <row r="1434" spans="5:7">
      <c r="E1434" s="264"/>
      <c r="G1434" s="264"/>
    </row>
    <row r="1435" spans="5:7">
      <c r="E1435" s="264"/>
      <c r="G1435" s="264"/>
    </row>
    <row r="1436" spans="5:7">
      <c r="E1436" s="264"/>
      <c r="G1436" s="264"/>
    </row>
    <row r="1437" spans="5:7">
      <c r="E1437" s="264"/>
      <c r="G1437" s="264"/>
    </row>
    <row r="1438" spans="5:7">
      <c r="E1438" s="264"/>
      <c r="G1438" s="264"/>
    </row>
    <row r="1439" spans="5:7">
      <c r="E1439" s="264"/>
      <c r="G1439" s="264"/>
    </row>
    <row r="1440" spans="5:7">
      <c r="E1440" s="264"/>
      <c r="G1440" s="264"/>
    </row>
    <row r="1441" spans="5:7">
      <c r="E1441" s="264"/>
      <c r="G1441" s="264"/>
    </row>
    <row r="1442" spans="5:7">
      <c r="E1442" s="264"/>
      <c r="G1442" s="264"/>
    </row>
    <row r="1443" spans="5:7">
      <c r="E1443" s="264"/>
      <c r="G1443" s="264"/>
    </row>
    <row r="1444" spans="5:7">
      <c r="E1444" s="264"/>
      <c r="G1444" s="264"/>
    </row>
    <row r="1445" spans="5:7">
      <c r="E1445" s="264"/>
      <c r="G1445" s="264"/>
    </row>
    <row r="1446" spans="5:7">
      <c r="E1446" s="264"/>
      <c r="G1446" s="264"/>
    </row>
    <row r="1447" spans="5:7">
      <c r="E1447" s="264"/>
      <c r="G1447" s="264"/>
    </row>
    <row r="1448" spans="5:7">
      <c r="E1448" s="264"/>
      <c r="G1448" s="264"/>
    </row>
    <row r="1449" spans="5:7">
      <c r="E1449" s="264"/>
      <c r="G1449" s="264"/>
    </row>
    <row r="1450" spans="5:7">
      <c r="E1450" s="264"/>
      <c r="G1450" s="264"/>
    </row>
    <row r="1451" spans="5:7">
      <c r="E1451" s="264"/>
      <c r="G1451" s="264"/>
    </row>
    <row r="1452" spans="5:7">
      <c r="E1452" s="264"/>
      <c r="G1452" s="264"/>
    </row>
    <row r="1453" spans="5:7">
      <c r="E1453" s="264"/>
      <c r="G1453" s="264"/>
    </row>
    <row r="1454" spans="5:7">
      <c r="E1454" s="264"/>
      <c r="G1454" s="264"/>
    </row>
    <row r="1455" spans="5:7">
      <c r="E1455" s="264"/>
      <c r="G1455" s="264"/>
    </row>
    <row r="1456" spans="5:7">
      <c r="E1456" s="264"/>
      <c r="G1456" s="264"/>
    </row>
    <row r="1457" spans="5:7">
      <c r="E1457" s="264"/>
      <c r="G1457" s="264"/>
    </row>
    <row r="1458" spans="5:7">
      <c r="E1458" s="264"/>
      <c r="G1458" s="264"/>
    </row>
    <row r="1459" spans="5:7">
      <c r="E1459" s="264"/>
      <c r="G1459" s="264"/>
    </row>
    <row r="1460" spans="5:7">
      <c r="E1460" s="264"/>
      <c r="G1460" s="264"/>
    </row>
    <row r="1461" spans="5:7">
      <c r="E1461" s="264"/>
      <c r="G1461" s="264"/>
    </row>
    <row r="1462" spans="5:7">
      <c r="E1462" s="264"/>
      <c r="G1462" s="264"/>
    </row>
    <row r="1463" spans="5:7">
      <c r="E1463" s="264"/>
      <c r="G1463" s="264"/>
    </row>
    <row r="1464" spans="5:7">
      <c r="E1464" s="264"/>
      <c r="G1464" s="264"/>
    </row>
    <row r="1465" spans="5:7">
      <c r="E1465" s="264"/>
      <c r="G1465" s="264"/>
    </row>
    <row r="1466" spans="5:7">
      <c r="E1466" s="264"/>
      <c r="G1466" s="264"/>
    </row>
    <row r="1467" spans="5:7">
      <c r="E1467" s="264"/>
      <c r="G1467" s="264"/>
    </row>
    <row r="1468" spans="5:7">
      <c r="E1468" s="264"/>
      <c r="G1468" s="264"/>
    </row>
    <row r="1469" spans="5:7">
      <c r="E1469" s="264"/>
      <c r="G1469" s="264"/>
    </row>
    <row r="1470" spans="5:7">
      <c r="E1470" s="264"/>
      <c r="G1470" s="264"/>
    </row>
    <row r="1471" spans="5:7">
      <c r="E1471" s="264"/>
      <c r="G1471" s="264"/>
    </row>
    <row r="1472" spans="5:7">
      <c r="E1472" s="264"/>
      <c r="G1472" s="264"/>
    </row>
    <row r="1473" spans="5:7">
      <c r="E1473" s="264"/>
      <c r="G1473" s="264"/>
    </row>
    <row r="1474" spans="5:7">
      <c r="E1474" s="264"/>
      <c r="G1474" s="264"/>
    </row>
    <row r="1475" spans="5:7">
      <c r="E1475" s="264"/>
      <c r="G1475" s="264"/>
    </row>
    <row r="1476" spans="5:7">
      <c r="E1476" s="264"/>
      <c r="G1476" s="264"/>
    </row>
    <row r="1477" spans="5:7">
      <c r="E1477" s="264"/>
      <c r="G1477" s="264"/>
    </row>
    <row r="1478" spans="5:7">
      <c r="E1478" s="264"/>
      <c r="G1478" s="264"/>
    </row>
    <row r="1479" spans="5:7">
      <c r="E1479" s="264"/>
      <c r="G1479" s="264"/>
    </row>
    <row r="1480" spans="5:7">
      <c r="E1480" s="264"/>
      <c r="G1480" s="264"/>
    </row>
    <row r="1481" spans="5:7">
      <c r="E1481" s="264"/>
      <c r="G1481" s="264"/>
    </row>
    <row r="1482" spans="5:7">
      <c r="E1482" s="264"/>
      <c r="G1482" s="264"/>
    </row>
    <row r="1483" spans="5:7">
      <c r="E1483" s="264"/>
      <c r="G1483" s="264"/>
    </row>
    <row r="1484" spans="5:7">
      <c r="E1484" s="264"/>
      <c r="G1484" s="264"/>
    </row>
    <row r="1485" spans="5:7">
      <c r="E1485" s="264"/>
      <c r="G1485" s="264"/>
    </row>
    <row r="1486" spans="5:7">
      <c r="E1486" s="264"/>
      <c r="G1486" s="264"/>
    </row>
    <row r="1487" spans="5:7">
      <c r="E1487" s="264"/>
      <c r="G1487" s="264"/>
    </row>
    <row r="1488" spans="5:7">
      <c r="E1488" s="264"/>
      <c r="G1488" s="264"/>
    </row>
    <row r="1489" spans="5:7">
      <c r="E1489" s="264"/>
      <c r="G1489" s="264"/>
    </row>
    <row r="1490" spans="5:7">
      <c r="E1490" s="264"/>
      <c r="G1490" s="264"/>
    </row>
    <row r="1491" spans="5:7">
      <c r="E1491" s="264"/>
      <c r="G1491" s="264"/>
    </row>
    <row r="1492" spans="5:7">
      <c r="E1492" s="264"/>
      <c r="G1492" s="264"/>
    </row>
    <row r="1493" spans="5:7">
      <c r="E1493" s="264"/>
      <c r="G1493" s="264"/>
    </row>
    <row r="1494" spans="5:7">
      <c r="E1494" s="264"/>
      <c r="G1494" s="264"/>
    </row>
    <row r="1495" spans="5:7">
      <c r="E1495" s="264"/>
      <c r="G1495" s="264"/>
    </row>
    <row r="1496" spans="5:7">
      <c r="E1496" s="264"/>
      <c r="G1496" s="264"/>
    </row>
    <row r="1497" spans="5:7">
      <c r="E1497" s="264"/>
      <c r="G1497" s="264"/>
    </row>
    <row r="1498" spans="5:7">
      <c r="E1498" s="264"/>
      <c r="G1498" s="264"/>
    </row>
    <row r="1499" spans="5:7">
      <c r="E1499" s="264"/>
      <c r="G1499" s="264"/>
    </row>
    <row r="1500" spans="5:7">
      <c r="E1500" s="264"/>
      <c r="G1500" s="264"/>
    </row>
    <row r="1501" spans="5:7">
      <c r="E1501" s="264"/>
      <c r="G1501" s="264"/>
    </row>
    <row r="1502" spans="5:7">
      <c r="E1502" s="264"/>
      <c r="G1502" s="264"/>
    </row>
    <row r="1503" spans="5:7">
      <c r="E1503" s="264"/>
      <c r="G1503" s="264"/>
    </row>
    <row r="1504" spans="5:7">
      <c r="E1504" s="264"/>
      <c r="G1504" s="264"/>
    </row>
    <row r="1505" spans="5:7">
      <c r="E1505" s="264"/>
      <c r="G1505" s="264"/>
    </row>
    <row r="1506" spans="5:7">
      <c r="E1506" s="264"/>
      <c r="G1506" s="264"/>
    </row>
    <row r="1507" spans="5:7">
      <c r="E1507" s="264"/>
      <c r="G1507" s="264"/>
    </row>
    <row r="1508" spans="5:7">
      <c r="E1508" s="264"/>
      <c r="G1508" s="264"/>
    </row>
    <row r="1509" spans="5:7">
      <c r="E1509" s="264"/>
      <c r="G1509" s="264"/>
    </row>
    <row r="1510" spans="5:7">
      <c r="E1510" s="264"/>
      <c r="G1510" s="264"/>
    </row>
    <row r="1511" spans="5:7">
      <c r="E1511" s="264"/>
      <c r="G1511" s="264"/>
    </row>
    <row r="1512" spans="5:7">
      <c r="E1512" s="264"/>
      <c r="G1512" s="264"/>
    </row>
    <row r="1513" spans="5:7">
      <c r="E1513" s="264"/>
      <c r="G1513" s="264"/>
    </row>
    <row r="1514" spans="5:7">
      <c r="E1514" s="264"/>
      <c r="G1514" s="264"/>
    </row>
    <row r="1515" spans="5:7">
      <c r="E1515" s="264"/>
      <c r="G1515" s="264"/>
    </row>
    <row r="1516" spans="5:7">
      <c r="E1516" s="264"/>
      <c r="G1516" s="264"/>
    </row>
    <row r="1517" spans="5:7">
      <c r="E1517" s="264"/>
      <c r="G1517" s="264"/>
    </row>
    <row r="1518" spans="5:7">
      <c r="E1518" s="264"/>
      <c r="G1518" s="264"/>
    </row>
    <row r="1519" spans="5:7">
      <c r="E1519" s="264"/>
      <c r="G1519" s="264"/>
    </row>
    <row r="1520" spans="5:7">
      <c r="E1520" s="264"/>
      <c r="G1520" s="264"/>
    </row>
    <row r="1521" spans="5:7">
      <c r="E1521" s="264"/>
      <c r="G1521" s="264"/>
    </row>
    <row r="1522" spans="5:7">
      <c r="E1522" s="264"/>
      <c r="G1522" s="264"/>
    </row>
    <row r="1523" spans="5:7">
      <c r="E1523" s="264"/>
      <c r="G1523" s="264"/>
    </row>
    <row r="1524" spans="5:7">
      <c r="E1524" s="264"/>
      <c r="G1524" s="264"/>
    </row>
    <row r="1525" spans="5:7">
      <c r="E1525" s="264"/>
      <c r="G1525" s="264"/>
    </row>
    <row r="1526" spans="5:7">
      <c r="E1526" s="264"/>
      <c r="G1526" s="264"/>
    </row>
    <row r="1527" spans="5:7">
      <c r="E1527" s="264"/>
      <c r="G1527" s="264"/>
    </row>
    <row r="1528" spans="5:7">
      <c r="E1528" s="264"/>
      <c r="G1528" s="264"/>
    </row>
    <row r="1529" spans="5:7">
      <c r="E1529" s="264"/>
      <c r="G1529" s="264"/>
    </row>
    <row r="1530" spans="5:7">
      <c r="E1530" s="264"/>
      <c r="G1530" s="264"/>
    </row>
    <row r="1531" spans="5:7">
      <c r="E1531" s="264"/>
      <c r="G1531" s="264"/>
    </row>
    <row r="1532" spans="5:7">
      <c r="E1532" s="264"/>
      <c r="G1532" s="264"/>
    </row>
    <row r="1533" spans="5:7">
      <c r="E1533" s="264"/>
      <c r="G1533" s="264"/>
    </row>
    <row r="1534" spans="5:7">
      <c r="E1534" s="264"/>
      <c r="G1534" s="264"/>
    </row>
    <row r="1535" spans="5:7">
      <c r="E1535" s="264"/>
      <c r="G1535" s="264"/>
    </row>
    <row r="1536" spans="5:7">
      <c r="E1536" s="264"/>
      <c r="G1536" s="264"/>
    </row>
    <row r="1537" spans="5:7">
      <c r="E1537" s="264"/>
      <c r="G1537" s="264"/>
    </row>
    <row r="1538" spans="5:7">
      <c r="E1538" s="264"/>
      <c r="G1538" s="264"/>
    </row>
    <row r="1539" spans="5:7">
      <c r="E1539" s="264"/>
      <c r="G1539" s="264"/>
    </row>
    <row r="1540" spans="5:7">
      <c r="E1540" s="264"/>
      <c r="G1540" s="264"/>
    </row>
    <row r="1541" spans="5:7">
      <c r="E1541" s="264"/>
      <c r="G1541" s="264"/>
    </row>
    <row r="1542" spans="5:7">
      <c r="E1542" s="264"/>
      <c r="G1542" s="264"/>
    </row>
    <row r="1543" spans="5:7">
      <c r="E1543" s="264"/>
      <c r="G1543" s="264"/>
    </row>
    <row r="1544" spans="5:7">
      <c r="E1544" s="264"/>
      <c r="G1544" s="264"/>
    </row>
    <row r="1545" spans="5:7">
      <c r="E1545" s="264"/>
      <c r="G1545" s="264"/>
    </row>
    <row r="1546" spans="5:7">
      <c r="E1546" s="264"/>
      <c r="G1546" s="264"/>
    </row>
    <row r="1547" spans="5:7">
      <c r="E1547" s="264"/>
      <c r="G1547" s="264"/>
    </row>
    <row r="1548" spans="5:7">
      <c r="E1548" s="264"/>
      <c r="G1548" s="264"/>
    </row>
    <row r="1549" spans="5:7">
      <c r="E1549" s="264"/>
      <c r="G1549" s="264"/>
    </row>
    <row r="1550" spans="5:7">
      <c r="E1550" s="264"/>
      <c r="G1550" s="264"/>
    </row>
    <row r="1551" spans="5:7">
      <c r="E1551" s="264"/>
      <c r="G1551" s="264"/>
    </row>
    <row r="1552" spans="5:7">
      <c r="E1552" s="264"/>
      <c r="G1552" s="264"/>
    </row>
    <row r="1553" spans="5:7">
      <c r="E1553" s="264"/>
      <c r="G1553" s="264"/>
    </row>
    <row r="1554" spans="5:7">
      <c r="E1554" s="264"/>
      <c r="G1554" s="264"/>
    </row>
    <row r="1555" spans="5:7">
      <c r="E1555" s="264"/>
      <c r="G1555" s="264"/>
    </row>
    <row r="1556" spans="5:7">
      <c r="E1556" s="264"/>
      <c r="G1556" s="264"/>
    </row>
    <row r="1557" spans="5:7">
      <c r="E1557" s="264"/>
      <c r="G1557" s="264"/>
    </row>
    <row r="1558" spans="5:7">
      <c r="E1558" s="264"/>
      <c r="G1558" s="264"/>
    </row>
    <row r="1559" spans="5:7">
      <c r="E1559" s="264"/>
      <c r="G1559" s="264"/>
    </row>
    <row r="1560" spans="5:7">
      <c r="E1560" s="264"/>
      <c r="G1560" s="264"/>
    </row>
    <row r="1561" spans="5:7">
      <c r="E1561" s="264"/>
      <c r="G1561" s="264"/>
    </row>
    <row r="1562" spans="5:7">
      <c r="E1562" s="264"/>
      <c r="G1562" s="264"/>
    </row>
    <row r="1563" spans="5:7">
      <c r="E1563" s="264"/>
      <c r="G1563" s="264"/>
    </row>
    <row r="1564" spans="5:7">
      <c r="E1564" s="264"/>
      <c r="G1564" s="264"/>
    </row>
    <row r="1565" spans="5:7">
      <c r="E1565" s="264"/>
      <c r="G1565" s="264"/>
    </row>
    <row r="1566" spans="5:7">
      <c r="E1566" s="264"/>
      <c r="G1566" s="264"/>
    </row>
    <row r="1567" spans="5:7">
      <c r="E1567" s="264"/>
      <c r="G1567" s="264"/>
    </row>
    <row r="1568" spans="5:7">
      <c r="E1568" s="264"/>
      <c r="G1568" s="264"/>
    </row>
    <row r="1569" spans="5:7">
      <c r="E1569" s="264"/>
      <c r="G1569" s="264"/>
    </row>
    <row r="1570" spans="5:7">
      <c r="E1570" s="264"/>
      <c r="G1570" s="264"/>
    </row>
    <row r="1571" spans="5:7">
      <c r="E1571" s="264"/>
      <c r="G1571" s="264"/>
    </row>
    <row r="1572" spans="5:7">
      <c r="E1572" s="264"/>
      <c r="G1572" s="264"/>
    </row>
    <row r="1573" spans="5:7">
      <c r="E1573" s="264"/>
      <c r="G1573" s="264"/>
    </row>
    <row r="1574" spans="5:7">
      <c r="E1574" s="264"/>
      <c r="G1574" s="264"/>
    </row>
    <row r="1575" spans="5:7">
      <c r="E1575" s="264"/>
      <c r="G1575" s="264"/>
    </row>
    <row r="1576" spans="5:7">
      <c r="E1576" s="264"/>
      <c r="G1576" s="264"/>
    </row>
    <row r="1577" spans="5:7">
      <c r="E1577" s="264"/>
      <c r="G1577" s="264"/>
    </row>
    <row r="1578" spans="5:7">
      <c r="E1578" s="264"/>
      <c r="G1578" s="264"/>
    </row>
    <row r="1579" spans="5:7">
      <c r="E1579" s="264"/>
      <c r="G1579" s="264"/>
    </row>
    <row r="1580" spans="5:7">
      <c r="E1580" s="264"/>
      <c r="G1580" s="264"/>
    </row>
    <row r="1581" spans="5:7">
      <c r="E1581" s="264"/>
      <c r="G1581" s="264"/>
    </row>
    <row r="1582" spans="5:7">
      <c r="E1582" s="264"/>
      <c r="G1582" s="264"/>
    </row>
    <row r="1583" spans="5:7">
      <c r="E1583" s="264"/>
      <c r="G1583" s="264"/>
    </row>
    <row r="1584" spans="5:7">
      <c r="E1584" s="264"/>
      <c r="G1584" s="264"/>
    </row>
    <row r="1585" spans="5:7">
      <c r="E1585" s="264"/>
      <c r="G1585" s="264"/>
    </row>
    <row r="1586" spans="5:7">
      <c r="E1586" s="264"/>
      <c r="G1586" s="264"/>
    </row>
    <row r="1587" spans="5:7">
      <c r="E1587" s="264"/>
      <c r="G1587" s="264"/>
    </row>
    <row r="1588" spans="5:7">
      <c r="E1588" s="264"/>
      <c r="G1588" s="264"/>
    </row>
    <row r="1589" spans="5:7">
      <c r="E1589" s="264"/>
      <c r="G1589" s="264"/>
    </row>
    <row r="1590" spans="5:7">
      <c r="E1590" s="264"/>
      <c r="G1590" s="264"/>
    </row>
    <row r="1591" spans="5:7">
      <c r="E1591" s="264"/>
      <c r="G1591" s="264"/>
    </row>
    <row r="1592" spans="5:7">
      <c r="E1592" s="264"/>
      <c r="G1592" s="264"/>
    </row>
    <row r="1593" spans="5:7">
      <c r="E1593" s="264"/>
      <c r="G1593" s="264"/>
    </row>
    <row r="1594" spans="5:7">
      <c r="E1594" s="264"/>
      <c r="G1594" s="264"/>
    </row>
    <row r="1595" spans="5:7">
      <c r="E1595" s="264"/>
      <c r="G1595" s="264"/>
    </row>
    <row r="1596" spans="5:7">
      <c r="E1596" s="264"/>
      <c r="G1596" s="264"/>
    </row>
    <row r="1597" spans="5:7">
      <c r="E1597" s="264"/>
      <c r="G1597" s="264"/>
    </row>
    <row r="1598" spans="5:7">
      <c r="E1598" s="264"/>
      <c r="G1598" s="264"/>
    </row>
    <row r="1599" spans="5:7">
      <c r="E1599" s="264"/>
      <c r="G1599" s="264"/>
    </row>
    <row r="1600" spans="5:7">
      <c r="E1600" s="264"/>
      <c r="G1600" s="264"/>
    </row>
    <row r="1601" spans="5:7">
      <c r="E1601" s="264"/>
      <c r="G1601" s="264"/>
    </row>
    <row r="1602" spans="5:7">
      <c r="E1602" s="264"/>
      <c r="G1602" s="264"/>
    </row>
    <row r="1603" spans="5:7">
      <c r="E1603" s="264"/>
      <c r="G1603" s="264"/>
    </row>
    <row r="1604" spans="5:7">
      <c r="E1604" s="264"/>
      <c r="G1604" s="264"/>
    </row>
    <row r="1605" spans="5:7">
      <c r="E1605" s="264"/>
      <c r="G1605" s="264"/>
    </row>
    <row r="1606" spans="5:7">
      <c r="E1606" s="264"/>
      <c r="G1606" s="264"/>
    </row>
    <row r="1607" spans="5:7">
      <c r="E1607" s="264"/>
      <c r="G1607" s="264"/>
    </row>
    <row r="1608" spans="5:7">
      <c r="E1608" s="264"/>
      <c r="G1608" s="264"/>
    </row>
    <row r="1609" spans="5:7">
      <c r="E1609" s="264"/>
      <c r="G1609" s="264"/>
    </row>
    <row r="1610" spans="5:7">
      <c r="E1610" s="264"/>
      <c r="G1610" s="264"/>
    </row>
    <row r="1611" spans="5:7">
      <c r="E1611" s="264"/>
      <c r="G1611" s="264"/>
    </row>
    <row r="1612" spans="5:7">
      <c r="E1612" s="264"/>
      <c r="G1612" s="264"/>
    </row>
    <row r="1613" spans="5:7">
      <c r="E1613" s="264"/>
      <c r="G1613" s="264"/>
    </row>
    <row r="1614" spans="5:7">
      <c r="E1614" s="264"/>
      <c r="G1614" s="264"/>
    </row>
    <row r="1615" spans="5:7">
      <c r="E1615" s="264"/>
      <c r="G1615" s="264"/>
    </row>
    <row r="1616" spans="5:7">
      <c r="E1616" s="264"/>
      <c r="G1616" s="264"/>
    </row>
    <row r="1617" spans="5:7">
      <c r="E1617" s="264"/>
      <c r="G1617" s="264"/>
    </row>
    <row r="1618" spans="5:7">
      <c r="E1618" s="264"/>
      <c r="G1618" s="264"/>
    </row>
    <row r="1619" spans="5:7">
      <c r="E1619" s="264"/>
      <c r="G1619" s="264"/>
    </row>
    <row r="1620" spans="5:7">
      <c r="E1620" s="264"/>
      <c r="G1620" s="264"/>
    </row>
    <row r="1621" spans="5:7">
      <c r="E1621" s="264"/>
      <c r="G1621" s="264"/>
    </row>
    <row r="1622" spans="5:7">
      <c r="E1622" s="264"/>
      <c r="G1622" s="264"/>
    </row>
    <row r="1623" spans="5:7">
      <c r="E1623" s="264"/>
      <c r="G1623" s="264"/>
    </row>
    <row r="1624" spans="5:7">
      <c r="E1624" s="264"/>
      <c r="G1624" s="264"/>
    </row>
    <row r="1625" spans="5:7">
      <c r="E1625" s="264"/>
      <c r="G1625" s="264"/>
    </row>
    <row r="1626" spans="5:7">
      <c r="E1626" s="264"/>
      <c r="G1626" s="264"/>
    </row>
    <row r="1627" spans="5:7">
      <c r="E1627" s="264"/>
      <c r="G1627" s="264"/>
    </row>
    <row r="1628" spans="5:7">
      <c r="E1628" s="264"/>
      <c r="G1628" s="264"/>
    </row>
    <row r="1629" spans="5:7">
      <c r="E1629" s="264"/>
      <c r="G1629" s="264"/>
    </row>
    <row r="1630" spans="5:7">
      <c r="E1630" s="264"/>
      <c r="G1630" s="264"/>
    </row>
    <row r="1631" spans="5:7">
      <c r="E1631" s="264"/>
      <c r="G1631" s="264"/>
    </row>
    <row r="1632" spans="5:7">
      <c r="E1632" s="264"/>
      <c r="G1632" s="264"/>
    </row>
    <row r="1633" spans="5:7">
      <c r="E1633" s="264"/>
      <c r="G1633" s="264"/>
    </row>
    <row r="1634" spans="5:7">
      <c r="E1634" s="264"/>
      <c r="G1634" s="264"/>
    </row>
    <row r="1635" spans="5:7">
      <c r="E1635" s="264"/>
      <c r="G1635" s="264"/>
    </row>
    <row r="1636" spans="5:7">
      <c r="E1636" s="264"/>
      <c r="G1636" s="264"/>
    </row>
    <row r="1637" spans="5:7">
      <c r="E1637" s="264"/>
      <c r="G1637" s="264"/>
    </row>
    <row r="1638" spans="5:7">
      <c r="E1638" s="264"/>
      <c r="G1638" s="264"/>
    </row>
    <row r="1639" spans="5:7">
      <c r="E1639" s="264"/>
      <c r="G1639" s="264"/>
    </row>
    <row r="1640" spans="5:7">
      <c r="E1640" s="264"/>
      <c r="G1640" s="264"/>
    </row>
    <row r="1641" spans="5:7">
      <c r="E1641" s="264"/>
      <c r="G1641" s="264"/>
    </row>
    <row r="1642" spans="5:7">
      <c r="E1642" s="264"/>
      <c r="G1642" s="264"/>
    </row>
    <row r="1643" spans="5:7">
      <c r="E1643" s="264"/>
      <c r="G1643" s="264"/>
    </row>
    <row r="1644" spans="5:7">
      <c r="E1644" s="264"/>
      <c r="G1644" s="264"/>
    </row>
    <row r="1645" spans="5:7">
      <c r="E1645" s="264"/>
      <c r="G1645" s="264"/>
    </row>
    <row r="1646" spans="5:7">
      <c r="E1646" s="264"/>
      <c r="G1646" s="264"/>
    </row>
    <row r="1647" spans="5:7">
      <c r="E1647" s="264"/>
      <c r="G1647" s="264"/>
    </row>
    <row r="1648" spans="5:7">
      <c r="E1648" s="264"/>
      <c r="G1648" s="264"/>
    </row>
    <row r="1649" spans="5:7">
      <c r="E1649" s="264"/>
      <c r="G1649" s="264"/>
    </row>
    <row r="1650" spans="5:7">
      <c r="E1650" s="264"/>
      <c r="G1650" s="264"/>
    </row>
    <row r="1651" spans="5:7">
      <c r="E1651" s="264"/>
      <c r="G1651" s="264"/>
    </row>
    <row r="1652" spans="5:7">
      <c r="E1652" s="264"/>
      <c r="G1652" s="264"/>
    </row>
    <row r="1653" spans="5:7">
      <c r="E1653" s="264"/>
      <c r="G1653" s="264"/>
    </row>
    <row r="1654" spans="5:7">
      <c r="E1654" s="264"/>
      <c r="G1654" s="264"/>
    </row>
    <row r="1655" spans="5:7">
      <c r="E1655" s="264"/>
      <c r="G1655" s="264"/>
    </row>
    <row r="1656" spans="5:7">
      <c r="E1656" s="264"/>
      <c r="G1656" s="264"/>
    </row>
    <row r="1657" spans="5:7">
      <c r="E1657" s="264"/>
      <c r="G1657" s="264"/>
    </row>
    <row r="1658" spans="5:7">
      <c r="E1658" s="264"/>
      <c r="G1658" s="264"/>
    </row>
    <row r="1659" spans="5:7">
      <c r="E1659" s="264"/>
      <c r="G1659" s="264"/>
    </row>
    <row r="1660" spans="5:7">
      <c r="E1660" s="264"/>
      <c r="G1660" s="264"/>
    </row>
    <row r="1661" spans="5:7">
      <c r="E1661" s="264"/>
      <c r="G1661" s="264"/>
    </row>
    <row r="1662" spans="5:7">
      <c r="E1662" s="264"/>
      <c r="G1662" s="264"/>
    </row>
    <row r="1663" spans="5:7">
      <c r="E1663" s="264"/>
      <c r="G1663" s="264"/>
    </row>
    <row r="1664" spans="5:7">
      <c r="E1664" s="264"/>
      <c r="G1664" s="264"/>
    </row>
    <row r="1665" spans="5:7">
      <c r="E1665" s="264"/>
      <c r="G1665" s="264"/>
    </row>
    <row r="1666" spans="5:7">
      <c r="E1666" s="264"/>
      <c r="G1666" s="264"/>
    </row>
    <row r="1667" spans="5:7">
      <c r="E1667" s="264"/>
      <c r="G1667" s="264"/>
    </row>
    <row r="1668" spans="5:7">
      <c r="E1668" s="264"/>
      <c r="G1668" s="264"/>
    </row>
    <row r="1669" spans="5:7">
      <c r="E1669" s="264"/>
      <c r="G1669" s="264"/>
    </row>
    <row r="1670" spans="5:7">
      <c r="E1670" s="264"/>
      <c r="G1670" s="264"/>
    </row>
    <row r="1671" spans="5:7">
      <c r="E1671" s="264"/>
      <c r="G1671" s="264"/>
    </row>
    <row r="1672" spans="5:7">
      <c r="E1672" s="264"/>
      <c r="G1672" s="264"/>
    </row>
    <row r="1673" spans="5:7">
      <c r="E1673" s="264"/>
      <c r="G1673" s="264"/>
    </row>
    <row r="1674" spans="5:7">
      <c r="E1674" s="264"/>
      <c r="G1674" s="264"/>
    </row>
    <row r="1675" spans="5:7">
      <c r="E1675" s="264"/>
      <c r="G1675" s="264"/>
    </row>
    <row r="1676" spans="5:7">
      <c r="E1676" s="264"/>
      <c r="G1676" s="264"/>
    </row>
    <row r="1677" spans="5:7">
      <c r="E1677" s="264"/>
      <c r="G1677" s="264"/>
    </row>
    <row r="1678" spans="5:7">
      <c r="E1678" s="264"/>
      <c r="G1678" s="264"/>
    </row>
    <row r="1679" spans="5:7">
      <c r="E1679" s="264"/>
      <c r="G1679" s="264"/>
    </row>
    <row r="1680" spans="5:7">
      <c r="E1680" s="264"/>
      <c r="G1680" s="264"/>
    </row>
    <row r="1681" spans="5:7">
      <c r="E1681" s="264"/>
      <c r="G1681" s="264"/>
    </row>
    <row r="1682" spans="5:7">
      <c r="E1682" s="264"/>
      <c r="G1682" s="264"/>
    </row>
    <row r="1683" spans="5:7">
      <c r="E1683" s="264"/>
      <c r="G1683" s="264"/>
    </row>
    <row r="1684" spans="5:7">
      <c r="E1684" s="264"/>
      <c r="G1684" s="264"/>
    </row>
    <row r="1685" spans="5:7">
      <c r="E1685" s="264"/>
      <c r="G1685" s="264"/>
    </row>
    <row r="1686" spans="5:7">
      <c r="E1686" s="264"/>
      <c r="G1686" s="264"/>
    </row>
    <row r="1687" spans="5:7">
      <c r="E1687" s="264"/>
      <c r="G1687" s="264"/>
    </row>
    <row r="1688" spans="5:7">
      <c r="E1688" s="264"/>
      <c r="G1688" s="264"/>
    </row>
    <row r="1689" spans="5:7">
      <c r="E1689" s="264"/>
      <c r="G1689" s="264"/>
    </row>
    <row r="1690" spans="5:7">
      <c r="E1690" s="264"/>
      <c r="G1690" s="264"/>
    </row>
    <row r="1691" spans="5:7">
      <c r="E1691" s="264"/>
      <c r="G1691" s="264"/>
    </row>
    <row r="1692" spans="5:7">
      <c r="E1692" s="264"/>
      <c r="G1692" s="264"/>
    </row>
    <row r="1693" spans="5:7">
      <c r="E1693" s="264"/>
      <c r="G1693" s="264"/>
    </row>
    <row r="1694" spans="5:7">
      <c r="E1694" s="264"/>
      <c r="G1694" s="264"/>
    </row>
    <row r="1695" spans="5:7">
      <c r="E1695" s="264"/>
      <c r="G1695" s="264"/>
    </row>
    <row r="1696" spans="5:7">
      <c r="E1696" s="264"/>
      <c r="G1696" s="264"/>
    </row>
    <row r="1697" spans="5:7">
      <c r="E1697" s="264"/>
      <c r="G1697" s="264"/>
    </row>
    <row r="1698" spans="5:7">
      <c r="E1698" s="264"/>
      <c r="G1698" s="264"/>
    </row>
    <row r="1699" spans="5:7">
      <c r="E1699" s="264"/>
      <c r="G1699" s="264"/>
    </row>
    <row r="1700" spans="5:7">
      <c r="E1700" s="264"/>
      <c r="G1700" s="264"/>
    </row>
    <row r="1701" spans="5:7">
      <c r="E1701" s="264"/>
      <c r="G1701" s="264"/>
    </row>
    <row r="1702" spans="5:7">
      <c r="E1702" s="264"/>
      <c r="G1702" s="264"/>
    </row>
    <row r="1703" spans="5:7">
      <c r="E1703" s="264"/>
      <c r="G1703" s="264"/>
    </row>
    <row r="1704" spans="5:7">
      <c r="E1704" s="264"/>
      <c r="G1704" s="264"/>
    </row>
    <row r="1705" spans="5:7">
      <c r="E1705" s="264"/>
      <c r="G1705" s="264"/>
    </row>
    <row r="1706" spans="5:7">
      <c r="E1706" s="264"/>
      <c r="G1706" s="264"/>
    </row>
    <row r="1707" spans="5:7">
      <c r="E1707" s="264"/>
      <c r="G1707" s="264"/>
    </row>
    <row r="1708" spans="5:7">
      <c r="E1708" s="264"/>
      <c r="G1708" s="264"/>
    </row>
    <row r="1709" spans="5:7">
      <c r="E1709" s="264"/>
      <c r="G1709" s="264"/>
    </row>
    <row r="1710" spans="5:7">
      <c r="E1710" s="264"/>
      <c r="G1710" s="264"/>
    </row>
    <row r="1711" spans="5:7">
      <c r="E1711" s="264"/>
      <c r="G1711" s="264"/>
    </row>
    <row r="1712" spans="5:7">
      <c r="E1712" s="264"/>
      <c r="G1712" s="264"/>
    </row>
    <row r="1713" spans="5:7">
      <c r="E1713" s="264"/>
      <c r="G1713" s="264"/>
    </row>
    <row r="1714" spans="5:7">
      <c r="E1714" s="264"/>
      <c r="G1714" s="264"/>
    </row>
    <row r="1715" spans="5:7">
      <c r="E1715" s="264"/>
      <c r="G1715" s="264"/>
    </row>
    <row r="1716" spans="5:7">
      <c r="E1716" s="264"/>
      <c r="G1716" s="264"/>
    </row>
    <row r="1717" spans="5:7">
      <c r="E1717" s="264"/>
      <c r="G1717" s="264"/>
    </row>
    <row r="1718" spans="5:7">
      <c r="E1718" s="264"/>
      <c r="G1718" s="264"/>
    </row>
    <row r="1719" spans="5:7">
      <c r="E1719" s="264"/>
      <c r="G1719" s="264"/>
    </row>
    <row r="1720" spans="5:7">
      <c r="E1720" s="264"/>
      <c r="G1720" s="264"/>
    </row>
    <row r="1721" spans="5:7">
      <c r="E1721" s="264"/>
      <c r="G1721" s="264"/>
    </row>
    <row r="1722" spans="5:7">
      <c r="E1722" s="264"/>
      <c r="G1722" s="264"/>
    </row>
    <row r="1723" spans="5:7">
      <c r="E1723" s="264"/>
      <c r="G1723" s="264"/>
    </row>
    <row r="1724" spans="5:7">
      <c r="E1724" s="264"/>
      <c r="G1724" s="264"/>
    </row>
    <row r="1725" spans="5:7">
      <c r="E1725" s="264"/>
      <c r="G1725" s="264"/>
    </row>
    <row r="1726" spans="5:7">
      <c r="E1726" s="264"/>
      <c r="G1726" s="264"/>
    </row>
    <row r="1727" spans="5:7">
      <c r="E1727" s="264"/>
      <c r="G1727" s="264"/>
    </row>
    <row r="1728" spans="5:7">
      <c r="E1728" s="264"/>
      <c r="G1728" s="264"/>
    </row>
    <row r="1729" spans="5:7">
      <c r="E1729" s="264"/>
      <c r="G1729" s="264"/>
    </row>
    <row r="1730" spans="5:7">
      <c r="E1730" s="264"/>
      <c r="G1730" s="264"/>
    </row>
    <row r="1731" spans="5:7">
      <c r="E1731" s="264"/>
      <c r="G1731" s="264"/>
    </row>
    <row r="1732" spans="5:7">
      <c r="E1732" s="264"/>
      <c r="G1732" s="264"/>
    </row>
    <row r="1733" spans="5:7">
      <c r="E1733" s="264"/>
      <c r="G1733" s="264"/>
    </row>
    <row r="1734" spans="5:7">
      <c r="E1734" s="264"/>
      <c r="G1734" s="264"/>
    </row>
    <row r="1735" spans="5:7">
      <c r="E1735" s="264"/>
      <c r="G1735" s="264"/>
    </row>
    <row r="1736" spans="5:7">
      <c r="E1736" s="264"/>
      <c r="G1736" s="264"/>
    </row>
    <row r="1737" spans="5:7">
      <c r="E1737" s="264"/>
      <c r="G1737" s="264"/>
    </row>
    <row r="1738" spans="5:7">
      <c r="E1738" s="264"/>
      <c r="G1738" s="264"/>
    </row>
    <row r="1739" spans="5:7">
      <c r="E1739" s="264"/>
      <c r="G1739" s="264"/>
    </row>
    <row r="1740" spans="5:7">
      <c r="E1740" s="264"/>
      <c r="G1740" s="264"/>
    </row>
    <row r="1741" spans="5:7">
      <c r="E1741" s="264"/>
      <c r="G1741" s="264"/>
    </row>
    <row r="1742" spans="5:7">
      <c r="E1742" s="264"/>
      <c r="G1742" s="264"/>
    </row>
    <row r="1743" spans="5:7">
      <c r="E1743" s="264"/>
      <c r="G1743" s="264"/>
    </row>
    <row r="1744" spans="5:7">
      <c r="E1744" s="264"/>
      <c r="G1744" s="264"/>
    </row>
    <row r="1745" spans="5:7">
      <c r="E1745" s="264"/>
      <c r="G1745" s="264"/>
    </row>
    <row r="1746" spans="5:7">
      <c r="E1746" s="264"/>
      <c r="G1746" s="264"/>
    </row>
    <row r="1747" spans="5:7">
      <c r="E1747" s="264"/>
      <c r="G1747" s="264"/>
    </row>
    <row r="1748" spans="5:7">
      <c r="E1748" s="264"/>
      <c r="G1748" s="264"/>
    </row>
    <row r="1749" spans="5:7">
      <c r="E1749" s="264"/>
      <c r="G1749" s="264"/>
    </row>
    <row r="1750" spans="5:7">
      <c r="E1750" s="264"/>
      <c r="G1750" s="264"/>
    </row>
    <row r="1751" spans="5:7">
      <c r="E1751" s="264"/>
      <c r="G1751" s="264"/>
    </row>
    <row r="1752" spans="5:7">
      <c r="E1752" s="264"/>
      <c r="G1752" s="264"/>
    </row>
    <row r="1753" spans="5:7">
      <c r="E1753" s="264"/>
      <c r="G1753" s="264"/>
    </row>
    <row r="1754" spans="5:7">
      <c r="E1754" s="264"/>
      <c r="G1754" s="264"/>
    </row>
    <row r="1755" spans="5:7">
      <c r="E1755" s="264"/>
      <c r="G1755" s="264"/>
    </row>
    <row r="1756" spans="5:7">
      <c r="E1756" s="264"/>
      <c r="G1756" s="264"/>
    </row>
    <row r="1757" spans="5:7">
      <c r="E1757" s="264"/>
      <c r="G1757" s="264"/>
    </row>
    <row r="1758" spans="5:7">
      <c r="E1758" s="264"/>
      <c r="G1758" s="264"/>
    </row>
    <row r="1759" spans="5:7">
      <c r="E1759" s="264"/>
      <c r="G1759" s="264"/>
    </row>
    <row r="1760" spans="5:7">
      <c r="E1760" s="264"/>
      <c r="G1760" s="264"/>
    </row>
    <row r="1761" spans="5:7">
      <c r="E1761" s="264"/>
      <c r="G1761" s="264"/>
    </row>
    <row r="1762" spans="5:7">
      <c r="E1762" s="264"/>
      <c r="G1762" s="264"/>
    </row>
    <row r="1763" spans="5:7">
      <c r="E1763" s="264"/>
      <c r="G1763" s="264"/>
    </row>
    <row r="1764" spans="5:7">
      <c r="E1764" s="264"/>
      <c r="G1764" s="264"/>
    </row>
    <row r="1765" spans="5:7">
      <c r="E1765" s="264"/>
      <c r="G1765" s="264"/>
    </row>
    <row r="1766" spans="5:7">
      <c r="E1766" s="264"/>
      <c r="G1766" s="264"/>
    </row>
    <row r="1767" spans="5:7">
      <c r="E1767" s="264"/>
      <c r="G1767" s="264"/>
    </row>
    <row r="1768" spans="5:7">
      <c r="E1768" s="264"/>
      <c r="G1768" s="264"/>
    </row>
    <row r="1769" spans="5:7">
      <c r="E1769" s="264"/>
      <c r="G1769" s="264"/>
    </row>
    <row r="1770" spans="5:7">
      <c r="E1770" s="264"/>
      <c r="G1770" s="264"/>
    </row>
    <row r="1771" spans="5:7">
      <c r="E1771" s="264"/>
      <c r="G1771" s="264"/>
    </row>
    <row r="1772" spans="5:7">
      <c r="E1772" s="264"/>
      <c r="G1772" s="264"/>
    </row>
    <row r="1773" spans="5:7">
      <c r="E1773" s="264"/>
      <c r="G1773" s="264"/>
    </row>
    <row r="1774" spans="5:7">
      <c r="E1774" s="264"/>
      <c r="G1774" s="264"/>
    </row>
    <row r="1775" spans="5:7">
      <c r="E1775" s="264"/>
      <c r="G1775" s="264"/>
    </row>
    <row r="1776" spans="5:7">
      <c r="E1776" s="264"/>
      <c r="G1776" s="264"/>
    </row>
    <row r="1777" spans="5:7">
      <c r="E1777" s="264"/>
      <c r="G1777" s="264"/>
    </row>
    <row r="1778" spans="5:7">
      <c r="E1778" s="264"/>
      <c r="G1778" s="264"/>
    </row>
    <row r="1779" spans="5:7">
      <c r="E1779" s="264"/>
      <c r="G1779" s="264"/>
    </row>
    <row r="1780" spans="5:7">
      <c r="E1780" s="264"/>
      <c r="G1780" s="264"/>
    </row>
    <row r="1781" spans="5:7">
      <c r="E1781" s="264"/>
      <c r="G1781" s="264"/>
    </row>
    <row r="1782" spans="5:7">
      <c r="E1782" s="264"/>
      <c r="G1782" s="264"/>
    </row>
    <row r="1783" spans="5:7">
      <c r="E1783" s="264"/>
      <c r="G1783" s="264"/>
    </row>
    <row r="1784" spans="5:7">
      <c r="E1784" s="264"/>
      <c r="G1784" s="264"/>
    </row>
    <row r="1785" spans="5:7">
      <c r="E1785" s="264"/>
      <c r="G1785" s="264"/>
    </row>
    <row r="1786" spans="5:7">
      <c r="E1786" s="264"/>
      <c r="G1786" s="264"/>
    </row>
    <row r="1787" spans="5:7">
      <c r="E1787" s="264"/>
      <c r="G1787" s="264"/>
    </row>
    <row r="1788" spans="5:7">
      <c r="E1788" s="264"/>
      <c r="G1788" s="264"/>
    </row>
    <row r="1789" spans="5:7">
      <c r="E1789" s="264"/>
      <c r="G1789" s="264"/>
    </row>
    <row r="1790" spans="5:7">
      <c r="E1790" s="264"/>
      <c r="G1790" s="264"/>
    </row>
    <row r="1791" spans="5:7">
      <c r="E1791" s="264"/>
      <c r="G1791" s="264"/>
    </row>
    <row r="1792" spans="5:7">
      <c r="E1792" s="264"/>
      <c r="G1792" s="264"/>
    </row>
    <row r="1793" spans="5:7">
      <c r="E1793" s="264"/>
      <c r="G1793" s="264"/>
    </row>
    <row r="1794" spans="5:7">
      <c r="E1794" s="264"/>
      <c r="G1794" s="264"/>
    </row>
    <row r="1795" spans="5:7">
      <c r="E1795" s="264"/>
      <c r="G1795" s="264"/>
    </row>
    <row r="1796" spans="5:7">
      <c r="E1796" s="264"/>
      <c r="G1796" s="264"/>
    </row>
    <row r="1797" spans="5:7">
      <c r="E1797" s="264"/>
      <c r="G1797" s="264"/>
    </row>
    <row r="1798" spans="5:7">
      <c r="E1798" s="264"/>
      <c r="G1798" s="264"/>
    </row>
    <row r="1799" spans="5:7">
      <c r="E1799" s="264"/>
      <c r="G1799" s="264"/>
    </row>
    <row r="1800" spans="5:7">
      <c r="E1800" s="264"/>
      <c r="G1800" s="264"/>
    </row>
    <row r="1801" spans="5:7">
      <c r="E1801" s="264"/>
      <c r="G1801" s="264"/>
    </row>
    <row r="1802" spans="5:7">
      <c r="E1802" s="264"/>
      <c r="G1802" s="264"/>
    </row>
    <row r="1803" spans="5:7">
      <c r="E1803" s="264"/>
      <c r="G1803" s="264"/>
    </row>
    <row r="1804" spans="5:7">
      <c r="E1804" s="264"/>
      <c r="G1804" s="264"/>
    </row>
    <row r="1805" spans="5:7">
      <c r="E1805" s="264"/>
      <c r="G1805" s="264"/>
    </row>
    <row r="1806" spans="5:7">
      <c r="E1806" s="264"/>
      <c r="G1806" s="264"/>
    </row>
    <row r="1807" spans="5:7">
      <c r="E1807" s="264"/>
      <c r="G1807" s="264"/>
    </row>
    <row r="1808" spans="5:7">
      <c r="E1808" s="264"/>
      <c r="G1808" s="264"/>
    </row>
    <row r="1809" spans="5:7">
      <c r="E1809" s="264"/>
      <c r="G1809" s="264"/>
    </row>
    <row r="1810" spans="5:7">
      <c r="E1810" s="264"/>
      <c r="G1810" s="264"/>
    </row>
    <row r="1811" spans="5:7">
      <c r="E1811" s="264"/>
      <c r="G1811" s="264"/>
    </row>
    <row r="1812" spans="5:7">
      <c r="E1812" s="264"/>
      <c r="G1812" s="264"/>
    </row>
    <row r="1813" spans="5:7">
      <c r="E1813" s="264"/>
      <c r="G1813" s="264"/>
    </row>
    <row r="1814" spans="5:7">
      <c r="E1814" s="264"/>
      <c r="G1814" s="264"/>
    </row>
    <row r="1815" spans="5:7">
      <c r="E1815" s="264"/>
      <c r="G1815" s="264"/>
    </row>
    <row r="1816" spans="5:7">
      <c r="E1816" s="264"/>
      <c r="G1816" s="264"/>
    </row>
    <row r="1817" spans="5:7">
      <c r="E1817" s="264"/>
      <c r="G1817" s="264"/>
    </row>
    <row r="1818" spans="5:7">
      <c r="E1818" s="264"/>
      <c r="G1818" s="264"/>
    </row>
    <row r="1819" spans="5:7">
      <c r="E1819" s="264"/>
      <c r="G1819" s="264"/>
    </row>
    <row r="1820" spans="5:7">
      <c r="E1820" s="264"/>
      <c r="G1820" s="264"/>
    </row>
    <row r="1821" spans="5:7">
      <c r="E1821" s="264"/>
      <c r="G1821" s="264"/>
    </row>
    <row r="1822" spans="5:7">
      <c r="E1822" s="264"/>
      <c r="G1822" s="264"/>
    </row>
    <row r="1823" spans="5:7">
      <c r="E1823" s="264"/>
      <c r="G1823" s="264"/>
    </row>
    <row r="1824" spans="5:7">
      <c r="E1824" s="264"/>
      <c r="G1824" s="264"/>
    </row>
    <row r="1825" spans="5:7">
      <c r="E1825" s="264"/>
      <c r="G1825" s="264"/>
    </row>
    <row r="1826" spans="5:7">
      <c r="E1826" s="264"/>
      <c r="G1826" s="264"/>
    </row>
    <row r="1827" spans="5:7">
      <c r="E1827" s="264"/>
      <c r="G1827" s="264"/>
    </row>
    <row r="1828" spans="5:7">
      <c r="E1828" s="264"/>
      <c r="G1828" s="264"/>
    </row>
    <row r="1829" spans="5:7">
      <c r="E1829" s="264"/>
      <c r="G1829" s="264"/>
    </row>
    <row r="1830" spans="5:7">
      <c r="E1830" s="264"/>
      <c r="G1830" s="264"/>
    </row>
    <row r="1831" spans="5:7">
      <c r="E1831" s="264"/>
      <c r="G1831" s="264"/>
    </row>
    <row r="1832" spans="5:7">
      <c r="E1832" s="264"/>
      <c r="G1832" s="264"/>
    </row>
    <row r="1833" spans="5:7">
      <c r="E1833" s="264"/>
      <c r="G1833" s="264"/>
    </row>
    <row r="1834" spans="5:7">
      <c r="E1834" s="264"/>
      <c r="G1834" s="264"/>
    </row>
    <row r="1835" spans="5:7">
      <c r="E1835" s="264"/>
      <c r="G1835" s="264"/>
    </row>
    <row r="1836" spans="5:7">
      <c r="E1836" s="264"/>
      <c r="G1836" s="264"/>
    </row>
    <row r="1837" spans="5:7">
      <c r="E1837" s="264"/>
      <c r="G1837" s="264"/>
    </row>
    <row r="1838" spans="5:7">
      <c r="E1838" s="264"/>
      <c r="G1838" s="264"/>
    </row>
    <row r="1839" spans="5:7">
      <c r="E1839" s="264"/>
      <c r="G1839" s="264"/>
    </row>
    <row r="1840" spans="5:7">
      <c r="E1840" s="264"/>
      <c r="G1840" s="264"/>
    </row>
    <row r="1841" spans="5:7">
      <c r="E1841" s="264"/>
      <c r="G1841" s="264"/>
    </row>
    <row r="1842" spans="5:7">
      <c r="E1842" s="264"/>
      <c r="G1842" s="264"/>
    </row>
    <row r="1843" spans="5:7">
      <c r="E1843" s="264"/>
      <c r="G1843" s="264"/>
    </row>
    <row r="1844" spans="5:7">
      <c r="E1844" s="264"/>
      <c r="G1844" s="264"/>
    </row>
    <row r="1845" spans="5:7">
      <c r="E1845" s="264"/>
      <c r="G1845" s="264"/>
    </row>
    <row r="1846" spans="5:7">
      <c r="E1846" s="264"/>
      <c r="G1846" s="264"/>
    </row>
    <row r="1847" spans="5:7">
      <c r="E1847" s="264"/>
      <c r="G1847" s="264"/>
    </row>
    <row r="1848" spans="5:7">
      <c r="E1848" s="264"/>
      <c r="G1848" s="264"/>
    </row>
    <row r="1849" spans="5:7">
      <c r="E1849" s="264"/>
      <c r="G1849" s="264"/>
    </row>
    <row r="1850" spans="5:7">
      <c r="E1850" s="264"/>
      <c r="G1850" s="264"/>
    </row>
    <row r="1851" spans="5:7">
      <c r="E1851" s="264"/>
      <c r="G1851" s="264"/>
    </row>
    <row r="1852" spans="5:7">
      <c r="E1852" s="264"/>
      <c r="G1852" s="264"/>
    </row>
    <row r="1853" spans="5:7">
      <c r="E1853" s="264"/>
      <c r="G1853" s="264"/>
    </row>
    <row r="1854" spans="5:7">
      <c r="E1854" s="264"/>
      <c r="G1854" s="264"/>
    </row>
    <row r="1855" spans="5:7">
      <c r="E1855" s="264"/>
      <c r="G1855" s="264"/>
    </row>
    <row r="1856" spans="5:7">
      <c r="E1856" s="264"/>
      <c r="G1856" s="264"/>
    </row>
    <row r="1857" spans="5:7">
      <c r="E1857" s="264"/>
      <c r="G1857" s="264"/>
    </row>
    <row r="1858" spans="5:7">
      <c r="E1858" s="264"/>
      <c r="G1858" s="264"/>
    </row>
    <row r="1859" spans="5:7">
      <c r="E1859" s="264"/>
      <c r="G1859" s="264"/>
    </row>
    <row r="1860" spans="5:7">
      <c r="E1860" s="264"/>
      <c r="G1860" s="264"/>
    </row>
    <row r="1861" spans="5:7">
      <c r="E1861" s="264"/>
      <c r="G1861" s="264"/>
    </row>
    <row r="1862" spans="5:7">
      <c r="E1862" s="264"/>
      <c r="G1862" s="264"/>
    </row>
    <row r="1863" spans="5:7">
      <c r="E1863" s="264"/>
      <c r="G1863" s="264"/>
    </row>
    <row r="1864" spans="5:7">
      <c r="E1864" s="264"/>
      <c r="G1864" s="264"/>
    </row>
    <row r="1865" spans="5:7">
      <c r="E1865" s="264"/>
      <c r="G1865" s="264"/>
    </row>
    <row r="1866" spans="5:7">
      <c r="E1866" s="264"/>
      <c r="G1866" s="264"/>
    </row>
    <row r="1867" spans="5:7">
      <c r="E1867" s="264"/>
      <c r="G1867" s="264"/>
    </row>
    <row r="1868" spans="5:7">
      <c r="E1868" s="264"/>
      <c r="G1868" s="264"/>
    </row>
    <row r="1869" spans="5:7">
      <c r="E1869" s="264"/>
      <c r="G1869" s="264"/>
    </row>
    <row r="1870" spans="5:7">
      <c r="E1870" s="264"/>
      <c r="G1870" s="264"/>
    </row>
    <row r="1871" spans="5:7">
      <c r="E1871" s="264"/>
      <c r="G1871" s="264"/>
    </row>
    <row r="1872" spans="5:7">
      <c r="E1872" s="264"/>
      <c r="G1872" s="264"/>
    </row>
    <row r="1873" spans="5:7">
      <c r="E1873" s="264"/>
      <c r="G1873" s="264"/>
    </row>
    <row r="1874" spans="5:7">
      <c r="E1874" s="264"/>
      <c r="G1874" s="264"/>
    </row>
    <row r="1875" spans="5:7">
      <c r="E1875" s="264"/>
      <c r="G1875" s="264"/>
    </row>
    <row r="1876" spans="5:7">
      <c r="E1876" s="264"/>
      <c r="G1876" s="264"/>
    </row>
    <row r="1877" spans="5:7">
      <c r="E1877" s="264"/>
      <c r="G1877" s="264"/>
    </row>
    <row r="1878" spans="5:7">
      <c r="E1878" s="264"/>
      <c r="G1878" s="264"/>
    </row>
    <row r="1879" spans="5:7">
      <c r="E1879" s="264"/>
      <c r="G1879" s="264"/>
    </row>
    <row r="1880" spans="5:7">
      <c r="E1880" s="264"/>
      <c r="G1880" s="264"/>
    </row>
    <row r="1881" spans="5:7">
      <c r="E1881" s="264"/>
      <c r="G1881" s="264"/>
    </row>
    <row r="1882" spans="5:7">
      <c r="E1882" s="264"/>
      <c r="G1882" s="264"/>
    </row>
    <row r="1883" spans="5:7">
      <c r="E1883" s="264"/>
      <c r="G1883" s="264"/>
    </row>
    <row r="1884" spans="5:7">
      <c r="E1884" s="264"/>
      <c r="G1884" s="264"/>
    </row>
    <row r="1885" spans="5:7">
      <c r="E1885" s="264"/>
      <c r="G1885" s="264"/>
    </row>
    <row r="1886" spans="5:7">
      <c r="E1886" s="264"/>
      <c r="G1886" s="264"/>
    </row>
    <row r="1887" spans="5:7">
      <c r="E1887" s="264"/>
      <c r="G1887" s="264"/>
    </row>
    <row r="1888" spans="5:7">
      <c r="E1888" s="264"/>
      <c r="G1888" s="264"/>
    </row>
    <row r="1889" spans="5:7">
      <c r="E1889" s="264"/>
      <c r="G1889" s="264"/>
    </row>
    <row r="1890" spans="5:7">
      <c r="E1890" s="264"/>
      <c r="G1890" s="264"/>
    </row>
    <row r="1891" spans="5:7">
      <c r="E1891" s="264"/>
      <c r="G1891" s="264"/>
    </row>
    <row r="1892" spans="5:7">
      <c r="E1892" s="264"/>
      <c r="G1892" s="264"/>
    </row>
    <row r="1893" spans="5:7">
      <c r="E1893" s="264"/>
      <c r="G1893" s="264"/>
    </row>
    <row r="1894" spans="5:7">
      <c r="E1894" s="264"/>
      <c r="G1894" s="264"/>
    </row>
    <row r="1895" spans="5:7">
      <c r="E1895" s="264"/>
      <c r="G1895" s="264"/>
    </row>
    <row r="1896" spans="5:7">
      <c r="E1896" s="264"/>
      <c r="G1896" s="264"/>
    </row>
    <row r="1897" spans="5:7">
      <c r="E1897" s="264"/>
      <c r="G1897" s="264"/>
    </row>
    <row r="1898" spans="5:7">
      <c r="E1898" s="264"/>
      <c r="G1898" s="264"/>
    </row>
    <row r="1899" spans="5:7">
      <c r="E1899" s="264"/>
      <c r="G1899" s="264"/>
    </row>
    <row r="1900" spans="5:7">
      <c r="E1900" s="264"/>
      <c r="G1900" s="264"/>
    </row>
    <row r="1901" spans="5:7">
      <c r="E1901" s="264"/>
      <c r="G1901" s="264"/>
    </row>
    <row r="1902" spans="5:7">
      <c r="E1902" s="264"/>
      <c r="G1902" s="264"/>
    </row>
    <row r="1903" spans="5:7">
      <c r="E1903" s="264"/>
      <c r="G1903" s="264"/>
    </row>
    <row r="1904" spans="5:7">
      <c r="E1904" s="264"/>
      <c r="G1904" s="264"/>
    </row>
    <row r="1905" spans="5:7">
      <c r="E1905" s="264"/>
      <c r="G1905" s="264"/>
    </row>
    <row r="1906" spans="5:7">
      <c r="E1906" s="264"/>
      <c r="G1906" s="264"/>
    </row>
    <row r="1907" spans="5:7">
      <c r="E1907" s="264"/>
      <c r="G1907" s="264"/>
    </row>
    <row r="1908" spans="5:7">
      <c r="E1908" s="264"/>
      <c r="G1908" s="264"/>
    </row>
    <row r="1909" spans="5:7">
      <c r="E1909" s="264"/>
      <c r="G1909" s="264"/>
    </row>
    <row r="1910" spans="5:7">
      <c r="E1910" s="264"/>
      <c r="G1910" s="264"/>
    </row>
    <row r="1911" spans="5:7">
      <c r="E1911" s="264"/>
      <c r="G1911" s="264"/>
    </row>
    <row r="1912" spans="5:7">
      <c r="E1912" s="264"/>
      <c r="G1912" s="264"/>
    </row>
    <row r="1913" spans="5:7">
      <c r="E1913" s="264"/>
      <c r="G1913" s="264"/>
    </row>
    <row r="1914" spans="5:7">
      <c r="E1914" s="264"/>
      <c r="G1914" s="264"/>
    </row>
    <row r="1915" spans="5:7">
      <c r="E1915" s="264"/>
      <c r="G1915" s="264"/>
    </row>
    <row r="1916" spans="5:7">
      <c r="E1916" s="264"/>
      <c r="G1916" s="264"/>
    </row>
    <row r="1917" spans="5:7">
      <c r="E1917" s="264"/>
      <c r="G1917" s="264"/>
    </row>
    <row r="1918" spans="5:7">
      <c r="E1918" s="264"/>
      <c r="G1918" s="264"/>
    </row>
    <row r="1919" spans="5:7">
      <c r="E1919" s="264"/>
      <c r="G1919" s="264"/>
    </row>
    <row r="1920" spans="5:7">
      <c r="E1920" s="264"/>
      <c r="G1920" s="264"/>
    </row>
    <row r="1921" spans="5:7">
      <c r="E1921" s="264"/>
      <c r="G1921" s="264"/>
    </row>
    <row r="1922" spans="5:7">
      <c r="E1922" s="264"/>
      <c r="G1922" s="264"/>
    </row>
    <row r="1923" spans="5:7">
      <c r="E1923" s="264"/>
      <c r="G1923" s="264"/>
    </row>
    <row r="1924" spans="5:7">
      <c r="E1924" s="264"/>
      <c r="G1924" s="264"/>
    </row>
    <row r="1925" spans="5:7">
      <c r="E1925" s="264"/>
      <c r="G1925" s="264"/>
    </row>
    <row r="1926" spans="5:7">
      <c r="E1926" s="264"/>
      <c r="G1926" s="264"/>
    </row>
    <row r="1927" spans="5:7">
      <c r="E1927" s="264"/>
      <c r="G1927" s="264"/>
    </row>
    <row r="1928" spans="5:7">
      <c r="E1928" s="264"/>
      <c r="G1928" s="264"/>
    </row>
    <row r="1929" spans="5:7">
      <c r="E1929" s="264"/>
      <c r="G1929" s="264"/>
    </row>
    <row r="1930" spans="5:7">
      <c r="E1930" s="264"/>
      <c r="G1930" s="264"/>
    </row>
    <row r="1931" spans="5:7">
      <c r="E1931" s="264"/>
      <c r="G1931" s="264"/>
    </row>
    <row r="1932" spans="5:7">
      <c r="E1932" s="264"/>
      <c r="G1932" s="264"/>
    </row>
    <row r="1933" spans="5:7">
      <c r="E1933" s="264"/>
      <c r="G1933" s="264"/>
    </row>
    <row r="1934" spans="5:7">
      <c r="E1934" s="264"/>
      <c r="G1934" s="264"/>
    </row>
    <row r="1935" spans="5:7">
      <c r="E1935" s="264"/>
      <c r="G1935" s="264"/>
    </row>
    <row r="1936" spans="5:7">
      <c r="E1936" s="264"/>
      <c r="G1936" s="264"/>
    </row>
    <row r="1937" spans="5:7">
      <c r="E1937" s="264"/>
      <c r="G1937" s="264"/>
    </row>
    <row r="1938" spans="5:7">
      <c r="E1938" s="264"/>
      <c r="G1938" s="264"/>
    </row>
    <row r="1939" spans="5:7">
      <c r="E1939" s="264"/>
      <c r="G1939" s="264"/>
    </row>
    <row r="1940" spans="5:7">
      <c r="E1940" s="264"/>
      <c r="G1940" s="264"/>
    </row>
    <row r="1941" spans="5:7">
      <c r="E1941" s="264"/>
      <c r="G1941" s="264"/>
    </row>
    <row r="1942" spans="5:7">
      <c r="E1942" s="264"/>
      <c r="G1942" s="264"/>
    </row>
    <row r="1943" spans="5:7">
      <c r="E1943" s="264"/>
      <c r="G1943" s="264"/>
    </row>
    <row r="1944" spans="5:7">
      <c r="E1944" s="264"/>
      <c r="G1944" s="264"/>
    </row>
    <row r="1945" spans="5:7">
      <c r="E1945" s="264"/>
      <c r="G1945" s="264"/>
    </row>
    <row r="1946" spans="5:7">
      <c r="E1946" s="264"/>
      <c r="G1946" s="264"/>
    </row>
    <row r="1947" spans="5:7">
      <c r="E1947" s="264"/>
      <c r="G1947" s="264"/>
    </row>
    <row r="1948" spans="5:7">
      <c r="E1948" s="264"/>
      <c r="G1948" s="264"/>
    </row>
    <row r="1949" spans="5:7">
      <c r="E1949" s="264"/>
      <c r="G1949" s="264"/>
    </row>
    <row r="1950" spans="5:7">
      <c r="E1950" s="264"/>
      <c r="G1950" s="264"/>
    </row>
    <row r="1951" spans="5:7">
      <c r="E1951" s="264"/>
      <c r="G1951" s="264"/>
    </row>
    <row r="1952" spans="5:7">
      <c r="E1952" s="264"/>
      <c r="G1952" s="264"/>
    </row>
    <row r="1953" spans="5:7">
      <c r="E1953" s="264"/>
      <c r="G1953" s="264"/>
    </row>
    <row r="1954" spans="5:7">
      <c r="E1954" s="264"/>
      <c r="G1954" s="264"/>
    </row>
    <row r="1955" spans="5:7">
      <c r="E1955" s="264"/>
      <c r="G1955" s="264"/>
    </row>
    <row r="1956" spans="5:7">
      <c r="E1956" s="264"/>
      <c r="G1956" s="264"/>
    </row>
    <row r="1957" spans="5:7">
      <c r="E1957" s="264"/>
      <c r="G1957" s="264"/>
    </row>
    <row r="1958" spans="5:7">
      <c r="E1958" s="264"/>
      <c r="G1958" s="264"/>
    </row>
    <row r="1959" spans="5:7">
      <c r="E1959" s="264"/>
      <c r="G1959" s="264"/>
    </row>
    <row r="1960" spans="5:7">
      <c r="E1960" s="264"/>
      <c r="G1960" s="264"/>
    </row>
    <row r="1961" spans="5:7">
      <c r="E1961" s="264"/>
      <c r="G1961" s="264"/>
    </row>
    <row r="1962" spans="5:7">
      <c r="E1962" s="264"/>
      <c r="G1962" s="264"/>
    </row>
    <row r="1963" spans="5:7">
      <c r="E1963" s="264"/>
      <c r="G1963" s="264"/>
    </row>
    <row r="1964" spans="5:7">
      <c r="E1964" s="264"/>
      <c r="G1964" s="264"/>
    </row>
    <row r="1965" spans="5:7">
      <c r="E1965" s="264"/>
      <c r="G1965" s="264"/>
    </row>
    <row r="1966" spans="5:7">
      <c r="E1966" s="264"/>
      <c r="G1966" s="264"/>
    </row>
    <row r="1967" spans="5:7">
      <c r="E1967" s="264"/>
      <c r="G1967" s="264"/>
    </row>
    <row r="1968" spans="5:7">
      <c r="E1968" s="264"/>
      <c r="G1968" s="264"/>
    </row>
    <row r="1969" spans="5:7">
      <c r="E1969" s="264"/>
      <c r="G1969" s="264"/>
    </row>
    <row r="1970" spans="5:7">
      <c r="E1970" s="264"/>
      <c r="G1970" s="264"/>
    </row>
    <row r="1971" spans="5:7">
      <c r="E1971" s="264"/>
      <c r="G1971" s="264"/>
    </row>
    <row r="1972" spans="5:7">
      <c r="E1972" s="264"/>
      <c r="G1972" s="264"/>
    </row>
    <row r="1973" spans="5:7">
      <c r="E1973" s="264"/>
      <c r="G1973" s="264"/>
    </row>
    <row r="1974" spans="5:7">
      <c r="E1974" s="264"/>
      <c r="G1974" s="264"/>
    </row>
    <row r="1975" spans="5:7">
      <c r="E1975" s="264"/>
      <c r="G1975" s="264"/>
    </row>
    <row r="1976" spans="5:7">
      <c r="E1976" s="264"/>
      <c r="G1976" s="264"/>
    </row>
    <row r="1977" spans="5:7">
      <c r="E1977" s="264"/>
      <c r="G1977" s="264"/>
    </row>
    <row r="1978" spans="5:7">
      <c r="E1978" s="264"/>
      <c r="G1978" s="264"/>
    </row>
    <row r="1979" spans="5:7">
      <c r="E1979" s="264"/>
      <c r="G1979" s="264"/>
    </row>
    <row r="1980" spans="5:7">
      <c r="E1980" s="264"/>
      <c r="G1980" s="264"/>
    </row>
    <row r="1981" spans="5:7">
      <c r="E1981" s="264"/>
      <c r="G1981" s="264"/>
    </row>
    <row r="1982" spans="5:7">
      <c r="E1982" s="264"/>
      <c r="G1982" s="264"/>
    </row>
    <row r="1983" spans="5:7">
      <c r="E1983" s="264"/>
      <c r="G1983" s="264"/>
    </row>
    <row r="1984" spans="5:7">
      <c r="E1984" s="264"/>
      <c r="G1984" s="264"/>
    </row>
    <row r="1985" spans="5:7">
      <c r="E1985" s="264"/>
      <c r="G1985" s="264"/>
    </row>
    <row r="1986" spans="5:7">
      <c r="E1986" s="264"/>
      <c r="G1986" s="264"/>
    </row>
    <row r="1987" spans="5:7">
      <c r="E1987" s="264"/>
      <c r="G1987" s="264"/>
    </row>
    <row r="1988" spans="5:7">
      <c r="E1988" s="264"/>
      <c r="G1988" s="264"/>
    </row>
    <row r="1989" spans="5:7">
      <c r="E1989" s="264"/>
      <c r="G1989" s="264"/>
    </row>
    <row r="1990" spans="5:7">
      <c r="E1990" s="264"/>
      <c r="G1990" s="264"/>
    </row>
    <row r="1991" spans="5:7">
      <c r="E1991" s="264"/>
      <c r="G1991" s="264"/>
    </row>
    <row r="1992" spans="5:7">
      <c r="E1992" s="264"/>
      <c r="G1992" s="264"/>
    </row>
    <row r="1993" spans="5:7">
      <c r="E1993" s="264"/>
      <c r="G1993" s="264"/>
    </row>
    <row r="1994" spans="5:7">
      <c r="E1994" s="264"/>
      <c r="G1994" s="264"/>
    </row>
    <row r="1995" spans="5:7">
      <c r="E1995" s="264"/>
      <c r="G1995" s="264"/>
    </row>
    <row r="1996" spans="5:7">
      <c r="E1996" s="264"/>
      <c r="G1996" s="264"/>
    </row>
    <row r="1997" spans="5:7">
      <c r="E1997" s="264"/>
      <c r="G1997" s="264"/>
    </row>
    <row r="1998" spans="5:7">
      <c r="E1998" s="264"/>
      <c r="G1998" s="264"/>
    </row>
    <row r="1999" spans="5:7">
      <c r="E1999" s="264"/>
      <c r="G1999" s="264"/>
    </row>
    <row r="2000" spans="5:7">
      <c r="E2000" s="264"/>
      <c r="G2000" s="264"/>
    </row>
    <row r="2001" spans="5:7">
      <c r="E2001" s="264"/>
      <c r="G2001" s="264"/>
    </row>
    <row r="2002" spans="5:7">
      <c r="E2002" s="264"/>
      <c r="G2002" s="264"/>
    </row>
    <row r="2003" spans="5:7">
      <c r="E2003" s="264"/>
      <c r="G2003" s="264"/>
    </row>
    <row r="2004" spans="5:7">
      <c r="E2004" s="264"/>
      <c r="G2004" s="264"/>
    </row>
    <row r="2005" spans="5:7">
      <c r="E2005" s="264"/>
      <c r="G2005" s="264"/>
    </row>
    <row r="2006" spans="5:7">
      <c r="E2006" s="264"/>
      <c r="G2006" s="264"/>
    </row>
    <row r="2007" spans="5:7">
      <c r="E2007" s="264"/>
      <c r="G2007" s="264"/>
    </row>
    <row r="2008" spans="5:7">
      <c r="E2008" s="264"/>
      <c r="G2008" s="264"/>
    </row>
    <row r="2009" spans="5:7">
      <c r="E2009" s="264"/>
      <c r="G2009" s="264"/>
    </row>
    <row r="2010" spans="5:7">
      <c r="E2010" s="264"/>
      <c r="G2010" s="264"/>
    </row>
    <row r="2011" spans="5:7">
      <c r="E2011" s="264"/>
      <c r="G2011" s="264"/>
    </row>
    <row r="2012" spans="5:7">
      <c r="E2012" s="264"/>
      <c r="G2012" s="264"/>
    </row>
    <row r="2013" spans="5:7">
      <c r="E2013" s="264"/>
      <c r="G2013" s="264"/>
    </row>
    <row r="2014" spans="5:7">
      <c r="E2014" s="264"/>
      <c r="G2014" s="264"/>
    </row>
    <row r="2015" spans="5:7">
      <c r="E2015" s="264"/>
      <c r="G2015" s="264"/>
    </row>
    <row r="2016" spans="5:7">
      <c r="E2016" s="264"/>
      <c r="G2016" s="264"/>
    </row>
    <row r="2017" spans="5:7">
      <c r="E2017" s="264"/>
      <c r="G2017" s="264"/>
    </row>
    <row r="2018" spans="5:7">
      <c r="E2018" s="264"/>
      <c r="G2018" s="264"/>
    </row>
    <row r="2019" spans="5:7">
      <c r="E2019" s="264"/>
      <c r="G2019" s="264"/>
    </row>
    <row r="2020" spans="5:7">
      <c r="E2020" s="264"/>
      <c r="G2020" s="264"/>
    </row>
    <row r="2021" spans="5:7">
      <c r="E2021" s="264"/>
      <c r="G2021" s="264"/>
    </row>
    <row r="2022" spans="5:7">
      <c r="E2022" s="264"/>
      <c r="G2022" s="264"/>
    </row>
    <row r="2023" spans="5:7">
      <c r="E2023" s="264"/>
      <c r="G2023" s="264"/>
    </row>
    <row r="2024" spans="5:7">
      <c r="E2024" s="264"/>
      <c r="G2024" s="264"/>
    </row>
    <row r="2025" spans="5:7">
      <c r="E2025" s="264"/>
      <c r="G2025" s="264"/>
    </row>
    <row r="2026" spans="5:7">
      <c r="E2026" s="264"/>
      <c r="G2026" s="264"/>
    </row>
    <row r="2027" spans="5:7">
      <c r="E2027" s="264"/>
      <c r="G2027" s="264"/>
    </row>
    <row r="2028" spans="5:7">
      <c r="E2028" s="264"/>
      <c r="G2028" s="264"/>
    </row>
    <row r="2029" spans="5:7">
      <c r="E2029" s="264"/>
      <c r="G2029" s="264"/>
    </row>
    <row r="2030" spans="5:7">
      <c r="E2030" s="264"/>
      <c r="G2030" s="264"/>
    </row>
    <row r="2031" spans="5:7">
      <c r="E2031" s="264"/>
      <c r="G2031" s="264"/>
    </row>
    <row r="2032" spans="5:7">
      <c r="E2032" s="264"/>
      <c r="G2032" s="264"/>
    </row>
    <row r="2033" spans="5:7">
      <c r="E2033" s="264"/>
      <c r="G2033" s="264"/>
    </row>
    <row r="2034" spans="5:7">
      <c r="E2034" s="264"/>
      <c r="G2034" s="264"/>
    </row>
    <row r="2035" spans="5:7">
      <c r="E2035" s="264"/>
      <c r="G2035" s="264"/>
    </row>
    <row r="2036" spans="5:7">
      <c r="E2036" s="264"/>
      <c r="G2036" s="264"/>
    </row>
    <row r="2037" spans="5:7">
      <c r="E2037" s="264"/>
      <c r="G2037" s="264"/>
    </row>
    <row r="2038" spans="5:7">
      <c r="E2038" s="264"/>
      <c r="G2038" s="264"/>
    </row>
    <row r="2039" spans="5:7">
      <c r="E2039" s="264"/>
      <c r="G2039" s="264"/>
    </row>
    <row r="2040" spans="5:7">
      <c r="E2040" s="264"/>
      <c r="G2040" s="264"/>
    </row>
    <row r="2041" spans="5:7">
      <c r="E2041" s="264"/>
      <c r="G2041" s="264"/>
    </row>
    <row r="2042" spans="5:7">
      <c r="E2042" s="264"/>
      <c r="G2042" s="264"/>
    </row>
    <row r="2043" spans="5:7">
      <c r="E2043" s="264"/>
      <c r="G2043" s="264"/>
    </row>
    <row r="2044" spans="5:7">
      <c r="E2044" s="264"/>
      <c r="G2044" s="264"/>
    </row>
    <row r="2045" spans="5:7">
      <c r="E2045" s="264"/>
      <c r="G2045" s="264"/>
    </row>
    <row r="2046" spans="5:7">
      <c r="E2046" s="264"/>
      <c r="G2046" s="264"/>
    </row>
    <row r="2047" spans="5:7">
      <c r="E2047" s="264"/>
      <c r="G2047" s="264"/>
    </row>
    <row r="2048" spans="5:7">
      <c r="E2048" s="264"/>
      <c r="G2048" s="264"/>
    </row>
    <row r="2049" spans="5:7">
      <c r="E2049" s="264"/>
      <c r="G2049" s="264"/>
    </row>
    <row r="2050" spans="5:7">
      <c r="E2050" s="264"/>
      <c r="G2050" s="264"/>
    </row>
    <row r="2051" spans="5:7">
      <c r="E2051" s="264"/>
      <c r="G2051" s="264"/>
    </row>
    <row r="2052" spans="5:7">
      <c r="E2052" s="264"/>
      <c r="G2052" s="264"/>
    </row>
    <row r="2053" spans="5:7">
      <c r="E2053" s="264"/>
      <c r="G2053" s="264"/>
    </row>
    <row r="2054" spans="5:7">
      <c r="E2054" s="264"/>
      <c r="G2054" s="264"/>
    </row>
    <row r="2055" spans="5:7">
      <c r="E2055" s="264"/>
      <c r="G2055" s="264"/>
    </row>
    <row r="2056" spans="5:7">
      <c r="E2056" s="264"/>
      <c r="G2056" s="264"/>
    </row>
    <row r="2057" spans="5:7">
      <c r="E2057" s="264"/>
      <c r="G2057" s="264"/>
    </row>
    <row r="2058" spans="5:7">
      <c r="E2058" s="264"/>
      <c r="G2058" s="264"/>
    </row>
    <row r="2059" spans="5:7">
      <c r="E2059" s="264"/>
      <c r="G2059" s="264"/>
    </row>
    <row r="2060" spans="5:7">
      <c r="E2060" s="264"/>
      <c r="G2060" s="264"/>
    </row>
    <row r="2061" spans="5:7">
      <c r="E2061" s="264"/>
      <c r="G2061" s="264"/>
    </row>
    <row r="2062" spans="5:7">
      <c r="E2062" s="264"/>
      <c r="G2062" s="264"/>
    </row>
    <row r="2063" spans="5:7">
      <c r="E2063" s="264"/>
      <c r="G2063" s="264"/>
    </row>
    <row r="2064" spans="5:7">
      <c r="E2064" s="264"/>
      <c r="G2064" s="264"/>
    </row>
    <row r="2065" spans="5:7">
      <c r="E2065" s="264"/>
      <c r="G2065" s="264"/>
    </row>
    <row r="2066" spans="5:7">
      <c r="E2066" s="264"/>
      <c r="G2066" s="264"/>
    </row>
    <row r="2067" spans="5:7">
      <c r="E2067" s="264"/>
      <c r="G2067" s="264"/>
    </row>
    <row r="2068" spans="5:7">
      <c r="E2068" s="264"/>
      <c r="G2068" s="264"/>
    </row>
    <row r="2069" spans="5:7">
      <c r="E2069" s="264"/>
      <c r="G2069" s="264"/>
    </row>
    <row r="2070" spans="5:7">
      <c r="E2070" s="264"/>
      <c r="G2070" s="264"/>
    </row>
    <row r="2071" spans="5:7">
      <c r="E2071" s="264"/>
      <c r="G2071" s="264"/>
    </row>
    <row r="2072" spans="5:7">
      <c r="E2072" s="264"/>
      <c r="G2072" s="264"/>
    </row>
    <row r="2073" spans="5:7">
      <c r="E2073" s="264"/>
      <c r="G2073" s="264"/>
    </row>
    <row r="2074" spans="5:7">
      <c r="E2074" s="264"/>
      <c r="G2074" s="264"/>
    </row>
    <row r="2075" spans="5:7">
      <c r="E2075" s="264"/>
      <c r="G2075" s="264"/>
    </row>
    <row r="2076" spans="5:7">
      <c r="E2076" s="264"/>
      <c r="G2076" s="264"/>
    </row>
    <row r="2077" spans="5:7">
      <c r="E2077" s="264"/>
      <c r="G2077" s="264"/>
    </row>
    <row r="2078" spans="5:7">
      <c r="E2078" s="264"/>
      <c r="G2078" s="264"/>
    </row>
    <row r="2079" spans="5:7">
      <c r="E2079" s="264"/>
      <c r="G2079" s="264"/>
    </row>
    <row r="2080" spans="5:7">
      <c r="E2080" s="264"/>
      <c r="G2080" s="264"/>
    </row>
    <row r="2081" spans="5:7">
      <c r="E2081" s="264"/>
      <c r="G2081" s="264"/>
    </row>
    <row r="2082" spans="5:7">
      <c r="E2082" s="264"/>
      <c r="G2082" s="264"/>
    </row>
    <row r="2083" spans="5:7">
      <c r="E2083" s="264"/>
      <c r="G2083" s="264"/>
    </row>
    <row r="2084" spans="5:7">
      <c r="E2084" s="264"/>
      <c r="G2084" s="264"/>
    </row>
    <row r="2085" spans="5:7">
      <c r="E2085" s="264"/>
      <c r="G2085" s="264"/>
    </row>
    <row r="2086" spans="5:7">
      <c r="E2086" s="264"/>
      <c r="G2086" s="264"/>
    </row>
    <row r="2087" spans="5:7">
      <c r="E2087" s="264"/>
      <c r="G2087" s="264"/>
    </row>
    <row r="2088" spans="5:7">
      <c r="E2088" s="264"/>
      <c r="G2088" s="264"/>
    </row>
    <row r="2089" spans="5:7">
      <c r="E2089" s="264"/>
      <c r="G2089" s="264"/>
    </row>
    <row r="2090" spans="5:7">
      <c r="E2090" s="264"/>
      <c r="G2090" s="264"/>
    </row>
    <row r="2091" spans="5:7">
      <c r="E2091" s="264"/>
      <c r="G2091" s="264"/>
    </row>
    <row r="2092" spans="5:7">
      <c r="E2092" s="264"/>
      <c r="G2092" s="264"/>
    </row>
    <row r="2093" spans="5:7">
      <c r="E2093" s="264"/>
      <c r="G2093" s="264"/>
    </row>
    <row r="2094" spans="5:7">
      <c r="E2094" s="264"/>
      <c r="G2094" s="264"/>
    </row>
    <row r="2095" spans="5:7">
      <c r="E2095" s="264"/>
      <c r="G2095" s="264"/>
    </row>
    <row r="2096" spans="5:7">
      <c r="E2096" s="264"/>
      <c r="G2096" s="264"/>
    </row>
    <row r="2097" spans="5:7">
      <c r="E2097" s="264"/>
      <c r="G2097" s="264"/>
    </row>
    <row r="2098" spans="5:7">
      <c r="E2098" s="264"/>
      <c r="G2098" s="264"/>
    </row>
    <row r="2099" spans="5:7">
      <c r="E2099" s="264"/>
      <c r="G2099" s="264"/>
    </row>
    <row r="2100" spans="5:7">
      <c r="E2100" s="264"/>
      <c r="G2100" s="264"/>
    </row>
    <row r="2101" spans="5:7">
      <c r="E2101" s="264"/>
      <c r="G2101" s="264"/>
    </row>
    <row r="2102" spans="5:7">
      <c r="E2102" s="264"/>
      <c r="G2102" s="264"/>
    </row>
    <row r="2103" spans="5:7">
      <c r="E2103" s="264"/>
      <c r="G2103" s="264"/>
    </row>
    <row r="2104" spans="5:7">
      <c r="E2104" s="264"/>
      <c r="G2104" s="264"/>
    </row>
    <row r="2105" spans="5:7">
      <c r="E2105" s="264"/>
      <c r="G2105" s="264"/>
    </row>
    <row r="2106" spans="5:7">
      <c r="E2106" s="264"/>
      <c r="G2106" s="264"/>
    </row>
    <row r="2107" spans="5:7">
      <c r="E2107" s="264"/>
      <c r="G2107" s="264"/>
    </row>
    <row r="2108" spans="5:7">
      <c r="E2108" s="264"/>
      <c r="G2108" s="264"/>
    </row>
    <row r="2109" spans="5:7">
      <c r="E2109" s="264"/>
      <c r="G2109" s="264"/>
    </row>
    <row r="2110" spans="5:7">
      <c r="E2110" s="264"/>
      <c r="G2110" s="264"/>
    </row>
    <row r="2111" spans="5:7">
      <c r="E2111" s="264"/>
      <c r="G2111" s="264"/>
    </row>
    <row r="2112" spans="5:7">
      <c r="E2112" s="264"/>
      <c r="G2112" s="264"/>
    </row>
    <row r="2113" spans="5:7">
      <c r="E2113" s="264"/>
      <c r="G2113" s="264"/>
    </row>
    <row r="2114" spans="5:7">
      <c r="E2114" s="264"/>
      <c r="G2114" s="264"/>
    </row>
    <row r="2115" spans="5:7">
      <c r="E2115" s="264"/>
      <c r="G2115" s="264"/>
    </row>
    <row r="2116" spans="5:7">
      <c r="E2116" s="264"/>
      <c r="G2116" s="264"/>
    </row>
    <row r="2117" spans="5:7">
      <c r="E2117" s="264"/>
      <c r="G2117" s="264"/>
    </row>
    <row r="2118" spans="5:7">
      <c r="E2118" s="264"/>
      <c r="G2118" s="264"/>
    </row>
    <row r="2119" spans="5:7">
      <c r="E2119" s="264"/>
      <c r="G2119" s="264"/>
    </row>
    <row r="2120" spans="5:7">
      <c r="E2120" s="264"/>
      <c r="G2120" s="264"/>
    </row>
    <row r="2121" spans="5:7">
      <c r="E2121" s="264"/>
      <c r="G2121" s="264"/>
    </row>
    <row r="2122" spans="5:7">
      <c r="E2122" s="264"/>
      <c r="G2122" s="264"/>
    </row>
    <row r="2123" spans="5:7">
      <c r="E2123" s="264"/>
      <c r="G2123" s="264"/>
    </row>
    <row r="2124" spans="5:7">
      <c r="E2124" s="264"/>
      <c r="G2124" s="264"/>
    </row>
    <row r="2125" spans="5:7">
      <c r="E2125" s="264"/>
      <c r="G2125" s="264"/>
    </row>
    <row r="2126" spans="5:7">
      <c r="E2126" s="264"/>
      <c r="G2126" s="264"/>
    </row>
    <row r="2127" spans="5:7">
      <c r="E2127" s="264"/>
      <c r="G2127" s="264"/>
    </row>
    <row r="2128" spans="5:7">
      <c r="E2128" s="264"/>
      <c r="G2128" s="264"/>
    </row>
    <row r="2129" spans="5:7">
      <c r="E2129" s="264"/>
      <c r="G2129" s="264"/>
    </row>
    <row r="2130" spans="5:7">
      <c r="E2130" s="264"/>
      <c r="G2130" s="264"/>
    </row>
    <row r="2131" spans="5:7">
      <c r="E2131" s="264"/>
      <c r="G2131" s="264"/>
    </row>
    <row r="2132" spans="5:7">
      <c r="E2132" s="264"/>
      <c r="G2132" s="264"/>
    </row>
    <row r="2133" spans="5:7">
      <c r="E2133" s="264"/>
      <c r="G2133" s="264"/>
    </row>
    <row r="2134" spans="5:7">
      <c r="E2134" s="264"/>
      <c r="G2134" s="264"/>
    </row>
    <row r="2135" spans="5:7">
      <c r="E2135" s="264"/>
      <c r="G2135" s="264"/>
    </row>
    <row r="2136" spans="5:7">
      <c r="E2136" s="264"/>
      <c r="G2136" s="264"/>
    </row>
    <row r="2137" spans="5:7">
      <c r="E2137" s="264"/>
      <c r="G2137" s="264"/>
    </row>
    <row r="2138" spans="5:7">
      <c r="E2138" s="264"/>
      <c r="G2138" s="264"/>
    </row>
    <row r="2139" spans="5:7">
      <c r="E2139" s="264"/>
      <c r="G2139" s="264"/>
    </row>
    <row r="2140" spans="5:7">
      <c r="E2140" s="264"/>
      <c r="G2140" s="264"/>
    </row>
    <row r="2141" spans="5:7">
      <c r="E2141" s="264"/>
      <c r="G2141" s="264"/>
    </row>
    <row r="2142" spans="5:7">
      <c r="E2142" s="264"/>
      <c r="G2142" s="264"/>
    </row>
    <row r="2143" spans="5:7">
      <c r="E2143" s="264"/>
      <c r="G2143" s="264"/>
    </row>
    <row r="2144" spans="5:7">
      <c r="E2144" s="264"/>
      <c r="G2144" s="264"/>
    </row>
    <row r="2145" spans="5:7">
      <c r="E2145" s="264"/>
      <c r="G2145" s="264"/>
    </row>
    <row r="2146" spans="5:7">
      <c r="E2146" s="264"/>
      <c r="G2146" s="264"/>
    </row>
    <row r="2147" spans="5:7">
      <c r="E2147" s="264"/>
      <c r="G2147" s="264"/>
    </row>
    <row r="2148" spans="5:7">
      <c r="E2148" s="264"/>
      <c r="G2148" s="264"/>
    </row>
    <row r="2149" spans="5:7">
      <c r="E2149" s="264"/>
      <c r="G2149" s="264"/>
    </row>
    <row r="2150" spans="5:7">
      <c r="E2150" s="264"/>
      <c r="G2150" s="264"/>
    </row>
    <row r="2151" spans="5:7">
      <c r="E2151" s="264"/>
      <c r="G2151" s="264"/>
    </row>
    <row r="2152" spans="5:7">
      <c r="E2152" s="264"/>
      <c r="G2152" s="264"/>
    </row>
    <row r="2153" spans="5:7">
      <c r="E2153" s="264"/>
      <c r="G2153" s="264"/>
    </row>
    <row r="2154" spans="5:7">
      <c r="E2154" s="264"/>
      <c r="G2154" s="264"/>
    </row>
    <row r="2155" spans="5:7">
      <c r="E2155" s="264"/>
      <c r="G2155" s="264"/>
    </row>
    <row r="2156" spans="5:7">
      <c r="E2156" s="264"/>
      <c r="G2156" s="264"/>
    </row>
    <row r="2157" spans="5:7">
      <c r="E2157" s="264"/>
      <c r="G2157" s="264"/>
    </row>
    <row r="2158" spans="5:7">
      <c r="E2158" s="264"/>
      <c r="G2158" s="264"/>
    </row>
    <row r="2159" spans="5:7">
      <c r="E2159" s="264"/>
      <c r="G2159" s="264"/>
    </row>
    <row r="2160" spans="5:7">
      <c r="E2160" s="264"/>
      <c r="G2160" s="264"/>
    </row>
    <row r="2161" spans="5:7">
      <c r="E2161" s="264"/>
      <c r="G2161" s="264"/>
    </row>
    <row r="2162" spans="5:7">
      <c r="E2162" s="264"/>
      <c r="G2162" s="264"/>
    </row>
    <row r="2163" spans="5:7">
      <c r="E2163" s="264"/>
      <c r="G2163" s="264"/>
    </row>
    <row r="2164" spans="5:7">
      <c r="E2164" s="264"/>
      <c r="G2164" s="264"/>
    </row>
    <row r="2165" spans="5:7">
      <c r="E2165" s="264"/>
      <c r="G2165" s="264"/>
    </row>
    <row r="2166" spans="5:7">
      <c r="E2166" s="264"/>
      <c r="G2166" s="264"/>
    </row>
    <row r="2167" spans="5:7">
      <c r="E2167" s="264"/>
      <c r="G2167" s="264"/>
    </row>
    <row r="2168" spans="5:7">
      <c r="E2168" s="264"/>
      <c r="G2168" s="264"/>
    </row>
    <row r="2169" spans="5:7">
      <c r="E2169" s="264"/>
      <c r="G2169" s="264"/>
    </row>
    <row r="2170" spans="5:7">
      <c r="E2170" s="264"/>
      <c r="G2170" s="264"/>
    </row>
    <row r="2171" spans="5:7">
      <c r="E2171" s="264"/>
      <c r="G2171" s="264"/>
    </row>
    <row r="2172" spans="5:7">
      <c r="E2172" s="264"/>
      <c r="G2172" s="264"/>
    </row>
    <row r="2173" spans="5:7">
      <c r="E2173" s="264"/>
      <c r="G2173" s="264"/>
    </row>
    <row r="2174" spans="5:7">
      <c r="E2174" s="264"/>
      <c r="G2174" s="264"/>
    </row>
    <row r="2175" spans="5:7">
      <c r="E2175" s="264"/>
      <c r="G2175" s="264"/>
    </row>
    <row r="2176" spans="5:7">
      <c r="E2176" s="264"/>
      <c r="G2176" s="264"/>
    </row>
    <row r="2177" spans="5:7">
      <c r="E2177" s="264"/>
      <c r="G2177" s="264"/>
    </row>
    <row r="2178" spans="5:7">
      <c r="E2178" s="264"/>
      <c r="G2178" s="264"/>
    </row>
    <row r="2179" spans="5:7">
      <c r="E2179" s="264"/>
      <c r="G2179" s="264"/>
    </row>
    <row r="2180" spans="5:7">
      <c r="E2180" s="264"/>
      <c r="G2180" s="264"/>
    </row>
    <row r="2181" spans="5:7">
      <c r="E2181" s="264"/>
      <c r="G2181" s="264"/>
    </row>
    <row r="2182" spans="5:7">
      <c r="E2182" s="264"/>
      <c r="G2182" s="264"/>
    </row>
    <row r="2183" spans="5:7">
      <c r="E2183" s="264"/>
      <c r="G2183" s="264"/>
    </row>
    <row r="2184" spans="5:7">
      <c r="E2184" s="264"/>
      <c r="G2184" s="264"/>
    </row>
    <row r="2185" spans="5:7">
      <c r="E2185" s="264"/>
      <c r="G2185" s="264"/>
    </row>
    <row r="2186" spans="5:7">
      <c r="E2186" s="264"/>
      <c r="G2186" s="264"/>
    </row>
    <row r="2187" spans="5:7">
      <c r="E2187" s="264"/>
      <c r="G2187" s="264"/>
    </row>
    <row r="2188" spans="5:7">
      <c r="E2188" s="264"/>
      <c r="G2188" s="264"/>
    </row>
    <row r="2189" spans="5:7">
      <c r="E2189" s="264"/>
      <c r="G2189" s="264"/>
    </row>
    <row r="2190" spans="5:7">
      <c r="E2190" s="264"/>
      <c r="G2190" s="264"/>
    </row>
    <row r="2191" spans="5:7">
      <c r="E2191" s="264"/>
      <c r="G2191" s="264"/>
    </row>
    <row r="2192" spans="5:7">
      <c r="E2192" s="264"/>
      <c r="G2192" s="264"/>
    </row>
    <row r="2193" spans="5:7">
      <c r="E2193" s="264"/>
      <c r="G2193" s="264"/>
    </row>
    <row r="2194" spans="5:7">
      <c r="E2194" s="264"/>
      <c r="G2194" s="264"/>
    </row>
    <row r="2195" spans="5:7">
      <c r="E2195" s="264"/>
      <c r="G2195" s="264"/>
    </row>
    <row r="2196" spans="5:7">
      <c r="E2196" s="264"/>
      <c r="G2196" s="264"/>
    </row>
    <row r="2197" spans="5:7">
      <c r="E2197" s="264"/>
      <c r="G2197" s="264"/>
    </row>
    <row r="2198" spans="5:7">
      <c r="E2198" s="264"/>
      <c r="G2198" s="264"/>
    </row>
    <row r="2199" spans="5:7">
      <c r="E2199" s="264"/>
      <c r="G2199" s="264"/>
    </row>
    <row r="2200" spans="5:7">
      <c r="E2200" s="264"/>
      <c r="G2200" s="264"/>
    </row>
    <row r="2201" spans="5:7">
      <c r="E2201" s="264"/>
      <c r="G2201" s="264"/>
    </row>
    <row r="2202" spans="5:7">
      <c r="E2202" s="264"/>
      <c r="G2202" s="264"/>
    </row>
    <row r="2203" spans="5:7">
      <c r="E2203" s="264"/>
      <c r="G2203" s="264"/>
    </row>
    <row r="2204" spans="5:7">
      <c r="E2204" s="264"/>
      <c r="G2204" s="264"/>
    </row>
    <row r="2205" spans="5:7">
      <c r="E2205" s="264"/>
      <c r="G2205" s="264"/>
    </row>
    <row r="2206" spans="5:7">
      <c r="E2206" s="264"/>
      <c r="G2206" s="264"/>
    </row>
    <row r="2207" spans="5:7">
      <c r="E2207" s="264"/>
      <c r="G2207" s="264"/>
    </row>
    <row r="2208" spans="5:7">
      <c r="E2208" s="264"/>
      <c r="G2208" s="264"/>
    </row>
    <row r="2209" spans="5:7">
      <c r="E2209" s="264"/>
      <c r="G2209" s="264"/>
    </row>
    <row r="2210" spans="5:7">
      <c r="E2210" s="264"/>
      <c r="G2210" s="264"/>
    </row>
    <row r="2211" spans="5:7">
      <c r="E2211" s="264"/>
      <c r="G2211" s="264"/>
    </row>
    <row r="2212" spans="5:7">
      <c r="E2212" s="264"/>
      <c r="G2212" s="264"/>
    </row>
    <row r="2213" spans="5:7">
      <c r="E2213" s="264"/>
      <c r="G2213" s="264"/>
    </row>
    <row r="2214" spans="5:7">
      <c r="E2214" s="264"/>
      <c r="G2214" s="264"/>
    </row>
    <row r="2215" spans="5:7">
      <c r="E2215" s="264"/>
      <c r="G2215" s="264"/>
    </row>
    <row r="2216" spans="5:7">
      <c r="E2216" s="264"/>
      <c r="G2216" s="264"/>
    </row>
    <row r="2217" spans="5:7">
      <c r="E2217" s="264"/>
      <c r="G2217" s="264"/>
    </row>
    <row r="2218" spans="5:7">
      <c r="E2218" s="264"/>
      <c r="G2218" s="264"/>
    </row>
    <row r="2219" spans="5:7">
      <c r="E2219" s="264"/>
      <c r="G2219" s="264"/>
    </row>
    <row r="2220" spans="5:7">
      <c r="E2220" s="264"/>
      <c r="G2220" s="264"/>
    </row>
    <row r="2221" spans="5:7">
      <c r="E2221" s="264"/>
      <c r="G2221" s="264"/>
    </row>
    <row r="2222" spans="5:7">
      <c r="E2222" s="264"/>
      <c r="G2222" s="264"/>
    </row>
    <row r="2223" spans="5:7">
      <c r="E2223" s="264"/>
      <c r="G2223" s="264"/>
    </row>
    <row r="2224" spans="5:7">
      <c r="E2224" s="264"/>
      <c r="G2224" s="264"/>
    </row>
    <row r="2225" spans="5:7">
      <c r="E2225" s="264"/>
      <c r="G2225" s="264"/>
    </row>
    <row r="2226" spans="5:7">
      <c r="E2226" s="264"/>
      <c r="G2226" s="264"/>
    </row>
    <row r="2227" spans="5:7">
      <c r="E2227" s="264"/>
      <c r="G2227" s="264"/>
    </row>
    <row r="2228" spans="5:7">
      <c r="E2228" s="264"/>
      <c r="G2228" s="264"/>
    </row>
    <row r="2229" spans="5:7">
      <c r="E2229" s="264"/>
      <c r="G2229" s="264"/>
    </row>
    <row r="2230" spans="5:7">
      <c r="E2230" s="264"/>
      <c r="G2230" s="264"/>
    </row>
    <row r="2231" spans="5:7">
      <c r="E2231" s="264"/>
      <c r="G2231" s="264"/>
    </row>
    <row r="2232" spans="5:7">
      <c r="E2232" s="264"/>
      <c r="G2232" s="264"/>
    </row>
    <row r="2233" spans="5:7">
      <c r="E2233" s="264"/>
      <c r="G2233" s="264"/>
    </row>
    <row r="2234" spans="5:7">
      <c r="E2234" s="264"/>
      <c r="G2234" s="264"/>
    </row>
    <row r="2235" spans="5:7">
      <c r="E2235" s="264"/>
      <c r="G2235" s="264"/>
    </row>
    <row r="2236" spans="5:7">
      <c r="E2236" s="264"/>
      <c r="G2236" s="264"/>
    </row>
    <row r="2237" spans="5:7">
      <c r="E2237" s="264"/>
      <c r="G2237" s="264"/>
    </row>
    <row r="2238" spans="5:7">
      <c r="E2238" s="264"/>
      <c r="G2238" s="264"/>
    </row>
    <row r="2239" spans="5:7">
      <c r="E2239" s="264"/>
      <c r="G2239" s="264"/>
    </row>
    <row r="2240" spans="5:7">
      <c r="E2240" s="264"/>
      <c r="G2240" s="264"/>
    </row>
    <row r="2241" spans="5:7">
      <c r="E2241" s="264"/>
      <c r="G2241" s="264"/>
    </row>
    <row r="2242" spans="5:7">
      <c r="E2242" s="264"/>
      <c r="G2242" s="264"/>
    </row>
    <row r="2243" spans="5:7">
      <c r="E2243" s="264"/>
      <c r="G2243" s="264"/>
    </row>
    <row r="2244" spans="5:7">
      <c r="E2244" s="264"/>
      <c r="G2244" s="264"/>
    </row>
    <row r="2245" spans="5:7">
      <c r="E2245" s="264"/>
      <c r="G2245" s="264"/>
    </row>
    <row r="2246" spans="5:7">
      <c r="E2246" s="264"/>
      <c r="G2246" s="264"/>
    </row>
    <row r="2247" spans="5:7">
      <c r="E2247" s="264"/>
      <c r="G2247" s="264"/>
    </row>
    <row r="2248" spans="5:7">
      <c r="E2248" s="264"/>
      <c r="G2248" s="264"/>
    </row>
    <row r="2249" spans="5:7">
      <c r="E2249" s="264"/>
      <c r="G2249" s="264"/>
    </row>
    <row r="2250" spans="5:7">
      <c r="E2250" s="264"/>
      <c r="G2250" s="264"/>
    </row>
    <row r="2251" spans="5:7">
      <c r="E2251" s="264"/>
      <c r="G2251" s="264"/>
    </row>
    <row r="2252" spans="5:7">
      <c r="E2252" s="264"/>
      <c r="G2252" s="264"/>
    </row>
    <row r="2253" spans="5:7">
      <c r="E2253" s="264"/>
      <c r="G2253" s="264"/>
    </row>
    <row r="2254" spans="5:7">
      <c r="E2254" s="264"/>
      <c r="G2254" s="264"/>
    </row>
    <row r="2255" spans="5:7">
      <c r="E2255" s="264"/>
      <c r="G2255" s="264"/>
    </row>
    <row r="2256" spans="5:7">
      <c r="E2256" s="264"/>
      <c r="G2256" s="264"/>
    </row>
    <row r="2257" spans="5:7">
      <c r="E2257" s="264"/>
      <c r="G2257" s="264"/>
    </row>
    <row r="2258" spans="5:7">
      <c r="E2258" s="264"/>
      <c r="G2258" s="264"/>
    </row>
    <row r="2259" spans="5:7">
      <c r="E2259" s="264"/>
      <c r="G2259" s="264"/>
    </row>
    <row r="2260" spans="5:7">
      <c r="E2260" s="264"/>
      <c r="G2260" s="264"/>
    </row>
    <row r="2261" spans="5:7">
      <c r="E2261" s="264"/>
      <c r="G2261" s="264"/>
    </row>
    <row r="2262" spans="5:7">
      <c r="E2262" s="264"/>
      <c r="G2262" s="264"/>
    </row>
    <row r="2263" spans="5:7">
      <c r="E2263" s="264"/>
      <c r="G2263" s="264"/>
    </row>
    <row r="2264" spans="5:7">
      <c r="E2264" s="264"/>
      <c r="G2264" s="264"/>
    </row>
    <row r="2265" spans="5:7">
      <c r="E2265" s="264"/>
      <c r="G2265" s="264"/>
    </row>
    <row r="2266" spans="5:7">
      <c r="E2266" s="264"/>
      <c r="G2266" s="264"/>
    </row>
    <row r="2267" spans="5:7">
      <c r="E2267" s="264"/>
      <c r="G2267" s="264"/>
    </row>
    <row r="2268" spans="5:7">
      <c r="E2268" s="264"/>
      <c r="G2268" s="264"/>
    </row>
    <row r="2269" spans="5:7">
      <c r="E2269" s="264"/>
      <c r="G2269" s="264"/>
    </row>
    <row r="2270" spans="5:7">
      <c r="E2270" s="264"/>
      <c r="G2270" s="264"/>
    </row>
    <row r="2271" spans="5:7">
      <c r="E2271" s="264"/>
      <c r="G2271" s="264"/>
    </row>
    <row r="2272" spans="5:7">
      <c r="E2272" s="264"/>
      <c r="G2272" s="264"/>
    </row>
    <row r="2273" spans="5:7">
      <c r="E2273" s="264"/>
      <c r="G2273" s="264"/>
    </row>
    <row r="2274" spans="5:7">
      <c r="E2274" s="264"/>
      <c r="G2274" s="264"/>
    </row>
    <row r="2275" spans="5:7">
      <c r="E2275" s="264"/>
      <c r="G2275" s="264"/>
    </row>
    <row r="2276" spans="5:7">
      <c r="E2276" s="264"/>
      <c r="G2276" s="264"/>
    </row>
    <row r="2277" spans="5:7">
      <c r="E2277" s="264"/>
      <c r="G2277" s="264"/>
    </row>
    <row r="2278" spans="5:7">
      <c r="E2278" s="264"/>
      <c r="G2278" s="264"/>
    </row>
    <row r="2279" spans="5:7">
      <c r="E2279" s="264"/>
      <c r="G2279" s="264"/>
    </row>
    <row r="2280" spans="5:7">
      <c r="E2280" s="264"/>
      <c r="G2280" s="264"/>
    </row>
    <row r="2281" spans="5:7">
      <c r="E2281" s="264"/>
      <c r="G2281" s="264"/>
    </row>
    <row r="2282" spans="5:7">
      <c r="E2282" s="264"/>
      <c r="G2282" s="264"/>
    </row>
    <row r="2283" spans="5:7">
      <c r="E2283" s="264"/>
      <c r="G2283" s="264"/>
    </row>
    <row r="2284" spans="5:7">
      <c r="E2284" s="264"/>
      <c r="G2284" s="264"/>
    </row>
    <row r="2285" spans="5:7">
      <c r="E2285" s="264"/>
      <c r="G2285" s="264"/>
    </row>
    <row r="2286" spans="5:7">
      <c r="E2286" s="264"/>
      <c r="G2286" s="264"/>
    </row>
    <row r="2287" spans="5:7">
      <c r="E2287" s="264"/>
      <c r="G2287" s="264"/>
    </row>
    <row r="2288" spans="5:7">
      <c r="E2288" s="264"/>
      <c r="G2288" s="264"/>
    </row>
    <row r="2289" spans="5:7">
      <c r="E2289" s="264"/>
      <c r="G2289" s="264"/>
    </row>
    <row r="2290" spans="5:7">
      <c r="E2290" s="264"/>
      <c r="G2290" s="264"/>
    </row>
    <row r="2291" spans="5:7">
      <c r="E2291" s="264"/>
      <c r="G2291" s="264"/>
    </row>
    <row r="2292" spans="5:7">
      <c r="E2292" s="264"/>
      <c r="G2292" s="264"/>
    </row>
    <row r="2293" spans="5:7">
      <c r="E2293" s="264"/>
      <c r="G2293" s="264"/>
    </row>
    <row r="2294" spans="5:7">
      <c r="E2294" s="264"/>
      <c r="G2294" s="264"/>
    </row>
    <row r="2295" spans="5:7">
      <c r="E2295" s="264"/>
      <c r="G2295" s="264"/>
    </row>
    <row r="2296" spans="5:7">
      <c r="E2296" s="264"/>
      <c r="G2296" s="264"/>
    </row>
    <row r="2297" spans="5:7">
      <c r="E2297" s="264"/>
      <c r="G2297" s="264"/>
    </row>
    <row r="2298" spans="5:7">
      <c r="E2298" s="264"/>
      <c r="G2298" s="264"/>
    </row>
    <row r="2299" spans="5:7">
      <c r="E2299" s="264"/>
      <c r="G2299" s="264"/>
    </row>
    <row r="2300" spans="5:7">
      <c r="E2300" s="264"/>
      <c r="G2300" s="264"/>
    </row>
    <row r="2301" spans="5:7">
      <c r="E2301" s="264"/>
      <c r="G2301" s="264"/>
    </row>
    <row r="2302" spans="5:7">
      <c r="E2302" s="264"/>
      <c r="G2302" s="264"/>
    </row>
    <row r="2303" spans="5:7">
      <c r="E2303" s="264"/>
      <c r="G2303" s="264"/>
    </row>
    <row r="2304" spans="5:7">
      <c r="E2304" s="264"/>
      <c r="G2304" s="264"/>
    </row>
    <row r="2305" spans="5:7">
      <c r="E2305" s="264"/>
      <c r="G2305" s="264"/>
    </row>
    <row r="2306" spans="5:7">
      <c r="E2306" s="264"/>
      <c r="G2306" s="264"/>
    </row>
    <row r="2307" spans="5:7">
      <c r="E2307" s="264"/>
      <c r="G2307" s="264"/>
    </row>
    <row r="2308" spans="5:7">
      <c r="E2308" s="264"/>
      <c r="G2308" s="264"/>
    </row>
    <row r="2309" spans="5:7">
      <c r="E2309" s="264"/>
      <c r="G2309" s="264"/>
    </row>
    <row r="2310" spans="5:7">
      <c r="E2310" s="264"/>
      <c r="G2310" s="264"/>
    </row>
    <row r="2311" spans="5:7">
      <c r="E2311" s="264"/>
      <c r="G2311" s="264"/>
    </row>
    <row r="2312" spans="5:7">
      <c r="E2312" s="264"/>
      <c r="G2312" s="264"/>
    </row>
    <row r="2313" spans="5:7">
      <c r="E2313" s="264"/>
      <c r="G2313" s="264"/>
    </row>
    <row r="2314" spans="5:7">
      <c r="E2314" s="264"/>
      <c r="G2314" s="264"/>
    </row>
    <row r="2315" spans="5:7">
      <c r="E2315" s="264"/>
      <c r="G2315" s="264"/>
    </row>
    <row r="2316" spans="5:7">
      <c r="E2316" s="264"/>
      <c r="G2316" s="264"/>
    </row>
    <row r="2317" spans="5:7">
      <c r="E2317" s="264"/>
      <c r="G2317" s="264"/>
    </row>
    <row r="2318" spans="5:7">
      <c r="E2318" s="264"/>
      <c r="G2318" s="264"/>
    </row>
    <row r="2319" spans="5:7">
      <c r="E2319" s="264"/>
      <c r="G2319" s="264"/>
    </row>
    <row r="2320" spans="5:7">
      <c r="E2320" s="264"/>
      <c r="G2320" s="264"/>
    </row>
    <row r="2321" spans="5:7">
      <c r="E2321" s="264"/>
      <c r="G2321" s="264"/>
    </row>
    <row r="2322" spans="5:7">
      <c r="E2322" s="264"/>
      <c r="G2322" s="264"/>
    </row>
    <row r="2323" spans="5:7">
      <c r="E2323" s="264"/>
      <c r="G2323" s="264"/>
    </row>
    <row r="2324" spans="5:7">
      <c r="E2324" s="264"/>
      <c r="G2324" s="264"/>
    </row>
    <row r="2325" spans="5:7">
      <c r="E2325" s="264"/>
      <c r="G2325" s="264"/>
    </row>
    <row r="2326" spans="5:7">
      <c r="E2326" s="264"/>
      <c r="G2326" s="264"/>
    </row>
    <row r="2327" spans="5:7">
      <c r="E2327" s="264"/>
      <c r="G2327" s="264"/>
    </row>
    <row r="2328" spans="5:7">
      <c r="E2328" s="264"/>
      <c r="G2328" s="264"/>
    </row>
    <row r="2329" spans="5:7">
      <c r="E2329" s="264"/>
      <c r="G2329" s="264"/>
    </row>
    <row r="2330" spans="5:7">
      <c r="E2330" s="264"/>
      <c r="G2330" s="264"/>
    </row>
    <row r="2331" spans="5:7">
      <c r="E2331" s="264"/>
      <c r="G2331" s="264"/>
    </row>
    <row r="2332" spans="5:7">
      <c r="E2332" s="264"/>
      <c r="G2332" s="264"/>
    </row>
    <row r="2333" spans="5:7">
      <c r="E2333" s="264"/>
      <c r="G2333" s="264"/>
    </row>
    <row r="2334" spans="5:7">
      <c r="E2334" s="264"/>
      <c r="G2334" s="264"/>
    </row>
    <row r="2335" spans="5:7">
      <c r="E2335" s="264"/>
      <c r="G2335" s="264"/>
    </row>
    <row r="2336" spans="5:7">
      <c r="E2336" s="264"/>
      <c r="G2336" s="264"/>
    </row>
    <row r="2337" spans="5:7">
      <c r="E2337" s="264"/>
      <c r="G2337" s="264"/>
    </row>
    <row r="2338" spans="5:7">
      <c r="E2338" s="264"/>
      <c r="G2338" s="264"/>
    </row>
    <row r="2339" spans="5:7">
      <c r="E2339" s="264"/>
      <c r="G2339" s="264"/>
    </row>
    <row r="2340" spans="5:7">
      <c r="E2340" s="264"/>
      <c r="G2340" s="264"/>
    </row>
    <row r="2341" spans="5:7">
      <c r="E2341" s="264"/>
      <c r="G2341" s="264"/>
    </row>
    <row r="2342" spans="5:7">
      <c r="E2342" s="264"/>
      <c r="G2342" s="264"/>
    </row>
    <row r="2343" spans="5:7">
      <c r="E2343" s="264"/>
      <c r="G2343" s="264"/>
    </row>
    <row r="2344" spans="5:7">
      <c r="E2344" s="264"/>
      <c r="G2344" s="264"/>
    </row>
    <row r="2345" spans="5:7">
      <c r="E2345" s="264"/>
      <c r="G2345" s="264"/>
    </row>
    <row r="2346" spans="5:7">
      <c r="E2346" s="264"/>
      <c r="G2346" s="264"/>
    </row>
    <row r="2347" spans="5:7">
      <c r="E2347" s="264"/>
      <c r="G2347" s="264"/>
    </row>
    <row r="2348" spans="5:7">
      <c r="E2348" s="264"/>
      <c r="G2348" s="264"/>
    </row>
    <row r="2349" spans="5:7">
      <c r="E2349" s="264"/>
      <c r="G2349" s="264"/>
    </row>
    <row r="2350" spans="5:7">
      <c r="E2350" s="264"/>
      <c r="G2350" s="264"/>
    </row>
    <row r="2351" spans="5:7">
      <c r="E2351" s="264"/>
      <c r="G2351" s="264"/>
    </row>
    <row r="2352" spans="5:7">
      <c r="E2352" s="264"/>
      <c r="G2352" s="264"/>
    </row>
    <row r="2353" spans="5:7">
      <c r="E2353" s="264"/>
      <c r="G2353" s="264"/>
    </row>
    <row r="2354" spans="5:7">
      <c r="E2354" s="264"/>
      <c r="G2354" s="264"/>
    </row>
    <row r="2355" spans="5:7">
      <c r="E2355" s="264"/>
      <c r="G2355" s="264"/>
    </row>
    <row r="2356" spans="5:7">
      <c r="E2356" s="264"/>
      <c r="G2356" s="264"/>
    </row>
    <row r="2357" spans="5:7">
      <c r="E2357" s="264"/>
      <c r="G2357" s="264"/>
    </row>
    <row r="2358" spans="5:7">
      <c r="E2358" s="264"/>
      <c r="G2358" s="264"/>
    </row>
    <row r="2359" spans="5:7">
      <c r="E2359" s="264"/>
      <c r="G2359" s="264"/>
    </row>
    <row r="2360" spans="5:7">
      <c r="E2360" s="264"/>
      <c r="G2360" s="264"/>
    </row>
    <row r="2361" spans="5:7">
      <c r="E2361" s="264"/>
      <c r="G2361" s="264"/>
    </row>
    <row r="2362" spans="5:7">
      <c r="E2362" s="264"/>
      <c r="G2362" s="264"/>
    </row>
    <row r="2363" spans="5:7">
      <c r="E2363" s="264"/>
      <c r="G2363" s="264"/>
    </row>
    <row r="2364" spans="5:7">
      <c r="E2364" s="264"/>
      <c r="G2364" s="264"/>
    </row>
    <row r="2365" spans="5:7">
      <c r="E2365" s="264"/>
      <c r="G2365" s="264"/>
    </row>
    <row r="2366" spans="5:7">
      <c r="E2366" s="264"/>
      <c r="G2366" s="264"/>
    </row>
    <row r="2367" spans="5:7">
      <c r="E2367" s="264"/>
      <c r="G2367" s="264"/>
    </row>
    <row r="2368" spans="5:7">
      <c r="E2368" s="264"/>
      <c r="G2368" s="264"/>
    </row>
    <row r="2369" spans="5:7">
      <c r="E2369" s="264"/>
      <c r="G2369" s="264"/>
    </row>
    <row r="2370" spans="5:7">
      <c r="E2370" s="264"/>
      <c r="G2370" s="264"/>
    </row>
    <row r="2371" spans="5:7">
      <c r="E2371" s="264"/>
      <c r="G2371" s="264"/>
    </row>
    <row r="2372" spans="5:7">
      <c r="E2372" s="264"/>
      <c r="G2372" s="264"/>
    </row>
    <row r="2373" spans="5:7">
      <c r="E2373" s="264"/>
      <c r="G2373" s="264"/>
    </row>
    <row r="2374" spans="5:7">
      <c r="E2374" s="264"/>
      <c r="G2374" s="264"/>
    </row>
    <row r="2375" spans="5:7">
      <c r="E2375" s="264"/>
      <c r="G2375" s="264"/>
    </row>
    <row r="2376" spans="5:7">
      <c r="E2376" s="264"/>
      <c r="G2376" s="264"/>
    </row>
    <row r="2377" spans="5:7">
      <c r="E2377" s="264"/>
      <c r="G2377" s="264"/>
    </row>
    <row r="2378" spans="5:7">
      <c r="E2378" s="264"/>
      <c r="G2378" s="264"/>
    </row>
    <row r="2379" spans="5:7">
      <c r="E2379" s="264"/>
      <c r="G2379" s="264"/>
    </row>
    <row r="2380" spans="5:7">
      <c r="E2380" s="264"/>
      <c r="G2380" s="264"/>
    </row>
    <row r="2381" spans="5:7">
      <c r="E2381" s="264"/>
      <c r="G2381" s="264"/>
    </row>
    <row r="2382" spans="5:7">
      <c r="E2382" s="264"/>
      <c r="G2382" s="264"/>
    </row>
    <row r="2383" spans="5:7">
      <c r="E2383" s="264"/>
      <c r="G2383" s="264"/>
    </row>
    <row r="2384" spans="5:7">
      <c r="E2384" s="264"/>
      <c r="G2384" s="264"/>
    </row>
    <row r="2385" spans="5:7">
      <c r="E2385" s="264"/>
      <c r="G2385" s="264"/>
    </row>
    <row r="2386" spans="5:7">
      <c r="E2386" s="264"/>
      <c r="G2386" s="264"/>
    </row>
    <row r="2387" spans="5:7">
      <c r="E2387" s="264"/>
      <c r="G2387" s="264"/>
    </row>
    <row r="2388" spans="5:7">
      <c r="E2388" s="264"/>
      <c r="G2388" s="264"/>
    </row>
    <row r="2389" spans="5:7">
      <c r="E2389" s="264"/>
      <c r="G2389" s="264"/>
    </row>
    <row r="2390" spans="5:7">
      <c r="E2390" s="264"/>
      <c r="G2390" s="264"/>
    </row>
    <row r="2391" spans="5:7">
      <c r="E2391" s="264"/>
      <c r="G2391" s="264"/>
    </row>
    <row r="2392" spans="5:7">
      <c r="E2392" s="264"/>
      <c r="G2392" s="264"/>
    </row>
    <row r="2393" spans="5:7">
      <c r="E2393" s="264"/>
      <c r="G2393" s="264"/>
    </row>
    <row r="2394" spans="5:7">
      <c r="E2394" s="264"/>
      <c r="G2394" s="264"/>
    </row>
    <row r="2395" spans="5:7">
      <c r="E2395" s="264"/>
      <c r="G2395" s="264"/>
    </row>
    <row r="2396" spans="5:7">
      <c r="E2396" s="264"/>
      <c r="G2396" s="264"/>
    </row>
    <row r="2397" spans="5:7">
      <c r="E2397" s="264"/>
      <c r="G2397" s="264"/>
    </row>
    <row r="2398" spans="5:7">
      <c r="E2398" s="264"/>
      <c r="G2398" s="264"/>
    </row>
    <row r="2399" spans="5:7">
      <c r="E2399" s="264"/>
      <c r="G2399" s="264"/>
    </row>
    <row r="2400" spans="5:7">
      <c r="E2400" s="264"/>
      <c r="G2400" s="264"/>
    </row>
    <row r="2401" spans="5:7">
      <c r="E2401" s="264"/>
      <c r="G2401" s="264"/>
    </row>
    <row r="2402" spans="5:7">
      <c r="E2402" s="264"/>
      <c r="G2402" s="264"/>
    </row>
    <row r="2403" spans="5:7">
      <c r="E2403" s="264"/>
      <c r="G2403" s="264"/>
    </row>
    <row r="2404" spans="5:7">
      <c r="E2404" s="264"/>
      <c r="G2404" s="264"/>
    </row>
    <row r="2405" spans="5:7">
      <c r="E2405" s="264"/>
      <c r="G2405" s="264"/>
    </row>
    <row r="2406" spans="5:7">
      <c r="E2406" s="264"/>
      <c r="G2406" s="264"/>
    </row>
    <row r="2407" spans="5:7">
      <c r="E2407" s="264"/>
      <c r="G2407" s="264"/>
    </row>
    <row r="2408" spans="5:7">
      <c r="E2408" s="264"/>
      <c r="G2408" s="264"/>
    </row>
    <row r="2409" spans="5:7">
      <c r="E2409" s="264"/>
      <c r="G2409" s="264"/>
    </row>
    <row r="2410" spans="5:7">
      <c r="E2410" s="264"/>
      <c r="G2410" s="264"/>
    </row>
    <row r="2411" spans="5:7">
      <c r="E2411" s="264"/>
      <c r="G2411" s="264"/>
    </row>
    <row r="2412" spans="5:7">
      <c r="E2412" s="264"/>
      <c r="G2412" s="264"/>
    </row>
    <row r="2413" spans="5:7">
      <c r="E2413" s="264"/>
      <c r="G2413" s="264"/>
    </row>
    <row r="2414" spans="5:7">
      <c r="E2414" s="264"/>
      <c r="G2414" s="264"/>
    </row>
    <row r="2415" spans="5:7">
      <c r="E2415" s="264"/>
      <c r="G2415" s="264"/>
    </row>
    <row r="2416" spans="5:7">
      <c r="E2416" s="264"/>
      <c r="G2416" s="264"/>
    </row>
    <row r="2417" spans="5:7">
      <c r="E2417" s="264"/>
      <c r="G2417" s="264"/>
    </row>
    <row r="2418" spans="5:7">
      <c r="E2418" s="264"/>
      <c r="G2418" s="264"/>
    </row>
    <row r="2419" spans="5:7">
      <c r="E2419" s="264"/>
      <c r="G2419" s="264"/>
    </row>
    <row r="2420" spans="5:7">
      <c r="E2420" s="264"/>
      <c r="G2420" s="264"/>
    </row>
    <row r="2421" spans="5:7">
      <c r="E2421" s="264"/>
      <c r="G2421" s="264"/>
    </row>
    <row r="2422" spans="5:7">
      <c r="E2422" s="264"/>
      <c r="G2422" s="264"/>
    </row>
    <row r="2423" spans="5:7">
      <c r="E2423" s="264"/>
      <c r="G2423" s="264"/>
    </row>
    <row r="2424" spans="5:7">
      <c r="E2424" s="264"/>
      <c r="G2424" s="264"/>
    </row>
    <row r="2425" spans="5:7">
      <c r="E2425" s="264"/>
      <c r="G2425" s="264"/>
    </row>
    <row r="2426" spans="5:7">
      <c r="E2426" s="264"/>
      <c r="G2426" s="264"/>
    </row>
    <row r="2427" spans="5:7">
      <c r="E2427" s="264"/>
      <c r="G2427" s="264"/>
    </row>
    <row r="2428" spans="5:7">
      <c r="E2428" s="264"/>
      <c r="G2428" s="264"/>
    </row>
    <row r="2429" spans="5:7">
      <c r="E2429" s="264"/>
      <c r="G2429" s="264"/>
    </row>
    <row r="2430" spans="5:7">
      <c r="E2430" s="264"/>
      <c r="G2430" s="264"/>
    </row>
    <row r="2431" spans="5:7">
      <c r="E2431" s="264"/>
      <c r="G2431" s="264"/>
    </row>
    <row r="2432" spans="5:7">
      <c r="E2432" s="264"/>
      <c r="G2432" s="264"/>
    </row>
    <row r="2433" spans="5:7">
      <c r="E2433" s="264"/>
      <c r="G2433" s="264"/>
    </row>
    <row r="2434" spans="5:7">
      <c r="E2434" s="264"/>
      <c r="G2434" s="264"/>
    </row>
    <row r="2435" spans="5:7">
      <c r="E2435" s="264"/>
      <c r="G2435" s="264"/>
    </row>
    <row r="2436" spans="5:7">
      <c r="E2436" s="264"/>
      <c r="G2436" s="264"/>
    </row>
    <row r="2437" spans="5:7">
      <c r="E2437" s="264"/>
      <c r="G2437" s="264"/>
    </row>
    <row r="2438" spans="5:7">
      <c r="E2438" s="264"/>
      <c r="G2438" s="264"/>
    </row>
    <row r="2439" spans="5:7">
      <c r="E2439" s="264"/>
      <c r="G2439" s="264"/>
    </row>
    <row r="2440" spans="5:7">
      <c r="E2440" s="264"/>
      <c r="G2440" s="264"/>
    </row>
    <row r="2441" spans="5:7">
      <c r="E2441" s="264"/>
      <c r="G2441" s="264"/>
    </row>
    <row r="2442" spans="5:7">
      <c r="E2442" s="264"/>
      <c r="G2442" s="264"/>
    </row>
    <row r="2443" spans="5:7">
      <c r="E2443" s="264"/>
      <c r="G2443" s="264"/>
    </row>
    <row r="2444" spans="5:7">
      <c r="E2444" s="264"/>
      <c r="G2444" s="264"/>
    </row>
    <row r="2445" spans="5:7">
      <c r="E2445" s="264"/>
      <c r="G2445" s="264"/>
    </row>
    <row r="2446" spans="5:7">
      <c r="E2446" s="264"/>
      <c r="G2446" s="264"/>
    </row>
    <row r="2447" spans="5:7">
      <c r="E2447" s="264"/>
      <c r="G2447" s="264"/>
    </row>
    <row r="2448" spans="5:7">
      <c r="E2448" s="264"/>
      <c r="G2448" s="264"/>
    </row>
    <row r="2449" spans="5:7">
      <c r="E2449" s="264"/>
      <c r="G2449" s="264"/>
    </row>
    <row r="2450" spans="5:7">
      <c r="E2450" s="264"/>
      <c r="G2450" s="264"/>
    </row>
    <row r="2451" spans="5:7">
      <c r="E2451" s="264"/>
      <c r="G2451" s="264"/>
    </row>
    <row r="2452" spans="5:7">
      <c r="E2452" s="264"/>
      <c r="G2452" s="264"/>
    </row>
    <row r="2453" spans="5:7">
      <c r="E2453" s="264"/>
      <c r="G2453" s="264"/>
    </row>
    <row r="2454" spans="5:7">
      <c r="E2454" s="264"/>
      <c r="G2454" s="264"/>
    </row>
    <row r="2455" spans="5:7">
      <c r="E2455" s="264"/>
      <c r="G2455" s="264"/>
    </row>
    <row r="2456" spans="5:7">
      <c r="E2456" s="264"/>
      <c r="G2456" s="264"/>
    </row>
    <row r="2457" spans="5:7">
      <c r="E2457" s="264"/>
      <c r="G2457" s="264"/>
    </row>
    <row r="2458" spans="5:7">
      <c r="E2458" s="264"/>
      <c r="G2458" s="264"/>
    </row>
    <row r="2459" spans="5:7">
      <c r="E2459" s="264"/>
      <c r="G2459" s="264"/>
    </row>
    <row r="2460" spans="5:7">
      <c r="E2460" s="264"/>
      <c r="G2460" s="264"/>
    </row>
    <row r="2461" spans="5:7">
      <c r="E2461" s="264"/>
      <c r="G2461" s="264"/>
    </row>
    <row r="2462" spans="5:7">
      <c r="E2462" s="264"/>
      <c r="G2462" s="264"/>
    </row>
    <row r="2463" spans="5:7">
      <c r="E2463" s="264"/>
      <c r="G2463" s="264"/>
    </row>
    <row r="2464" spans="5:7">
      <c r="E2464" s="264"/>
      <c r="G2464" s="264"/>
    </row>
    <row r="2465" spans="5:7">
      <c r="E2465" s="264"/>
      <c r="G2465" s="264"/>
    </row>
    <row r="2466" spans="5:7">
      <c r="E2466" s="264"/>
      <c r="G2466" s="264"/>
    </row>
    <row r="2467" spans="5:7">
      <c r="E2467" s="264"/>
      <c r="G2467" s="264"/>
    </row>
    <row r="2468" spans="5:7">
      <c r="E2468" s="264"/>
      <c r="G2468" s="264"/>
    </row>
    <row r="2469" spans="5:7">
      <c r="E2469" s="264"/>
      <c r="G2469" s="264"/>
    </row>
    <row r="2470" spans="5:7">
      <c r="E2470" s="264"/>
      <c r="G2470" s="264"/>
    </row>
    <row r="2471" spans="5:7">
      <c r="E2471" s="264"/>
      <c r="G2471" s="264"/>
    </row>
    <row r="2472" spans="5:7">
      <c r="E2472" s="264"/>
      <c r="G2472" s="264"/>
    </row>
    <row r="2473" spans="5:7">
      <c r="E2473" s="264"/>
      <c r="G2473" s="264"/>
    </row>
    <row r="2474" spans="5:7">
      <c r="E2474" s="264"/>
      <c r="G2474" s="264"/>
    </row>
    <row r="2475" spans="5:7">
      <c r="E2475" s="264"/>
      <c r="G2475" s="264"/>
    </row>
    <row r="2476" spans="5:7">
      <c r="E2476" s="264"/>
      <c r="G2476" s="264"/>
    </row>
    <row r="2477" spans="5:7">
      <c r="E2477" s="264"/>
      <c r="G2477" s="264"/>
    </row>
    <row r="2478" spans="5:7">
      <c r="E2478" s="264"/>
      <c r="G2478" s="264"/>
    </row>
    <row r="2479" spans="5:7">
      <c r="E2479" s="264"/>
      <c r="G2479" s="264"/>
    </row>
    <row r="2480" spans="5:7">
      <c r="E2480" s="264"/>
      <c r="G2480" s="264"/>
    </row>
    <row r="2481" spans="5:7">
      <c r="E2481" s="264"/>
      <c r="G2481" s="264"/>
    </row>
    <row r="2482" spans="5:7">
      <c r="E2482" s="264"/>
      <c r="G2482" s="264"/>
    </row>
    <row r="2483" spans="5:7">
      <c r="E2483" s="264"/>
      <c r="G2483" s="264"/>
    </row>
    <row r="2484" spans="5:7">
      <c r="E2484" s="264"/>
      <c r="G2484" s="264"/>
    </row>
    <row r="2485" spans="5:7">
      <c r="E2485" s="264"/>
      <c r="G2485" s="264"/>
    </row>
    <row r="2486" spans="5:7">
      <c r="E2486" s="264"/>
      <c r="G2486" s="264"/>
    </row>
    <row r="2487" spans="5:7">
      <c r="E2487" s="264"/>
      <c r="G2487" s="264"/>
    </row>
    <row r="2488" spans="5:7">
      <c r="E2488" s="264"/>
      <c r="G2488" s="264"/>
    </row>
    <row r="2489" spans="5:7">
      <c r="E2489" s="264"/>
      <c r="G2489" s="264"/>
    </row>
    <row r="2490" spans="5:7">
      <c r="E2490" s="264"/>
      <c r="G2490" s="264"/>
    </row>
    <row r="2491" spans="5:7">
      <c r="E2491" s="264"/>
      <c r="G2491" s="264"/>
    </row>
    <row r="2492" spans="5:7">
      <c r="E2492" s="264"/>
      <c r="G2492" s="264"/>
    </row>
    <row r="2493" spans="5:7">
      <c r="E2493" s="264"/>
      <c r="G2493" s="264"/>
    </row>
    <row r="2494" spans="5:7">
      <c r="E2494" s="264"/>
      <c r="G2494" s="264"/>
    </row>
    <row r="2495" spans="5:7">
      <c r="E2495" s="264"/>
      <c r="G2495" s="264"/>
    </row>
    <row r="2496" spans="5:7">
      <c r="E2496" s="264"/>
      <c r="G2496" s="264"/>
    </row>
    <row r="2497" spans="5:7">
      <c r="E2497" s="264"/>
      <c r="G2497" s="264"/>
    </row>
    <row r="2498" spans="5:7">
      <c r="E2498" s="264"/>
      <c r="G2498" s="264"/>
    </row>
    <row r="2499" spans="5:7">
      <c r="E2499" s="264"/>
      <c r="G2499" s="264"/>
    </row>
    <row r="2500" spans="5:7">
      <c r="E2500" s="264"/>
      <c r="G2500" s="264"/>
    </row>
    <row r="2501" spans="5:7">
      <c r="E2501" s="264"/>
      <c r="G2501" s="264"/>
    </row>
    <row r="2502" spans="5:7">
      <c r="E2502" s="264"/>
      <c r="G2502" s="264"/>
    </row>
    <row r="2503" spans="5:7">
      <c r="E2503" s="264"/>
      <c r="G2503" s="264"/>
    </row>
    <row r="2504" spans="5:7">
      <c r="E2504" s="264"/>
      <c r="G2504" s="264"/>
    </row>
    <row r="2505" spans="5:7">
      <c r="E2505" s="264"/>
      <c r="G2505" s="264"/>
    </row>
    <row r="2506" spans="5:7">
      <c r="E2506" s="264"/>
      <c r="G2506" s="264"/>
    </row>
    <row r="2507" spans="5:7">
      <c r="E2507" s="264"/>
      <c r="G2507" s="264"/>
    </row>
    <row r="2508" spans="5:7">
      <c r="E2508" s="264"/>
      <c r="G2508" s="264"/>
    </row>
    <row r="2509" spans="5:7">
      <c r="E2509" s="264"/>
      <c r="G2509" s="264"/>
    </row>
    <row r="2510" spans="5:7">
      <c r="E2510" s="264"/>
      <c r="G2510" s="264"/>
    </row>
    <row r="2511" spans="5:7">
      <c r="E2511" s="264"/>
      <c r="G2511" s="264"/>
    </row>
    <row r="2512" spans="5:7">
      <c r="E2512" s="264"/>
      <c r="G2512" s="264"/>
    </row>
    <row r="2513" spans="5:7">
      <c r="E2513" s="264"/>
      <c r="G2513" s="264"/>
    </row>
    <row r="2514" spans="5:7">
      <c r="E2514" s="264"/>
      <c r="G2514" s="264"/>
    </row>
    <row r="2515" spans="5:7">
      <c r="E2515" s="264"/>
      <c r="G2515" s="264"/>
    </row>
    <row r="2516" spans="5:7">
      <c r="E2516" s="264"/>
      <c r="G2516" s="264"/>
    </row>
    <row r="2517" spans="5:7">
      <c r="E2517" s="264"/>
      <c r="G2517" s="264"/>
    </row>
    <row r="2518" spans="5:7">
      <c r="E2518" s="264"/>
      <c r="G2518" s="264"/>
    </row>
    <row r="2519" spans="5:7">
      <c r="E2519" s="264"/>
      <c r="G2519" s="264"/>
    </row>
    <row r="2520" spans="5:7">
      <c r="E2520" s="264"/>
      <c r="G2520" s="264"/>
    </row>
    <row r="2521" spans="5:7">
      <c r="E2521" s="264"/>
      <c r="G2521" s="264"/>
    </row>
    <row r="2522" spans="5:7">
      <c r="E2522" s="264"/>
      <c r="G2522" s="264"/>
    </row>
    <row r="2523" spans="5:7">
      <c r="E2523" s="264"/>
      <c r="G2523" s="264"/>
    </row>
    <row r="2524" spans="5:7">
      <c r="E2524" s="264"/>
      <c r="G2524" s="264"/>
    </row>
    <row r="2525" spans="5:7">
      <c r="E2525" s="264"/>
      <c r="G2525" s="264"/>
    </row>
    <row r="2526" spans="5:7">
      <c r="E2526" s="264"/>
      <c r="G2526" s="264"/>
    </row>
    <row r="2527" spans="5:7">
      <c r="E2527" s="264"/>
      <c r="G2527" s="264"/>
    </row>
    <row r="2528" spans="5:7">
      <c r="E2528" s="264"/>
      <c r="G2528" s="264"/>
    </row>
    <row r="2529" spans="5:7">
      <c r="E2529" s="264"/>
      <c r="G2529" s="264"/>
    </row>
    <row r="2530" spans="5:7">
      <c r="E2530" s="264"/>
      <c r="G2530" s="264"/>
    </row>
    <row r="2531" spans="5:7">
      <c r="E2531" s="264"/>
      <c r="G2531" s="264"/>
    </row>
    <row r="2532" spans="5:7">
      <c r="E2532" s="264"/>
      <c r="G2532" s="264"/>
    </row>
    <row r="2533" spans="5:7">
      <c r="E2533" s="264"/>
      <c r="G2533" s="264"/>
    </row>
    <row r="2534" spans="5:7">
      <c r="E2534" s="264"/>
      <c r="G2534" s="264"/>
    </row>
    <row r="2535" spans="5:7">
      <c r="E2535" s="264"/>
      <c r="G2535" s="264"/>
    </row>
    <row r="2536" spans="5:7">
      <c r="E2536" s="264"/>
      <c r="G2536" s="264"/>
    </row>
    <row r="2537" spans="5:7">
      <c r="E2537" s="264"/>
      <c r="G2537" s="264"/>
    </row>
    <row r="2538" spans="5:7">
      <c r="E2538" s="264"/>
      <c r="G2538" s="264"/>
    </row>
    <row r="2539" spans="5:7">
      <c r="E2539" s="264"/>
      <c r="G2539" s="264"/>
    </row>
    <row r="2540" spans="5:7">
      <c r="E2540" s="264"/>
      <c r="G2540" s="264"/>
    </row>
    <row r="2541" spans="5:7">
      <c r="E2541" s="264"/>
      <c r="G2541" s="264"/>
    </row>
    <row r="2542" spans="5:7">
      <c r="E2542" s="264"/>
      <c r="G2542" s="264"/>
    </row>
    <row r="2543" spans="5:7">
      <c r="E2543" s="264"/>
      <c r="G2543" s="264"/>
    </row>
    <row r="2544" spans="5:7">
      <c r="E2544" s="264"/>
      <c r="G2544" s="264"/>
    </row>
    <row r="2545" spans="5:7">
      <c r="E2545" s="264"/>
      <c r="G2545" s="264"/>
    </row>
    <row r="2546" spans="5:7">
      <c r="E2546" s="264"/>
      <c r="G2546" s="264"/>
    </row>
    <row r="2547" spans="5:7">
      <c r="E2547" s="264"/>
      <c r="G2547" s="264"/>
    </row>
    <row r="2548" spans="5:7">
      <c r="E2548" s="264"/>
      <c r="G2548" s="264"/>
    </row>
    <row r="2549" spans="5:7">
      <c r="E2549" s="264"/>
      <c r="G2549" s="264"/>
    </row>
    <row r="2550" spans="5:7">
      <c r="E2550" s="264"/>
      <c r="G2550" s="264"/>
    </row>
    <row r="2551" spans="5:7">
      <c r="E2551" s="264"/>
      <c r="G2551" s="264"/>
    </row>
    <row r="2552" spans="5:7">
      <c r="E2552" s="264"/>
      <c r="G2552" s="264"/>
    </row>
    <row r="2553" spans="5:7">
      <c r="E2553" s="264"/>
      <c r="G2553" s="264"/>
    </row>
    <row r="2554" spans="5:7">
      <c r="E2554" s="264"/>
      <c r="G2554" s="264"/>
    </row>
    <row r="2555" spans="5:7">
      <c r="E2555" s="264"/>
      <c r="G2555" s="264"/>
    </row>
    <row r="2556" spans="5:7">
      <c r="E2556" s="264"/>
      <c r="G2556" s="264"/>
    </row>
    <row r="2557" spans="5:7">
      <c r="E2557" s="264"/>
      <c r="G2557" s="264"/>
    </row>
    <row r="2558" spans="5:7">
      <c r="E2558" s="264"/>
      <c r="G2558" s="264"/>
    </row>
    <row r="2559" spans="5:7">
      <c r="E2559" s="264"/>
      <c r="G2559" s="264"/>
    </row>
    <row r="2560" spans="5:7">
      <c r="E2560" s="264"/>
      <c r="G2560" s="264"/>
    </row>
    <row r="2561" spans="5:7">
      <c r="E2561" s="264"/>
      <c r="G2561" s="264"/>
    </row>
    <row r="2562" spans="5:7">
      <c r="E2562" s="264"/>
      <c r="G2562" s="264"/>
    </row>
    <row r="2563" spans="5:7">
      <c r="E2563" s="264"/>
      <c r="G2563" s="264"/>
    </row>
    <row r="2564" spans="5:7">
      <c r="E2564" s="264"/>
      <c r="G2564" s="264"/>
    </row>
    <row r="2565" spans="5:7">
      <c r="E2565" s="264"/>
      <c r="G2565" s="264"/>
    </row>
    <row r="2566" spans="5:7">
      <c r="E2566" s="264"/>
      <c r="G2566" s="264"/>
    </row>
    <row r="2567" spans="5:7">
      <c r="E2567" s="264"/>
      <c r="G2567" s="264"/>
    </row>
    <row r="2568" spans="5:7">
      <c r="E2568" s="264"/>
      <c r="G2568" s="264"/>
    </row>
    <row r="2569" spans="5:7">
      <c r="E2569" s="264"/>
      <c r="G2569" s="264"/>
    </row>
    <row r="2570" spans="5:7">
      <c r="E2570" s="264"/>
      <c r="G2570" s="264"/>
    </row>
    <row r="2571" spans="5:7">
      <c r="E2571" s="264"/>
      <c r="G2571" s="264"/>
    </row>
    <row r="2572" spans="5:7">
      <c r="E2572" s="264"/>
      <c r="G2572" s="264"/>
    </row>
    <row r="2573" spans="5:7">
      <c r="E2573" s="264"/>
      <c r="G2573" s="264"/>
    </row>
    <row r="2574" spans="5:7">
      <c r="E2574" s="264"/>
      <c r="G2574" s="264"/>
    </row>
    <row r="2575" spans="5:7">
      <c r="E2575" s="264"/>
      <c r="G2575" s="264"/>
    </row>
    <row r="2576" spans="5:7">
      <c r="E2576" s="264"/>
      <c r="G2576" s="264"/>
    </row>
    <row r="2577" spans="5:7">
      <c r="E2577" s="264"/>
      <c r="G2577" s="264"/>
    </row>
    <row r="2578" spans="5:7">
      <c r="E2578" s="264"/>
      <c r="G2578" s="264"/>
    </row>
    <row r="2579" spans="5:7">
      <c r="E2579" s="264"/>
      <c r="G2579" s="264"/>
    </row>
    <row r="2580" spans="5:7">
      <c r="E2580" s="264"/>
      <c r="G2580" s="264"/>
    </row>
    <row r="2581" spans="5:7">
      <c r="E2581" s="264"/>
      <c r="G2581" s="264"/>
    </row>
    <row r="2582" spans="5:7">
      <c r="E2582" s="264"/>
      <c r="G2582" s="264"/>
    </row>
    <row r="2583" spans="5:7">
      <c r="E2583" s="264"/>
      <c r="G2583" s="264"/>
    </row>
    <row r="2584" spans="5:7">
      <c r="E2584" s="264"/>
      <c r="G2584" s="264"/>
    </row>
    <row r="2585" spans="5:7">
      <c r="E2585" s="264"/>
      <c r="G2585" s="264"/>
    </row>
    <row r="2586" spans="5:7">
      <c r="E2586" s="264"/>
      <c r="G2586" s="264"/>
    </row>
    <row r="2587" spans="5:7">
      <c r="E2587" s="264"/>
      <c r="G2587" s="264"/>
    </row>
    <row r="2588" spans="5:7">
      <c r="E2588" s="264"/>
      <c r="G2588" s="264"/>
    </row>
    <row r="2589" spans="5:7">
      <c r="E2589" s="264"/>
      <c r="G2589" s="264"/>
    </row>
    <row r="2590" spans="5:7">
      <c r="E2590" s="264"/>
      <c r="G2590" s="264"/>
    </row>
    <row r="2591" spans="5:7">
      <c r="E2591" s="264"/>
      <c r="G2591" s="264"/>
    </row>
    <row r="2592" spans="5:7">
      <c r="E2592" s="264"/>
      <c r="G2592" s="264"/>
    </row>
    <row r="2593" spans="5:7">
      <c r="E2593" s="264"/>
      <c r="G2593" s="264"/>
    </row>
    <row r="2594" spans="5:7">
      <c r="E2594" s="264"/>
      <c r="G2594" s="264"/>
    </row>
    <row r="2595" spans="5:7">
      <c r="E2595" s="264"/>
      <c r="G2595" s="264"/>
    </row>
    <row r="2596" spans="5:7">
      <c r="E2596" s="264"/>
      <c r="G2596" s="264"/>
    </row>
    <row r="2597" spans="5:7">
      <c r="E2597" s="264"/>
      <c r="G2597" s="264"/>
    </row>
    <row r="2598" spans="5:7">
      <c r="E2598" s="264"/>
      <c r="G2598" s="264"/>
    </row>
    <row r="2599" spans="5:7">
      <c r="E2599" s="264"/>
      <c r="G2599" s="264"/>
    </row>
    <row r="2600" spans="5:7">
      <c r="E2600" s="264"/>
      <c r="G2600" s="264"/>
    </row>
    <row r="2601" spans="5:7">
      <c r="E2601" s="264"/>
      <c r="G2601" s="264"/>
    </row>
    <row r="2602" spans="5:7">
      <c r="E2602" s="264"/>
      <c r="G2602" s="264"/>
    </row>
    <row r="2603" spans="5:7">
      <c r="E2603" s="264"/>
      <c r="G2603" s="264"/>
    </row>
    <row r="2604" spans="5:7">
      <c r="E2604" s="264"/>
      <c r="G2604" s="264"/>
    </row>
    <row r="2605" spans="5:7">
      <c r="E2605" s="264"/>
      <c r="G2605" s="264"/>
    </row>
    <row r="2606" spans="5:7">
      <c r="E2606" s="264"/>
      <c r="G2606" s="264"/>
    </row>
    <row r="2607" spans="5:7">
      <c r="E2607" s="264"/>
      <c r="G2607" s="264"/>
    </row>
    <row r="2608" spans="5:7">
      <c r="E2608" s="264"/>
      <c r="G2608" s="264"/>
    </row>
    <row r="2609" spans="5:7">
      <c r="E2609" s="264"/>
      <c r="G2609" s="264"/>
    </row>
    <row r="2610" spans="5:7">
      <c r="E2610" s="264"/>
      <c r="G2610" s="264"/>
    </row>
    <row r="2611" spans="5:7">
      <c r="E2611" s="264"/>
      <c r="G2611" s="264"/>
    </row>
    <row r="2612" spans="5:7">
      <c r="E2612" s="264"/>
      <c r="G2612" s="264"/>
    </row>
    <row r="2613" spans="5:7">
      <c r="E2613" s="264"/>
      <c r="G2613" s="264"/>
    </row>
    <row r="2614" spans="5:7">
      <c r="E2614" s="264"/>
      <c r="G2614" s="264"/>
    </row>
    <row r="2615" spans="5:7">
      <c r="E2615" s="264"/>
      <c r="G2615" s="264"/>
    </row>
    <row r="2616" spans="5:7">
      <c r="E2616" s="264"/>
      <c r="G2616" s="264"/>
    </row>
    <row r="2617" spans="5:7">
      <c r="E2617" s="264"/>
      <c r="G2617" s="264"/>
    </row>
    <row r="2618" spans="5:7">
      <c r="E2618" s="264"/>
      <c r="G2618" s="264"/>
    </row>
    <row r="2619" spans="5:7">
      <c r="E2619" s="264"/>
      <c r="G2619" s="264"/>
    </row>
    <row r="2620" spans="5:7">
      <c r="E2620" s="264"/>
      <c r="G2620" s="264"/>
    </row>
    <row r="2621" spans="5:7">
      <c r="E2621" s="264"/>
      <c r="G2621" s="264"/>
    </row>
    <row r="2622" spans="5:7">
      <c r="E2622" s="264"/>
      <c r="G2622" s="264"/>
    </row>
    <row r="2623" spans="5:7">
      <c r="E2623" s="264"/>
      <c r="G2623" s="264"/>
    </row>
    <row r="2624" spans="5:7">
      <c r="E2624" s="264"/>
      <c r="G2624" s="264"/>
    </row>
    <row r="2625" spans="5:7">
      <c r="E2625" s="264"/>
      <c r="G2625" s="264"/>
    </row>
    <row r="2626" spans="5:7">
      <c r="E2626" s="264"/>
      <c r="G2626" s="264"/>
    </row>
    <row r="2627" spans="5:7">
      <c r="E2627" s="264"/>
      <c r="G2627" s="264"/>
    </row>
    <row r="2628" spans="5:7">
      <c r="E2628" s="264"/>
      <c r="G2628" s="264"/>
    </row>
    <row r="2629" spans="5:7">
      <c r="E2629" s="264"/>
      <c r="G2629" s="264"/>
    </row>
    <row r="2630" spans="5:7">
      <c r="E2630" s="264"/>
      <c r="G2630" s="264"/>
    </row>
    <row r="2631" spans="5:7">
      <c r="E2631" s="264"/>
      <c r="G2631" s="264"/>
    </row>
    <row r="2632" spans="5:7">
      <c r="E2632" s="264"/>
      <c r="G2632" s="264"/>
    </row>
    <row r="2633" spans="5:7">
      <c r="E2633" s="264"/>
      <c r="G2633" s="264"/>
    </row>
    <row r="2634" spans="5:7">
      <c r="E2634" s="264"/>
      <c r="G2634" s="264"/>
    </row>
    <row r="2635" spans="5:7">
      <c r="E2635" s="264"/>
      <c r="G2635" s="264"/>
    </row>
    <row r="2636" spans="5:7">
      <c r="E2636" s="264"/>
      <c r="G2636" s="264"/>
    </row>
    <row r="2637" spans="5:7">
      <c r="E2637" s="264"/>
      <c r="G2637" s="264"/>
    </row>
    <row r="2638" spans="5:7">
      <c r="E2638" s="264"/>
      <c r="G2638" s="264"/>
    </row>
    <row r="2639" spans="5:7">
      <c r="E2639" s="264"/>
      <c r="G2639" s="264"/>
    </row>
    <row r="2640" spans="5:7">
      <c r="E2640" s="264"/>
      <c r="G2640" s="264"/>
    </row>
    <row r="2641" spans="5:7">
      <c r="E2641" s="264"/>
      <c r="G2641" s="264"/>
    </row>
    <row r="2642" spans="5:7">
      <c r="E2642" s="264"/>
      <c r="G2642" s="264"/>
    </row>
    <row r="2643" spans="5:7">
      <c r="E2643" s="264"/>
      <c r="G2643" s="264"/>
    </row>
    <row r="2644" spans="5:7">
      <c r="E2644" s="264"/>
      <c r="G2644" s="264"/>
    </row>
    <row r="2645" spans="5:7">
      <c r="E2645" s="264"/>
      <c r="G2645" s="264"/>
    </row>
    <row r="2646" spans="5:7">
      <c r="E2646" s="264"/>
      <c r="G2646" s="264"/>
    </row>
    <row r="2647" spans="5:7">
      <c r="E2647" s="264"/>
      <c r="G2647" s="264"/>
    </row>
    <row r="2648" spans="5:7">
      <c r="E2648" s="264"/>
      <c r="G2648" s="264"/>
    </row>
    <row r="2649" spans="5:7">
      <c r="E2649" s="264"/>
      <c r="G2649" s="264"/>
    </row>
    <row r="2650" spans="5:7">
      <c r="E2650" s="264"/>
      <c r="G2650" s="264"/>
    </row>
    <row r="2651" spans="5:7">
      <c r="E2651" s="264"/>
      <c r="G2651" s="264"/>
    </row>
    <row r="2652" spans="5:7">
      <c r="E2652" s="264"/>
      <c r="G2652" s="264"/>
    </row>
    <row r="2653" spans="5:7">
      <c r="E2653" s="264"/>
      <c r="G2653" s="264"/>
    </row>
    <row r="2654" spans="5:7">
      <c r="E2654" s="264"/>
      <c r="G2654" s="264"/>
    </row>
    <row r="2655" spans="5:7">
      <c r="E2655" s="264"/>
      <c r="G2655" s="264"/>
    </row>
    <row r="2656" spans="5:7">
      <c r="E2656" s="264"/>
      <c r="G2656" s="264"/>
    </row>
    <row r="2657" spans="5:7">
      <c r="E2657" s="264"/>
      <c r="G2657" s="264"/>
    </row>
    <row r="2658" spans="5:7">
      <c r="E2658" s="264"/>
      <c r="G2658" s="264"/>
    </row>
    <row r="2659" spans="5:7">
      <c r="E2659" s="264"/>
      <c r="G2659" s="264"/>
    </row>
    <row r="2660" spans="5:7">
      <c r="E2660" s="264"/>
      <c r="G2660" s="264"/>
    </row>
    <row r="2661" spans="5:7">
      <c r="E2661" s="264"/>
      <c r="G2661" s="264"/>
    </row>
    <row r="2662" spans="5:7">
      <c r="E2662" s="264"/>
      <c r="G2662" s="264"/>
    </row>
    <row r="2663" spans="5:7">
      <c r="E2663" s="264"/>
      <c r="G2663" s="264"/>
    </row>
    <row r="2664" spans="5:7">
      <c r="E2664" s="264"/>
      <c r="G2664" s="264"/>
    </row>
    <row r="2665" spans="5:7">
      <c r="E2665" s="264"/>
      <c r="G2665" s="264"/>
    </row>
    <row r="2666" spans="5:7">
      <c r="E2666" s="264"/>
      <c r="G2666" s="264"/>
    </row>
    <row r="2667" spans="5:7">
      <c r="E2667" s="264"/>
      <c r="G2667" s="264"/>
    </row>
    <row r="2668" spans="5:7">
      <c r="E2668" s="264"/>
      <c r="G2668" s="264"/>
    </row>
    <row r="2669" spans="5:7">
      <c r="E2669" s="264"/>
      <c r="G2669" s="264"/>
    </row>
    <row r="2670" spans="5:7">
      <c r="E2670" s="264"/>
      <c r="G2670" s="264"/>
    </row>
    <row r="2671" spans="5:7">
      <c r="E2671" s="264"/>
      <c r="G2671" s="264"/>
    </row>
    <row r="2672" spans="5:7">
      <c r="E2672" s="264"/>
      <c r="G2672" s="264"/>
    </row>
    <row r="2673" spans="5:7">
      <c r="E2673" s="264"/>
      <c r="G2673" s="264"/>
    </row>
    <row r="2674" spans="5:7">
      <c r="E2674" s="264"/>
      <c r="G2674" s="264"/>
    </row>
    <row r="2675" spans="5:7">
      <c r="E2675" s="264"/>
      <c r="G2675" s="264"/>
    </row>
    <row r="2676" spans="5:7">
      <c r="E2676" s="264"/>
      <c r="G2676" s="264"/>
    </row>
    <row r="2677" spans="5:7">
      <c r="E2677" s="264"/>
      <c r="G2677" s="264"/>
    </row>
    <row r="2678" spans="5:7">
      <c r="E2678" s="264"/>
      <c r="G2678" s="264"/>
    </row>
    <row r="2679" spans="5:7">
      <c r="E2679" s="264"/>
      <c r="G2679" s="264"/>
    </row>
    <row r="2680" spans="5:7">
      <c r="E2680" s="264"/>
      <c r="G2680" s="264"/>
    </row>
    <row r="2681" spans="5:7">
      <c r="E2681" s="264"/>
      <c r="G2681" s="264"/>
    </row>
    <row r="2682" spans="5:7">
      <c r="E2682" s="264"/>
      <c r="G2682" s="264"/>
    </row>
    <row r="2683" spans="5:7">
      <c r="E2683" s="264"/>
      <c r="G2683" s="264"/>
    </row>
    <row r="2684" spans="5:7">
      <c r="E2684" s="264"/>
      <c r="G2684" s="264"/>
    </row>
    <row r="2685" spans="5:7">
      <c r="E2685" s="264"/>
      <c r="G2685" s="264"/>
    </row>
    <row r="2686" spans="5:7">
      <c r="E2686" s="264"/>
      <c r="G2686" s="264"/>
    </row>
    <row r="2687" spans="5:7">
      <c r="E2687" s="264"/>
      <c r="G2687" s="264"/>
    </row>
    <row r="2688" spans="5:7">
      <c r="E2688" s="264"/>
      <c r="G2688" s="264"/>
    </row>
    <row r="2689" spans="5:7">
      <c r="E2689" s="264"/>
      <c r="G2689" s="264"/>
    </row>
    <row r="2690" spans="5:7">
      <c r="E2690" s="264"/>
      <c r="G2690" s="264"/>
    </row>
    <row r="2691" spans="5:7">
      <c r="E2691" s="264"/>
      <c r="G2691" s="264"/>
    </row>
    <row r="2692" spans="5:7">
      <c r="E2692" s="264"/>
      <c r="G2692" s="264"/>
    </row>
    <row r="2693" spans="5:7">
      <c r="E2693" s="264"/>
      <c r="G2693" s="264"/>
    </row>
    <row r="2694" spans="5:7">
      <c r="E2694" s="264"/>
      <c r="G2694" s="264"/>
    </row>
    <row r="2695" spans="5:7">
      <c r="E2695" s="264"/>
      <c r="G2695" s="264"/>
    </row>
    <row r="2696" spans="5:7">
      <c r="E2696" s="264"/>
      <c r="G2696" s="264"/>
    </row>
    <row r="2697" spans="5:7">
      <c r="E2697" s="264"/>
      <c r="G2697" s="264"/>
    </row>
    <row r="2698" spans="5:7">
      <c r="E2698" s="264"/>
      <c r="G2698" s="264"/>
    </row>
    <row r="2699" spans="5:7">
      <c r="E2699" s="264"/>
      <c r="G2699" s="264"/>
    </row>
    <row r="2700" spans="5:7">
      <c r="E2700" s="264"/>
      <c r="G2700" s="264"/>
    </row>
    <row r="2701" spans="5:7">
      <c r="E2701" s="264"/>
      <c r="G2701" s="264"/>
    </row>
    <row r="2702" spans="5:7">
      <c r="E2702" s="264"/>
      <c r="G2702" s="264"/>
    </row>
    <row r="2703" spans="5:7">
      <c r="E2703" s="264"/>
      <c r="G2703" s="264"/>
    </row>
    <row r="2704" spans="5:7">
      <c r="E2704" s="264"/>
      <c r="G2704" s="264"/>
    </row>
    <row r="2705" spans="5:7">
      <c r="E2705" s="264"/>
      <c r="G2705" s="264"/>
    </row>
    <row r="2706" spans="5:7">
      <c r="E2706" s="264"/>
      <c r="G2706" s="264"/>
    </row>
    <row r="2707" spans="5:7">
      <c r="E2707" s="264"/>
      <c r="G2707" s="264"/>
    </row>
    <row r="2708" spans="5:7">
      <c r="E2708" s="264"/>
      <c r="G2708" s="264"/>
    </row>
    <row r="2709" spans="5:7">
      <c r="E2709" s="264"/>
      <c r="G2709" s="264"/>
    </row>
    <row r="2710" spans="5:7">
      <c r="E2710" s="264"/>
      <c r="G2710" s="264"/>
    </row>
    <row r="2711" spans="5:7">
      <c r="E2711" s="264"/>
      <c r="G2711" s="264"/>
    </row>
    <row r="2712" spans="5:7">
      <c r="E2712" s="264"/>
      <c r="G2712" s="264"/>
    </row>
    <row r="2713" spans="5:7">
      <c r="E2713" s="264"/>
      <c r="G2713" s="264"/>
    </row>
    <row r="2714" spans="5:7">
      <c r="E2714" s="264"/>
      <c r="G2714" s="264"/>
    </row>
    <row r="2715" spans="5:7">
      <c r="E2715" s="264"/>
      <c r="G2715" s="264"/>
    </row>
    <row r="2716" spans="5:7">
      <c r="E2716" s="264"/>
      <c r="G2716" s="264"/>
    </row>
    <row r="2717" spans="5:7">
      <c r="E2717" s="264"/>
      <c r="G2717" s="264"/>
    </row>
    <row r="2718" spans="5:7">
      <c r="E2718" s="264"/>
      <c r="G2718" s="264"/>
    </row>
    <row r="2719" spans="5:7">
      <c r="E2719" s="264"/>
      <c r="G2719" s="264"/>
    </row>
    <row r="2720" spans="5:7">
      <c r="E2720" s="264"/>
      <c r="G2720" s="264"/>
    </row>
    <row r="2721" spans="5:7">
      <c r="E2721" s="264"/>
      <c r="G2721" s="264"/>
    </row>
    <row r="2722" spans="5:7">
      <c r="E2722" s="264"/>
      <c r="G2722" s="264"/>
    </row>
    <row r="2723" spans="5:7">
      <c r="E2723" s="264"/>
      <c r="G2723" s="264"/>
    </row>
    <row r="2724" spans="5:7">
      <c r="E2724" s="264"/>
      <c r="G2724" s="264"/>
    </row>
    <row r="2725" spans="5:7">
      <c r="E2725" s="264"/>
      <c r="G2725" s="264"/>
    </row>
    <row r="2726" spans="5:7">
      <c r="E2726" s="264"/>
      <c r="G2726" s="264"/>
    </row>
    <row r="2727" spans="5:7">
      <c r="E2727" s="264"/>
      <c r="G2727" s="264"/>
    </row>
    <row r="2728" spans="5:7">
      <c r="E2728" s="264"/>
      <c r="G2728" s="264"/>
    </row>
    <row r="2729" spans="5:7">
      <c r="E2729" s="264"/>
      <c r="G2729" s="264"/>
    </row>
    <row r="2730" spans="5:7">
      <c r="E2730" s="264"/>
      <c r="G2730" s="264"/>
    </row>
    <row r="2731" spans="5:7">
      <c r="E2731" s="264"/>
      <c r="G2731" s="264"/>
    </row>
    <row r="2732" spans="5:7">
      <c r="E2732" s="264"/>
      <c r="G2732" s="264"/>
    </row>
    <row r="2733" spans="5:7">
      <c r="E2733" s="264"/>
      <c r="G2733" s="264"/>
    </row>
    <row r="2734" spans="5:7">
      <c r="E2734" s="264"/>
      <c r="G2734" s="264"/>
    </row>
    <row r="2735" spans="5:7">
      <c r="E2735" s="264"/>
      <c r="G2735" s="264"/>
    </row>
    <row r="2736" spans="5:7">
      <c r="E2736" s="264"/>
      <c r="G2736" s="264"/>
    </row>
    <row r="2737" spans="5:7">
      <c r="E2737" s="264"/>
      <c r="G2737" s="264"/>
    </row>
    <row r="2738" spans="5:7">
      <c r="E2738" s="264"/>
      <c r="G2738" s="264"/>
    </row>
    <row r="2739" spans="5:7">
      <c r="E2739" s="264"/>
      <c r="G2739" s="264"/>
    </row>
    <row r="2740" spans="5:7">
      <c r="E2740" s="264"/>
      <c r="G2740" s="264"/>
    </row>
    <row r="2741" spans="5:7">
      <c r="E2741" s="264"/>
      <c r="G2741" s="264"/>
    </row>
    <row r="2742" spans="5:7">
      <c r="E2742" s="264"/>
      <c r="G2742" s="264"/>
    </row>
    <row r="2743" spans="5:7">
      <c r="E2743" s="264"/>
      <c r="G2743" s="264"/>
    </row>
    <row r="2744" spans="5:7">
      <c r="E2744" s="264"/>
      <c r="G2744" s="264"/>
    </row>
    <row r="2745" spans="5:7">
      <c r="E2745" s="264"/>
      <c r="G2745" s="264"/>
    </row>
    <row r="2746" spans="5:7">
      <c r="E2746" s="264"/>
      <c r="G2746" s="264"/>
    </row>
    <row r="2747" spans="5:7">
      <c r="E2747" s="264"/>
      <c r="G2747" s="264"/>
    </row>
    <row r="2748" spans="5:7">
      <c r="E2748" s="264"/>
      <c r="G2748" s="264"/>
    </row>
    <row r="2749" spans="5:7">
      <c r="E2749" s="264"/>
      <c r="G2749" s="264"/>
    </row>
    <row r="2750" spans="5:7">
      <c r="E2750" s="264"/>
      <c r="G2750" s="264"/>
    </row>
    <row r="2751" spans="5:7">
      <c r="E2751" s="264"/>
      <c r="G2751" s="264"/>
    </row>
    <row r="2752" spans="5:7">
      <c r="E2752" s="264"/>
      <c r="G2752" s="264"/>
    </row>
    <row r="2753" spans="5:7">
      <c r="E2753" s="264"/>
      <c r="G2753" s="264"/>
    </row>
    <row r="2754" spans="5:7">
      <c r="E2754" s="264"/>
      <c r="G2754" s="264"/>
    </row>
    <row r="2755" spans="5:7">
      <c r="E2755" s="264"/>
      <c r="G2755" s="264"/>
    </row>
    <row r="2756" spans="5:7">
      <c r="E2756" s="264"/>
      <c r="G2756" s="264"/>
    </row>
    <row r="2757" spans="5:7">
      <c r="E2757" s="264"/>
      <c r="G2757" s="264"/>
    </row>
    <row r="2758" spans="5:7">
      <c r="E2758" s="264"/>
      <c r="G2758" s="264"/>
    </row>
    <row r="2759" spans="5:7">
      <c r="E2759" s="264"/>
      <c r="G2759" s="264"/>
    </row>
    <row r="2760" spans="5:7">
      <c r="E2760" s="264"/>
      <c r="G2760" s="264"/>
    </row>
    <row r="2761" spans="5:7">
      <c r="E2761" s="264"/>
      <c r="G2761" s="264"/>
    </row>
    <row r="2762" spans="5:7">
      <c r="E2762" s="264"/>
      <c r="G2762" s="264"/>
    </row>
    <row r="2763" spans="5:7">
      <c r="E2763" s="264"/>
      <c r="G2763" s="264"/>
    </row>
    <row r="2764" spans="5:7">
      <c r="E2764" s="264"/>
      <c r="G2764" s="264"/>
    </row>
    <row r="2765" spans="5:7">
      <c r="E2765" s="264"/>
      <c r="G2765" s="264"/>
    </row>
    <row r="2766" spans="5:7">
      <c r="E2766" s="264"/>
      <c r="G2766" s="264"/>
    </row>
    <row r="2767" spans="5:7">
      <c r="E2767" s="264"/>
      <c r="G2767" s="264"/>
    </row>
    <row r="2768" spans="5:7">
      <c r="E2768" s="264"/>
      <c r="G2768" s="264"/>
    </row>
    <row r="2769" spans="5:7">
      <c r="E2769" s="264"/>
      <c r="G2769" s="264"/>
    </row>
    <row r="2770" spans="5:7">
      <c r="E2770" s="264"/>
      <c r="G2770" s="264"/>
    </row>
    <row r="2771" spans="5:7">
      <c r="E2771" s="264"/>
      <c r="G2771" s="264"/>
    </row>
    <row r="2772" spans="5:7">
      <c r="E2772" s="264"/>
      <c r="G2772" s="264"/>
    </row>
    <row r="2773" spans="5:7">
      <c r="E2773" s="264"/>
      <c r="G2773" s="264"/>
    </row>
    <row r="2774" spans="5:7">
      <c r="E2774" s="264"/>
      <c r="G2774" s="264"/>
    </row>
    <row r="2775" spans="5:7">
      <c r="E2775" s="264"/>
      <c r="G2775" s="264"/>
    </row>
    <row r="2776" spans="5:7">
      <c r="E2776" s="264"/>
      <c r="G2776" s="264"/>
    </row>
    <row r="2777" spans="5:7">
      <c r="E2777" s="264"/>
      <c r="G2777" s="264"/>
    </row>
    <row r="2778" spans="5:7">
      <c r="E2778" s="264"/>
      <c r="G2778" s="264"/>
    </row>
    <row r="2779" spans="5:7">
      <c r="E2779" s="264"/>
      <c r="G2779" s="264"/>
    </row>
    <row r="2780" spans="5:7">
      <c r="E2780" s="264"/>
      <c r="G2780" s="264"/>
    </row>
    <row r="2781" spans="5:7">
      <c r="E2781" s="264"/>
      <c r="G2781" s="264"/>
    </row>
    <row r="2782" spans="5:7">
      <c r="E2782" s="264"/>
      <c r="G2782" s="264"/>
    </row>
    <row r="2783" spans="5:7">
      <c r="E2783" s="264"/>
      <c r="G2783" s="264"/>
    </row>
    <row r="2784" spans="5:7">
      <c r="E2784" s="264"/>
      <c r="G2784" s="264"/>
    </row>
    <row r="2785" spans="5:7">
      <c r="E2785" s="264"/>
      <c r="G2785" s="264"/>
    </row>
    <row r="2786" spans="5:7">
      <c r="E2786" s="264"/>
      <c r="G2786" s="264"/>
    </row>
    <row r="2787" spans="5:7">
      <c r="E2787" s="264"/>
      <c r="G2787" s="264"/>
    </row>
    <row r="2788" spans="5:7">
      <c r="E2788" s="264"/>
      <c r="G2788" s="264"/>
    </row>
    <row r="2789" spans="5:7">
      <c r="E2789" s="264"/>
      <c r="G2789" s="264"/>
    </row>
    <row r="2790" spans="5:7">
      <c r="E2790" s="264"/>
      <c r="G2790" s="264"/>
    </row>
    <row r="2791" spans="5:7">
      <c r="E2791" s="264"/>
      <c r="G2791" s="264"/>
    </row>
    <row r="2792" spans="5:7">
      <c r="E2792" s="264"/>
      <c r="G2792" s="264"/>
    </row>
    <row r="2793" spans="5:7">
      <c r="E2793" s="264"/>
      <c r="G2793" s="264"/>
    </row>
    <row r="2794" spans="5:7">
      <c r="E2794" s="264"/>
      <c r="G2794" s="264"/>
    </row>
    <row r="2795" spans="5:7">
      <c r="E2795" s="264"/>
      <c r="G2795" s="264"/>
    </row>
    <row r="2796" spans="5:7">
      <c r="E2796" s="264"/>
      <c r="G2796" s="264"/>
    </row>
    <row r="2797" spans="5:7">
      <c r="E2797" s="264"/>
      <c r="G2797" s="264"/>
    </row>
    <row r="2798" spans="5:7">
      <c r="E2798" s="264"/>
      <c r="G2798" s="264"/>
    </row>
    <row r="2799" spans="5:7">
      <c r="E2799" s="264"/>
      <c r="G2799" s="264"/>
    </row>
    <row r="2800" spans="5:7">
      <c r="E2800" s="264"/>
      <c r="G2800" s="264"/>
    </row>
    <row r="2801" spans="5:7">
      <c r="E2801" s="264"/>
      <c r="G2801" s="264"/>
    </row>
    <row r="2802" spans="5:7">
      <c r="E2802" s="264"/>
      <c r="G2802" s="264"/>
    </row>
    <row r="2803" spans="5:7">
      <c r="E2803" s="264"/>
      <c r="G2803" s="264"/>
    </row>
    <row r="2804" spans="5:7">
      <c r="E2804" s="264"/>
      <c r="G2804" s="264"/>
    </row>
    <row r="2805" spans="5:7">
      <c r="E2805" s="264"/>
      <c r="G2805" s="264"/>
    </row>
    <row r="2806" spans="5:7">
      <c r="E2806" s="264"/>
      <c r="G2806" s="264"/>
    </row>
    <row r="2807" spans="5:7">
      <c r="E2807" s="264"/>
      <c r="G2807" s="264"/>
    </row>
    <row r="2808" spans="5:7">
      <c r="E2808" s="264"/>
      <c r="G2808" s="264"/>
    </row>
    <row r="2809" spans="5:7">
      <c r="E2809" s="264"/>
      <c r="G2809" s="264"/>
    </row>
    <row r="2810" spans="5:7">
      <c r="E2810" s="264"/>
      <c r="G2810" s="264"/>
    </row>
    <row r="2811" spans="5:7">
      <c r="E2811" s="264"/>
      <c r="G2811" s="264"/>
    </row>
    <row r="2812" spans="5:7">
      <c r="E2812" s="264"/>
      <c r="G2812" s="264"/>
    </row>
    <row r="2813" spans="5:7">
      <c r="E2813" s="264"/>
      <c r="G2813" s="264"/>
    </row>
    <row r="2814" spans="5:7">
      <c r="E2814" s="264"/>
      <c r="G2814" s="264"/>
    </row>
    <row r="2815" spans="5:7">
      <c r="E2815" s="264"/>
      <c r="G2815" s="264"/>
    </row>
    <row r="2816" spans="5:7">
      <c r="E2816" s="264"/>
      <c r="G2816" s="264"/>
    </row>
    <row r="2817" spans="5:7">
      <c r="E2817" s="264"/>
      <c r="G2817" s="264"/>
    </row>
    <row r="2818" spans="5:7">
      <c r="E2818" s="264"/>
      <c r="G2818" s="264"/>
    </row>
    <row r="2819" spans="5:7">
      <c r="E2819" s="264"/>
      <c r="G2819" s="264"/>
    </row>
    <row r="2820" spans="5:7">
      <c r="E2820" s="264"/>
      <c r="G2820" s="264"/>
    </row>
    <row r="2821" spans="5:7">
      <c r="E2821" s="264"/>
      <c r="G2821" s="264"/>
    </row>
    <row r="2822" spans="5:7">
      <c r="E2822" s="264"/>
      <c r="G2822" s="264"/>
    </row>
    <row r="2823" spans="5:7">
      <c r="E2823" s="264"/>
      <c r="G2823" s="264"/>
    </row>
    <row r="2824" spans="5:7">
      <c r="E2824" s="264"/>
      <c r="G2824" s="264"/>
    </row>
    <row r="2825" spans="5:7">
      <c r="E2825" s="264"/>
      <c r="G2825" s="264"/>
    </row>
    <row r="2826" spans="5:7">
      <c r="E2826" s="264"/>
      <c r="G2826" s="264"/>
    </row>
    <row r="2827" spans="5:7">
      <c r="E2827" s="264"/>
      <c r="G2827" s="264"/>
    </row>
    <row r="2828" spans="5:7">
      <c r="E2828" s="264"/>
      <c r="G2828" s="264"/>
    </row>
    <row r="2829" spans="5:7">
      <c r="E2829" s="264"/>
      <c r="G2829" s="264"/>
    </row>
    <row r="2830" spans="5:7">
      <c r="E2830" s="264"/>
      <c r="G2830" s="264"/>
    </row>
    <row r="2831" spans="5:7">
      <c r="E2831" s="264"/>
      <c r="G2831" s="264"/>
    </row>
    <row r="2832" spans="5:7">
      <c r="E2832" s="264"/>
      <c r="G2832" s="264"/>
    </row>
    <row r="2833" spans="5:7">
      <c r="E2833" s="264"/>
      <c r="G2833" s="264"/>
    </row>
    <row r="2834" spans="5:7">
      <c r="E2834" s="264"/>
      <c r="G2834" s="264"/>
    </row>
    <row r="2835" spans="5:7">
      <c r="E2835" s="264"/>
      <c r="G2835" s="264"/>
    </row>
    <row r="2836" spans="5:7">
      <c r="E2836" s="264"/>
      <c r="G2836" s="264"/>
    </row>
    <row r="2837" spans="5:7">
      <c r="E2837" s="264"/>
      <c r="G2837" s="264"/>
    </row>
    <row r="2838" spans="5:7">
      <c r="E2838" s="264"/>
      <c r="G2838" s="264"/>
    </row>
    <row r="2839" spans="5:7">
      <c r="E2839" s="264"/>
      <c r="G2839" s="264"/>
    </row>
    <row r="2840" spans="5:7">
      <c r="E2840" s="264"/>
      <c r="G2840" s="264"/>
    </row>
    <row r="2841" spans="5:7">
      <c r="E2841" s="264"/>
      <c r="G2841" s="264"/>
    </row>
    <row r="2842" spans="5:7">
      <c r="E2842" s="264"/>
      <c r="G2842" s="264"/>
    </row>
    <row r="2843" spans="5:7">
      <c r="E2843" s="264"/>
      <c r="G2843" s="264"/>
    </row>
    <row r="2844" spans="5:7">
      <c r="E2844" s="264"/>
      <c r="G2844" s="264"/>
    </row>
    <row r="2845" spans="5:7">
      <c r="E2845" s="264"/>
      <c r="G2845" s="264"/>
    </row>
    <row r="2846" spans="5:7">
      <c r="E2846" s="264"/>
      <c r="G2846" s="264"/>
    </row>
    <row r="2847" spans="5:7">
      <c r="E2847" s="264"/>
      <c r="G2847" s="264"/>
    </row>
    <row r="2848" spans="5:7">
      <c r="E2848" s="264"/>
      <c r="G2848" s="264"/>
    </row>
    <row r="2849" spans="5:7">
      <c r="E2849" s="264"/>
      <c r="G2849" s="264"/>
    </row>
    <row r="2850" spans="5:7">
      <c r="E2850" s="264"/>
      <c r="G2850" s="264"/>
    </row>
    <row r="2851" spans="5:7">
      <c r="E2851" s="264"/>
      <c r="G2851" s="264"/>
    </row>
    <row r="2852" spans="5:7">
      <c r="E2852" s="264"/>
      <c r="G2852" s="264"/>
    </row>
    <row r="2853" spans="5:7">
      <c r="E2853" s="264"/>
      <c r="G2853" s="264"/>
    </row>
    <row r="2854" spans="5:7">
      <c r="E2854" s="264"/>
      <c r="G2854" s="264"/>
    </row>
    <row r="2855" spans="5:7">
      <c r="E2855" s="264"/>
      <c r="G2855" s="264"/>
    </row>
    <row r="2856" spans="5:7">
      <c r="E2856" s="264"/>
      <c r="G2856" s="264"/>
    </row>
    <row r="2857" spans="5:7">
      <c r="E2857" s="264"/>
      <c r="G2857" s="264"/>
    </row>
    <row r="2858" spans="5:7">
      <c r="E2858" s="264"/>
      <c r="G2858" s="264"/>
    </row>
    <row r="2859" spans="5:7">
      <c r="E2859" s="264"/>
      <c r="G2859" s="264"/>
    </row>
    <row r="2860" spans="5:7">
      <c r="E2860" s="264"/>
      <c r="G2860" s="264"/>
    </row>
    <row r="2861" spans="5:7">
      <c r="E2861" s="264"/>
      <c r="G2861" s="264"/>
    </row>
    <row r="2862" spans="5:7">
      <c r="E2862" s="264"/>
      <c r="G2862" s="264"/>
    </row>
    <row r="2863" spans="5:7">
      <c r="E2863" s="264"/>
      <c r="G2863" s="264"/>
    </row>
    <row r="2864" spans="5:7">
      <c r="E2864" s="264"/>
      <c r="G2864" s="264"/>
    </row>
    <row r="2865" spans="5:7">
      <c r="E2865" s="264"/>
      <c r="G2865" s="264"/>
    </row>
    <row r="2866" spans="5:7">
      <c r="E2866" s="264"/>
      <c r="G2866" s="264"/>
    </row>
    <row r="2867" spans="5:7">
      <c r="E2867" s="264"/>
      <c r="G2867" s="264"/>
    </row>
    <row r="2868" spans="5:7">
      <c r="E2868" s="264"/>
      <c r="G2868" s="264"/>
    </row>
    <row r="2869" spans="5:7">
      <c r="E2869" s="264"/>
      <c r="G2869" s="264"/>
    </row>
    <row r="2870" spans="5:7">
      <c r="E2870" s="264"/>
      <c r="G2870" s="264"/>
    </row>
    <row r="2871" spans="5:7">
      <c r="E2871" s="264"/>
      <c r="G2871" s="264"/>
    </row>
    <row r="2872" spans="5:7">
      <c r="E2872" s="264"/>
      <c r="G2872" s="264"/>
    </row>
    <row r="2873" spans="5:7">
      <c r="E2873" s="264"/>
      <c r="G2873" s="264"/>
    </row>
    <row r="2874" spans="5:7">
      <c r="E2874" s="264"/>
      <c r="G2874" s="264"/>
    </row>
    <row r="2875" spans="5:7">
      <c r="E2875" s="264"/>
      <c r="G2875" s="264"/>
    </row>
    <row r="2876" spans="5:7">
      <c r="E2876" s="264"/>
      <c r="G2876" s="264"/>
    </row>
    <row r="2877" spans="5:7">
      <c r="E2877" s="264"/>
      <c r="G2877" s="264"/>
    </row>
    <row r="2878" spans="5:7">
      <c r="E2878" s="264"/>
      <c r="G2878" s="264"/>
    </row>
    <row r="2879" spans="5:7">
      <c r="E2879" s="264"/>
      <c r="G2879" s="264"/>
    </row>
    <row r="2880" spans="5:7">
      <c r="E2880" s="264"/>
      <c r="G2880" s="264"/>
    </row>
    <row r="2881" spans="5:7">
      <c r="E2881" s="264"/>
      <c r="G2881" s="264"/>
    </row>
    <row r="2882" spans="5:7">
      <c r="E2882" s="264"/>
      <c r="G2882" s="264"/>
    </row>
    <row r="2883" spans="5:7">
      <c r="E2883" s="264"/>
      <c r="G2883" s="264"/>
    </row>
    <row r="2884" spans="5:7">
      <c r="E2884" s="264"/>
      <c r="G2884" s="264"/>
    </row>
    <row r="2885" spans="5:7">
      <c r="E2885" s="264"/>
      <c r="G2885" s="264"/>
    </row>
    <row r="2886" spans="5:7">
      <c r="E2886" s="264"/>
      <c r="G2886" s="264"/>
    </row>
    <row r="2887" spans="5:7">
      <c r="E2887" s="264"/>
      <c r="G2887" s="264"/>
    </row>
    <row r="2888" spans="5:7">
      <c r="E2888" s="264"/>
      <c r="G2888" s="264"/>
    </row>
    <row r="2889" spans="5:7">
      <c r="E2889" s="264"/>
      <c r="G2889" s="264"/>
    </row>
    <row r="2890" spans="5:7">
      <c r="E2890" s="264"/>
      <c r="G2890" s="264"/>
    </row>
    <row r="2891" spans="5:7">
      <c r="E2891" s="264"/>
      <c r="G2891" s="264"/>
    </row>
    <row r="2892" spans="5:7">
      <c r="E2892" s="264"/>
      <c r="G2892" s="264"/>
    </row>
    <row r="2893" spans="5:7">
      <c r="E2893" s="264"/>
      <c r="G2893" s="264"/>
    </row>
    <row r="2894" spans="5:7">
      <c r="E2894" s="264"/>
      <c r="G2894" s="264"/>
    </row>
    <row r="2895" spans="5:7">
      <c r="E2895" s="264"/>
      <c r="G2895" s="264"/>
    </row>
    <row r="2896" spans="5:7">
      <c r="E2896" s="264"/>
      <c r="G2896" s="264"/>
    </row>
    <row r="2897" spans="5:7">
      <c r="E2897" s="264"/>
      <c r="G2897" s="264"/>
    </row>
    <row r="2898" spans="5:7">
      <c r="E2898" s="264"/>
      <c r="G2898" s="264"/>
    </row>
    <row r="2899" spans="5:7">
      <c r="E2899" s="264"/>
      <c r="G2899" s="264"/>
    </row>
    <row r="2900" spans="5:7">
      <c r="E2900" s="264"/>
      <c r="G2900" s="264"/>
    </row>
    <row r="2901" spans="5:7">
      <c r="E2901" s="264"/>
      <c r="G2901" s="264"/>
    </row>
    <row r="2902" spans="5:7">
      <c r="E2902" s="264"/>
      <c r="G2902" s="264"/>
    </row>
    <row r="2903" spans="5:7">
      <c r="E2903" s="264"/>
      <c r="G2903" s="264"/>
    </row>
    <row r="2904" spans="5:7">
      <c r="E2904" s="264"/>
      <c r="G2904" s="264"/>
    </row>
    <row r="2905" spans="5:7">
      <c r="E2905" s="264"/>
      <c r="G2905" s="264"/>
    </row>
    <row r="2906" spans="5:7">
      <c r="E2906" s="264"/>
      <c r="G2906" s="264"/>
    </row>
    <row r="2907" spans="5:7">
      <c r="E2907" s="264"/>
      <c r="G2907" s="264"/>
    </row>
    <row r="2908" spans="5:7">
      <c r="E2908" s="264"/>
      <c r="G2908" s="264"/>
    </row>
    <row r="2909" spans="5:7">
      <c r="E2909" s="264"/>
      <c r="G2909" s="264"/>
    </row>
    <row r="2910" spans="5:7">
      <c r="E2910" s="264"/>
      <c r="G2910" s="264"/>
    </row>
    <row r="2911" spans="5:7">
      <c r="E2911" s="264"/>
      <c r="G2911" s="264"/>
    </row>
    <row r="2912" spans="5:7">
      <c r="E2912" s="264"/>
      <c r="G2912" s="264"/>
    </row>
    <row r="2913" spans="5:7">
      <c r="E2913" s="264"/>
      <c r="G2913" s="264"/>
    </row>
    <row r="2914" spans="5:7">
      <c r="E2914" s="264"/>
      <c r="G2914" s="264"/>
    </row>
    <row r="2915" spans="5:7">
      <c r="E2915" s="264"/>
      <c r="G2915" s="264"/>
    </row>
    <row r="2916" spans="5:7">
      <c r="E2916" s="264"/>
      <c r="G2916" s="264"/>
    </row>
    <row r="2917" spans="5:7">
      <c r="E2917" s="264"/>
      <c r="G2917" s="264"/>
    </row>
    <row r="2918" spans="5:7">
      <c r="E2918" s="264"/>
      <c r="G2918" s="264"/>
    </row>
    <row r="2919" spans="5:7">
      <c r="E2919" s="264"/>
      <c r="G2919" s="264"/>
    </row>
    <row r="2920" spans="5:7">
      <c r="E2920" s="264"/>
      <c r="G2920" s="264"/>
    </row>
    <row r="2921" spans="5:7">
      <c r="E2921" s="264"/>
      <c r="G2921" s="264"/>
    </row>
    <row r="2922" spans="5:7">
      <c r="E2922" s="264"/>
      <c r="G2922" s="264"/>
    </row>
    <row r="2923" spans="5:7">
      <c r="E2923" s="264"/>
      <c r="G2923" s="264"/>
    </row>
    <row r="2924" spans="5:7">
      <c r="E2924" s="264"/>
      <c r="G2924" s="264"/>
    </row>
    <row r="2925" spans="5:7">
      <c r="E2925" s="264"/>
      <c r="G2925" s="264"/>
    </row>
    <row r="2926" spans="5:7">
      <c r="E2926" s="264"/>
      <c r="G2926" s="264"/>
    </row>
    <row r="2927" spans="5:7">
      <c r="E2927" s="264"/>
      <c r="G2927" s="264"/>
    </row>
    <row r="2928" spans="5:7">
      <c r="E2928" s="264"/>
      <c r="G2928" s="264"/>
    </row>
    <row r="2929" spans="5:7">
      <c r="E2929" s="264"/>
      <c r="G2929" s="264"/>
    </row>
    <row r="2930" spans="5:7">
      <c r="E2930" s="264"/>
      <c r="G2930" s="264"/>
    </row>
    <row r="2931" spans="5:7">
      <c r="E2931" s="264"/>
      <c r="G2931" s="264"/>
    </row>
    <row r="2932" spans="5:7">
      <c r="E2932" s="264"/>
      <c r="G2932" s="264"/>
    </row>
    <row r="2933" spans="5:7">
      <c r="E2933" s="264"/>
      <c r="G2933" s="264"/>
    </row>
    <row r="2934" spans="5:7">
      <c r="E2934" s="264"/>
      <c r="G2934" s="264"/>
    </row>
    <row r="2935" spans="5:7">
      <c r="E2935" s="264"/>
      <c r="G2935" s="264"/>
    </row>
    <row r="2936" spans="5:7">
      <c r="E2936" s="264"/>
      <c r="G2936" s="264"/>
    </row>
    <row r="2937" spans="5:7">
      <c r="E2937" s="264"/>
      <c r="G2937" s="264"/>
    </row>
    <row r="2938" spans="5:7">
      <c r="E2938" s="264"/>
      <c r="G2938" s="264"/>
    </row>
    <row r="2939" spans="5:7">
      <c r="E2939" s="264"/>
      <c r="G2939" s="264"/>
    </row>
    <row r="2940" spans="5:7">
      <c r="E2940" s="264"/>
      <c r="G2940" s="264"/>
    </row>
    <row r="2941" spans="5:7">
      <c r="E2941" s="264"/>
      <c r="G2941" s="264"/>
    </row>
    <row r="2942" spans="5:7">
      <c r="E2942" s="264"/>
      <c r="G2942" s="264"/>
    </row>
    <row r="2943" spans="5:7">
      <c r="E2943" s="264"/>
      <c r="G2943" s="264"/>
    </row>
    <row r="2944" spans="5:7">
      <c r="E2944" s="264"/>
      <c r="G2944" s="264"/>
    </row>
    <row r="2945" spans="5:7">
      <c r="E2945" s="264"/>
      <c r="G2945" s="264"/>
    </row>
    <row r="2946" spans="5:7">
      <c r="E2946" s="264"/>
      <c r="G2946" s="264"/>
    </row>
    <row r="2947" spans="5:7">
      <c r="E2947" s="264"/>
      <c r="G2947" s="264"/>
    </row>
    <row r="2948" spans="5:7">
      <c r="E2948" s="264"/>
      <c r="G2948" s="264"/>
    </row>
    <row r="2949" spans="5:7">
      <c r="E2949" s="264"/>
      <c r="G2949" s="264"/>
    </row>
    <row r="2950" spans="5:7">
      <c r="E2950" s="264"/>
      <c r="G2950" s="264"/>
    </row>
    <row r="2951" spans="5:7">
      <c r="E2951" s="264"/>
      <c r="G2951" s="264"/>
    </row>
    <row r="2952" spans="5:7">
      <c r="E2952" s="264"/>
      <c r="G2952" s="264"/>
    </row>
    <row r="2953" spans="5:7">
      <c r="E2953" s="264"/>
      <c r="G2953" s="264"/>
    </row>
    <row r="2954" spans="5:7">
      <c r="E2954" s="264"/>
      <c r="G2954" s="264"/>
    </row>
    <row r="2955" spans="5:7">
      <c r="E2955" s="264"/>
      <c r="G2955" s="264"/>
    </row>
    <row r="2956" spans="5:7">
      <c r="E2956" s="264"/>
      <c r="G2956" s="264"/>
    </row>
    <row r="2957" spans="5:7">
      <c r="E2957" s="264"/>
      <c r="G2957" s="264"/>
    </row>
    <row r="2958" spans="5:7">
      <c r="E2958" s="264"/>
      <c r="G2958" s="264"/>
    </row>
    <row r="2959" spans="5:7">
      <c r="E2959" s="264"/>
      <c r="G2959" s="264"/>
    </row>
    <row r="2960" spans="5:7">
      <c r="E2960" s="264"/>
      <c r="G2960" s="264"/>
    </row>
    <row r="2961" spans="5:7">
      <c r="E2961" s="264"/>
      <c r="G2961" s="264"/>
    </row>
    <row r="2962" spans="5:7">
      <c r="E2962" s="264"/>
      <c r="G2962" s="264"/>
    </row>
    <row r="2963" spans="5:7">
      <c r="E2963" s="264"/>
      <c r="G2963" s="264"/>
    </row>
    <row r="2964" spans="5:7">
      <c r="E2964" s="264"/>
      <c r="G2964" s="264"/>
    </row>
    <row r="2965" spans="5:7">
      <c r="E2965" s="264"/>
      <c r="G2965" s="264"/>
    </row>
    <row r="2966" spans="5:7">
      <c r="E2966" s="264"/>
      <c r="G2966" s="264"/>
    </row>
    <row r="2967" spans="5:7">
      <c r="E2967" s="264"/>
      <c r="G2967" s="264"/>
    </row>
    <row r="2968" spans="5:7">
      <c r="E2968" s="264"/>
      <c r="G2968" s="264"/>
    </row>
    <row r="2969" spans="5:7">
      <c r="E2969" s="264"/>
      <c r="G2969" s="264"/>
    </row>
    <row r="2970" spans="5:7">
      <c r="E2970" s="264"/>
      <c r="G2970" s="264"/>
    </row>
    <row r="2971" spans="5:7">
      <c r="E2971" s="264"/>
      <c r="G2971" s="264"/>
    </row>
    <row r="2972" spans="5:7">
      <c r="E2972" s="264"/>
      <c r="G2972" s="264"/>
    </row>
    <row r="2973" spans="5:7">
      <c r="E2973" s="264"/>
      <c r="G2973" s="264"/>
    </row>
    <row r="2974" spans="5:7">
      <c r="E2974" s="264"/>
      <c r="G2974" s="264"/>
    </row>
    <row r="2975" spans="5:7">
      <c r="E2975" s="264"/>
      <c r="G2975" s="264"/>
    </row>
    <row r="2976" spans="5:7">
      <c r="E2976" s="264"/>
      <c r="G2976" s="264"/>
    </row>
    <row r="2977" spans="5:7">
      <c r="E2977" s="264"/>
      <c r="G2977" s="264"/>
    </row>
    <row r="2978" spans="5:7">
      <c r="E2978" s="264"/>
      <c r="G2978" s="264"/>
    </row>
    <row r="2979" spans="5:7">
      <c r="E2979" s="264"/>
      <c r="G2979" s="264"/>
    </row>
    <row r="2980" spans="5:7">
      <c r="E2980" s="264"/>
      <c r="G2980" s="264"/>
    </row>
    <row r="2981" spans="5:7">
      <c r="E2981" s="264"/>
      <c r="G2981" s="264"/>
    </row>
    <row r="2982" spans="5:7">
      <c r="E2982" s="264"/>
      <c r="G2982" s="264"/>
    </row>
    <row r="2983" spans="5:7">
      <c r="E2983" s="264"/>
      <c r="G2983" s="264"/>
    </row>
    <row r="2984" spans="5:7">
      <c r="E2984" s="264"/>
      <c r="G2984" s="264"/>
    </row>
    <row r="2985" spans="5:7">
      <c r="E2985" s="264"/>
      <c r="G2985" s="264"/>
    </row>
    <row r="2986" spans="5:7">
      <c r="E2986" s="264"/>
      <c r="G2986" s="264"/>
    </row>
    <row r="2987" spans="5:7">
      <c r="E2987" s="264"/>
      <c r="G2987" s="264"/>
    </row>
    <row r="2988" spans="5:7">
      <c r="E2988" s="264"/>
      <c r="G2988" s="264"/>
    </row>
    <row r="2989" spans="5:7">
      <c r="E2989" s="264"/>
      <c r="G2989" s="264"/>
    </row>
    <row r="2990" spans="5:7">
      <c r="E2990" s="264"/>
      <c r="G2990" s="264"/>
    </row>
    <row r="2991" spans="5:7">
      <c r="E2991" s="264"/>
      <c r="G2991" s="264"/>
    </row>
    <row r="2992" spans="5:7">
      <c r="E2992" s="264"/>
      <c r="G2992" s="264"/>
    </row>
    <row r="2993" spans="5:7">
      <c r="E2993" s="264"/>
      <c r="G2993" s="264"/>
    </row>
    <row r="2994" spans="5:7">
      <c r="E2994" s="264"/>
      <c r="G2994" s="264"/>
    </row>
    <row r="2995" spans="5:7">
      <c r="E2995" s="264"/>
      <c r="G2995" s="264"/>
    </row>
    <row r="2996" spans="5:7">
      <c r="E2996" s="264"/>
      <c r="G2996" s="264"/>
    </row>
    <row r="2997" spans="5:7">
      <c r="E2997" s="264"/>
      <c r="G2997" s="264"/>
    </row>
    <row r="2998" spans="5:7">
      <c r="E2998" s="264"/>
      <c r="G2998" s="264"/>
    </row>
    <row r="2999" spans="5:7">
      <c r="E2999" s="264"/>
      <c r="G2999" s="264"/>
    </row>
    <row r="3000" spans="5:7">
      <c r="E3000" s="264"/>
      <c r="G3000" s="264"/>
    </row>
    <row r="3001" spans="5:7">
      <c r="E3001" s="264"/>
      <c r="G3001" s="264"/>
    </row>
    <row r="3002" spans="5:7">
      <c r="E3002" s="264"/>
      <c r="G3002" s="264"/>
    </row>
    <row r="3003" spans="5:7">
      <c r="E3003" s="264"/>
      <c r="G3003" s="264"/>
    </row>
    <row r="3004" spans="5:7">
      <c r="E3004" s="264"/>
      <c r="G3004" s="264"/>
    </row>
    <row r="3005" spans="5:7">
      <c r="E3005" s="264"/>
      <c r="G3005" s="264"/>
    </row>
    <row r="3006" spans="5:7">
      <c r="E3006" s="264"/>
      <c r="G3006" s="264"/>
    </row>
    <row r="3007" spans="5:7">
      <c r="E3007" s="264"/>
      <c r="G3007" s="264"/>
    </row>
    <row r="3008" spans="5:7">
      <c r="E3008" s="264"/>
      <c r="G3008" s="264"/>
    </row>
    <row r="3009" spans="5:7">
      <c r="E3009" s="264"/>
      <c r="G3009" s="264"/>
    </row>
    <row r="3010" spans="5:7">
      <c r="E3010" s="264"/>
      <c r="G3010" s="264"/>
    </row>
    <row r="3011" spans="5:7">
      <c r="E3011" s="264"/>
      <c r="G3011" s="264"/>
    </row>
    <row r="3012" spans="5:7">
      <c r="E3012" s="264"/>
      <c r="G3012" s="264"/>
    </row>
    <row r="3013" spans="5:7">
      <c r="E3013" s="264"/>
      <c r="G3013" s="264"/>
    </row>
    <row r="3014" spans="5:7">
      <c r="E3014" s="264"/>
      <c r="G3014" s="264"/>
    </row>
    <row r="3015" spans="5:7">
      <c r="E3015" s="264"/>
      <c r="G3015" s="264"/>
    </row>
    <row r="3016" spans="5:7">
      <c r="E3016" s="264"/>
      <c r="G3016" s="264"/>
    </row>
    <row r="3017" spans="5:7">
      <c r="E3017" s="264"/>
      <c r="G3017" s="264"/>
    </row>
    <row r="3018" spans="5:7">
      <c r="E3018" s="264"/>
      <c r="G3018" s="264"/>
    </row>
    <row r="3019" spans="5:7">
      <c r="E3019" s="264"/>
      <c r="G3019" s="264"/>
    </row>
    <row r="3020" spans="5:7">
      <c r="E3020" s="264"/>
      <c r="G3020" s="264"/>
    </row>
    <row r="3021" spans="5:7">
      <c r="E3021" s="264"/>
      <c r="G3021" s="264"/>
    </row>
    <row r="3022" spans="5:7">
      <c r="E3022" s="264"/>
      <c r="G3022" s="264"/>
    </row>
    <row r="3023" spans="5:7">
      <c r="E3023" s="264"/>
      <c r="G3023" s="264"/>
    </row>
    <row r="3024" spans="5:7">
      <c r="E3024" s="264"/>
      <c r="G3024" s="264"/>
    </row>
    <row r="3025" spans="5:7">
      <c r="E3025" s="264"/>
      <c r="G3025" s="264"/>
    </row>
    <row r="3026" spans="5:7">
      <c r="E3026" s="264"/>
      <c r="G3026" s="264"/>
    </row>
    <row r="3027" spans="5:7">
      <c r="E3027" s="264"/>
      <c r="G3027" s="264"/>
    </row>
    <row r="3028" spans="5:7">
      <c r="E3028" s="264"/>
      <c r="G3028" s="264"/>
    </row>
    <row r="3029" spans="5:7">
      <c r="E3029" s="264"/>
      <c r="G3029" s="264"/>
    </row>
    <row r="3030" spans="5:7">
      <c r="E3030" s="264"/>
      <c r="G3030" s="264"/>
    </row>
    <row r="3031" spans="5:7">
      <c r="E3031" s="264"/>
      <c r="G3031" s="264"/>
    </row>
    <row r="3032" spans="5:7">
      <c r="E3032" s="264"/>
      <c r="G3032" s="264"/>
    </row>
    <row r="3033" spans="5:7">
      <c r="E3033" s="264"/>
      <c r="G3033" s="264"/>
    </row>
    <row r="3034" spans="5:7">
      <c r="E3034" s="264"/>
      <c r="G3034" s="264"/>
    </row>
    <row r="3035" spans="5:7">
      <c r="E3035" s="264"/>
      <c r="G3035" s="264"/>
    </row>
    <row r="3036" spans="5:7">
      <c r="E3036" s="264"/>
      <c r="G3036" s="264"/>
    </row>
    <row r="3037" spans="5:7">
      <c r="E3037" s="264"/>
      <c r="G3037" s="264"/>
    </row>
    <row r="3038" spans="5:7">
      <c r="E3038" s="264"/>
      <c r="G3038" s="264"/>
    </row>
    <row r="3039" spans="5:7">
      <c r="E3039" s="264"/>
      <c r="G3039" s="264"/>
    </row>
    <row r="3040" spans="5:7">
      <c r="E3040" s="264"/>
      <c r="G3040" s="264"/>
    </row>
    <row r="3041" spans="5:7">
      <c r="E3041" s="264"/>
      <c r="G3041" s="264"/>
    </row>
    <row r="3042" spans="5:7">
      <c r="E3042" s="264"/>
      <c r="G3042" s="264"/>
    </row>
    <row r="3043" spans="5:7">
      <c r="E3043" s="264"/>
      <c r="G3043" s="264"/>
    </row>
    <row r="3044" spans="5:7">
      <c r="E3044" s="264"/>
      <c r="G3044" s="264"/>
    </row>
    <row r="3045" spans="5:7">
      <c r="E3045" s="264"/>
      <c r="G3045" s="264"/>
    </row>
    <row r="3046" spans="5:7">
      <c r="E3046" s="264"/>
      <c r="G3046" s="264"/>
    </row>
    <row r="3047" spans="5:7">
      <c r="E3047" s="264"/>
      <c r="G3047" s="264"/>
    </row>
    <row r="3048" spans="5:7">
      <c r="E3048" s="264"/>
      <c r="G3048" s="264"/>
    </row>
    <row r="3049" spans="5:7">
      <c r="E3049" s="264"/>
      <c r="G3049" s="264"/>
    </row>
    <row r="3050" spans="5:7">
      <c r="E3050" s="264"/>
      <c r="G3050" s="264"/>
    </row>
    <row r="3051" spans="5:7">
      <c r="E3051" s="264"/>
      <c r="G3051" s="264"/>
    </row>
    <row r="3052" spans="5:7">
      <c r="E3052" s="264"/>
      <c r="G3052" s="264"/>
    </row>
    <row r="3053" spans="5:7">
      <c r="E3053" s="264"/>
      <c r="G3053" s="264"/>
    </row>
    <row r="3054" spans="5:7">
      <c r="E3054" s="264"/>
      <c r="G3054" s="264"/>
    </row>
    <row r="3055" spans="5:7">
      <c r="E3055" s="264"/>
      <c r="G3055" s="264"/>
    </row>
    <row r="3056" spans="5:7">
      <c r="E3056" s="264"/>
      <c r="G3056" s="264"/>
    </row>
    <row r="3057" spans="5:7">
      <c r="E3057" s="264"/>
      <c r="G3057" s="264"/>
    </row>
    <row r="3058" spans="5:7">
      <c r="E3058" s="264"/>
      <c r="G3058" s="264"/>
    </row>
    <row r="3059" spans="5:7">
      <c r="E3059" s="264"/>
      <c r="G3059" s="264"/>
    </row>
    <row r="3060" spans="5:7">
      <c r="E3060" s="264"/>
      <c r="G3060" s="264"/>
    </row>
    <row r="3061" spans="5:7">
      <c r="E3061" s="264"/>
      <c r="G3061" s="264"/>
    </row>
    <row r="3062" spans="5:7">
      <c r="E3062" s="264"/>
      <c r="G3062" s="264"/>
    </row>
    <row r="3063" spans="5:7">
      <c r="E3063" s="264"/>
      <c r="G3063" s="264"/>
    </row>
    <row r="3064" spans="5:7">
      <c r="E3064" s="264"/>
      <c r="G3064" s="264"/>
    </row>
    <row r="3065" spans="5:7">
      <c r="E3065" s="264"/>
      <c r="G3065" s="264"/>
    </row>
    <row r="3066" spans="5:7">
      <c r="E3066" s="264"/>
      <c r="G3066" s="264"/>
    </row>
    <row r="3067" spans="5:7">
      <c r="E3067" s="264"/>
      <c r="G3067" s="264"/>
    </row>
    <row r="3068" spans="5:7">
      <c r="E3068" s="264"/>
      <c r="G3068" s="264"/>
    </row>
    <row r="3069" spans="5:7">
      <c r="E3069" s="264"/>
      <c r="G3069" s="264"/>
    </row>
    <row r="3070" spans="5:7">
      <c r="E3070" s="264"/>
      <c r="G3070" s="264"/>
    </row>
    <row r="3071" spans="5:7">
      <c r="E3071" s="264"/>
      <c r="G3071" s="264"/>
    </row>
    <row r="3072" spans="5:7">
      <c r="E3072" s="264"/>
      <c r="G3072" s="264"/>
    </row>
    <row r="3073" spans="5:7">
      <c r="E3073" s="264"/>
      <c r="G3073" s="264"/>
    </row>
    <row r="3074" spans="5:7">
      <c r="E3074" s="264"/>
      <c r="G3074" s="264"/>
    </row>
    <row r="3075" spans="5:7">
      <c r="E3075" s="264"/>
      <c r="G3075" s="264"/>
    </row>
    <row r="3076" spans="5:7">
      <c r="E3076" s="264"/>
      <c r="G3076" s="264"/>
    </row>
    <row r="3077" spans="5:7">
      <c r="E3077" s="264"/>
      <c r="G3077" s="264"/>
    </row>
    <row r="3078" spans="5:7">
      <c r="E3078" s="264"/>
      <c r="G3078" s="264"/>
    </row>
    <row r="3079" spans="5:7">
      <c r="E3079" s="264"/>
      <c r="G3079" s="264"/>
    </row>
    <row r="3080" spans="5:7">
      <c r="E3080" s="264"/>
      <c r="G3080" s="264"/>
    </row>
    <row r="3081" spans="5:7">
      <c r="E3081" s="264"/>
      <c r="G3081" s="264"/>
    </row>
    <row r="3082" spans="5:7">
      <c r="E3082" s="264"/>
      <c r="G3082" s="264"/>
    </row>
    <row r="3083" spans="5:7">
      <c r="E3083" s="264"/>
      <c r="G3083" s="264"/>
    </row>
    <row r="3084" spans="5:7">
      <c r="E3084" s="264"/>
      <c r="G3084" s="264"/>
    </row>
    <row r="3085" spans="5:7">
      <c r="E3085" s="264"/>
      <c r="G3085" s="264"/>
    </row>
    <row r="3086" spans="5:7">
      <c r="E3086" s="264"/>
      <c r="G3086" s="264"/>
    </row>
    <row r="3087" spans="5:7">
      <c r="E3087" s="264"/>
      <c r="G3087" s="264"/>
    </row>
    <row r="3088" spans="5:7">
      <c r="E3088" s="264"/>
      <c r="G3088" s="264"/>
    </row>
    <row r="3089" spans="5:7">
      <c r="E3089" s="264"/>
      <c r="G3089" s="264"/>
    </row>
    <row r="3090" spans="5:7">
      <c r="E3090" s="264"/>
      <c r="G3090" s="264"/>
    </row>
    <row r="3091" spans="5:7">
      <c r="E3091" s="264"/>
      <c r="G3091" s="264"/>
    </row>
    <row r="3092" spans="5:7">
      <c r="E3092" s="264"/>
      <c r="G3092" s="264"/>
    </row>
    <row r="3093" spans="5:7">
      <c r="E3093" s="264"/>
      <c r="G3093" s="264"/>
    </row>
    <row r="3094" spans="5:7">
      <c r="E3094" s="264"/>
      <c r="G3094" s="264"/>
    </row>
    <row r="3095" spans="5:7">
      <c r="E3095" s="264"/>
      <c r="G3095" s="264"/>
    </row>
    <row r="3096" spans="5:7">
      <c r="E3096" s="264"/>
      <c r="G3096" s="264"/>
    </row>
    <row r="3097" spans="5:7">
      <c r="E3097" s="264"/>
      <c r="G3097" s="264"/>
    </row>
    <row r="3098" spans="5:7">
      <c r="E3098" s="264"/>
      <c r="G3098" s="264"/>
    </row>
    <row r="3099" spans="5:7">
      <c r="E3099" s="264"/>
      <c r="G3099" s="264"/>
    </row>
    <row r="3100" spans="5:7">
      <c r="E3100" s="264"/>
      <c r="G3100" s="264"/>
    </row>
    <row r="3101" spans="5:7">
      <c r="E3101" s="264"/>
      <c r="G3101" s="264"/>
    </row>
    <row r="3102" spans="5:7">
      <c r="E3102" s="264"/>
      <c r="G3102" s="264"/>
    </row>
    <row r="3103" spans="5:7">
      <c r="E3103" s="264"/>
      <c r="G3103" s="264"/>
    </row>
    <row r="3104" spans="5:7">
      <c r="E3104" s="264"/>
      <c r="G3104" s="264"/>
    </row>
    <row r="3105" spans="5:7">
      <c r="E3105" s="264"/>
      <c r="G3105" s="264"/>
    </row>
    <row r="3106" spans="5:7">
      <c r="E3106" s="264"/>
      <c r="G3106" s="264"/>
    </row>
    <row r="3107" spans="5:7">
      <c r="E3107" s="264"/>
      <c r="G3107" s="264"/>
    </row>
    <row r="3108" spans="5:7">
      <c r="E3108" s="264"/>
      <c r="G3108" s="264"/>
    </row>
    <row r="3109" spans="5:7">
      <c r="E3109" s="264"/>
      <c r="G3109" s="264"/>
    </row>
    <row r="3110" spans="5:7">
      <c r="E3110" s="264"/>
      <c r="G3110" s="264"/>
    </row>
    <row r="3111" spans="5:7">
      <c r="E3111" s="264"/>
      <c r="G3111" s="264"/>
    </row>
    <row r="3112" spans="5:7">
      <c r="E3112" s="264"/>
      <c r="G3112" s="264"/>
    </row>
    <row r="3113" spans="5:7">
      <c r="E3113" s="264"/>
      <c r="G3113" s="264"/>
    </row>
    <row r="3114" spans="5:7">
      <c r="E3114" s="264"/>
      <c r="G3114" s="264"/>
    </row>
    <row r="3115" spans="5:7">
      <c r="E3115" s="264"/>
      <c r="G3115" s="264"/>
    </row>
    <row r="3116" spans="5:7">
      <c r="E3116" s="264"/>
      <c r="G3116" s="264"/>
    </row>
    <row r="3117" spans="5:7">
      <c r="E3117" s="264"/>
      <c r="G3117" s="264"/>
    </row>
    <row r="3118" spans="5:7">
      <c r="E3118" s="264"/>
      <c r="G3118" s="264"/>
    </row>
    <row r="3119" spans="5:7">
      <c r="E3119" s="264"/>
      <c r="G3119" s="264"/>
    </row>
    <row r="3120" spans="5:7">
      <c r="E3120" s="264"/>
      <c r="G3120" s="264"/>
    </row>
    <row r="3121" spans="5:7">
      <c r="E3121" s="264"/>
      <c r="G3121" s="264"/>
    </row>
    <row r="3122" spans="5:7">
      <c r="E3122" s="264"/>
      <c r="G3122" s="264"/>
    </row>
    <row r="3123" spans="5:7">
      <c r="E3123" s="264"/>
      <c r="G3123" s="264"/>
    </row>
    <row r="3124" spans="5:7">
      <c r="E3124" s="264"/>
      <c r="G3124" s="264"/>
    </row>
    <row r="3125" spans="5:7">
      <c r="E3125" s="264"/>
      <c r="G3125" s="264"/>
    </row>
    <row r="3126" spans="5:7">
      <c r="E3126" s="264"/>
      <c r="G3126" s="264"/>
    </row>
    <row r="3127" spans="5:7">
      <c r="E3127" s="264"/>
      <c r="G3127" s="264"/>
    </row>
    <row r="3128" spans="5:7">
      <c r="E3128" s="264"/>
      <c r="G3128" s="264"/>
    </row>
    <row r="3129" spans="5:7">
      <c r="E3129" s="264"/>
      <c r="G3129" s="264"/>
    </row>
    <row r="3130" spans="5:7">
      <c r="E3130" s="264"/>
      <c r="G3130" s="264"/>
    </row>
    <row r="3131" spans="5:7">
      <c r="E3131" s="264"/>
      <c r="G3131" s="264"/>
    </row>
    <row r="3132" spans="5:7">
      <c r="E3132" s="264"/>
      <c r="G3132" s="264"/>
    </row>
    <row r="3133" spans="5:7">
      <c r="E3133" s="264"/>
      <c r="G3133" s="264"/>
    </row>
    <row r="3134" spans="5:7">
      <c r="E3134" s="264"/>
      <c r="G3134" s="264"/>
    </row>
    <row r="3135" spans="5:7">
      <c r="E3135" s="264"/>
      <c r="G3135" s="264"/>
    </row>
    <row r="3136" spans="5:7">
      <c r="E3136" s="264"/>
      <c r="G3136" s="264"/>
    </row>
    <row r="3137" spans="5:7">
      <c r="E3137" s="264"/>
      <c r="G3137" s="264"/>
    </row>
    <row r="3138" spans="5:7">
      <c r="E3138" s="264"/>
      <c r="G3138" s="264"/>
    </row>
    <row r="3139" spans="5:7">
      <c r="E3139" s="264"/>
      <c r="G3139" s="264"/>
    </row>
    <row r="3140" spans="5:7">
      <c r="E3140" s="264"/>
      <c r="G3140" s="264"/>
    </row>
    <row r="3141" spans="5:7">
      <c r="E3141" s="264"/>
      <c r="G3141" s="264"/>
    </row>
    <row r="3142" spans="5:7">
      <c r="E3142" s="264"/>
      <c r="G3142" s="264"/>
    </row>
    <row r="3143" spans="5:7">
      <c r="E3143" s="264"/>
      <c r="G3143" s="264"/>
    </row>
    <row r="3144" spans="5:7">
      <c r="E3144" s="264"/>
      <c r="G3144" s="264"/>
    </row>
    <row r="3145" spans="5:7">
      <c r="E3145" s="264"/>
      <c r="G3145" s="264"/>
    </row>
    <row r="3146" spans="5:7">
      <c r="E3146" s="264"/>
      <c r="G3146" s="264"/>
    </row>
    <row r="3147" spans="5:7">
      <c r="E3147" s="264"/>
      <c r="G3147" s="264"/>
    </row>
    <row r="3148" spans="5:7">
      <c r="E3148" s="264"/>
      <c r="G3148" s="264"/>
    </row>
    <row r="3149" spans="5:7">
      <c r="E3149" s="264"/>
      <c r="G3149" s="264"/>
    </row>
    <row r="3150" spans="5:7">
      <c r="E3150" s="264"/>
      <c r="G3150" s="264"/>
    </row>
    <row r="3151" spans="5:7">
      <c r="E3151" s="264"/>
      <c r="G3151" s="264"/>
    </row>
    <row r="3152" spans="5:7">
      <c r="E3152" s="264"/>
      <c r="G3152" s="264"/>
    </row>
    <row r="3153" spans="5:7">
      <c r="E3153" s="264"/>
      <c r="G3153" s="264"/>
    </row>
    <row r="3154" spans="5:7">
      <c r="E3154" s="264"/>
      <c r="G3154" s="264"/>
    </row>
    <row r="3155" spans="5:7">
      <c r="E3155" s="264"/>
      <c r="G3155" s="264"/>
    </row>
    <row r="3156" spans="5:7">
      <c r="E3156" s="264"/>
      <c r="G3156" s="264"/>
    </row>
    <row r="3157" spans="5:7">
      <c r="E3157" s="264"/>
      <c r="G3157" s="264"/>
    </row>
    <row r="3158" spans="5:7">
      <c r="E3158" s="264"/>
      <c r="G3158" s="264"/>
    </row>
    <row r="3159" spans="5:7">
      <c r="E3159" s="264"/>
      <c r="G3159" s="264"/>
    </row>
    <row r="3160" spans="5:7">
      <c r="E3160" s="264"/>
      <c r="G3160" s="264"/>
    </row>
    <row r="3161" spans="5:7">
      <c r="E3161" s="264"/>
      <c r="G3161" s="264"/>
    </row>
    <row r="3162" spans="5:7">
      <c r="E3162" s="264"/>
      <c r="G3162" s="264"/>
    </row>
    <row r="3163" spans="5:7">
      <c r="E3163" s="264"/>
      <c r="G3163" s="264"/>
    </row>
    <row r="3164" spans="5:7">
      <c r="E3164" s="264"/>
      <c r="G3164" s="264"/>
    </row>
    <row r="3165" spans="5:7">
      <c r="E3165" s="264"/>
      <c r="G3165" s="264"/>
    </row>
    <row r="3166" spans="5:7">
      <c r="E3166" s="264"/>
      <c r="G3166" s="264"/>
    </row>
    <row r="3167" spans="5:7">
      <c r="E3167" s="264"/>
      <c r="G3167" s="264"/>
    </row>
    <row r="3168" spans="5:7">
      <c r="E3168" s="264"/>
      <c r="G3168" s="264"/>
    </row>
    <row r="3169" spans="5:7">
      <c r="E3169" s="264"/>
      <c r="G3169" s="264"/>
    </row>
    <row r="3170" spans="5:7">
      <c r="E3170" s="264"/>
      <c r="G3170" s="264"/>
    </row>
    <row r="3171" spans="5:7">
      <c r="E3171" s="264"/>
      <c r="G3171" s="264"/>
    </row>
    <row r="3172" spans="5:7">
      <c r="E3172" s="264"/>
      <c r="G3172" s="264"/>
    </row>
    <row r="3173" spans="5:7">
      <c r="E3173" s="264"/>
      <c r="G3173" s="264"/>
    </row>
    <row r="3174" spans="5:7">
      <c r="E3174" s="264"/>
      <c r="G3174" s="264"/>
    </row>
    <row r="3175" spans="5:7">
      <c r="E3175" s="264"/>
      <c r="G3175" s="264"/>
    </row>
    <row r="3176" spans="5:7">
      <c r="E3176" s="264"/>
      <c r="G3176" s="264"/>
    </row>
    <row r="3177" spans="5:7">
      <c r="E3177" s="264"/>
      <c r="G3177" s="264"/>
    </row>
    <row r="3178" spans="5:7">
      <c r="E3178" s="264"/>
      <c r="G3178" s="264"/>
    </row>
    <row r="3179" spans="5:7">
      <c r="E3179" s="264"/>
      <c r="G3179" s="264"/>
    </row>
    <row r="3180" spans="5:7">
      <c r="E3180" s="264"/>
      <c r="G3180" s="264"/>
    </row>
    <row r="3181" spans="5:7">
      <c r="E3181" s="264"/>
      <c r="G3181" s="264"/>
    </row>
    <row r="3182" spans="5:7">
      <c r="E3182" s="264"/>
      <c r="G3182" s="264"/>
    </row>
    <row r="3183" spans="5:7">
      <c r="E3183" s="264"/>
      <c r="G3183" s="264"/>
    </row>
    <row r="3184" spans="5:7">
      <c r="E3184" s="264"/>
      <c r="G3184" s="264"/>
    </row>
    <row r="3185" spans="5:7">
      <c r="E3185" s="264"/>
      <c r="G3185" s="264"/>
    </row>
    <row r="3186" spans="5:7">
      <c r="E3186" s="264"/>
      <c r="G3186" s="264"/>
    </row>
    <row r="3187" spans="5:7">
      <c r="E3187" s="264"/>
      <c r="G3187" s="264"/>
    </row>
    <row r="3188" spans="5:7">
      <c r="E3188" s="264"/>
      <c r="G3188" s="264"/>
    </row>
    <row r="3189" spans="5:7">
      <c r="E3189" s="264"/>
      <c r="G3189" s="264"/>
    </row>
    <row r="3190" spans="5:7">
      <c r="E3190" s="264"/>
      <c r="G3190" s="264"/>
    </row>
    <row r="3191" spans="5:7">
      <c r="E3191" s="264"/>
      <c r="G3191" s="264"/>
    </row>
    <row r="3192" spans="5:7">
      <c r="E3192" s="264"/>
      <c r="G3192" s="264"/>
    </row>
    <row r="3193" spans="5:7">
      <c r="E3193" s="264"/>
      <c r="G3193" s="264"/>
    </row>
    <row r="3194" spans="5:7">
      <c r="E3194" s="264"/>
      <c r="G3194" s="264"/>
    </row>
    <row r="3195" spans="5:7">
      <c r="E3195" s="264"/>
      <c r="G3195" s="264"/>
    </row>
    <row r="3196" spans="5:7">
      <c r="E3196" s="264"/>
      <c r="G3196" s="264"/>
    </row>
    <row r="3197" spans="5:7">
      <c r="E3197" s="264"/>
      <c r="G3197" s="264"/>
    </row>
    <row r="3198" spans="5:7">
      <c r="E3198" s="264"/>
      <c r="G3198" s="264"/>
    </row>
    <row r="3199" spans="5:7">
      <c r="E3199" s="264"/>
      <c r="G3199" s="264"/>
    </row>
    <row r="3200" spans="5:7">
      <c r="E3200" s="264"/>
      <c r="G3200" s="264"/>
    </row>
    <row r="3201" spans="5:7">
      <c r="E3201" s="264"/>
      <c r="G3201" s="264"/>
    </row>
    <row r="3202" spans="5:7">
      <c r="E3202" s="264"/>
      <c r="G3202" s="264"/>
    </row>
    <row r="3203" spans="5:7">
      <c r="E3203" s="264"/>
      <c r="G3203" s="264"/>
    </row>
    <row r="3204" spans="5:7">
      <c r="E3204" s="264"/>
      <c r="G3204" s="264"/>
    </row>
    <row r="3205" spans="5:7">
      <c r="E3205" s="264"/>
      <c r="G3205" s="264"/>
    </row>
    <row r="3206" spans="5:7">
      <c r="E3206" s="264"/>
      <c r="G3206" s="264"/>
    </row>
    <row r="3207" spans="5:7">
      <c r="E3207" s="264"/>
      <c r="G3207" s="264"/>
    </row>
    <row r="3208" spans="5:7">
      <c r="E3208" s="264"/>
      <c r="G3208" s="264"/>
    </row>
    <row r="3209" spans="5:7">
      <c r="E3209" s="264"/>
      <c r="G3209" s="264"/>
    </row>
    <row r="3210" spans="5:7">
      <c r="E3210" s="264"/>
      <c r="G3210" s="264"/>
    </row>
    <row r="3211" spans="5:7">
      <c r="E3211" s="264"/>
      <c r="G3211" s="264"/>
    </row>
    <row r="3212" spans="5:7">
      <c r="E3212" s="264"/>
      <c r="G3212" s="264"/>
    </row>
    <row r="3213" spans="5:7">
      <c r="E3213" s="264"/>
      <c r="G3213" s="264"/>
    </row>
    <row r="3214" spans="5:7">
      <c r="E3214" s="264"/>
      <c r="G3214" s="264"/>
    </row>
    <row r="3215" spans="5:7">
      <c r="E3215" s="264"/>
      <c r="G3215" s="264"/>
    </row>
    <row r="3216" spans="5:7">
      <c r="E3216" s="264"/>
      <c r="G3216" s="264"/>
    </row>
    <row r="3217" spans="5:7">
      <c r="E3217" s="264"/>
      <c r="G3217" s="264"/>
    </row>
    <row r="3218" spans="5:7">
      <c r="E3218" s="264"/>
      <c r="G3218" s="264"/>
    </row>
    <row r="3219" spans="5:7">
      <c r="E3219" s="264"/>
      <c r="G3219" s="264"/>
    </row>
    <row r="3220" spans="5:7">
      <c r="E3220" s="264"/>
      <c r="G3220" s="264"/>
    </row>
    <row r="3221" spans="5:7">
      <c r="E3221" s="264"/>
      <c r="G3221" s="264"/>
    </row>
    <row r="3222" spans="5:7">
      <c r="E3222" s="264"/>
      <c r="G3222" s="264"/>
    </row>
    <row r="3223" spans="5:7">
      <c r="E3223" s="264"/>
      <c r="G3223" s="264"/>
    </row>
    <row r="3224" spans="5:7">
      <c r="E3224" s="264"/>
      <c r="G3224" s="264"/>
    </row>
    <row r="3225" spans="5:7">
      <c r="E3225" s="264"/>
      <c r="G3225" s="264"/>
    </row>
    <row r="3226" spans="5:7">
      <c r="E3226" s="264"/>
      <c r="G3226" s="264"/>
    </row>
    <row r="3227" spans="5:7">
      <c r="E3227" s="264"/>
      <c r="G3227" s="264"/>
    </row>
    <row r="3228" spans="5:7">
      <c r="E3228" s="264"/>
      <c r="G3228" s="264"/>
    </row>
    <row r="3229" spans="5:7">
      <c r="E3229" s="264"/>
      <c r="G3229" s="264"/>
    </row>
    <row r="3230" spans="5:7">
      <c r="E3230" s="264"/>
      <c r="G3230" s="264"/>
    </row>
    <row r="3231" spans="5:7">
      <c r="E3231" s="264"/>
      <c r="G3231" s="264"/>
    </row>
    <row r="3232" spans="5:7">
      <c r="E3232" s="264"/>
      <c r="G3232" s="264"/>
    </row>
    <row r="3233" spans="5:7">
      <c r="E3233" s="264"/>
      <c r="G3233" s="264"/>
    </row>
    <row r="3234" spans="5:7">
      <c r="E3234" s="264"/>
      <c r="G3234" s="264"/>
    </row>
    <row r="3235" spans="5:7">
      <c r="E3235" s="264"/>
      <c r="G3235" s="264"/>
    </row>
    <row r="3236" spans="5:7">
      <c r="E3236" s="264"/>
      <c r="G3236" s="264"/>
    </row>
    <row r="3237" spans="5:7">
      <c r="E3237" s="264"/>
      <c r="G3237" s="264"/>
    </row>
    <row r="3238" spans="5:7">
      <c r="E3238" s="264"/>
      <c r="G3238" s="264"/>
    </row>
    <row r="3239" spans="5:7">
      <c r="E3239" s="264"/>
      <c r="G3239" s="264"/>
    </row>
    <row r="3240" spans="5:7">
      <c r="E3240" s="264"/>
      <c r="G3240" s="264"/>
    </row>
    <row r="3241" spans="5:7">
      <c r="E3241" s="264"/>
      <c r="G3241" s="264"/>
    </row>
    <row r="3242" spans="5:7">
      <c r="E3242" s="264"/>
      <c r="G3242" s="264"/>
    </row>
    <row r="3243" spans="5:7">
      <c r="E3243" s="264"/>
      <c r="G3243" s="264"/>
    </row>
    <row r="3244" spans="5:7">
      <c r="E3244" s="264"/>
      <c r="G3244" s="264"/>
    </row>
    <row r="3245" spans="5:7">
      <c r="E3245" s="264"/>
      <c r="G3245" s="264"/>
    </row>
    <row r="3246" spans="5:7">
      <c r="E3246" s="264"/>
      <c r="G3246" s="264"/>
    </row>
    <row r="3247" spans="5:7">
      <c r="E3247" s="264"/>
      <c r="G3247" s="264"/>
    </row>
    <row r="3248" spans="5:7">
      <c r="E3248" s="264"/>
      <c r="G3248" s="264"/>
    </row>
    <row r="3249" spans="5:7">
      <c r="E3249" s="264"/>
      <c r="G3249" s="264"/>
    </row>
    <row r="3250" spans="5:7">
      <c r="E3250" s="264"/>
      <c r="G3250" s="264"/>
    </row>
    <row r="3251" spans="5:7">
      <c r="E3251" s="264"/>
      <c r="G3251" s="264"/>
    </row>
    <row r="3252" spans="5:7">
      <c r="E3252" s="264"/>
      <c r="G3252" s="264"/>
    </row>
    <row r="3253" spans="5:7">
      <c r="E3253" s="264"/>
      <c r="G3253" s="264"/>
    </row>
    <row r="3254" spans="5:7">
      <c r="E3254" s="264"/>
      <c r="G3254" s="264"/>
    </row>
    <row r="3255" spans="5:7">
      <c r="E3255" s="264"/>
      <c r="G3255" s="264"/>
    </row>
    <row r="3256" spans="5:7">
      <c r="E3256" s="264"/>
      <c r="G3256" s="264"/>
    </row>
    <row r="3257" spans="5:7">
      <c r="E3257" s="264"/>
      <c r="G3257" s="264"/>
    </row>
    <row r="3258" spans="5:7">
      <c r="E3258" s="264"/>
      <c r="G3258" s="264"/>
    </row>
    <row r="3259" spans="5:7">
      <c r="E3259" s="264"/>
      <c r="G3259" s="264"/>
    </row>
    <row r="3260" spans="5:7">
      <c r="E3260" s="264"/>
      <c r="G3260" s="264"/>
    </row>
    <row r="3261" spans="5:7">
      <c r="E3261" s="264"/>
      <c r="G3261" s="264"/>
    </row>
    <row r="3262" spans="5:7">
      <c r="E3262" s="264"/>
      <c r="G3262" s="264"/>
    </row>
    <row r="3263" spans="5:7">
      <c r="E3263" s="264"/>
      <c r="G3263" s="264"/>
    </row>
    <row r="3264" spans="5:7">
      <c r="E3264" s="264"/>
      <c r="G3264" s="264"/>
    </row>
    <row r="3265" spans="5:7">
      <c r="E3265" s="264"/>
      <c r="G3265" s="264"/>
    </row>
    <row r="3266" spans="5:7">
      <c r="E3266" s="264"/>
      <c r="G3266" s="264"/>
    </row>
    <row r="3267" spans="5:7">
      <c r="E3267" s="264"/>
      <c r="G3267" s="264"/>
    </row>
    <row r="3268" spans="5:7">
      <c r="E3268" s="264"/>
      <c r="G3268" s="264"/>
    </row>
    <row r="3269" spans="5:7">
      <c r="E3269" s="264"/>
      <c r="G3269" s="264"/>
    </row>
    <row r="3270" spans="5:7">
      <c r="E3270" s="264"/>
      <c r="G3270" s="264"/>
    </row>
    <row r="3271" spans="5:7">
      <c r="E3271" s="264"/>
      <c r="G3271" s="264"/>
    </row>
    <row r="3272" spans="5:7">
      <c r="E3272" s="264"/>
      <c r="G3272" s="264"/>
    </row>
    <row r="3273" spans="5:7">
      <c r="E3273" s="264"/>
      <c r="G3273" s="264"/>
    </row>
    <row r="3274" spans="5:7">
      <c r="E3274" s="264"/>
      <c r="G3274" s="264"/>
    </row>
    <row r="3275" spans="5:7">
      <c r="E3275" s="264"/>
      <c r="G3275" s="264"/>
    </row>
    <row r="3276" spans="5:7">
      <c r="E3276" s="264"/>
      <c r="G3276" s="264"/>
    </row>
    <row r="3277" spans="5:7">
      <c r="E3277" s="264"/>
      <c r="G3277" s="264"/>
    </row>
    <row r="3278" spans="5:7">
      <c r="E3278" s="264"/>
      <c r="G3278" s="264"/>
    </row>
    <row r="3279" spans="5:7">
      <c r="E3279" s="264"/>
      <c r="G3279" s="264"/>
    </row>
    <row r="3280" spans="5:7">
      <c r="E3280" s="264"/>
      <c r="G3280" s="264"/>
    </row>
    <row r="3281" spans="5:7">
      <c r="E3281" s="264"/>
      <c r="G3281" s="264"/>
    </row>
    <row r="3282" spans="5:7">
      <c r="E3282" s="264"/>
      <c r="G3282" s="264"/>
    </row>
    <row r="3283" spans="5:7">
      <c r="E3283" s="264"/>
      <c r="G3283" s="264"/>
    </row>
    <row r="3284" spans="5:7">
      <c r="E3284" s="264"/>
      <c r="G3284" s="264"/>
    </row>
    <row r="3285" spans="5:7">
      <c r="E3285" s="264"/>
      <c r="G3285" s="264"/>
    </row>
    <row r="3286" spans="5:7">
      <c r="E3286" s="264"/>
      <c r="G3286" s="264"/>
    </row>
    <row r="3287" spans="5:7">
      <c r="E3287" s="264"/>
      <c r="G3287" s="264"/>
    </row>
    <row r="3288" spans="5:7">
      <c r="E3288" s="264"/>
      <c r="G3288" s="264"/>
    </row>
    <row r="3289" spans="5:7">
      <c r="E3289" s="264"/>
      <c r="G3289" s="264"/>
    </row>
    <row r="3290" spans="5:7">
      <c r="E3290" s="264"/>
      <c r="G3290" s="264"/>
    </row>
    <row r="3291" spans="5:7">
      <c r="E3291" s="264"/>
      <c r="G3291" s="264"/>
    </row>
    <row r="3292" spans="5:7">
      <c r="E3292" s="264"/>
      <c r="G3292" s="264"/>
    </row>
    <row r="3293" spans="5:7">
      <c r="E3293" s="264"/>
      <c r="G3293" s="264"/>
    </row>
    <row r="3294" spans="5:7">
      <c r="E3294" s="264"/>
      <c r="G3294" s="264"/>
    </row>
    <row r="3295" spans="5:7">
      <c r="E3295" s="264"/>
      <c r="G3295" s="264"/>
    </row>
    <row r="3296" spans="5:7">
      <c r="E3296" s="264"/>
      <c r="G3296" s="264"/>
    </row>
    <row r="3297" spans="5:7">
      <c r="E3297" s="264"/>
      <c r="G3297" s="264"/>
    </row>
    <row r="3298" spans="5:7">
      <c r="E3298" s="264"/>
      <c r="G3298" s="264"/>
    </row>
    <row r="3299" spans="5:7">
      <c r="E3299" s="264"/>
      <c r="G3299" s="264"/>
    </row>
    <row r="3300" spans="5:7">
      <c r="E3300" s="264"/>
      <c r="G3300" s="264"/>
    </row>
    <row r="3301" spans="5:7">
      <c r="E3301" s="264"/>
      <c r="G3301" s="264"/>
    </row>
    <row r="3302" spans="5:7">
      <c r="E3302" s="264"/>
      <c r="G3302" s="264"/>
    </row>
    <row r="3303" spans="5:7">
      <c r="E3303" s="264"/>
      <c r="G3303" s="264"/>
    </row>
    <row r="3304" spans="5:7">
      <c r="E3304" s="264"/>
      <c r="G3304" s="264"/>
    </row>
    <row r="3305" spans="5:7">
      <c r="E3305" s="264"/>
      <c r="G3305" s="264"/>
    </row>
    <row r="3306" spans="5:7">
      <c r="E3306" s="264"/>
      <c r="G3306" s="264"/>
    </row>
    <row r="3307" spans="5:7">
      <c r="E3307" s="264"/>
      <c r="G3307" s="264"/>
    </row>
    <row r="3308" spans="5:7">
      <c r="E3308" s="264"/>
      <c r="G3308" s="264"/>
    </row>
    <row r="3309" spans="5:7">
      <c r="E3309" s="264"/>
      <c r="G3309" s="264"/>
    </row>
    <row r="3310" spans="5:7">
      <c r="E3310" s="264"/>
      <c r="G3310" s="264"/>
    </row>
    <row r="3311" spans="5:7">
      <c r="E3311" s="264"/>
      <c r="G3311" s="264"/>
    </row>
    <row r="3312" spans="5:7">
      <c r="E3312" s="264"/>
      <c r="G3312" s="264"/>
    </row>
    <row r="3313" spans="5:7">
      <c r="E3313" s="264"/>
      <c r="G3313" s="264"/>
    </row>
    <row r="3314" spans="5:7">
      <c r="E3314" s="264"/>
      <c r="G3314" s="264"/>
    </row>
    <row r="3315" spans="5:7">
      <c r="E3315" s="264"/>
      <c r="G3315" s="264"/>
    </row>
    <row r="3316" spans="5:7">
      <c r="E3316" s="264"/>
      <c r="G3316" s="264"/>
    </row>
    <row r="3317" spans="5:7">
      <c r="E3317" s="264"/>
      <c r="G3317" s="264"/>
    </row>
    <row r="3318" spans="5:7">
      <c r="E3318" s="264"/>
      <c r="G3318" s="264"/>
    </row>
    <row r="3319" spans="5:7">
      <c r="E3319" s="264"/>
      <c r="G3319" s="264"/>
    </row>
    <row r="3320" spans="5:7">
      <c r="E3320" s="264"/>
      <c r="G3320" s="264"/>
    </row>
    <row r="3321" spans="5:7">
      <c r="E3321" s="264"/>
      <c r="G3321" s="264"/>
    </row>
    <row r="3322" spans="5:7">
      <c r="E3322" s="264"/>
      <c r="G3322" s="264"/>
    </row>
    <row r="3323" spans="5:7">
      <c r="E3323" s="264"/>
      <c r="G3323" s="264"/>
    </row>
    <row r="3324" spans="5:7">
      <c r="E3324" s="264"/>
      <c r="G3324" s="264"/>
    </row>
    <row r="3325" spans="5:7">
      <c r="E3325" s="264"/>
      <c r="G3325" s="264"/>
    </row>
    <row r="3326" spans="5:7">
      <c r="E3326" s="264"/>
      <c r="G3326" s="264"/>
    </row>
    <row r="3327" spans="5:7">
      <c r="E3327" s="264"/>
      <c r="G3327" s="264"/>
    </row>
    <row r="3328" spans="5:7">
      <c r="E3328" s="264"/>
      <c r="G3328" s="264"/>
    </row>
    <row r="3329" spans="5:7">
      <c r="E3329" s="264"/>
      <c r="G3329" s="264"/>
    </row>
    <row r="3330" spans="5:7">
      <c r="E3330" s="264"/>
      <c r="G3330" s="264"/>
    </row>
    <row r="3331" spans="5:7">
      <c r="E3331" s="264"/>
      <c r="G3331" s="264"/>
    </row>
    <row r="3332" spans="5:7">
      <c r="E3332" s="264"/>
      <c r="G3332" s="264"/>
    </row>
    <row r="3333" spans="5:7">
      <c r="E3333" s="264"/>
      <c r="G3333" s="264"/>
    </row>
    <row r="3334" spans="5:7">
      <c r="E3334" s="264"/>
      <c r="G3334" s="264"/>
    </row>
    <row r="3335" spans="5:7">
      <c r="E3335" s="264"/>
      <c r="G3335" s="264"/>
    </row>
    <row r="3336" spans="5:7">
      <c r="E3336" s="264"/>
      <c r="G3336" s="264"/>
    </row>
    <row r="3337" spans="5:7">
      <c r="E3337" s="264"/>
      <c r="G3337" s="264"/>
    </row>
    <row r="3338" spans="5:7">
      <c r="E3338" s="264"/>
      <c r="G3338" s="264"/>
    </row>
    <row r="3339" spans="5:7">
      <c r="E3339" s="264"/>
      <c r="G3339" s="264"/>
    </row>
    <row r="3340" spans="5:7">
      <c r="E3340" s="264"/>
      <c r="G3340" s="264"/>
    </row>
    <row r="3341" spans="5:7">
      <c r="E3341" s="264"/>
      <c r="G3341" s="264"/>
    </row>
    <row r="3342" spans="5:7">
      <c r="E3342" s="264"/>
      <c r="G3342" s="264"/>
    </row>
    <row r="3343" spans="5:7">
      <c r="E3343" s="264"/>
      <c r="G3343" s="264"/>
    </row>
    <row r="3344" spans="5:7">
      <c r="E3344" s="264"/>
      <c r="G3344" s="264"/>
    </row>
    <row r="3345" spans="5:7">
      <c r="E3345" s="264"/>
      <c r="G3345" s="264"/>
    </row>
    <row r="3346" spans="5:7">
      <c r="E3346" s="264"/>
      <c r="G3346" s="264"/>
    </row>
    <row r="3347" spans="5:7">
      <c r="E3347" s="264"/>
      <c r="G3347" s="264"/>
    </row>
    <row r="3348" spans="5:7">
      <c r="E3348" s="264"/>
      <c r="G3348" s="264"/>
    </row>
    <row r="3349" spans="5:7">
      <c r="E3349" s="264"/>
      <c r="G3349" s="264"/>
    </row>
    <row r="3350" spans="5:7">
      <c r="E3350" s="264"/>
      <c r="G3350" s="264"/>
    </row>
    <row r="3351" spans="5:7">
      <c r="E3351" s="264"/>
      <c r="G3351" s="264"/>
    </row>
    <row r="3352" spans="5:7">
      <c r="E3352" s="264"/>
      <c r="G3352" s="264"/>
    </row>
    <row r="3353" spans="5:7">
      <c r="E3353" s="264"/>
      <c r="G3353" s="264"/>
    </row>
    <row r="3354" spans="5:7">
      <c r="E3354" s="264"/>
      <c r="G3354" s="264"/>
    </row>
    <row r="3355" spans="5:7">
      <c r="E3355" s="264"/>
      <c r="G3355" s="264"/>
    </row>
    <row r="3356" spans="5:7">
      <c r="E3356" s="264"/>
      <c r="G3356" s="264"/>
    </row>
    <row r="3357" spans="5:7">
      <c r="E3357" s="264"/>
      <c r="G3357" s="264"/>
    </row>
    <row r="3358" spans="5:7">
      <c r="E3358" s="264"/>
      <c r="G3358" s="264"/>
    </row>
    <row r="3359" spans="5:7">
      <c r="E3359" s="264"/>
      <c r="G3359" s="264"/>
    </row>
    <row r="3360" spans="5:7">
      <c r="E3360" s="264"/>
      <c r="G3360" s="264"/>
    </row>
    <row r="3361" spans="5:7">
      <c r="E3361" s="264"/>
      <c r="G3361" s="264"/>
    </row>
    <row r="3362" spans="5:7">
      <c r="E3362" s="264"/>
      <c r="G3362" s="264"/>
    </row>
    <row r="3363" spans="5:7">
      <c r="E3363" s="264"/>
      <c r="G3363" s="264"/>
    </row>
    <row r="3364" spans="5:7">
      <c r="E3364" s="264"/>
      <c r="G3364" s="264"/>
    </row>
    <row r="3365" spans="5:7">
      <c r="E3365" s="264"/>
      <c r="G3365" s="264"/>
    </row>
    <row r="3366" spans="5:7">
      <c r="E3366" s="264"/>
      <c r="G3366" s="264"/>
    </row>
    <row r="3367" spans="5:7">
      <c r="E3367" s="264"/>
      <c r="G3367" s="264"/>
    </row>
    <row r="3368" spans="5:7">
      <c r="E3368" s="264"/>
      <c r="G3368" s="264"/>
    </row>
    <row r="3369" spans="5:7">
      <c r="E3369" s="264"/>
      <c r="G3369" s="264"/>
    </row>
    <row r="3370" spans="5:7">
      <c r="E3370" s="264"/>
      <c r="G3370" s="264"/>
    </row>
    <row r="3371" spans="5:7">
      <c r="E3371" s="264"/>
      <c r="G3371" s="264"/>
    </row>
    <row r="3372" spans="5:7">
      <c r="E3372" s="264"/>
      <c r="G3372" s="264"/>
    </row>
    <row r="3373" spans="5:7">
      <c r="E3373" s="264"/>
      <c r="G3373" s="264"/>
    </row>
    <row r="3374" spans="5:7">
      <c r="E3374" s="264"/>
      <c r="G3374" s="264"/>
    </row>
    <row r="3375" spans="5:7">
      <c r="E3375" s="264"/>
      <c r="G3375" s="264"/>
    </row>
    <row r="3376" spans="5:7">
      <c r="E3376" s="264"/>
      <c r="G3376" s="264"/>
    </row>
    <row r="3377" spans="5:7">
      <c r="E3377" s="264"/>
      <c r="G3377" s="264"/>
    </row>
    <row r="3378" spans="5:7">
      <c r="E3378" s="264"/>
      <c r="G3378" s="264"/>
    </row>
    <row r="3379" spans="5:7">
      <c r="E3379" s="264"/>
      <c r="G3379" s="264"/>
    </row>
    <row r="3380" spans="5:7">
      <c r="E3380" s="264"/>
      <c r="G3380" s="264"/>
    </row>
    <row r="3381" spans="5:7">
      <c r="E3381" s="264"/>
      <c r="G3381" s="264"/>
    </row>
    <row r="3382" spans="5:7">
      <c r="E3382" s="264"/>
      <c r="G3382" s="264"/>
    </row>
    <row r="3383" spans="5:7">
      <c r="E3383" s="264"/>
      <c r="G3383" s="264"/>
    </row>
    <row r="3384" spans="5:7">
      <c r="E3384" s="264"/>
      <c r="G3384" s="264"/>
    </row>
    <row r="3385" spans="5:7">
      <c r="E3385" s="264"/>
      <c r="G3385" s="264"/>
    </row>
    <row r="3386" spans="5:7">
      <c r="E3386" s="264"/>
      <c r="G3386" s="264"/>
    </row>
    <row r="3387" spans="5:7">
      <c r="E3387" s="264"/>
      <c r="G3387" s="264"/>
    </row>
    <row r="3388" spans="5:7">
      <c r="E3388" s="264"/>
      <c r="G3388" s="264"/>
    </row>
    <row r="3389" spans="5:7">
      <c r="E3389" s="264"/>
      <c r="G3389" s="264"/>
    </row>
    <row r="3390" spans="5:7">
      <c r="E3390" s="264"/>
      <c r="G3390" s="264"/>
    </row>
    <row r="3391" spans="5:7">
      <c r="E3391" s="264"/>
      <c r="G3391" s="264"/>
    </row>
    <row r="3392" spans="5:7">
      <c r="E3392" s="264"/>
      <c r="G3392" s="264"/>
    </row>
    <row r="3393" spans="5:7">
      <c r="E3393" s="264"/>
      <c r="G3393" s="264"/>
    </row>
    <row r="3394" spans="5:7">
      <c r="E3394" s="264"/>
      <c r="G3394" s="264"/>
    </row>
    <row r="3395" spans="5:7">
      <c r="E3395" s="264"/>
      <c r="G3395" s="264"/>
    </row>
    <row r="3396" spans="5:7">
      <c r="E3396" s="264"/>
      <c r="G3396" s="264"/>
    </row>
    <row r="3397" spans="5:7">
      <c r="E3397" s="264"/>
      <c r="G3397" s="264"/>
    </row>
    <row r="3398" spans="5:7">
      <c r="E3398" s="264"/>
      <c r="G3398" s="264"/>
    </row>
    <row r="3399" spans="5:7">
      <c r="E3399" s="264"/>
      <c r="G3399" s="264"/>
    </row>
    <row r="3400" spans="5:7">
      <c r="E3400" s="264"/>
      <c r="G3400" s="264"/>
    </row>
    <row r="3401" spans="5:7">
      <c r="E3401" s="264"/>
      <c r="G3401" s="264"/>
    </row>
    <row r="3402" spans="5:7">
      <c r="E3402" s="264"/>
      <c r="G3402" s="264"/>
    </row>
    <row r="3403" spans="5:7">
      <c r="E3403" s="264"/>
      <c r="G3403" s="264"/>
    </row>
    <row r="3404" spans="5:7">
      <c r="E3404" s="264"/>
      <c r="G3404" s="264"/>
    </row>
    <row r="3405" spans="5:7">
      <c r="E3405" s="264"/>
      <c r="G3405" s="264"/>
    </row>
    <row r="3406" spans="5:7">
      <c r="E3406" s="264"/>
      <c r="G3406" s="264"/>
    </row>
    <row r="3407" spans="5:7">
      <c r="E3407" s="264"/>
      <c r="G3407" s="264"/>
    </row>
    <row r="3408" spans="5:7">
      <c r="E3408" s="264"/>
      <c r="G3408" s="264"/>
    </row>
    <row r="3409" spans="5:7">
      <c r="E3409" s="264"/>
      <c r="G3409" s="264"/>
    </row>
    <row r="3410" spans="5:7">
      <c r="E3410" s="264"/>
      <c r="G3410" s="264"/>
    </row>
    <row r="3411" spans="5:7">
      <c r="E3411" s="264"/>
      <c r="G3411" s="264"/>
    </row>
    <row r="3412" spans="5:7">
      <c r="E3412" s="264"/>
      <c r="G3412" s="264"/>
    </row>
    <row r="3413" spans="5:7">
      <c r="E3413" s="264"/>
      <c r="G3413" s="264"/>
    </row>
    <row r="3414" spans="5:7">
      <c r="E3414" s="264"/>
      <c r="G3414" s="264"/>
    </row>
    <row r="3415" spans="5:7">
      <c r="E3415" s="264"/>
      <c r="G3415" s="264"/>
    </row>
    <row r="3416" spans="5:7">
      <c r="E3416" s="264"/>
      <c r="G3416" s="264"/>
    </row>
    <row r="3417" spans="5:7">
      <c r="E3417" s="264"/>
      <c r="G3417" s="264"/>
    </row>
    <row r="3418" spans="5:7">
      <c r="E3418" s="264"/>
      <c r="G3418" s="264"/>
    </row>
    <row r="3419" spans="5:7">
      <c r="E3419" s="264"/>
      <c r="G3419" s="264"/>
    </row>
    <row r="3420" spans="5:7">
      <c r="E3420" s="264"/>
      <c r="G3420" s="264"/>
    </row>
    <row r="3421" spans="5:7">
      <c r="E3421" s="264"/>
      <c r="G3421" s="264"/>
    </row>
    <row r="3422" spans="5:7">
      <c r="E3422" s="264"/>
      <c r="G3422" s="264"/>
    </row>
    <row r="3423" spans="5:7">
      <c r="E3423" s="264"/>
      <c r="G3423" s="264"/>
    </row>
    <row r="3424" spans="5:7">
      <c r="E3424" s="264"/>
      <c r="G3424" s="264"/>
    </row>
    <row r="3425" spans="5:7">
      <c r="E3425" s="264"/>
      <c r="G3425" s="264"/>
    </row>
    <row r="3426" spans="5:7">
      <c r="E3426" s="264"/>
      <c r="G3426" s="264"/>
    </row>
    <row r="3427" spans="5:7">
      <c r="E3427" s="264"/>
      <c r="G3427" s="264"/>
    </row>
    <row r="3428" spans="5:7">
      <c r="E3428" s="264"/>
      <c r="G3428" s="264"/>
    </row>
    <row r="3429" spans="5:7">
      <c r="E3429" s="264"/>
      <c r="G3429" s="264"/>
    </row>
    <row r="3430" spans="5:7">
      <c r="E3430" s="264"/>
      <c r="G3430" s="264"/>
    </row>
    <row r="3431" spans="5:7">
      <c r="E3431" s="264"/>
      <c r="G3431" s="264"/>
    </row>
    <row r="3432" spans="5:7">
      <c r="E3432" s="264"/>
      <c r="G3432" s="264"/>
    </row>
    <row r="3433" spans="5:7">
      <c r="E3433" s="264"/>
      <c r="G3433" s="264"/>
    </row>
    <row r="3434" spans="5:7">
      <c r="E3434" s="264"/>
      <c r="G3434" s="264"/>
    </row>
    <row r="3435" spans="5:7">
      <c r="E3435" s="264"/>
      <c r="G3435" s="264"/>
    </row>
    <row r="3436" spans="5:7">
      <c r="E3436" s="264"/>
      <c r="G3436" s="264"/>
    </row>
    <row r="3437" spans="5:7">
      <c r="E3437" s="264"/>
      <c r="G3437" s="264"/>
    </row>
    <row r="3438" spans="5:7">
      <c r="E3438" s="264"/>
      <c r="G3438" s="264"/>
    </row>
    <row r="3439" spans="5:7">
      <c r="E3439" s="264"/>
      <c r="G3439" s="264"/>
    </row>
    <row r="3440" spans="5:7">
      <c r="E3440" s="264"/>
      <c r="G3440" s="264"/>
    </row>
    <row r="3441" spans="5:7">
      <c r="E3441" s="264"/>
      <c r="G3441" s="264"/>
    </row>
    <row r="3442" spans="5:7">
      <c r="E3442" s="264"/>
      <c r="G3442" s="264"/>
    </row>
    <row r="3443" spans="5:7">
      <c r="E3443" s="264"/>
      <c r="G3443" s="264"/>
    </row>
    <row r="3444" spans="5:7">
      <c r="E3444" s="264"/>
      <c r="G3444" s="264"/>
    </row>
    <row r="3445" spans="5:7">
      <c r="E3445" s="264"/>
      <c r="G3445" s="264"/>
    </row>
    <row r="3446" spans="5:7">
      <c r="E3446" s="264"/>
      <c r="G3446" s="264"/>
    </row>
    <row r="3447" spans="5:7">
      <c r="E3447" s="264"/>
      <c r="G3447" s="264"/>
    </row>
    <row r="3448" spans="5:7">
      <c r="E3448" s="264"/>
      <c r="G3448" s="264"/>
    </row>
    <row r="3449" spans="5:7">
      <c r="E3449" s="264"/>
      <c r="G3449" s="264"/>
    </row>
    <row r="3450" spans="5:7">
      <c r="E3450" s="264"/>
      <c r="G3450" s="264"/>
    </row>
    <row r="3451" spans="5:7">
      <c r="E3451" s="264"/>
      <c r="G3451" s="264"/>
    </row>
    <row r="3452" spans="5:7">
      <c r="E3452" s="264"/>
      <c r="G3452" s="264"/>
    </row>
    <row r="3453" spans="5:7">
      <c r="E3453" s="264"/>
      <c r="G3453" s="264"/>
    </row>
    <row r="3454" spans="5:7">
      <c r="E3454" s="264"/>
      <c r="G3454" s="264"/>
    </row>
    <row r="3455" spans="5:7">
      <c r="E3455" s="264"/>
      <c r="G3455" s="264"/>
    </row>
    <row r="3456" spans="5:7">
      <c r="E3456" s="264"/>
      <c r="G3456" s="264"/>
    </row>
    <row r="3457" spans="5:7">
      <c r="E3457" s="264"/>
      <c r="G3457" s="264"/>
    </row>
    <row r="3458" spans="5:7">
      <c r="E3458" s="264"/>
      <c r="G3458" s="264"/>
    </row>
    <row r="3459" spans="5:7">
      <c r="E3459" s="264"/>
      <c r="G3459" s="264"/>
    </row>
    <row r="3460" spans="5:7">
      <c r="E3460" s="264"/>
      <c r="G3460" s="264"/>
    </row>
    <row r="3461" spans="5:7">
      <c r="E3461" s="264"/>
      <c r="G3461" s="264"/>
    </row>
    <row r="3462" spans="5:7">
      <c r="E3462" s="264"/>
      <c r="G3462" s="264"/>
    </row>
    <row r="3463" spans="5:7">
      <c r="E3463" s="264"/>
      <c r="G3463" s="264"/>
    </row>
    <row r="3464" spans="5:7">
      <c r="E3464" s="264"/>
      <c r="G3464" s="264"/>
    </row>
    <row r="3465" spans="5:7">
      <c r="E3465" s="264"/>
      <c r="G3465" s="264"/>
    </row>
    <row r="3466" spans="5:7">
      <c r="E3466" s="264"/>
      <c r="G3466" s="264"/>
    </row>
    <row r="3467" spans="5:7">
      <c r="E3467" s="264"/>
      <c r="G3467" s="264"/>
    </row>
    <row r="3468" spans="5:7">
      <c r="E3468" s="264"/>
      <c r="G3468" s="264"/>
    </row>
    <row r="3469" spans="5:7">
      <c r="E3469" s="264"/>
      <c r="G3469" s="264"/>
    </row>
    <row r="3470" spans="5:7">
      <c r="E3470" s="264"/>
      <c r="G3470" s="264"/>
    </row>
    <row r="3471" spans="5:7">
      <c r="E3471" s="264"/>
      <c r="G3471" s="264"/>
    </row>
    <row r="3472" spans="5:7">
      <c r="E3472" s="264"/>
      <c r="G3472" s="264"/>
    </row>
    <row r="3473" spans="5:7">
      <c r="E3473" s="264"/>
      <c r="G3473" s="264"/>
    </row>
    <row r="3474" spans="5:7">
      <c r="E3474" s="264"/>
      <c r="G3474" s="264"/>
    </row>
    <row r="3475" spans="5:7">
      <c r="E3475" s="264"/>
      <c r="G3475" s="264"/>
    </row>
    <row r="3476" spans="5:7">
      <c r="E3476" s="264"/>
      <c r="G3476" s="264"/>
    </row>
    <row r="3477" spans="5:7">
      <c r="E3477" s="264"/>
      <c r="G3477" s="264"/>
    </row>
    <row r="3478" spans="5:7">
      <c r="E3478" s="264"/>
      <c r="G3478" s="264"/>
    </row>
    <row r="3479" spans="5:7">
      <c r="E3479" s="264"/>
      <c r="G3479" s="264"/>
    </row>
    <row r="3480" spans="5:7">
      <c r="E3480" s="264"/>
      <c r="G3480" s="264"/>
    </row>
    <row r="3481" spans="5:7">
      <c r="E3481" s="264"/>
      <c r="G3481" s="264"/>
    </row>
    <row r="3482" spans="5:7">
      <c r="E3482" s="264"/>
      <c r="G3482" s="264"/>
    </row>
    <row r="3483" spans="5:7">
      <c r="E3483" s="264"/>
      <c r="G3483" s="264"/>
    </row>
    <row r="3484" spans="5:7">
      <c r="E3484" s="264"/>
      <c r="G3484" s="264"/>
    </row>
    <row r="3485" spans="5:7">
      <c r="E3485" s="264"/>
      <c r="G3485" s="264"/>
    </row>
    <row r="3486" spans="5:7">
      <c r="E3486" s="264"/>
      <c r="G3486" s="264"/>
    </row>
    <row r="3487" spans="5:7">
      <c r="E3487" s="264"/>
      <c r="G3487" s="264"/>
    </row>
    <row r="3488" spans="5:7">
      <c r="E3488" s="264"/>
      <c r="G3488" s="264"/>
    </row>
    <row r="3489" spans="5:7">
      <c r="E3489" s="264"/>
      <c r="G3489" s="264"/>
    </row>
    <row r="3490" spans="5:7">
      <c r="E3490" s="264"/>
      <c r="G3490" s="264"/>
    </row>
    <row r="3491" spans="5:7">
      <c r="E3491" s="264"/>
      <c r="G3491" s="264"/>
    </row>
    <row r="3492" spans="5:7">
      <c r="E3492" s="264"/>
      <c r="G3492" s="264"/>
    </row>
    <row r="3493" spans="5:7">
      <c r="E3493" s="264"/>
      <c r="G3493" s="264"/>
    </row>
    <row r="3494" spans="5:7">
      <c r="E3494" s="264"/>
      <c r="G3494" s="264"/>
    </row>
    <row r="3495" spans="5:7">
      <c r="E3495" s="264"/>
      <c r="G3495" s="264"/>
    </row>
    <row r="3496" spans="5:7">
      <c r="E3496" s="264"/>
      <c r="G3496" s="264"/>
    </row>
    <row r="3497" spans="5:7">
      <c r="E3497" s="264"/>
      <c r="G3497" s="264"/>
    </row>
    <row r="3498" spans="5:7">
      <c r="E3498" s="264"/>
      <c r="G3498" s="264"/>
    </row>
    <row r="3499" spans="5:7">
      <c r="E3499" s="264"/>
      <c r="G3499" s="264"/>
    </row>
    <row r="3500" spans="5:7">
      <c r="E3500" s="264"/>
      <c r="G3500" s="264"/>
    </row>
    <row r="3501" spans="5:7">
      <c r="E3501" s="264"/>
      <c r="G3501" s="264"/>
    </row>
    <row r="3502" spans="5:7">
      <c r="E3502" s="264"/>
      <c r="G3502" s="264"/>
    </row>
    <row r="3503" spans="5:7">
      <c r="E3503" s="264"/>
      <c r="G3503" s="264"/>
    </row>
    <row r="3504" spans="5:7">
      <c r="E3504" s="264"/>
      <c r="G3504" s="264"/>
    </row>
    <row r="3505" spans="5:7">
      <c r="E3505" s="264"/>
      <c r="G3505" s="264"/>
    </row>
    <row r="3506" spans="5:7">
      <c r="E3506" s="264"/>
      <c r="G3506" s="264"/>
    </row>
    <row r="3507" spans="5:7">
      <c r="E3507" s="264"/>
      <c r="G3507" s="264"/>
    </row>
    <row r="3508" spans="5:7">
      <c r="E3508" s="264"/>
      <c r="G3508" s="264"/>
    </row>
    <row r="3509" spans="5:7">
      <c r="E3509" s="264"/>
      <c r="G3509" s="264"/>
    </row>
    <row r="3510" spans="5:7">
      <c r="E3510" s="264"/>
      <c r="G3510" s="264"/>
    </row>
    <row r="3511" spans="5:7">
      <c r="E3511" s="264"/>
      <c r="G3511" s="264"/>
    </row>
    <row r="3512" spans="5:7">
      <c r="E3512" s="264"/>
      <c r="G3512" s="264"/>
    </row>
    <row r="3513" spans="5:7">
      <c r="E3513" s="264"/>
      <c r="G3513" s="264"/>
    </row>
    <row r="3514" spans="5:7">
      <c r="E3514" s="264"/>
      <c r="G3514" s="264"/>
    </row>
    <row r="3515" spans="5:7">
      <c r="E3515" s="264"/>
      <c r="G3515" s="264"/>
    </row>
    <row r="3516" spans="5:7">
      <c r="E3516" s="264"/>
      <c r="G3516" s="264"/>
    </row>
    <row r="3517" spans="5:7">
      <c r="E3517" s="264"/>
      <c r="G3517" s="264"/>
    </row>
    <row r="3518" spans="5:7">
      <c r="E3518" s="264"/>
      <c r="G3518" s="264"/>
    </row>
    <row r="3519" spans="5:7">
      <c r="E3519" s="264"/>
      <c r="G3519" s="264"/>
    </row>
    <row r="3520" spans="5:7">
      <c r="E3520" s="264"/>
      <c r="G3520" s="264"/>
    </row>
    <row r="3521" spans="5:7">
      <c r="E3521" s="264"/>
      <c r="G3521" s="264"/>
    </row>
    <row r="3522" spans="5:7">
      <c r="E3522" s="264"/>
      <c r="G3522" s="264"/>
    </row>
    <row r="3523" spans="5:7">
      <c r="E3523" s="264"/>
      <c r="G3523" s="264"/>
    </row>
    <row r="3524" spans="5:7">
      <c r="E3524" s="264"/>
      <c r="G3524" s="264"/>
    </row>
    <row r="3525" spans="5:7">
      <c r="E3525" s="264"/>
      <c r="G3525" s="264"/>
    </row>
    <row r="3526" spans="5:7">
      <c r="E3526" s="264"/>
      <c r="G3526" s="264"/>
    </row>
    <row r="3527" spans="5:7">
      <c r="E3527" s="264"/>
      <c r="G3527" s="264"/>
    </row>
    <row r="3528" spans="5:7">
      <c r="E3528" s="264"/>
      <c r="G3528" s="264"/>
    </row>
    <row r="3529" spans="5:7">
      <c r="E3529" s="264"/>
      <c r="G3529" s="264"/>
    </row>
    <row r="3530" spans="5:7">
      <c r="E3530" s="264"/>
      <c r="G3530" s="264"/>
    </row>
    <row r="3531" spans="5:7">
      <c r="E3531" s="264"/>
      <c r="G3531" s="264"/>
    </row>
    <row r="3532" spans="5:7">
      <c r="E3532" s="264"/>
      <c r="G3532" s="264"/>
    </row>
    <row r="3533" spans="5:7">
      <c r="E3533" s="264"/>
      <c r="G3533" s="264"/>
    </row>
    <row r="3534" spans="5:7">
      <c r="E3534" s="264"/>
      <c r="G3534" s="264"/>
    </row>
    <row r="3535" spans="5:7">
      <c r="E3535" s="264"/>
      <c r="G3535" s="264"/>
    </row>
    <row r="3536" spans="5:7">
      <c r="E3536" s="264"/>
      <c r="G3536" s="264"/>
    </row>
    <row r="3537" spans="5:7">
      <c r="E3537" s="264"/>
      <c r="G3537" s="264"/>
    </row>
    <row r="3538" spans="5:7">
      <c r="E3538" s="264"/>
      <c r="G3538" s="264"/>
    </row>
    <row r="3539" spans="5:7">
      <c r="E3539" s="264"/>
      <c r="G3539" s="264"/>
    </row>
    <row r="3540" spans="5:7">
      <c r="E3540" s="264"/>
      <c r="G3540" s="264"/>
    </row>
    <row r="3541" spans="5:7">
      <c r="E3541" s="264"/>
      <c r="G3541" s="264"/>
    </row>
    <row r="3542" spans="5:7">
      <c r="E3542" s="264"/>
      <c r="G3542" s="264"/>
    </row>
    <row r="3543" spans="5:7">
      <c r="E3543" s="264"/>
      <c r="G3543" s="264"/>
    </row>
    <row r="3544" spans="5:7">
      <c r="E3544" s="264"/>
      <c r="G3544" s="264"/>
    </row>
    <row r="3545" spans="5:7">
      <c r="E3545" s="264"/>
      <c r="G3545" s="264"/>
    </row>
    <row r="3546" spans="5:7">
      <c r="E3546" s="264"/>
      <c r="G3546" s="264"/>
    </row>
    <row r="3547" spans="5:7">
      <c r="E3547" s="264"/>
      <c r="G3547" s="264"/>
    </row>
    <row r="3548" spans="5:7">
      <c r="E3548" s="264"/>
      <c r="G3548" s="264"/>
    </row>
    <row r="3549" spans="5:7">
      <c r="E3549" s="264"/>
      <c r="G3549" s="264"/>
    </row>
    <row r="3550" spans="5:7">
      <c r="E3550" s="264"/>
      <c r="G3550" s="264"/>
    </row>
    <row r="3551" spans="5:7">
      <c r="E3551" s="264"/>
      <c r="G3551" s="264"/>
    </row>
    <row r="3552" spans="5:7">
      <c r="E3552" s="264"/>
      <c r="G3552" s="264"/>
    </row>
    <row r="3553" spans="5:7">
      <c r="E3553" s="264"/>
      <c r="G3553" s="264"/>
    </row>
    <row r="3554" spans="5:7">
      <c r="E3554" s="264"/>
      <c r="G3554" s="264"/>
    </row>
    <row r="3555" spans="5:7">
      <c r="E3555" s="264"/>
      <c r="G3555" s="264"/>
    </row>
    <row r="3556" spans="5:7">
      <c r="E3556" s="264"/>
      <c r="G3556" s="264"/>
    </row>
    <row r="3557" spans="5:7">
      <c r="E3557" s="264"/>
      <c r="G3557" s="264"/>
    </row>
    <row r="3558" spans="5:7">
      <c r="E3558" s="264"/>
      <c r="G3558" s="264"/>
    </row>
    <row r="3559" spans="5:7">
      <c r="E3559" s="264"/>
      <c r="G3559" s="264"/>
    </row>
    <row r="3560" spans="5:7">
      <c r="E3560" s="264"/>
      <c r="G3560" s="264"/>
    </row>
    <row r="3561" spans="5:7">
      <c r="E3561" s="264"/>
      <c r="G3561" s="264"/>
    </row>
    <row r="3562" spans="5:7">
      <c r="E3562" s="264"/>
      <c r="G3562" s="264"/>
    </row>
    <row r="3563" spans="5:7">
      <c r="E3563" s="264"/>
      <c r="G3563" s="264"/>
    </row>
    <row r="3564" spans="5:7">
      <c r="E3564" s="264"/>
      <c r="G3564" s="264"/>
    </row>
    <row r="3565" spans="5:7">
      <c r="E3565" s="264"/>
      <c r="G3565" s="264"/>
    </row>
    <row r="3566" spans="5:7">
      <c r="E3566" s="264"/>
      <c r="G3566" s="264"/>
    </row>
    <row r="3567" spans="5:7">
      <c r="E3567" s="264"/>
      <c r="G3567" s="264"/>
    </row>
    <row r="3568" spans="5:7">
      <c r="E3568" s="264"/>
      <c r="G3568" s="264"/>
    </row>
    <row r="3569" spans="5:7">
      <c r="E3569" s="264"/>
      <c r="G3569" s="264"/>
    </row>
    <row r="3570" spans="5:7">
      <c r="E3570" s="264"/>
      <c r="G3570" s="264"/>
    </row>
    <row r="3571" spans="5:7">
      <c r="E3571" s="264"/>
      <c r="G3571" s="264"/>
    </row>
    <row r="3572" spans="5:7">
      <c r="E3572" s="264"/>
      <c r="G3572" s="264"/>
    </row>
    <row r="3573" spans="5:7">
      <c r="E3573" s="264"/>
      <c r="G3573" s="264"/>
    </row>
    <row r="3574" spans="5:7">
      <c r="E3574" s="264"/>
      <c r="G3574" s="264"/>
    </row>
    <row r="3575" spans="5:7">
      <c r="E3575" s="264"/>
      <c r="G3575" s="264"/>
    </row>
    <row r="3576" spans="5:7">
      <c r="E3576" s="264"/>
      <c r="G3576" s="264"/>
    </row>
    <row r="3577" spans="5:7">
      <c r="E3577" s="264"/>
      <c r="G3577" s="264"/>
    </row>
    <row r="3578" spans="5:7">
      <c r="E3578" s="264"/>
      <c r="G3578" s="264"/>
    </row>
    <row r="3579" spans="5:7">
      <c r="E3579" s="264"/>
      <c r="G3579" s="264"/>
    </row>
    <row r="3580" spans="5:7">
      <c r="E3580" s="264"/>
      <c r="G3580" s="264"/>
    </row>
    <row r="3581" spans="5:7">
      <c r="E3581" s="264"/>
      <c r="G3581" s="264"/>
    </row>
    <row r="3582" spans="5:7">
      <c r="E3582" s="264"/>
      <c r="G3582" s="264"/>
    </row>
    <row r="3583" spans="5:7">
      <c r="E3583" s="264"/>
      <c r="G3583" s="264"/>
    </row>
    <row r="3584" spans="5:7">
      <c r="E3584" s="264"/>
      <c r="G3584" s="264"/>
    </row>
    <row r="3585" spans="5:7">
      <c r="E3585" s="264"/>
      <c r="G3585" s="264"/>
    </row>
    <row r="3586" spans="5:7">
      <c r="E3586" s="264"/>
      <c r="G3586" s="264"/>
    </row>
    <row r="3587" spans="5:7">
      <c r="E3587" s="264"/>
      <c r="G3587" s="264"/>
    </row>
    <row r="3588" spans="5:7">
      <c r="E3588" s="264"/>
      <c r="G3588" s="264"/>
    </row>
    <row r="3589" spans="5:7">
      <c r="E3589" s="264"/>
      <c r="G3589" s="264"/>
    </row>
    <row r="3590" spans="5:7">
      <c r="E3590" s="264"/>
      <c r="G3590" s="264"/>
    </row>
    <row r="3591" spans="5:7">
      <c r="E3591" s="264"/>
      <c r="G3591" s="264"/>
    </row>
    <row r="3592" spans="5:7">
      <c r="E3592" s="264"/>
      <c r="G3592" s="264"/>
    </row>
    <row r="3593" spans="5:7">
      <c r="E3593" s="264"/>
      <c r="G3593" s="264"/>
    </row>
    <row r="3594" spans="5:7">
      <c r="E3594" s="264"/>
      <c r="G3594" s="264"/>
    </row>
    <row r="3595" spans="5:7">
      <c r="E3595" s="264"/>
      <c r="G3595" s="264"/>
    </row>
    <row r="3596" spans="5:7">
      <c r="E3596" s="264"/>
      <c r="G3596" s="264"/>
    </row>
    <row r="3597" spans="5:7">
      <c r="E3597" s="264"/>
      <c r="G3597" s="264"/>
    </row>
    <row r="3598" spans="5:7">
      <c r="E3598" s="264"/>
      <c r="G3598" s="264"/>
    </row>
    <row r="3599" spans="5:7">
      <c r="E3599" s="264"/>
      <c r="G3599" s="264"/>
    </row>
    <row r="3600" spans="5:7">
      <c r="E3600" s="264"/>
      <c r="G3600" s="264"/>
    </row>
    <row r="3601" spans="5:7">
      <c r="E3601" s="264"/>
      <c r="G3601" s="264"/>
    </row>
    <row r="3602" spans="5:7">
      <c r="E3602" s="264"/>
      <c r="G3602" s="264"/>
    </row>
    <row r="3603" spans="5:7">
      <c r="E3603" s="264"/>
      <c r="G3603" s="264"/>
    </row>
    <row r="3604" spans="5:7">
      <c r="E3604" s="264"/>
      <c r="G3604" s="264"/>
    </row>
    <row r="3605" spans="5:7">
      <c r="E3605" s="264"/>
      <c r="G3605" s="264"/>
    </row>
    <row r="3606" spans="5:7">
      <c r="E3606" s="264"/>
      <c r="G3606" s="264"/>
    </row>
    <row r="3607" spans="5:7">
      <c r="E3607" s="264"/>
      <c r="G3607" s="264"/>
    </row>
    <row r="3608" spans="5:7">
      <c r="E3608" s="264"/>
      <c r="G3608" s="264"/>
    </row>
    <row r="3609" spans="5:7">
      <c r="E3609" s="264"/>
      <c r="G3609" s="264"/>
    </row>
    <row r="3610" spans="5:7">
      <c r="E3610" s="264"/>
      <c r="G3610" s="264"/>
    </row>
    <row r="3611" spans="5:7">
      <c r="E3611" s="264"/>
      <c r="G3611" s="264"/>
    </row>
    <row r="3612" spans="5:7">
      <c r="E3612" s="264"/>
      <c r="G3612" s="264"/>
    </row>
    <row r="3613" spans="5:7">
      <c r="E3613" s="264"/>
      <c r="G3613" s="264"/>
    </row>
    <row r="3614" spans="5:7">
      <c r="E3614" s="264"/>
      <c r="G3614" s="264"/>
    </row>
    <row r="3615" spans="5:7">
      <c r="E3615" s="264"/>
      <c r="G3615" s="264"/>
    </row>
    <row r="3616" spans="5:7">
      <c r="E3616" s="264"/>
      <c r="G3616" s="264"/>
    </row>
    <row r="3617" spans="5:7">
      <c r="E3617" s="264"/>
      <c r="G3617" s="264"/>
    </row>
    <row r="3618" spans="5:7">
      <c r="E3618" s="264"/>
      <c r="G3618" s="264"/>
    </row>
    <row r="3619" spans="5:7">
      <c r="E3619" s="264"/>
      <c r="G3619" s="264"/>
    </row>
    <row r="3620" spans="5:7">
      <c r="E3620" s="264"/>
      <c r="G3620" s="264"/>
    </row>
    <row r="3621" spans="5:7">
      <c r="E3621" s="264"/>
      <c r="G3621" s="264"/>
    </row>
    <row r="3622" spans="5:7">
      <c r="E3622" s="264"/>
      <c r="G3622" s="264"/>
    </row>
    <row r="3623" spans="5:7">
      <c r="E3623" s="264"/>
      <c r="G3623" s="264"/>
    </row>
    <row r="3624" spans="5:7">
      <c r="E3624" s="264"/>
      <c r="G3624" s="264"/>
    </row>
    <row r="3625" spans="5:7">
      <c r="E3625" s="264"/>
      <c r="G3625" s="264"/>
    </row>
    <row r="3626" spans="5:7">
      <c r="E3626" s="264"/>
      <c r="G3626" s="264"/>
    </row>
    <row r="3627" spans="5:7">
      <c r="E3627" s="264"/>
      <c r="G3627" s="264"/>
    </row>
    <row r="3628" spans="5:7">
      <c r="E3628" s="264"/>
      <c r="G3628" s="264"/>
    </row>
    <row r="3629" spans="5:7">
      <c r="E3629" s="264"/>
      <c r="G3629" s="264"/>
    </row>
    <row r="3630" spans="5:7">
      <c r="E3630" s="264"/>
      <c r="G3630" s="264"/>
    </row>
    <row r="3631" spans="5:7">
      <c r="E3631" s="264"/>
      <c r="G3631" s="264"/>
    </row>
    <row r="3632" spans="5:7">
      <c r="E3632" s="264"/>
      <c r="G3632" s="264"/>
    </row>
    <row r="3633" spans="5:7">
      <c r="E3633" s="264"/>
      <c r="G3633" s="264"/>
    </row>
    <row r="3634" spans="5:7">
      <c r="E3634" s="264"/>
      <c r="G3634" s="264"/>
    </row>
    <row r="3635" spans="5:7">
      <c r="E3635" s="264"/>
      <c r="G3635" s="264"/>
    </row>
    <row r="3636" spans="5:7">
      <c r="E3636" s="264"/>
      <c r="G3636" s="264"/>
    </row>
    <row r="3637" spans="5:7">
      <c r="E3637" s="264"/>
      <c r="G3637" s="264"/>
    </row>
    <row r="3638" spans="5:7">
      <c r="E3638" s="264"/>
      <c r="G3638" s="264"/>
    </row>
    <row r="3639" spans="5:7">
      <c r="E3639" s="264"/>
      <c r="G3639" s="264"/>
    </row>
    <row r="3640" spans="5:7">
      <c r="E3640" s="264"/>
      <c r="G3640" s="264"/>
    </row>
    <row r="3641" spans="5:7">
      <c r="E3641" s="264"/>
      <c r="G3641" s="264"/>
    </row>
    <row r="3642" spans="5:7">
      <c r="E3642" s="264"/>
      <c r="G3642" s="264"/>
    </row>
    <row r="3643" spans="5:7">
      <c r="E3643" s="264"/>
      <c r="G3643" s="264"/>
    </row>
    <row r="3644" spans="5:7">
      <c r="E3644" s="264"/>
      <c r="G3644" s="264"/>
    </row>
    <row r="3645" spans="5:7">
      <c r="E3645" s="264"/>
      <c r="G3645" s="264"/>
    </row>
    <row r="3646" spans="5:7">
      <c r="E3646" s="264"/>
      <c r="G3646" s="264"/>
    </row>
    <row r="3647" spans="5:7">
      <c r="E3647" s="264"/>
      <c r="G3647" s="264"/>
    </row>
    <row r="3648" spans="5:7">
      <c r="E3648" s="264"/>
      <c r="G3648" s="264"/>
    </row>
    <row r="3649" spans="5:7">
      <c r="E3649" s="264"/>
      <c r="G3649" s="264"/>
    </row>
    <row r="3650" spans="5:7">
      <c r="E3650" s="264"/>
      <c r="G3650" s="264"/>
    </row>
    <row r="3651" spans="5:7">
      <c r="E3651" s="264"/>
      <c r="G3651" s="264"/>
    </row>
    <row r="3652" spans="5:7">
      <c r="E3652" s="264"/>
      <c r="G3652" s="264"/>
    </row>
    <row r="3653" spans="5:7">
      <c r="E3653" s="264"/>
      <c r="G3653" s="264"/>
    </row>
    <row r="3654" spans="5:7">
      <c r="E3654" s="264"/>
      <c r="G3654" s="264"/>
    </row>
    <row r="3655" spans="5:7">
      <c r="E3655" s="264"/>
      <c r="G3655" s="264"/>
    </row>
    <row r="3656" spans="5:7">
      <c r="E3656" s="264"/>
      <c r="G3656" s="264"/>
    </row>
    <row r="3657" spans="5:7">
      <c r="E3657" s="264"/>
      <c r="G3657" s="264"/>
    </row>
    <row r="3658" spans="5:7">
      <c r="E3658" s="264"/>
      <c r="G3658" s="264"/>
    </row>
    <row r="3659" spans="5:7">
      <c r="E3659" s="264"/>
      <c r="G3659" s="264"/>
    </row>
    <row r="3660" spans="5:7">
      <c r="E3660" s="264"/>
      <c r="G3660" s="264"/>
    </row>
    <row r="3661" spans="5:7">
      <c r="E3661" s="264"/>
      <c r="G3661" s="264"/>
    </row>
    <row r="3662" spans="5:7">
      <c r="E3662" s="264"/>
      <c r="G3662" s="264"/>
    </row>
    <row r="3663" spans="5:7">
      <c r="E3663" s="264"/>
      <c r="G3663" s="264"/>
    </row>
    <row r="3664" spans="5:7">
      <c r="E3664" s="264"/>
      <c r="G3664" s="264"/>
    </row>
    <row r="3665" spans="5:7">
      <c r="E3665" s="264"/>
      <c r="G3665" s="264"/>
    </row>
    <row r="3666" spans="5:7">
      <c r="E3666" s="264"/>
      <c r="G3666" s="264"/>
    </row>
    <row r="3667" spans="5:7">
      <c r="E3667" s="264"/>
      <c r="G3667" s="264"/>
    </row>
    <row r="3668" spans="5:7">
      <c r="E3668" s="264"/>
      <c r="G3668" s="264"/>
    </row>
    <row r="3669" spans="5:7">
      <c r="E3669" s="264"/>
      <c r="G3669" s="264"/>
    </row>
    <row r="3670" spans="5:7">
      <c r="E3670" s="264"/>
      <c r="G3670" s="264"/>
    </row>
    <row r="3671" spans="5:7">
      <c r="E3671" s="264"/>
      <c r="G3671" s="264"/>
    </row>
    <row r="3672" spans="5:7">
      <c r="E3672" s="264"/>
      <c r="G3672" s="264"/>
    </row>
    <row r="3673" spans="5:7">
      <c r="E3673" s="264"/>
      <c r="G3673" s="264"/>
    </row>
    <row r="3674" spans="5:7">
      <c r="E3674" s="264"/>
      <c r="G3674" s="264"/>
    </row>
    <row r="3675" spans="5:7">
      <c r="E3675" s="264"/>
      <c r="G3675" s="264"/>
    </row>
    <row r="3676" spans="5:7">
      <c r="E3676" s="264"/>
      <c r="G3676" s="264"/>
    </row>
    <row r="3677" spans="5:7">
      <c r="E3677" s="264"/>
      <c r="G3677" s="264"/>
    </row>
    <row r="3678" spans="5:7">
      <c r="E3678" s="264"/>
      <c r="G3678" s="264"/>
    </row>
    <row r="3679" spans="5:7">
      <c r="E3679" s="264"/>
      <c r="G3679" s="264"/>
    </row>
    <row r="3680" spans="5:7">
      <c r="E3680" s="264"/>
      <c r="G3680" s="264"/>
    </row>
    <row r="3681" spans="5:7">
      <c r="E3681" s="264"/>
      <c r="G3681" s="264"/>
    </row>
    <row r="3682" spans="5:7">
      <c r="E3682" s="264"/>
      <c r="G3682" s="264"/>
    </row>
    <row r="3683" spans="5:7">
      <c r="E3683" s="264"/>
      <c r="G3683" s="264"/>
    </row>
    <row r="3684" spans="5:7">
      <c r="E3684" s="264"/>
      <c r="G3684" s="264"/>
    </row>
    <row r="3685" spans="5:7">
      <c r="E3685" s="264"/>
      <c r="G3685" s="264"/>
    </row>
    <row r="3686" spans="5:7">
      <c r="E3686" s="264"/>
      <c r="G3686" s="264"/>
    </row>
    <row r="3687" spans="5:7">
      <c r="E3687" s="264"/>
      <c r="G3687" s="264"/>
    </row>
    <row r="3688" spans="5:7">
      <c r="E3688" s="264"/>
      <c r="G3688" s="264"/>
    </row>
    <row r="3689" spans="5:7">
      <c r="E3689" s="264"/>
      <c r="G3689" s="264"/>
    </row>
    <row r="3690" spans="5:7">
      <c r="E3690" s="264"/>
      <c r="G3690" s="264"/>
    </row>
    <row r="3691" spans="5:7">
      <c r="E3691" s="264"/>
      <c r="G3691" s="264"/>
    </row>
    <row r="3692" spans="5:7">
      <c r="E3692" s="264"/>
      <c r="G3692" s="264"/>
    </row>
    <row r="3693" spans="5:7">
      <c r="E3693" s="264"/>
      <c r="G3693" s="264"/>
    </row>
    <row r="3694" spans="5:7">
      <c r="E3694" s="264"/>
      <c r="G3694" s="264"/>
    </row>
    <row r="3695" spans="5:7">
      <c r="E3695" s="264"/>
      <c r="G3695" s="264"/>
    </row>
    <row r="3696" spans="5:7">
      <c r="E3696" s="264"/>
      <c r="G3696" s="264"/>
    </row>
    <row r="3697" spans="5:7">
      <c r="E3697" s="264"/>
      <c r="G3697" s="264"/>
    </row>
    <row r="3698" spans="5:7">
      <c r="E3698" s="264"/>
      <c r="G3698" s="264"/>
    </row>
    <row r="3699" spans="5:7">
      <c r="E3699" s="264"/>
      <c r="G3699" s="264"/>
    </row>
    <row r="3700" spans="5:7">
      <c r="E3700" s="264"/>
      <c r="G3700" s="264"/>
    </row>
    <row r="3701" spans="5:7">
      <c r="E3701" s="264"/>
      <c r="G3701" s="264"/>
    </row>
    <row r="3702" spans="5:7">
      <c r="E3702" s="264"/>
      <c r="G3702" s="264"/>
    </row>
    <row r="3703" spans="5:7">
      <c r="E3703" s="264"/>
      <c r="G3703" s="264"/>
    </row>
    <row r="3704" spans="5:7">
      <c r="E3704" s="264"/>
      <c r="G3704" s="264"/>
    </row>
    <row r="3705" spans="5:7">
      <c r="E3705" s="264"/>
      <c r="G3705" s="264"/>
    </row>
    <row r="3706" spans="5:7">
      <c r="E3706" s="264"/>
      <c r="G3706" s="264"/>
    </row>
    <row r="3707" spans="5:7">
      <c r="E3707" s="264"/>
      <c r="G3707" s="264"/>
    </row>
    <row r="3708" spans="5:7">
      <c r="E3708" s="264"/>
      <c r="G3708" s="264"/>
    </row>
    <row r="3709" spans="5:7">
      <c r="E3709" s="264"/>
      <c r="G3709" s="264"/>
    </row>
    <row r="3710" spans="5:7">
      <c r="E3710" s="264"/>
      <c r="G3710" s="264"/>
    </row>
    <row r="3711" spans="5:7">
      <c r="E3711" s="264"/>
      <c r="G3711" s="264"/>
    </row>
    <row r="3712" spans="5:7">
      <c r="E3712" s="264"/>
      <c r="G3712" s="264"/>
    </row>
    <row r="3713" spans="5:7">
      <c r="E3713" s="264"/>
      <c r="G3713" s="264"/>
    </row>
    <row r="3714" spans="5:7">
      <c r="E3714" s="264"/>
      <c r="G3714" s="264"/>
    </row>
    <row r="3715" spans="5:7">
      <c r="E3715" s="264"/>
      <c r="G3715" s="264"/>
    </row>
    <row r="3716" spans="5:7">
      <c r="E3716" s="264"/>
      <c r="G3716" s="264"/>
    </row>
    <row r="3717" spans="5:7">
      <c r="E3717" s="264"/>
      <c r="G3717" s="264"/>
    </row>
    <row r="3718" spans="5:7">
      <c r="E3718" s="264"/>
      <c r="G3718" s="264"/>
    </row>
    <row r="3719" spans="5:7">
      <c r="E3719" s="264"/>
      <c r="G3719" s="264"/>
    </row>
    <row r="3720" spans="5:7">
      <c r="E3720" s="264"/>
      <c r="G3720" s="264"/>
    </row>
    <row r="3721" spans="5:7">
      <c r="E3721" s="264"/>
      <c r="G3721" s="264"/>
    </row>
    <row r="3722" spans="5:7">
      <c r="E3722" s="264"/>
      <c r="G3722" s="264"/>
    </row>
    <row r="3723" spans="5:7">
      <c r="E3723" s="264"/>
      <c r="G3723" s="264"/>
    </row>
    <row r="3724" spans="5:7">
      <c r="E3724" s="264"/>
      <c r="G3724" s="264"/>
    </row>
    <row r="3725" spans="5:7">
      <c r="E3725" s="264"/>
      <c r="G3725" s="264"/>
    </row>
    <row r="3726" spans="5:7">
      <c r="E3726" s="264"/>
      <c r="G3726" s="264"/>
    </row>
    <row r="3727" spans="5:7">
      <c r="E3727" s="264"/>
      <c r="G3727" s="264"/>
    </row>
    <row r="3728" spans="5:7">
      <c r="E3728" s="264"/>
      <c r="G3728" s="264"/>
    </row>
    <row r="3729" spans="5:7">
      <c r="E3729" s="264"/>
      <c r="G3729" s="264"/>
    </row>
    <row r="3730" spans="5:7">
      <c r="E3730" s="264"/>
      <c r="G3730" s="264"/>
    </row>
    <row r="3731" spans="5:7">
      <c r="E3731" s="264"/>
      <c r="G3731" s="264"/>
    </row>
    <row r="3732" spans="5:7">
      <c r="E3732" s="264"/>
      <c r="G3732" s="264"/>
    </row>
    <row r="3733" spans="5:7">
      <c r="E3733" s="264"/>
      <c r="G3733" s="264"/>
    </row>
    <row r="3734" spans="5:7">
      <c r="E3734" s="264"/>
      <c r="G3734" s="264"/>
    </row>
    <row r="3735" spans="5:7">
      <c r="E3735" s="264"/>
      <c r="G3735" s="264"/>
    </row>
    <row r="3736" spans="5:7">
      <c r="E3736" s="264"/>
      <c r="G3736" s="264"/>
    </row>
    <row r="3737" spans="5:7">
      <c r="E3737" s="264"/>
      <c r="G3737" s="264"/>
    </row>
    <row r="3738" spans="5:7">
      <c r="E3738" s="264"/>
      <c r="G3738" s="264"/>
    </row>
    <row r="3739" spans="5:7">
      <c r="E3739" s="264"/>
      <c r="G3739" s="264"/>
    </row>
    <row r="3740" spans="5:7">
      <c r="E3740" s="264"/>
      <c r="G3740" s="264"/>
    </row>
    <row r="3741" spans="5:7">
      <c r="E3741" s="264"/>
      <c r="G3741" s="264"/>
    </row>
    <row r="3742" spans="5:7">
      <c r="E3742" s="264"/>
      <c r="G3742" s="264"/>
    </row>
    <row r="3743" spans="5:7">
      <c r="E3743" s="264"/>
      <c r="G3743" s="264"/>
    </row>
    <row r="3744" spans="5:7">
      <c r="E3744" s="264"/>
      <c r="G3744" s="264"/>
    </row>
    <row r="3745" spans="5:7">
      <c r="E3745" s="264"/>
      <c r="G3745" s="264"/>
    </row>
    <row r="3746" spans="5:7">
      <c r="E3746" s="264"/>
      <c r="G3746" s="264"/>
    </row>
    <row r="3747" spans="5:7">
      <c r="E3747" s="264"/>
      <c r="G3747" s="264"/>
    </row>
    <row r="3748" spans="5:7">
      <c r="E3748" s="264"/>
      <c r="G3748" s="264"/>
    </row>
    <row r="3749" spans="5:7">
      <c r="E3749" s="264"/>
      <c r="G3749" s="264"/>
    </row>
    <row r="3750" spans="5:7">
      <c r="E3750" s="264"/>
      <c r="G3750" s="264"/>
    </row>
    <row r="3751" spans="5:7">
      <c r="E3751" s="264"/>
      <c r="G3751" s="264"/>
    </row>
    <row r="3752" spans="5:7">
      <c r="E3752" s="264"/>
      <c r="G3752" s="264"/>
    </row>
    <row r="3753" spans="5:7">
      <c r="E3753" s="264"/>
      <c r="G3753" s="264"/>
    </row>
    <row r="3754" spans="5:7">
      <c r="E3754" s="264"/>
      <c r="G3754" s="264"/>
    </row>
    <row r="3755" spans="5:7">
      <c r="E3755" s="264"/>
      <c r="G3755" s="264"/>
    </row>
    <row r="3756" spans="5:7">
      <c r="E3756" s="264"/>
      <c r="G3756" s="264"/>
    </row>
    <row r="3757" spans="5:7">
      <c r="E3757" s="264"/>
      <c r="G3757" s="264"/>
    </row>
    <row r="3758" spans="5:7">
      <c r="E3758" s="264"/>
      <c r="G3758" s="264"/>
    </row>
    <row r="3759" spans="5:7">
      <c r="E3759" s="264"/>
      <c r="G3759" s="264"/>
    </row>
    <row r="3760" spans="5:7">
      <c r="E3760" s="264"/>
      <c r="G3760" s="264"/>
    </row>
    <row r="3761" spans="5:7">
      <c r="E3761" s="264"/>
      <c r="G3761" s="264"/>
    </row>
    <row r="3762" spans="5:7">
      <c r="E3762" s="264"/>
      <c r="G3762" s="264"/>
    </row>
    <row r="3763" spans="5:7">
      <c r="E3763" s="264"/>
      <c r="G3763" s="264"/>
    </row>
    <row r="3764" spans="5:7">
      <c r="E3764" s="264"/>
      <c r="G3764" s="264"/>
    </row>
    <row r="3765" spans="5:7">
      <c r="E3765" s="264"/>
      <c r="G3765" s="264"/>
    </row>
    <row r="3766" spans="5:7">
      <c r="E3766" s="264"/>
      <c r="G3766" s="264"/>
    </row>
    <row r="3767" spans="5:7">
      <c r="E3767" s="264"/>
      <c r="G3767" s="264"/>
    </row>
    <row r="3768" spans="5:7">
      <c r="E3768" s="264"/>
      <c r="G3768" s="264"/>
    </row>
    <row r="3769" spans="5:7">
      <c r="E3769" s="264"/>
      <c r="G3769" s="264"/>
    </row>
    <row r="3770" spans="5:7">
      <c r="E3770" s="264"/>
      <c r="G3770" s="264"/>
    </row>
    <row r="3771" spans="5:7">
      <c r="E3771" s="264"/>
      <c r="G3771" s="264"/>
    </row>
    <row r="3772" spans="5:7">
      <c r="E3772" s="264"/>
      <c r="G3772" s="264"/>
    </row>
    <row r="3773" spans="5:7">
      <c r="E3773" s="264"/>
      <c r="G3773" s="264"/>
    </row>
    <row r="3774" spans="5:7">
      <c r="E3774" s="264"/>
      <c r="G3774" s="264"/>
    </row>
    <row r="3775" spans="5:7">
      <c r="E3775" s="264"/>
      <c r="G3775" s="264"/>
    </row>
    <row r="3776" spans="5:7">
      <c r="E3776" s="264"/>
      <c r="G3776" s="264"/>
    </row>
    <row r="3777" spans="5:7">
      <c r="E3777" s="264"/>
      <c r="G3777" s="264"/>
    </row>
    <row r="3778" spans="5:7">
      <c r="E3778" s="264"/>
      <c r="G3778" s="264"/>
    </row>
    <row r="3779" spans="5:7">
      <c r="E3779" s="264"/>
      <c r="G3779" s="264"/>
    </row>
    <row r="3780" spans="5:7">
      <c r="E3780" s="264"/>
      <c r="G3780" s="264"/>
    </row>
    <row r="3781" spans="5:7">
      <c r="E3781" s="264"/>
      <c r="G3781" s="264"/>
    </row>
    <row r="3782" spans="5:7">
      <c r="E3782" s="264"/>
      <c r="G3782" s="264"/>
    </row>
    <row r="3783" spans="5:7">
      <c r="E3783" s="264"/>
      <c r="G3783" s="264"/>
    </row>
    <row r="3784" spans="5:7">
      <c r="E3784" s="264"/>
      <c r="G3784" s="264"/>
    </row>
    <row r="3785" spans="5:7">
      <c r="E3785" s="264"/>
      <c r="G3785" s="264"/>
    </row>
    <row r="3786" spans="5:7">
      <c r="E3786" s="264"/>
      <c r="G3786" s="264"/>
    </row>
    <row r="3787" spans="5:7">
      <c r="E3787" s="264"/>
      <c r="G3787" s="264"/>
    </row>
    <row r="3788" spans="5:7">
      <c r="E3788" s="264"/>
      <c r="G3788" s="264"/>
    </row>
    <row r="3789" spans="5:7">
      <c r="E3789" s="264"/>
      <c r="G3789" s="264"/>
    </row>
    <row r="3790" spans="5:7">
      <c r="E3790" s="264"/>
      <c r="G3790" s="264"/>
    </row>
    <row r="3791" spans="5:7">
      <c r="E3791" s="264"/>
      <c r="G3791" s="264"/>
    </row>
    <row r="3792" spans="5:7">
      <c r="E3792" s="264"/>
      <c r="G3792" s="264"/>
    </row>
    <row r="3793" spans="5:7">
      <c r="E3793" s="264"/>
      <c r="G3793" s="264"/>
    </row>
    <row r="3794" spans="5:7">
      <c r="E3794" s="264"/>
      <c r="G3794" s="264"/>
    </row>
    <row r="3795" spans="5:7">
      <c r="E3795" s="264"/>
      <c r="G3795" s="264"/>
    </row>
    <row r="3796" spans="5:7">
      <c r="E3796" s="264"/>
      <c r="G3796" s="264"/>
    </row>
    <row r="3797" spans="5:7">
      <c r="E3797" s="264"/>
      <c r="G3797" s="264"/>
    </row>
    <row r="3798" spans="5:7">
      <c r="E3798" s="264"/>
      <c r="G3798" s="264"/>
    </row>
    <row r="3799" spans="5:7">
      <c r="E3799" s="264"/>
      <c r="G3799" s="264"/>
    </row>
    <row r="3800" spans="5:7">
      <c r="E3800" s="264"/>
      <c r="G3800" s="264"/>
    </row>
    <row r="3801" spans="5:7">
      <c r="E3801" s="264"/>
      <c r="G3801" s="264"/>
    </row>
    <row r="3802" spans="5:7">
      <c r="E3802" s="264"/>
      <c r="G3802" s="264"/>
    </row>
    <row r="3803" spans="5:7">
      <c r="E3803" s="264"/>
      <c r="G3803" s="264"/>
    </row>
    <row r="3804" spans="5:7">
      <c r="E3804" s="264"/>
      <c r="G3804" s="264"/>
    </row>
    <row r="3805" spans="5:7">
      <c r="E3805" s="264"/>
      <c r="G3805" s="264"/>
    </row>
    <row r="3806" spans="5:7">
      <c r="E3806" s="264"/>
      <c r="G3806" s="264"/>
    </row>
    <row r="3807" spans="5:7">
      <c r="E3807" s="264"/>
      <c r="G3807" s="264"/>
    </row>
    <row r="3808" spans="5:7">
      <c r="E3808" s="264"/>
      <c r="G3808" s="264"/>
    </row>
    <row r="3809" spans="5:7">
      <c r="E3809" s="264"/>
      <c r="G3809" s="264"/>
    </row>
    <row r="3810" spans="5:7">
      <c r="E3810" s="264"/>
      <c r="G3810" s="264"/>
    </row>
    <row r="3811" spans="5:7">
      <c r="E3811" s="264"/>
      <c r="G3811" s="264"/>
    </row>
    <row r="3812" spans="5:7">
      <c r="E3812" s="264"/>
      <c r="G3812" s="264"/>
    </row>
    <row r="3813" spans="5:7">
      <c r="E3813" s="264"/>
      <c r="G3813" s="264"/>
    </row>
    <row r="3814" spans="5:7">
      <c r="E3814" s="264"/>
      <c r="G3814" s="264"/>
    </row>
    <row r="3815" spans="5:7">
      <c r="E3815" s="264"/>
      <c r="G3815" s="264"/>
    </row>
    <row r="3816" spans="5:7">
      <c r="E3816" s="264"/>
      <c r="G3816" s="264"/>
    </row>
    <row r="3817" spans="5:7">
      <c r="E3817" s="264"/>
      <c r="G3817" s="264"/>
    </row>
    <row r="3818" spans="5:7">
      <c r="E3818" s="264"/>
      <c r="G3818" s="264"/>
    </row>
    <row r="3819" spans="5:7">
      <c r="E3819" s="264"/>
      <c r="G3819" s="264"/>
    </row>
    <row r="3820" spans="5:7">
      <c r="E3820" s="264"/>
      <c r="G3820" s="264"/>
    </row>
    <row r="3821" spans="5:7">
      <c r="E3821" s="264"/>
      <c r="G3821" s="264"/>
    </row>
    <row r="3822" spans="5:7">
      <c r="E3822" s="264"/>
      <c r="G3822" s="264"/>
    </row>
    <row r="3823" spans="5:7">
      <c r="E3823" s="264"/>
      <c r="G3823" s="264"/>
    </row>
    <row r="3824" spans="5:7">
      <c r="E3824" s="264"/>
      <c r="G3824" s="264"/>
    </row>
    <row r="3825" spans="5:7">
      <c r="E3825" s="264"/>
      <c r="G3825" s="264"/>
    </row>
    <row r="3826" spans="5:7">
      <c r="E3826" s="264"/>
      <c r="G3826" s="264"/>
    </row>
    <row r="3827" spans="5:7">
      <c r="E3827" s="264"/>
      <c r="G3827" s="264"/>
    </row>
    <row r="3828" spans="5:7">
      <c r="E3828" s="264"/>
      <c r="G3828" s="264"/>
    </row>
    <row r="3829" spans="5:7">
      <c r="E3829" s="264"/>
      <c r="G3829" s="264"/>
    </row>
    <row r="3830" spans="5:7">
      <c r="E3830" s="264"/>
      <c r="G3830" s="264"/>
    </row>
    <row r="3831" spans="5:7">
      <c r="E3831" s="264"/>
      <c r="G3831" s="264"/>
    </row>
    <row r="3832" spans="5:7">
      <c r="E3832" s="264"/>
      <c r="G3832" s="264"/>
    </row>
    <row r="3833" spans="5:7">
      <c r="E3833" s="264"/>
      <c r="G3833" s="264"/>
    </row>
    <row r="3834" spans="5:7">
      <c r="E3834" s="264"/>
      <c r="G3834" s="264"/>
    </row>
    <row r="3835" spans="5:7">
      <c r="E3835" s="264"/>
      <c r="G3835" s="264"/>
    </row>
    <row r="3836" spans="5:7">
      <c r="E3836" s="264"/>
      <c r="G3836" s="264"/>
    </row>
    <row r="3837" spans="5:7">
      <c r="E3837" s="264"/>
      <c r="G3837" s="264"/>
    </row>
    <row r="3838" spans="5:7">
      <c r="E3838" s="264"/>
      <c r="G3838" s="264"/>
    </row>
    <row r="3839" spans="5:7">
      <c r="E3839" s="264"/>
      <c r="G3839" s="264"/>
    </row>
    <row r="3840" spans="5:7">
      <c r="E3840" s="264"/>
      <c r="G3840" s="264"/>
    </row>
    <row r="3841" spans="5:7">
      <c r="E3841" s="264"/>
      <c r="G3841" s="264"/>
    </row>
    <row r="3842" spans="5:7">
      <c r="E3842" s="264"/>
      <c r="G3842" s="264"/>
    </row>
    <row r="3843" spans="5:7">
      <c r="E3843" s="264"/>
      <c r="G3843" s="264"/>
    </row>
    <row r="3844" spans="5:7">
      <c r="E3844" s="264"/>
      <c r="G3844" s="264"/>
    </row>
    <row r="3845" spans="5:7">
      <c r="E3845" s="264"/>
      <c r="G3845" s="264"/>
    </row>
    <row r="3846" spans="5:7">
      <c r="E3846" s="264"/>
      <c r="G3846" s="264"/>
    </row>
    <row r="3847" spans="5:7">
      <c r="E3847" s="264"/>
      <c r="G3847" s="264"/>
    </row>
    <row r="3848" spans="5:7">
      <c r="E3848" s="264"/>
      <c r="G3848" s="264"/>
    </row>
    <row r="3849" spans="5:7">
      <c r="E3849" s="264"/>
      <c r="G3849" s="264"/>
    </row>
    <row r="3850" spans="5:7">
      <c r="E3850" s="264"/>
      <c r="G3850" s="264"/>
    </row>
    <row r="3851" spans="5:7">
      <c r="E3851" s="264"/>
      <c r="G3851" s="264"/>
    </row>
    <row r="3852" spans="5:7">
      <c r="E3852" s="264"/>
      <c r="G3852" s="264"/>
    </row>
    <row r="3853" spans="5:7">
      <c r="E3853" s="264"/>
      <c r="G3853" s="264"/>
    </row>
    <row r="3854" spans="5:7">
      <c r="E3854" s="264"/>
      <c r="G3854" s="264"/>
    </row>
    <row r="3855" spans="5:7">
      <c r="E3855" s="264"/>
      <c r="G3855" s="264"/>
    </row>
    <row r="3856" spans="5:7">
      <c r="E3856" s="264"/>
      <c r="G3856" s="264"/>
    </row>
    <row r="3857" spans="5:7">
      <c r="E3857" s="264"/>
      <c r="G3857" s="264"/>
    </row>
    <row r="3858" spans="5:7">
      <c r="E3858" s="264"/>
      <c r="G3858" s="264"/>
    </row>
    <row r="3859" spans="5:7">
      <c r="E3859" s="264"/>
      <c r="G3859" s="264"/>
    </row>
    <row r="3860" spans="5:7">
      <c r="E3860" s="264"/>
      <c r="G3860" s="264"/>
    </row>
    <row r="3861" spans="5:7">
      <c r="E3861" s="264"/>
      <c r="G3861" s="264"/>
    </row>
    <row r="3862" spans="5:7">
      <c r="E3862" s="264"/>
      <c r="G3862" s="264"/>
    </row>
    <row r="3863" spans="5:7">
      <c r="E3863" s="264"/>
      <c r="G3863" s="264"/>
    </row>
    <row r="3864" spans="5:7">
      <c r="E3864" s="264"/>
      <c r="G3864" s="264"/>
    </row>
    <row r="3865" spans="5:7">
      <c r="E3865" s="264"/>
      <c r="G3865" s="264"/>
    </row>
    <row r="3866" spans="5:7">
      <c r="E3866" s="264"/>
      <c r="G3866" s="264"/>
    </row>
    <row r="3867" spans="5:7">
      <c r="E3867" s="264"/>
      <c r="G3867" s="264"/>
    </row>
    <row r="3868" spans="5:7">
      <c r="E3868" s="264"/>
      <c r="G3868" s="264"/>
    </row>
    <row r="3869" spans="5:7">
      <c r="E3869" s="264"/>
      <c r="G3869" s="264"/>
    </row>
    <row r="3870" spans="5:7">
      <c r="E3870" s="264"/>
      <c r="G3870" s="264"/>
    </row>
    <row r="3871" spans="5:7">
      <c r="E3871" s="264"/>
      <c r="G3871" s="264"/>
    </row>
    <row r="3872" spans="5:7">
      <c r="E3872" s="264"/>
      <c r="G3872" s="264"/>
    </row>
    <row r="3873" spans="5:7">
      <c r="E3873" s="264"/>
      <c r="G3873" s="264"/>
    </row>
    <row r="3874" spans="5:7">
      <c r="E3874" s="264"/>
      <c r="G3874" s="264"/>
    </row>
    <row r="3875" spans="5:7">
      <c r="E3875" s="264"/>
      <c r="G3875" s="264"/>
    </row>
    <row r="3876" spans="5:7">
      <c r="E3876" s="264"/>
      <c r="G3876" s="264"/>
    </row>
    <row r="3877" spans="5:7">
      <c r="E3877" s="264"/>
      <c r="G3877" s="264"/>
    </row>
    <row r="3878" spans="5:7">
      <c r="E3878" s="264"/>
      <c r="G3878" s="264"/>
    </row>
    <row r="3879" spans="5:7">
      <c r="E3879" s="264"/>
      <c r="G3879" s="264"/>
    </row>
    <row r="3880" spans="5:7">
      <c r="E3880" s="264"/>
      <c r="G3880" s="264"/>
    </row>
    <row r="3881" spans="5:7">
      <c r="E3881" s="264"/>
      <c r="G3881" s="264"/>
    </row>
    <row r="3882" spans="5:7">
      <c r="E3882" s="264"/>
      <c r="G3882" s="264"/>
    </row>
    <row r="3883" spans="5:7">
      <c r="E3883" s="264"/>
      <c r="G3883" s="264"/>
    </row>
    <row r="3884" spans="5:7">
      <c r="E3884" s="264"/>
      <c r="G3884" s="264"/>
    </row>
    <row r="3885" spans="5:7">
      <c r="E3885" s="264"/>
      <c r="G3885" s="264"/>
    </row>
    <row r="3886" spans="5:7">
      <c r="E3886" s="264"/>
      <c r="G3886" s="264"/>
    </row>
    <row r="3887" spans="5:7">
      <c r="E3887" s="264"/>
      <c r="G3887" s="264"/>
    </row>
    <row r="3888" spans="5:7">
      <c r="E3888" s="264"/>
      <c r="G3888" s="264"/>
    </row>
    <row r="3889" spans="5:7">
      <c r="E3889" s="264"/>
      <c r="G3889" s="264"/>
    </row>
    <row r="3890" spans="5:7">
      <c r="E3890" s="264"/>
      <c r="G3890" s="264"/>
    </row>
    <row r="3891" spans="5:7">
      <c r="E3891" s="264"/>
      <c r="G3891" s="264"/>
    </row>
    <row r="3892" spans="5:7">
      <c r="E3892" s="264"/>
      <c r="G3892" s="264"/>
    </row>
    <row r="3893" spans="5:7">
      <c r="E3893" s="264"/>
      <c r="G3893" s="264"/>
    </row>
    <row r="3894" spans="5:7">
      <c r="E3894" s="264"/>
      <c r="G3894" s="264"/>
    </row>
    <row r="3895" spans="5:7">
      <c r="E3895" s="264"/>
      <c r="G3895" s="264"/>
    </row>
    <row r="3896" spans="5:7">
      <c r="E3896" s="264"/>
      <c r="G3896" s="264"/>
    </row>
    <row r="3897" spans="5:7">
      <c r="E3897" s="264"/>
      <c r="G3897" s="264"/>
    </row>
    <row r="3898" spans="5:7">
      <c r="E3898" s="264"/>
      <c r="G3898" s="264"/>
    </row>
    <row r="3899" spans="5:7">
      <c r="E3899" s="264"/>
      <c r="G3899" s="264"/>
    </row>
    <row r="3900" spans="5:7">
      <c r="E3900" s="264"/>
      <c r="G3900" s="264"/>
    </row>
    <row r="3901" spans="5:7">
      <c r="E3901" s="264"/>
      <c r="G3901" s="264"/>
    </row>
    <row r="3902" spans="5:7">
      <c r="E3902" s="264"/>
      <c r="G3902" s="264"/>
    </row>
    <row r="3903" spans="5:7">
      <c r="E3903" s="264"/>
      <c r="G3903" s="264"/>
    </row>
    <row r="3904" spans="5:7">
      <c r="E3904" s="264"/>
      <c r="G3904" s="264"/>
    </row>
    <row r="3905" spans="5:7">
      <c r="E3905" s="264"/>
      <c r="G3905" s="264"/>
    </row>
    <row r="3906" spans="5:7">
      <c r="E3906" s="264"/>
      <c r="G3906" s="264"/>
    </row>
    <row r="3907" spans="5:7">
      <c r="E3907" s="264"/>
      <c r="G3907" s="264"/>
    </row>
    <row r="3908" spans="5:7">
      <c r="E3908" s="264"/>
      <c r="G3908" s="264"/>
    </row>
    <row r="3909" spans="5:7">
      <c r="E3909" s="264"/>
      <c r="G3909" s="264"/>
    </row>
    <row r="3910" spans="5:7">
      <c r="E3910" s="264"/>
      <c r="G3910" s="264"/>
    </row>
    <row r="3911" spans="5:7">
      <c r="E3911" s="264"/>
      <c r="G3911" s="264"/>
    </row>
    <row r="3912" spans="5:7">
      <c r="E3912" s="264"/>
      <c r="G3912" s="264"/>
    </row>
    <row r="3913" spans="5:7">
      <c r="E3913" s="264"/>
      <c r="G3913" s="264"/>
    </row>
    <row r="3914" spans="5:7">
      <c r="E3914" s="264"/>
      <c r="G3914" s="264"/>
    </row>
    <row r="3915" spans="5:7">
      <c r="E3915" s="264"/>
      <c r="G3915" s="264"/>
    </row>
    <row r="3916" spans="5:7">
      <c r="E3916" s="264"/>
      <c r="G3916" s="264"/>
    </row>
    <row r="3917" spans="5:7">
      <c r="E3917" s="264"/>
      <c r="G3917" s="264"/>
    </row>
    <row r="3918" spans="5:7">
      <c r="E3918" s="264"/>
      <c r="G3918" s="264"/>
    </row>
    <row r="3919" spans="5:7">
      <c r="E3919" s="264"/>
      <c r="G3919" s="264"/>
    </row>
    <row r="3920" spans="5:7">
      <c r="E3920" s="264"/>
      <c r="G3920" s="264"/>
    </row>
    <row r="3921" spans="5:7">
      <c r="E3921" s="264"/>
      <c r="G3921" s="264"/>
    </row>
    <row r="3922" spans="5:7">
      <c r="E3922" s="264"/>
      <c r="G3922" s="264"/>
    </row>
    <row r="3923" spans="5:7">
      <c r="E3923" s="264"/>
      <c r="G3923" s="264"/>
    </row>
    <row r="3924" spans="5:7">
      <c r="E3924" s="264"/>
      <c r="G3924" s="264"/>
    </row>
    <row r="3925" spans="5:7">
      <c r="E3925" s="264"/>
      <c r="G3925" s="264"/>
    </row>
    <row r="3926" spans="5:7">
      <c r="E3926" s="264"/>
      <c r="G3926" s="264"/>
    </row>
    <row r="3927" spans="5:7">
      <c r="E3927" s="264"/>
      <c r="G3927" s="264"/>
    </row>
    <row r="3928" spans="5:7">
      <c r="E3928" s="264"/>
      <c r="G3928" s="264"/>
    </row>
    <row r="3929" spans="5:7">
      <c r="E3929" s="264"/>
      <c r="G3929" s="264"/>
    </row>
    <row r="3930" spans="5:7">
      <c r="E3930" s="264"/>
      <c r="G3930" s="264"/>
    </row>
    <row r="3931" spans="5:7">
      <c r="E3931" s="264"/>
      <c r="G3931" s="264"/>
    </row>
    <row r="3932" spans="5:7">
      <c r="E3932" s="264"/>
      <c r="G3932" s="264"/>
    </row>
    <row r="3933" spans="5:7">
      <c r="E3933" s="264"/>
      <c r="G3933" s="264"/>
    </row>
    <row r="3934" spans="5:7">
      <c r="E3934" s="264"/>
      <c r="G3934" s="264"/>
    </row>
    <row r="3935" spans="5:7">
      <c r="E3935" s="264"/>
      <c r="G3935" s="264"/>
    </row>
    <row r="3936" spans="5:7">
      <c r="E3936" s="264"/>
      <c r="G3936" s="264"/>
    </row>
    <row r="3937" spans="5:7">
      <c r="E3937" s="264"/>
      <c r="G3937" s="264"/>
    </row>
    <row r="3938" spans="5:7">
      <c r="E3938" s="264"/>
      <c r="G3938" s="264"/>
    </row>
    <row r="3939" spans="5:7">
      <c r="E3939" s="264"/>
      <c r="G3939" s="264"/>
    </row>
    <row r="3940" spans="5:7">
      <c r="E3940" s="264"/>
      <c r="G3940" s="264"/>
    </row>
    <row r="3941" spans="5:7">
      <c r="E3941" s="264"/>
      <c r="G3941" s="264"/>
    </row>
    <row r="3942" spans="5:7">
      <c r="E3942" s="264"/>
      <c r="G3942" s="264"/>
    </row>
    <row r="3943" spans="5:7">
      <c r="E3943" s="264"/>
      <c r="G3943" s="264"/>
    </row>
    <row r="3944" spans="5:7">
      <c r="E3944" s="264"/>
      <c r="G3944" s="264"/>
    </row>
    <row r="3945" spans="5:7">
      <c r="E3945" s="264"/>
      <c r="G3945" s="264"/>
    </row>
    <row r="3946" spans="5:7">
      <c r="E3946" s="264"/>
      <c r="G3946" s="264"/>
    </row>
    <row r="3947" spans="5:7">
      <c r="E3947" s="264"/>
      <c r="G3947" s="264"/>
    </row>
    <row r="3948" spans="5:7">
      <c r="E3948" s="264"/>
      <c r="G3948" s="264"/>
    </row>
    <row r="3949" spans="5:7">
      <c r="E3949" s="264"/>
      <c r="G3949" s="264"/>
    </row>
    <row r="3950" spans="5:7">
      <c r="E3950" s="264"/>
      <c r="G3950" s="264"/>
    </row>
    <row r="3951" spans="5:7">
      <c r="E3951" s="264"/>
      <c r="G3951" s="264"/>
    </row>
    <row r="3952" spans="5:7">
      <c r="E3952" s="264"/>
      <c r="G3952" s="264"/>
    </row>
    <row r="3953" spans="5:7">
      <c r="E3953" s="264"/>
      <c r="G3953" s="264"/>
    </row>
    <row r="3954" spans="5:7">
      <c r="E3954" s="264"/>
      <c r="G3954" s="264"/>
    </row>
    <row r="3955" spans="5:7">
      <c r="E3955" s="264"/>
      <c r="G3955" s="264"/>
    </row>
    <row r="3956" spans="5:7">
      <c r="E3956" s="264"/>
      <c r="G3956" s="264"/>
    </row>
    <row r="3957" spans="5:7">
      <c r="E3957" s="264"/>
      <c r="G3957" s="264"/>
    </row>
    <row r="3958" spans="5:7">
      <c r="E3958" s="264"/>
      <c r="G3958" s="264"/>
    </row>
    <row r="3959" spans="5:7">
      <c r="E3959" s="264"/>
      <c r="G3959" s="264"/>
    </row>
    <row r="3960" spans="5:7">
      <c r="E3960" s="264"/>
      <c r="G3960" s="264"/>
    </row>
    <row r="3961" spans="5:7">
      <c r="E3961" s="264"/>
      <c r="G3961" s="264"/>
    </row>
    <row r="3962" spans="5:7">
      <c r="E3962" s="264"/>
      <c r="G3962" s="264"/>
    </row>
    <row r="3963" spans="5:7">
      <c r="E3963" s="264"/>
      <c r="G3963" s="264"/>
    </row>
    <row r="3964" spans="5:7">
      <c r="E3964" s="264"/>
      <c r="G3964" s="264"/>
    </row>
    <row r="3965" spans="5:7">
      <c r="E3965" s="264"/>
      <c r="G3965" s="264"/>
    </row>
    <row r="3966" spans="5:7">
      <c r="E3966" s="264"/>
      <c r="G3966" s="264"/>
    </row>
    <row r="3967" spans="5:7">
      <c r="E3967" s="264"/>
      <c r="G3967" s="264"/>
    </row>
    <row r="3968" spans="5:7">
      <c r="E3968" s="264"/>
      <c r="G3968" s="264"/>
    </row>
    <row r="3969" spans="5:7">
      <c r="E3969" s="264"/>
      <c r="G3969" s="264"/>
    </row>
    <row r="3970" spans="5:7">
      <c r="E3970" s="264"/>
      <c r="G3970" s="264"/>
    </row>
    <row r="3971" spans="5:7">
      <c r="E3971" s="264"/>
      <c r="G3971" s="264"/>
    </row>
    <row r="3972" spans="5:7">
      <c r="E3972" s="264"/>
      <c r="G3972" s="264"/>
    </row>
    <row r="3973" spans="5:7">
      <c r="E3973" s="264"/>
      <c r="G3973" s="264"/>
    </row>
    <row r="3974" spans="5:7">
      <c r="E3974" s="264"/>
      <c r="G3974" s="264"/>
    </row>
    <row r="3975" spans="5:7">
      <c r="E3975" s="264"/>
      <c r="G3975" s="264"/>
    </row>
    <row r="3976" spans="5:7">
      <c r="E3976" s="264"/>
      <c r="G3976" s="264"/>
    </row>
    <row r="3977" spans="5:7">
      <c r="E3977" s="264"/>
      <c r="G3977" s="264"/>
    </row>
    <row r="3978" spans="5:7">
      <c r="E3978" s="264"/>
      <c r="G3978" s="264"/>
    </row>
    <row r="3979" spans="5:7">
      <c r="E3979" s="264"/>
      <c r="G3979" s="264"/>
    </row>
    <row r="3980" spans="5:7">
      <c r="E3980" s="264"/>
      <c r="G3980" s="264"/>
    </row>
    <row r="3981" spans="5:7">
      <c r="E3981" s="264"/>
      <c r="G3981" s="264"/>
    </row>
    <row r="3982" spans="5:7">
      <c r="E3982" s="264"/>
      <c r="G3982" s="264"/>
    </row>
    <row r="3983" spans="5:7">
      <c r="E3983" s="264"/>
      <c r="G3983" s="264"/>
    </row>
    <row r="3984" spans="5:7">
      <c r="E3984" s="264"/>
      <c r="G3984" s="264"/>
    </row>
    <row r="3985" spans="5:7">
      <c r="E3985" s="264"/>
      <c r="G3985" s="264"/>
    </row>
    <row r="3986" spans="5:7">
      <c r="E3986" s="264"/>
      <c r="G3986" s="264"/>
    </row>
    <row r="3987" spans="5:7">
      <c r="E3987" s="264"/>
      <c r="G3987" s="264"/>
    </row>
    <row r="3988" spans="5:7">
      <c r="E3988" s="264"/>
      <c r="G3988" s="264"/>
    </row>
    <row r="3989" spans="5:7">
      <c r="E3989" s="264"/>
      <c r="G3989" s="264"/>
    </row>
    <row r="3990" spans="5:7">
      <c r="E3990" s="264"/>
      <c r="G3990" s="264"/>
    </row>
    <row r="3991" spans="5:7">
      <c r="E3991" s="264"/>
      <c r="G3991" s="264"/>
    </row>
    <row r="3992" spans="5:7">
      <c r="E3992" s="264"/>
      <c r="G3992" s="264"/>
    </row>
    <row r="3993" spans="5:7">
      <c r="E3993" s="264"/>
      <c r="G3993" s="264"/>
    </row>
    <row r="3994" spans="5:7">
      <c r="E3994" s="264"/>
      <c r="G3994" s="264"/>
    </row>
    <row r="3995" spans="5:7">
      <c r="E3995" s="264"/>
      <c r="G3995" s="264"/>
    </row>
    <row r="3996" spans="5:7">
      <c r="E3996" s="264"/>
      <c r="G3996" s="264"/>
    </row>
    <row r="3997" spans="5:7">
      <c r="E3997" s="264"/>
      <c r="G3997" s="264"/>
    </row>
    <row r="3998" spans="5:7">
      <c r="E3998" s="264"/>
      <c r="G3998" s="264"/>
    </row>
    <row r="3999" spans="5:7">
      <c r="E3999" s="264"/>
      <c r="G3999" s="264"/>
    </row>
    <row r="4000" spans="5:7">
      <c r="E4000" s="264"/>
      <c r="G4000" s="264"/>
    </row>
    <row r="4001" spans="5:7">
      <c r="E4001" s="264"/>
      <c r="G4001" s="264"/>
    </row>
    <row r="4002" spans="5:7">
      <c r="E4002" s="264"/>
      <c r="G4002" s="264"/>
    </row>
    <row r="4003" spans="5:7">
      <c r="E4003" s="264"/>
      <c r="G4003" s="264"/>
    </row>
    <row r="4004" spans="5:7">
      <c r="E4004" s="264"/>
      <c r="G4004" s="264"/>
    </row>
    <row r="4005" spans="5:7">
      <c r="E4005" s="264"/>
      <c r="G4005" s="264"/>
    </row>
    <row r="4006" spans="5:7">
      <c r="E4006" s="264"/>
      <c r="G4006" s="264"/>
    </row>
    <row r="4007" spans="5:7">
      <c r="E4007" s="264"/>
      <c r="G4007" s="264"/>
    </row>
    <row r="4008" spans="5:7">
      <c r="E4008" s="264"/>
      <c r="G4008" s="264"/>
    </row>
    <row r="4009" spans="5:7">
      <c r="E4009" s="264"/>
      <c r="G4009" s="264"/>
    </row>
    <row r="4010" spans="5:7">
      <c r="E4010" s="264"/>
      <c r="G4010" s="264"/>
    </row>
    <row r="4011" spans="5:7">
      <c r="E4011" s="264"/>
      <c r="G4011" s="264"/>
    </row>
    <row r="4012" spans="5:7">
      <c r="E4012" s="264"/>
      <c r="G4012" s="264"/>
    </row>
    <row r="4013" spans="5:7">
      <c r="E4013" s="264"/>
      <c r="G4013" s="264"/>
    </row>
    <row r="4014" spans="5:7">
      <c r="E4014" s="264"/>
      <c r="G4014" s="264"/>
    </row>
    <row r="4015" spans="5:7">
      <c r="E4015" s="264"/>
      <c r="G4015" s="264"/>
    </row>
    <row r="4016" spans="5:7">
      <c r="E4016" s="264"/>
      <c r="G4016" s="264"/>
    </row>
    <row r="4017" spans="5:7">
      <c r="E4017" s="264"/>
      <c r="G4017" s="264"/>
    </row>
    <row r="4018" spans="5:7">
      <c r="E4018" s="264"/>
      <c r="G4018" s="264"/>
    </row>
    <row r="4019" spans="5:7">
      <c r="E4019" s="264"/>
      <c r="G4019" s="264"/>
    </row>
    <row r="4020" spans="5:7">
      <c r="E4020" s="264"/>
      <c r="G4020" s="264"/>
    </row>
    <row r="4021" spans="5:7">
      <c r="E4021" s="264"/>
      <c r="G4021" s="264"/>
    </row>
    <row r="4022" spans="5:7">
      <c r="E4022" s="264"/>
      <c r="G4022" s="264"/>
    </row>
    <row r="4023" spans="5:7">
      <c r="E4023" s="264"/>
      <c r="G4023" s="264"/>
    </row>
    <row r="4024" spans="5:7">
      <c r="E4024" s="264"/>
      <c r="G4024" s="264"/>
    </row>
    <row r="4025" spans="5:7">
      <c r="E4025" s="264"/>
      <c r="G4025" s="264"/>
    </row>
    <row r="4026" spans="5:7">
      <c r="E4026" s="264"/>
      <c r="G4026" s="264"/>
    </row>
    <row r="4027" spans="5:7">
      <c r="E4027" s="264"/>
      <c r="G4027" s="264"/>
    </row>
    <row r="4028" spans="5:7">
      <c r="E4028" s="264"/>
      <c r="G4028" s="264"/>
    </row>
    <row r="4029" spans="5:7">
      <c r="E4029" s="264"/>
      <c r="G4029" s="264"/>
    </row>
    <row r="4030" spans="5:7">
      <c r="E4030" s="264"/>
      <c r="G4030" s="264"/>
    </row>
    <row r="4031" spans="5:7">
      <c r="E4031" s="264"/>
      <c r="G4031" s="264"/>
    </row>
    <row r="4032" spans="5:7">
      <c r="E4032" s="264"/>
      <c r="G4032" s="264"/>
    </row>
    <row r="4033" spans="5:7">
      <c r="E4033" s="264"/>
      <c r="G4033" s="264"/>
    </row>
    <row r="4034" spans="5:7">
      <c r="E4034" s="264"/>
      <c r="G4034" s="264"/>
    </row>
    <row r="4035" spans="5:7">
      <c r="E4035" s="264"/>
      <c r="G4035" s="264"/>
    </row>
    <row r="4036" spans="5:7">
      <c r="E4036" s="264"/>
      <c r="G4036" s="264"/>
    </row>
    <row r="4037" spans="5:7">
      <c r="E4037" s="264"/>
      <c r="G4037" s="264"/>
    </row>
    <row r="4038" spans="5:7">
      <c r="E4038" s="264"/>
      <c r="G4038" s="264"/>
    </row>
    <row r="4039" spans="5:7">
      <c r="E4039" s="264"/>
      <c r="G4039" s="264"/>
    </row>
    <row r="4040" spans="5:7">
      <c r="E4040" s="264"/>
      <c r="G4040" s="264"/>
    </row>
    <row r="4041" spans="5:7">
      <c r="E4041" s="264"/>
      <c r="G4041" s="264"/>
    </row>
    <row r="4042" spans="5:7">
      <c r="E4042" s="264"/>
      <c r="G4042" s="264"/>
    </row>
    <row r="4043" spans="5:7">
      <c r="E4043" s="264"/>
      <c r="G4043" s="264"/>
    </row>
    <row r="4044" spans="5:7">
      <c r="E4044" s="264"/>
      <c r="G4044" s="264"/>
    </row>
    <row r="4045" spans="5:7">
      <c r="E4045" s="264"/>
      <c r="G4045" s="264"/>
    </row>
    <row r="4046" spans="5:7">
      <c r="E4046" s="264"/>
      <c r="G4046" s="264"/>
    </row>
    <row r="4047" spans="5:7">
      <c r="E4047" s="264"/>
      <c r="G4047" s="264"/>
    </row>
    <row r="4048" spans="5:7">
      <c r="E4048" s="264"/>
      <c r="G4048" s="264"/>
    </row>
    <row r="4049" spans="5:7">
      <c r="E4049" s="264"/>
      <c r="G4049" s="264"/>
    </row>
    <row r="4050" spans="5:7">
      <c r="E4050" s="264"/>
      <c r="G4050" s="264"/>
    </row>
    <row r="4051" spans="5:7">
      <c r="E4051" s="264"/>
      <c r="G4051" s="264"/>
    </row>
    <row r="4052" spans="5:7">
      <c r="E4052" s="264"/>
      <c r="G4052" s="264"/>
    </row>
    <row r="4053" spans="5:7">
      <c r="E4053" s="264"/>
      <c r="G4053" s="264"/>
    </row>
    <row r="4054" spans="5:7">
      <c r="E4054" s="264"/>
      <c r="G4054" s="264"/>
    </row>
    <row r="4055" spans="5:7">
      <c r="E4055" s="264"/>
      <c r="G4055" s="264"/>
    </row>
    <row r="4056" spans="5:7">
      <c r="E4056" s="264"/>
      <c r="G4056" s="264"/>
    </row>
    <row r="4057" spans="5:7">
      <c r="E4057" s="264"/>
      <c r="G4057" s="264"/>
    </row>
    <row r="4058" spans="5:7">
      <c r="E4058" s="264"/>
      <c r="G4058" s="264"/>
    </row>
    <row r="4059" spans="5:7">
      <c r="E4059" s="264"/>
      <c r="G4059" s="264"/>
    </row>
    <row r="4060" spans="5:7">
      <c r="E4060" s="264"/>
      <c r="G4060" s="264"/>
    </row>
    <row r="4061" spans="5:7">
      <c r="E4061" s="264"/>
      <c r="G4061" s="264"/>
    </row>
    <row r="4062" spans="5:7">
      <c r="E4062" s="264"/>
      <c r="G4062" s="264"/>
    </row>
    <row r="4063" spans="5:7">
      <c r="E4063" s="264"/>
      <c r="G4063" s="264"/>
    </row>
    <row r="4064" spans="5:7">
      <c r="E4064" s="264"/>
      <c r="G4064" s="264"/>
    </row>
    <row r="4065" spans="5:7">
      <c r="E4065" s="264"/>
      <c r="G4065" s="264"/>
    </row>
    <row r="4066" spans="5:7">
      <c r="E4066" s="264"/>
      <c r="G4066" s="264"/>
    </row>
    <row r="4067" spans="5:7">
      <c r="E4067" s="264"/>
      <c r="G4067" s="264"/>
    </row>
    <row r="4068" spans="5:7">
      <c r="E4068" s="264"/>
      <c r="G4068" s="264"/>
    </row>
    <row r="4069" spans="5:7">
      <c r="E4069" s="264"/>
      <c r="G4069" s="264"/>
    </row>
    <row r="4070" spans="5:7">
      <c r="E4070" s="264"/>
      <c r="G4070" s="264"/>
    </row>
    <row r="4071" spans="5:7">
      <c r="E4071" s="264"/>
      <c r="G4071" s="264"/>
    </row>
    <row r="4072" spans="5:7">
      <c r="E4072" s="264"/>
      <c r="G4072" s="264"/>
    </row>
    <row r="4073" spans="5:7">
      <c r="E4073" s="264"/>
      <c r="G4073" s="264"/>
    </row>
    <row r="4074" spans="5:7">
      <c r="E4074" s="264"/>
      <c r="G4074" s="264"/>
    </row>
    <row r="4075" spans="5:7">
      <c r="E4075" s="264"/>
      <c r="G4075" s="264"/>
    </row>
    <row r="4076" spans="5:7">
      <c r="E4076" s="264"/>
      <c r="G4076" s="264"/>
    </row>
    <row r="4077" spans="5:7">
      <c r="E4077" s="264"/>
      <c r="G4077" s="264"/>
    </row>
    <row r="4078" spans="5:7">
      <c r="E4078" s="264"/>
      <c r="G4078" s="264"/>
    </row>
    <row r="4079" spans="5:7">
      <c r="E4079" s="264"/>
      <c r="G4079" s="264"/>
    </row>
    <row r="4080" spans="5:7">
      <c r="E4080" s="264"/>
      <c r="G4080" s="264"/>
    </row>
    <row r="4081" spans="5:7">
      <c r="E4081" s="264"/>
      <c r="G4081" s="264"/>
    </row>
    <row r="4082" spans="5:7">
      <c r="E4082" s="264"/>
      <c r="G4082" s="264"/>
    </row>
    <row r="4083" spans="5:7">
      <c r="E4083" s="264"/>
      <c r="G4083" s="264"/>
    </row>
    <row r="4084" spans="5:7">
      <c r="E4084" s="264"/>
      <c r="G4084" s="264"/>
    </row>
    <row r="4085" spans="5:7">
      <c r="E4085" s="264"/>
      <c r="G4085" s="264"/>
    </row>
    <row r="4086" spans="5:7">
      <c r="E4086" s="264"/>
      <c r="G4086" s="264"/>
    </row>
    <row r="4087" spans="5:7">
      <c r="E4087" s="264"/>
      <c r="G4087" s="264"/>
    </row>
    <row r="4088" spans="5:7">
      <c r="E4088" s="264"/>
      <c r="G4088" s="264"/>
    </row>
    <row r="4089" spans="5:7">
      <c r="E4089" s="264"/>
      <c r="G4089" s="264"/>
    </row>
    <row r="4090" spans="5:7">
      <c r="E4090" s="264"/>
      <c r="G4090" s="264"/>
    </row>
    <row r="4091" spans="5:7">
      <c r="E4091" s="264"/>
      <c r="G4091" s="264"/>
    </row>
    <row r="4092" spans="5:7">
      <c r="E4092" s="264"/>
      <c r="G4092" s="264"/>
    </row>
    <row r="4093" spans="5:7">
      <c r="E4093" s="264"/>
      <c r="G4093" s="264"/>
    </row>
    <row r="4094" spans="5:7">
      <c r="E4094" s="264"/>
      <c r="G4094" s="264"/>
    </row>
    <row r="4095" spans="5:7">
      <c r="E4095" s="264"/>
      <c r="G4095" s="264"/>
    </row>
    <row r="4096" spans="5:7">
      <c r="E4096" s="264"/>
      <c r="G4096" s="264"/>
    </row>
    <row r="4097" spans="5:7">
      <c r="E4097" s="264"/>
      <c r="G4097" s="264"/>
    </row>
    <row r="4098" spans="5:7">
      <c r="E4098" s="264"/>
      <c r="G4098" s="264"/>
    </row>
    <row r="4099" spans="5:7">
      <c r="E4099" s="264"/>
      <c r="G4099" s="264"/>
    </row>
    <row r="4100" spans="5:7">
      <c r="E4100" s="264"/>
      <c r="G4100" s="264"/>
    </row>
    <row r="4101" spans="5:7">
      <c r="E4101" s="264"/>
      <c r="G4101" s="264"/>
    </row>
    <row r="4102" spans="5:7">
      <c r="E4102" s="264"/>
      <c r="G4102" s="264"/>
    </row>
    <row r="4103" spans="5:7">
      <c r="E4103" s="264"/>
      <c r="G4103" s="264"/>
    </row>
    <row r="4104" spans="5:7">
      <c r="E4104" s="264"/>
      <c r="G4104" s="264"/>
    </row>
    <row r="4105" spans="5:7">
      <c r="E4105" s="264"/>
      <c r="G4105" s="264"/>
    </row>
    <row r="4106" spans="5:7">
      <c r="E4106" s="264"/>
      <c r="G4106" s="264"/>
    </row>
    <row r="4107" spans="5:7">
      <c r="E4107" s="264"/>
      <c r="G4107" s="264"/>
    </row>
    <row r="4108" spans="5:7">
      <c r="E4108" s="264"/>
      <c r="G4108" s="264"/>
    </row>
    <row r="4109" spans="5:7">
      <c r="E4109" s="264"/>
      <c r="G4109" s="264"/>
    </row>
    <row r="4110" spans="5:7">
      <c r="E4110" s="264"/>
      <c r="G4110" s="264"/>
    </row>
    <row r="4111" spans="5:7">
      <c r="E4111" s="264"/>
      <c r="G4111" s="264"/>
    </row>
    <row r="4112" spans="5:7">
      <c r="E4112" s="264"/>
      <c r="G4112" s="264"/>
    </row>
    <row r="4113" spans="5:7">
      <c r="E4113" s="264"/>
      <c r="G4113" s="264"/>
    </row>
    <row r="4114" spans="5:7">
      <c r="E4114" s="264"/>
      <c r="G4114" s="264"/>
    </row>
    <row r="4115" spans="5:7">
      <c r="E4115" s="264"/>
      <c r="G4115" s="264"/>
    </row>
    <row r="4116" spans="5:7">
      <c r="E4116" s="264"/>
      <c r="G4116" s="264"/>
    </row>
    <row r="4117" spans="5:7">
      <c r="E4117" s="264"/>
      <c r="G4117" s="264"/>
    </row>
    <row r="4118" spans="5:7">
      <c r="E4118" s="264"/>
      <c r="G4118" s="264"/>
    </row>
    <row r="4119" spans="5:7">
      <c r="E4119" s="264"/>
      <c r="G4119" s="264"/>
    </row>
    <row r="4120" spans="5:7">
      <c r="E4120" s="264"/>
      <c r="G4120" s="264"/>
    </row>
    <row r="4121" spans="5:7">
      <c r="E4121" s="264"/>
      <c r="G4121" s="264"/>
    </row>
    <row r="4122" spans="5:7">
      <c r="E4122" s="264"/>
      <c r="G4122" s="264"/>
    </row>
    <row r="4123" spans="5:7">
      <c r="E4123" s="264"/>
      <c r="G4123" s="264"/>
    </row>
    <row r="4124" spans="5:7">
      <c r="E4124" s="264"/>
      <c r="G4124" s="264"/>
    </row>
    <row r="4125" spans="5:7">
      <c r="E4125" s="264"/>
      <c r="G4125" s="264"/>
    </row>
    <row r="4126" spans="5:7">
      <c r="E4126" s="264"/>
      <c r="G4126" s="264"/>
    </row>
    <row r="4127" spans="5:7">
      <c r="E4127" s="264"/>
      <c r="G4127" s="264"/>
    </row>
    <row r="4128" spans="5:7">
      <c r="E4128" s="264"/>
      <c r="G4128" s="264"/>
    </row>
    <row r="4129" spans="5:7">
      <c r="E4129" s="264"/>
      <c r="G4129" s="264"/>
    </row>
    <row r="4130" spans="5:7">
      <c r="E4130" s="264"/>
      <c r="G4130" s="264"/>
    </row>
    <row r="4131" spans="5:7">
      <c r="E4131" s="264"/>
      <c r="G4131" s="264"/>
    </row>
    <row r="4132" spans="5:7">
      <c r="E4132" s="264"/>
      <c r="G4132" s="264"/>
    </row>
    <row r="4133" spans="5:7">
      <c r="E4133" s="264"/>
      <c r="G4133" s="264"/>
    </row>
    <row r="4134" spans="5:7">
      <c r="E4134" s="264"/>
      <c r="G4134" s="264"/>
    </row>
    <row r="4135" spans="5:7">
      <c r="E4135" s="264"/>
      <c r="G4135" s="264"/>
    </row>
    <row r="4136" spans="5:7">
      <c r="E4136" s="264"/>
      <c r="G4136" s="264"/>
    </row>
    <row r="4137" spans="5:7">
      <c r="E4137" s="264"/>
      <c r="G4137" s="264"/>
    </row>
    <row r="4138" spans="5:7">
      <c r="E4138" s="264"/>
      <c r="G4138" s="264"/>
    </row>
    <row r="4139" spans="5:7">
      <c r="E4139" s="264"/>
      <c r="G4139" s="264"/>
    </row>
    <row r="4140" spans="5:7">
      <c r="E4140" s="264"/>
      <c r="G4140" s="264"/>
    </row>
    <row r="4141" spans="5:7">
      <c r="E4141" s="264"/>
      <c r="G4141" s="264"/>
    </row>
    <row r="4142" spans="5:7">
      <c r="E4142" s="264"/>
      <c r="G4142" s="264"/>
    </row>
    <row r="4143" spans="5:7">
      <c r="E4143" s="264"/>
      <c r="G4143" s="264"/>
    </row>
    <row r="4144" spans="5:7">
      <c r="E4144" s="264"/>
      <c r="G4144" s="264"/>
    </row>
    <row r="4145" spans="5:7">
      <c r="E4145" s="264"/>
      <c r="G4145" s="264"/>
    </row>
    <row r="4146" spans="5:7">
      <c r="E4146" s="264"/>
      <c r="G4146" s="264"/>
    </row>
    <row r="4147" spans="5:7">
      <c r="E4147" s="264"/>
      <c r="G4147" s="264"/>
    </row>
    <row r="4148" spans="5:7">
      <c r="E4148" s="264"/>
      <c r="G4148" s="264"/>
    </row>
    <row r="4149" spans="5:7">
      <c r="E4149" s="264"/>
      <c r="G4149" s="264"/>
    </row>
    <row r="4150" spans="5:7">
      <c r="E4150" s="264"/>
      <c r="G4150" s="264"/>
    </row>
    <row r="4151" spans="5:7">
      <c r="E4151" s="264"/>
      <c r="G4151" s="264"/>
    </row>
    <row r="4152" spans="5:7">
      <c r="E4152" s="264"/>
      <c r="G4152" s="264"/>
    </row>
    <row r="4153" spans="5:7">
      <c r="E4153" s="264"/>
      <c r="G4153" s="264"/>
    </row>
    <row r="4154" spans="5:7">
      <c r="E4154" s="264"/>
      <c r="G4154" s="264"/>
    </row>
    <row r="4155" spans="5:7">
      <c r="E4155" s="264"/>
      <c r="G4155" s="264"/>
    </row>
    <row r="4156" spans="5:7">
      <c r="E4156" s="264"/>
      <c r="G4156" s="264"/>
    </row>
    <row r="4157" spans="5:7">
      <c r="E4157" s="264"/>
      <c r="G4157" s="264"/>
    </row>
    <row r="4158" spans="5:7">
      <c r="E4158" s="264"/>
      <c r="G4158" s="264"/>
    </row>
    <row r="4159" spans="5:7">
      <c r="E4159" s="264"/>
      <c r="G4159" s="264"/>
    </row>
    <row r="4160" spans="5:7">
      <c r="E4160" s="264"/>
      <c r="G4160" s="264"/>
    </row>
    <row r="4161" spans="5:7">
      <c r="E4161" s="264"/>
      <c r="G4161" s="264"/>
    </row>
    <row r="4162" spans="5:7">
      <c r="E4162" s="264"/>
      <c r="G4162" s="264"/>
    </row>
    <row r="4163" spans="5:7">
      <c r="E4163" s="264"/>
      <c r="G4163" s="264"/>
    </row>
    <row r="4164" spans="5:7">
      <c r="E4164" s="264"/>
      <c r="G4164" s="264"/>
    </row>
    <row r="4165" spans="5:7">
      <c r="E4165" s="264"/>
      <c r="G4165" s="264"/>
    </row>
    <row r="4166" spans="5:7">
      <c r="E4166" s="264"/>
      <c r="G4166" s="264"/>
    </row>
    <row r="4167" spans="5:7">
      <c r="E4167" s="264"/>
      <c r="G4167" s="264"/>
    </row>
    <row r="4168" spans="5:7">
      <c r="E4168" s="264"/>
      <c r="G4168" s="264"/>
    </row>
    <row r="4169" spans="5:7">
      <c r="E4169" s="264"/>
      <c r="G4169" s="264"/>
    </row>
    <row r="4170" spans="5:7">
      <c r="E4170" s="264"/>
      <c r="G4170" s="264"/>
    </row>
    <row r="4171" spans="5:7">
      <c r="E4171" s="264"/>
      <c r="G4171" s="264"/>
    </row>
    <row r="4172" spans="5:7">
      <c r="E4172" s="264"/>
      <c r="G4172" s="264"/>
    </row>
    <row r="4173" spans="5:7">
      <c r="E4173" s="264"/>
      <c r="G4173" s="264"/>
    </row>
    <row r="4174" spans="5:7">
      <c r="E4174" s="264"/>
      <c r="G4174" s="264"/>
    </row>
    <row r="4175" spans="5:7">
      <c r="E4175" s="264"/>
      <c r="G4175" s="264"/>
    </row>
    <row r="4176" spans="5:7">
      <c r="E4176" s="264"/>
      <c r="G4176" s="264"/>
    </row>
    <row r="4177" spans="5:7">
      <c r="E4177" s="264"/>
      <c r="G4177" s="264"/>
    </row>
    <row r="4178" spans="5:7">
      <c r="E4178" s="264"/>
      <c r="G4178" s="264"/>
    </row>
    <row r="4179" spans="5:7">
      <c r="E4179" s="264"/>
      <c r="G4179" s="264"/>
    </row>
    <row r="4180" spans="5:7">
      <c r="E4180" s="264"/>
      <c r="G4180" s="264"/>
    </row>
    <row r="4181" spans="5:7">
      <c r="E4181" s="264"/>
      <c r="G4181" s="264"/>
    </row>
    <row r="4182" spans="5:7">
      <c r="E4182" s="264"/>
      <c r="G4182" s="264"/>
    </row>
    <row r="4183" spans="5:7">
      <c r="E4183" s="264"/>
      <c r="G4183" s="264"/>
    </row>
    <row r="4184" spans="5:7">
      <c r="E4184" s="264"/>
      <c r="G4184" s="264"/>
    </row>
    <row r="4185" spans="5:7">
      <c r="E4185" s="264"/>
      <c r="G4185" s="264"/>
    </row>
    <row r="4186" spans="5:7">
      <c r="E4186" s="264"/>
      <c r="G4186" s="264"/>
    </row>
    <row r="4187" spans="5:7">
      <c r="E4187" s="264"/>
      <c r="G4187" s="264"/>
    </row>
    <row r="4188" spans="5:7">
      <c r="E4188" s="264"/>
      <c r="G4188" s="264"/>
    </row>
    <row r="4189" spans="5:7">
      <c r="E4189" s="264"/>
      <c r="G4189" s="264"/>
    </row>
    <row r="4190" spans="5:7">
      <c r="E4190" s="264"/>
      <c r="G4190" s="264"/>
    </row>
    <row r="4191" spans="5:7">
      <c r="E4191" s="264"/>
      <c r="G4191" s="264"/>
    </row>
    <row r="4192" spans="5:7">
      <c r="E4192" s="264"/>
      <c r="G4192" s="264"/>
    </row>
    <row r="4193" spans="5:7">
      <c r="E4193" s="264"/>
      <c r="G4193" s="264"/>
    </row>
    <row r="4194" spans="5:7">
      <c r="E4194" s="264"/>
      <c r="G4194" s="264"/>
    </row>
    <row r="4195" spans="5:7">
      <c r="E4195" s="264"/>
      <c r="G4195" s="264"/>
    </row>
    <row r="4196" spans="5:7">
      <c r="E4196" s="264"/>
      <c r="G4196" s="264"/>
    </row>
    <row r="4197" spans="5:7">
      <c r="E4197" s="264"/>
      <c r="G4197" s="264"/>
    </row>
    <row r="4198" spans="5:7">
      <c r="E4198" s="264"/>
      <c r="G4198" s="264"/>
    </row>
    <row r="4199" spans="5:7">
      <c r="E4199" s="264"/>
      <c r="G4199" s="264"/>
    </row>
    <row r="4200" spans="5:7">
      <c r="E4200" s="264"/>
      <c r="G4200" s="264"/>
    </row>
    <row r="4201" spans="5:7">
      <c r="E4201" s="264"/>
      <c r="G4201" s="264"/>
    </row>
    <row r="4202" spans="5:7">
      <c r="E4202" s="264"/>
      <c r="G4202" s="264"/>
    </row>
    <row r="4203" spans="5:7">
      <c r="E4203" s="264"/>
      <c r="G4203" s="264"/>
    </row>
    <row r="4204" spans="5:7">
      <c r="E4204" s="264"/>
      <c r="G4204" s="264"/>
    </row>
    <row r="4205" spans="5:7">
      <c r="E4205" s="264"/>
      <c r="G4205" s="264"/>
    </row>
    <row r="4206" spans="5:7">
      <c r="E4206" s="264"/>
      <c r="G4206" s="264"/>
    </row>
    <row r="4207" spans="5:7">
      <c r="E4207" s="264"/>
      <c r="G4207" s="264"/>
    </row>
    <row r="4208" spans="5:7">
      <c r="E4208" s="264"/>
      <c r="G4208" s="264"/>
    </row>
    <row r="4209" spans="5:7">
      <c r="E4209" s="264"/>
      <c r="G4209" s="264"/>
    </row>
    <row r="4210" spans="5:7">
      <c r="E4210" s="264"/>
      <c r="G4210" s="264"/>
    </row>
    <row r="4211" spans="5:7">
      <c r="E4211" s="264"/>
      <c r="G4211" s="264"/>
    </row>
    <row r="4212" spans="5:7">
      <c r="E4212" s="264"/>
      <c r="G4212" s="264"/>
    </row>
    <row r="4213" spans="5:7">
      <c r="E4213" s="264"/>
      <c r="G4213" s="264"/>
    </row>
    <row r="4214" spans="5:7">
      <c r="E4214" s="264"/>
      <c r="G4214" s="264"/>
    </row>
    <row r="4215" spans="5:7">
      <c r="E4215" s="264"/>
      <c r="G4215" s="264"/>
    </row>
    <row r="4216" spans="5:7">
      <c r="E4216" s="264"/>
      <c r="G4216" s="264"/>
    </row>
    <row r="4217" spans="5:7">
      <c r="E4217" s="264"/>
      <c r="G4217" s="264"/>
    </row>
    <row r="4218" spans="5:7">
      <c r="E4218" s="264"/>
      <c r="G4218" s="264"/>
    </row>
    <row r="4219" spans="5:7">
      <c r="E4219" s="264"/>
      <c r="G4219" s="264"/>
    </row>
    <row r="4220" spans="5:7">
      <c r="E4220" s="264"/>
      <c r="G4220" s="264"/>
    </row>
    <row r="4221" spans="5:7">
      <c r="E4221" s="264"/>
      <c r="G4221" s="264"/>
    </row>
    <row r="4222" spans="5:7">
      <c r="E4222" s="264"/>
      <c r="G4222" s="264"/>
    </row>
    <row r="4223" spans="5:7">
      <c r="E4223" s="264"/>
      <c r="G4223" s="264"/>
    </row>
    <row r="4224" spans="5:7">
      <c r="E4224" s="264"/>
      <c r="G4224" s="264"/>
    </row>
    <row r="4225" spans="5:7">
      <c r="E4225" s="264"/>
      <c r="G4225" s="264"/>
    </row>
    <row r="4226" spans="5:7">
      <c r="E4226" s="264"/>
      <c r="G4226" s="264"/>
    </row>
    <row r="4227" spans="5:7">
      <c r="E4227" s="264"/>
      <c r="G4227" s="264"/>
    </row>
    <row r="4228" spans="5:7">
      <c r="E4228" s="264"/>
      <c r="G4228" s="264"/>
    </row>
    <row r="4229" spans="5:7">
      <c r="E4229" s="264"/>
      <c r="G4229" s="264"/>
    </row>
    <row r="4230" spans="5:7">
      <c r="E4230" s="264"/>
      <c r="G4230" s="264"/>
    </row>
    <row r="4231" spans="5:7">
      <c r="E4231" s="264"/>
      <c r="G4231" s="264"/>
    </row>
    <row r="4232" spans="5:7">
      <c r="E4232" s="264"/>
      <c r="G4232" s="264"/>
    </row>
    <row r="4233" spans="5:7">
      <c r="E4233" s="264"/>
      <c r="G4233" s="264"/>
    </row>
    <row r="4234" spans="5:7">
      <c r="E4234" s="264"/>
      <c r="G4234" s="264"/>
    </row>
    <row r="4235" spans="5:7">
      <c r="E4235" s="264"/>
      <c r="G4235" s="264"/>
    </row>
    <row r="4236" spans="5:7">
      <c r="E4236" s="264"/>
      <c r="G4236" s="264"/>
    </row>
    <row r="4237" spans="5:7">
      <c r="E4237" s="264"/>
      <c r="G4237" s="264"/>
    </row>
    <row r="4238" spans="5:7">
      <c r="E4238" s="264"/>
      <c r="G4238" s="264"/>
    </row>
    <row r="4239" spans="5:7">
      <c r="E4239" s="264"/>
      <c r="G4239" s="264"/>
    </row>
    <row r="4240" spans="5:7">
      <c r="E4240" s="264"/>
      <c r="G4240" s="264"/>
    </row>
    <row r="4241" spans="5:7">
      <c r="E4241" s="264"/>
      <c r="G4241" s="264"/>
    </row>
    <row r="4242" spans="5:7">
      <c r="E4242" s="264"/>
      <c r="G4242" s="264"/>
    </row>
    <row r="4243" spans="5:7">
      <c r="E4243" s="264"/>
      <c r="G4243" s="264"/>
    </row>
    <row r="4244" spans="5:7">
      <c r="E4244" s="264"/>
      <c r="G4244" s="264"/>
    </row>
    <row r="4245" spans="5:7">
      <c r="E4245" s="264"/>
      <c r="G4245" s="264"/>
    </row>
    <row r="4246" spans="5:7">
      <c r="E4246" s="264"/>
      <c r="G4246" s="264"/>
    </row>
    <row r="4247" spans="5:7">
      <c r="E4247" s="264"/>
      <c r="G4247" s="264"/>
    </row>
    <row r="4248" spans="5:7">
      <c r="E4248" s="264"/>
      <c r="G4248" s="264"/>
    </row>
    <row r="4249" spans="5:7">
      <c r="E4249" s="264"/>
      <c r="G4249" s="264"/>
    </row>
    <row r="4250" spans="5:7">
      <c r="E4250" s="264"/>
      <c r="G4250" s="264"/>
    </row>
    <row r="4251" spans="5:7">
      <c r="E4251" s="264"/>
      <c r="G4251" s="264"/>
    </row>
    <row r="4252" spans="5:7">
      <c r="E4252" s="264"/>
      <c r="G4252" s="264"/>
    </row>
    <row r="4253" spans="5:7">
      <c r="E4253" s="264"/>
      <c r="G4253" s="264"/>
    </row>
    <row r="4254" spans="5:7">
      <c r="E4254" s="264"/>
      <c r="G4254" s="264"/>
    </row>
    <row r="4255" spans="5:7">
      <c r="E4255" s="264"/>
      <c r="G4255" s="264"/>
    </row>
    <row r="4256" spans="5:7">
      <c r="E4256" s="264"/>
      <c r="G4256" s="264"/>
    </row>
    <row r="4257" spans="5:7">
      <c r="E4257" s="264"/>
      <c r="G4257" s="264"/>
    </row>
    <row r="4258" spans="5:7">
      <c r="E4258" s="264"/>
      <c r="G4258" s="264"/>
    </row>
    <row r="4259" spans="5:7">
      <c r="E4259" s="264"/>
      <c r="G4259" s="264"/>
    </row>
    <row r="4260" spans="5:7">
      <c r="E4260" s="264"/>
      <c r="G4260" s="264"/>
    </row>
    <row r="4261" spans="5:7">
      <c r="E4261" s="264"/>
      <c r="G4261" s="264"/>
    </row>
    <row r="4262" spans="5:7">
      <c r="E4262" s="264"/>
      <c r="G4262" s="264"/>
    </row>
    <row r="4263" spans="5:7">
      <c r="E4263" s="264"/>
      <c r="G4263" s="264"/>
    </row>
    <row r="4264" spans="5:7">
      <c r="E4264" s="264"/>
      <c r="G4264" s="264"/>
    </row>
    <row r="4265" spans="5:7">
      <c r="E4265" s="264"/>
      <c r="G4265" s="264"/>
    </row>
    <row r="4266" spans="5:7">
      <c r="E4266" s="264"/>
      <c r="G4266" s="264"/>
    </row>
    <row r="4267" spans="5:7">
      <c r="E4267" s="264"/>
      <c r="G4267" s="264"/>
    </row>
    <row r="4268" spans="5:7">
      <c r="E4268" s="264"/>
      <c r="G4268" s="264"/>
    </row>
    <row r="4269" spans="5:7">
      <c r="E4269" s="264"/>
      <c r="G4269" s="264"/>
    </row>
    <row r="4270" spans="5:7">
      <c r="E4270" s="264"/>
      <c r="G4270" s="264"/>
    </row>
    <row r="4271" spans="5:7">
      <c r="E4271" s="264"/>
      <c r="G4271" s="264"/>
    </row>
    <row r="4272" spans="5:7">
      <c r="E4272" s="264"/>
      <c r="G4272" s="264"/>
    </row>
    <row r="4273" spans="5:7">
      <c r="E4273" s="264"/>
      <c r="G4273" s="264"/>
    </row>
    <row r="4274" spans="5:7">
      <c r="E4274" s="264"/>
      <c r="G4274" s="264"/>
    </row>
    <row r="4275" spans="5:7">
      <c r="E4275" s="264"/>
      <c r="G4275" s="264"/>
    </row>
    <row r="4276" spans="5:7">
      <c r="E4276" s="264"/>
      <c r="G4276" s="264"/>
    </row>
    <row r="4277" spans="5:7">
      <c r="E4277" s="264"/>
      <c r="G4277" s="264"/>
    </row>
    <row r="4278" spans="5:7">
      <c r="E4278" s="264"/>
      <c r="G4278" s="264"/>
    </row>
    <row r="4279" spans="5:7">
      <c r="E4279" s="264"/>
      <c r="G4279" s="264"/>
    </row>
    <row r="4280" spans="5:7">
      <c r="E4280" s="264"/>
      <c r="G4280" s="264"/>
    </row>
    <row r="4281" spans="5:7">
      <c r="E4281" s="264"/>
      <c r="G4281" s="264"/>
    </row>
    <row r="4282" spans="5:7">
      <c r="E4282" s="264"/>
      <c r="G4282" s="264"/>
    </row>
    <row r="4283" spans="5:7">
      <c r="E4283" s="264"/>
      <c r="G4283" s="264"/>
    </row>
    <row r="4284" spans="5:7">
      <c r="E4284" s="264"/>
      <c r="G4284" s="264"/>
    </row>
    <row r="4285" spans="5:7">
      <c r="E4285" s="264"/>
      <c r="G4285" s="264"/>
    </row>
    <row r="4286" spans="5:7">
      <c r="E4286" s="264"/>
      <c r="G4286" s="264"/>
    </row>
    <row r="4287" spans="5:7">
      <c r="E4287" s="264"/>
      <c r="G4287" s="264"/>
    </row>
    <row r="4288" spans="5:7">
      <c r="E4288" s="264"/>
      <c r="G4288" s="264"/>
    </row>
    <row r="4289" spans="5:7">
      <c r="E4289" s="264"/>
      <c r="G4289" s="264"/>
    </row>
    <row r="4290" spans="5:7">
      <c r="E4290" s="264"/>
      <c r="G4290" s="264"/>
    </row>
    <row r="4291" spans="5:7">
      <c r="E4291" s="264"/>
      <c r="G4291" s="264"/>
    </row>
    <row r="4292" spans="5:7">
      <c r="E4292" s="264"/>
      <c r="G4292" s="264"/>
    </row>
    <row r="4293" spans="5:7">
      <c r="E4293" s="264"/>
      <c r="G4293" s="264"/>
    </row>
    <row r="4294" spans="5:7">
      <c r="E4294" s="264"/>
      <c r="G4294" s="264"/>
    </row>
    <row r="4295" spans="5:7">
      <c r="E4295" s="264"/>
      <c r="G4295" s="264"/>
    </row>
    <row r="4296" spans="5:7">
      <c r="E4296" s="264"/>
      <c r="G4296" s="264"/>
    </row>
    <row r="4297" spans="5:7">
      <c r="E4297" s="264"/>
      <c r="G4297" s="264"/>
    </row>
    <row r="4298" spans="5:7">
      <c r="E4298" s="264"/>
      <c r="G4298" s="264"/>
    </row>
    <row r="4299" spans="5:7">
      <c r="E4299" s="264"/>
      <c r="G4299" s="264"/>
    </row>
    <row r="4300" spans="5:7">
      <c r="E4300" s="264"/>
      <c r="G4300" s="264"/>
    </row>
    <row r="4301" spans="5:7">
      <c r="E4301" s="264"/>
      <c r="G4301" s="264"/>
    </row>
    <row r="4302" spans="5:7">
      <c r="E4302" s="264"/>
      <c r="G4302" s="264"/>
    </row>
    <row r="4303" spans="5:7">
      <c r="E4303" s="264"/>
      <c r="G4303" s="264"/>
    </row>
    <row r="4304" spans="5:7">
      <c r="E4304" s="264"/>
      <c r="G4304" s="264"/>
    </row>
    <row r="4305" spans="5:7">
      <c r="E4305" s="264"/>
      <c r="G4305" s="264"/>
    </row>
    <row r="4306" spans="5:7">
      <c r="E4306" s="264"/>
      <c r="G4306" s="264"/>
    </row>
    <row r="4307" spans="5:7">
      <c r="E4307" s="264"/>
      <c r="G4307" s="264"/>
    </row>
    <row r="4308" spans="5:7">
      <c r="E4308" s="264"/>
      <c r="G4308" s="264"/>
    </row>
    <row r="4309" spans="5:7">
      <c r="E4309" s="264"/>
      <c r="G4309" s="264"/>
    </row>
    <row r="4310" spans="5:7">
      <c r="E4310" s="264"/>
      <c r="G4310" s="264"/>
    </row>
    <row r="4311" spans="5:7">
      <c r="E4311" s="264"/>
      <c r="G4311" s="264"/>
    </row>
    <row r="4312" spans="5:7">
      <c r="E4312" s="264"/>
      <c r="G4312" s="264"/>
    </row>
    <row r="4313" spans="5:7">
      <c r="E4313" s="264"/>
      <c r="G4313" s="264"/>
    </row>
    <row r="4314" spans="5:7">
      <c r="E4314" s="264"/>
      <c r="G4314" s="264"/>
    </row>
    <row r="4315" spans="5:7">
      <c r="E4315" s="264"/>
      <c r="G4315" s="264"/>
    </row>
    <row r="4316" spans="5:7">
      <c r="E4316" s="264"/>
      <c r="G4316" s="264"/>
    </row>
    <row r="4317" spans="5:7">
      <c r="E4317" s="264"/>
      <c r="G4317" s="264"/>
    </row>
    <row r="4318" spans="5:7">
      <c r="E4318" s="264"/>
      <c r="G4318" s="264"/>
    </row>
    <row r="4319" spans="5:7">
      <c r="E4319" s="264"/>
      <c r="G4319" s="264"/>
    </row>
    <row r="4320" spans="5:7">
      <c r="E4320" s="264"/>
      <c r="G4320" s="264"/>
    </row>
    <row r="4321" spans="5:7">
      <c r="E4321" s="264"/>
      <c r="G4321" s="264"/>
    </row>
    <row r="4322" spans="5:7">
      <c r="E4322" s="264"/>
      <c r="G4322" s="264"/>
    </row>
    <row r="4323" spans="5:7">
      <c r="E4323" s="264"/>
      <c r="G4323" s="264"/>
    </row>
    <row r="4324" spans="5:7">
      <c r="E4324" s="264"/>
      <c r="G4324" s="264"/>
    </row>
    <row r="4325" spans="5:7">
      <c r="E4325" s="264"/>
      <c r="G4325" s="264"/>
    </row>
    <row r="4326" spans="5:7">
      <c r="E4326" s="264"/>
      <c r="G4326" s="264"/>
    </row>
    <row r="4327" spans="5:7">
      <c r="E4327" s="264"/>
      <c r="G4327" s="264"/>
    </row>
    <row r="4328" spans="5:7">
      <c r="E4328" s="264"/>
      <c r="G4328" s="264"/>
    </row>
    <row r="4329" spans="5:7">
      <c r="E4329" s="264"/>
      <c r="G4329" s="264"/>
    </row>
    <row r="4330" spans="5:7">
      <c r="E4330" s="264"/>
      <c r="G4330" s="264"/>
    </row>
    <row r="4331" spans="5:7">
      <c r="E4331" s="264"/>
      <c r="G4331" s="264"/>
    </row>
    <row r="4332" spans="5:7">
      <c r="E4332" s="264"/>
      <c r="G4332" s="264"/>
    </row>
    <row r="4333" spans="5:7">
      <c r="E4333" s="264"/>
      <c r="G4333" s="264"/>
    </row>
    <row r="4334" spans="5:7">
      <c r="E4334" s="264"/>
      <c r="G4334" s="264"/>
    </row>
    <row r="4335" spans="5:7">
      <c r="E4335" s="264"/>
      <c r="G4335" s="264"/>
    </row>
    <row r="4336" spans="5:7">
      <c r="E4336" s="264"/>
      <c r="G4336" s="264"/>
    </row>
    <row r="4337" spans="5:7">
      <c r="E4337" s="264"/>
      <c r="G4337" s="264"/>
    </row>
    <row r="4338" spans="5:7">
      <c r="E4338" s="264"/>
      <c r="G4338" s="264"/>
    </row>
    <row r="4339" spans="5:7">
      <c r="E4339" s="264"/>
      <c r="G4339" s="264"/>
    </row>
    <row r="4340" spans="5:7">
      <c r="E4340" s="264"/>
      <c r="G4340" s="264"/>
    </row>
    <row r="4341" spans="5:7">
      <c r="E4341" s="264"/>
      <c r="G4341" s="264"/>
    </row>
    <row r="4342" spans="5:7">
      <c r="E4342" s="264"/>
      <c r="G4342" s="264"/>
    </row>
    <row r="4343" spans="5:7">
      <c r="E4343" s="264"/>
      <c r="G4343" s="264"/>
    </row>
    <row r="4344" spans="5:7">
      <c r="E4344" s="264"/>
      <c r="G4344" s="264"/>
    </row>
    <row r="4345" spans="5:7">
      <c r="E4345" s="264"/>
      <c r="G4345" s="264"/>
    </row>
    <row r="4346" spans="5:7">
      <c r="E4346" s="264"/>
      <c r="G4346" s="264"/>
    </row>
    <row r="4347" spans="5:7">
      <c r="E4347" s="264"/>
      <c r="G4347" s="264"/>
    </row>
    <row r="4348" spans="5:7">
      <c r="E4348" s="264"/>
      <c r="G4348" s="264"/>
    </row>
    <row r="4349" spans="5:7">
      <c r="E4349" s="264"/>
      <c r="G4349" s="264"/>
    </row>
    <row r="4350" spans="5:7">
      <c r="E4350" s="264"/>
      <c r="G4350" s="264"/>
    </row>
    <row r="4351" spans="5:7">
      <c r="E4351" s="264"/>
      <c r="G4351" s="264"/>
    </row>
    <row r="4352" spans="5:7">
      <c r="E4352" s="264"/>
      <c r="G4352" s="264"/>
    </row>
    <row r="4353" spans="5:7">
      <c r="E4353" s="264"/>
      <c r="G4353" s="264"/>
    </row>
    <row r="4354" spans="5:7">
      <c r="E4354" s="264"/>
      <c r="G4354" s="264"/>
    </row>
    <row r="4355" spans="5:7">
      <c r="E4355" s="264"/>
      <c r="G4355" s="264"/>
    </row>
    <row r="4356" spans="5:7">
      <c r="E4356" s="264"/>
      <c r="G4356" s="264"/>
    </row>
    <row r="4357" spans="5:7">
      <c r="E4357" s="264"/>
      <c r="G4357" s="264"/>
    </row>
    <row r="4358" spans="5:7">
      <c r="E4358" s="264"/>
      <c r="G4358" s="264"/>
    </row>
    <row r="4359" spans="5:7">
      <c r="E4359" s="264"/>
      <c r="G4359" s="264"/>
    </row>
    <row r="4360" spans="5:7">
      <c r="E4360" s="264"/>
      <c r="G4360" s="264"/>
    </row>
    <row r="4361" spans="5:7">
      <c r="E4361" s="264"/>
      <c r="G4361" s="264"/>
    </row>
    <row r="4362" spans="5:7">
      <c r="E4362" s="264"/>
      <c r="G4362" s="264"/>
    </row>
    <row r="4363" spans="5:7">
      <c r="E4363" s="264"/>
      <c r="G4363" s="264"/>
    </row>
    <row r="4364" spans="5:7">
      <c r="E4364" s="264"/>
      <c r="G4364" s="264"/>
    </row>
    <row r="4365" spans="5:7">
      <c r="E4365" s="264"/>
      <c r="G4365" s="264"/>
    </row>
    <row r="4366" spans="5:7">
      <c r="E4366" s="264"/>
      <c r="G4366" s="264"/>
    </row>
    <row r="4367" spans="5:7">
      <c r="E4367" s="264"/>
      <c r="G4367" s="264"/>
    </row>
    <row r="4368" spans="5:7">
      <c r="E4368" s="264"/>
      <c r="G4368" s="264"/>
    </row>
    <row r="4369" spans="5:7">
      <c r="E4369" s="264"/>
      <c r="G4369" s="264"/>
    </row>
    <row r="4370" spans="5:7">
      <c r="E4370" s="264"/>
      <c r="G4370" s="264"/>
    </row>
    <row r="4371" spans="5:7">
      <c r="E4371" s="264"/>
      <c r="G4371" s="264"/>
    </row>
    <row r="4372" spans="5:7">
      <c r="E4372" s="264"/>
      <c r="G4372" s="264"/>
    </row>
    <row r="4373" spans="5:7">
      <c r="E4373" s="264"/>
      <c r="G4373" s="264"/>
    </row>
    <row r="4374" spans="5:7">
      <c r="E4374" s="264"/>
      <c r="G4374" s="264"/>
    </row>
    <row r="4375" spans="5:7">
      <c r="E4375" s="264"/>
      <c r="G4375" s="264"/>
    </row>
    <row r="4376" spans="5:7">
      <c r="E4376" s="264"/>
      <c r="G4376" s="264"/>
    </row>
    <row r="4377" spans="5:7">
      <c r="E4377" s="264"/>
      <c r="G4377" s="264"/>
    </row>
    <row r="4378" spans="5:7">
      <c r="E4378" s="264"/>
      <c r="G4378" s="264"/>
    </row>
    <row r="4379" spans="5:7">
      <c r="E4379" s="264"/>
      <c r="G4379" s="264"/>
    </row>
    <row r="4380" spans="5:7">
      <c r="E4380" s="264"/>
      <c r="G4380" s="264"/>
    </row>
    <row r="4381" spans="5:7">
      <c r="E4381" s="264"/>
      <c r="G4381" s="264"/>
    </row>
    <row r="4382" spans="5:7">
      <c r="E4382" s="264"/>
      <c r="G4382" s="264"/>
    </row>
    <row r="4383" spans="5:7">
      <c r="E4383" s="264"/>
      <c r="G4383" s="264"/>
    </row>
    <row r="4384" spans="5:7">
      <c r="E4384" s="264"/>
      <c r="G4384" s="264"/>
    </row>
    <row r="4385" spans="5:7">
      <c r="E4385" s="264"/>
      <c r="G4385" s="264"/>
    </row>
    <row r="4386" spans="5:7">
      <c r="E4386" s="264"/>
      <c r="G4386" s="264"/>
    </row>
    <row r="4387" spans="5:7">
      <c r="E4387" s="264"/>
      <c r="G4387" s="264"/>
    </row>
    <row r="4388" spans="5:7">
      <c r="E4388" s="264"/>
      <c r="G4388" s="264"/>
    </row>
    <row r="4389" spans="5:7">
      <c r="E4389" s="264"/>
      <c r="G4389" s="264"/>
    </row>
    <row r="4390" spans="5:7">
      <c r="E4390" s="264"/>
      <c r="G4390" s="264"/>
    </row>
    <row r="4391" spans="5:7">
      <c r="E4391" s="264"/>
      <c r="G4391" s="264"/>
    </row>
    <row r="4392" spans="5:7">
      <c r="E4392" s="264"/>
      <c r="G4392" s="264"/>
    </row>
    <row r="4393" spans="5:7">
      <c r="E4393" s="264"/>
      <c r="G4393" s="264"/>
    </row>
    <row r="4394" spans="5:7">
      <c r="E4394" s="264"/>
      <c r="G4394" s="264"/>
    </row>
    <row r="4395" spans="5:7">
      <c r="E4395" s="264"/>
      <c r="G4395" s="264"/>
    </row>
    <row r="4396" spans="5:7">
      <c r="E4396" s="264"/>
      <c r="G4396" s="264"/>
    </row>
    <row r="4397" spans="5:7">
      <c r="E4397" s="264"/>
      <c r="G4397" s="264"/>
    </row>
    <row r="4398" spans="5:7">
      <c r="E4398" s="264"/>
      <c r="G4398" s="264"/>
    </row>
    <row r="4399" spans="5:7">
      <c r="E4399" s="264"/>
      <c r="G4399" s="264"/>
    </row>
    <row r="4400" spans="5:7">
      <c r="E4400" s="264"/>
      <c r="G4400" s="264"/>
    </row>
    <row r="4401" spans="5:7">
      <c r="E4401" s="264"/>
      <c r="G4401" s="264"/>
    </row>
    <row r="4402" spans="5:7">
      <c r="E4402" s="264"/>
      <c r="G4402" s="264"/>
    </row>
    <row r="4403" spans="5:7">
      <c r="E4403" s="264"/>
      <c r="G4403" s="264"/>
    </row>
    <row r="4404" spans="5:7">
      <c r="E4404" s="264"/>
      <c r="G4404" s="264"/>
    </row>
    <row r="4405" spans="5:7">
      <c r="E4405" s="264"/>
      <c r="G4405" s="264"/>
    </row>
    <row r="4406" spans="5:7">
      <c r="E4406" s="264"/>
      <c r="G4406" s="264"/>
    </row>
    <row r="4407" spans="5:7">
      <c r="E4407" s="264"/>
      <c r="G4407" s="264"/>
    </row>
    <row r="4408" spans="5:7">
      <c r="E4408" s="264"/>
      <c r="G4408" s="264"/>
    </row>
    <row r="4409" spans="5:7">
      <c r="E4409" s="264"/>
      <c r="G4409" s="264"/>
    </row>
    <row r="4410" spans="5:7">
      <c r="E4410" s="264"/>
      <c r="G4410" s="264"/>
    </row>
    <row r="4411" spans="5:7">
      <c r="E4411" s="264"/>
      <c r="G4411" s="264"/>
    </row>
    <row r="4412" spans="5:7">
      <c r="E4412" s="264"/>
      <c r="G4412" s="264"/>
    </row>
    <row r="4413" spans="5:7">
      <c r="E4413" s="264"/>
      <c r="G4413" s="264"/>
    </row>
    <row r="4414" spans="5:7">
      <c r="E4414" s="264"/>
      <c r="G4414" s="264"/>
    </row>
    <row r="4415" spans="5:7">
      <c r="E4415" s="264"/>
      <c r="G4415" s="264"/>
    </row>
    <row r="4416" spans="5:7">
      <c r="E4416" s="264"/>
      <c r="G4416" s="264"/>
    </row>
    <row r="4417" spans="5:7">
      <c r="E4417" s="264"/>
      <c r="G4417" s="264"/>
    </row>
    <row r="4418" spans="5:7">
      <c r="E4418" s="264"/>
      <c r="G4418" s="264"/>
    </row>
    <row r="4419" spans="5:7">
      <c r="E4419" s="264"/>
      <c r="G4419" s="264"/>
    </row>
    <row r="4420" spans="5:7">
      <c r="E4420" s="264"/>
      <c r="G4420" s="264"/>
    </row>
    <row r="4421" spans="5:7">
      <c r="E4421" s="264"/>
      <c r="G4421" s="264"/>
    </row>
    <row r="4422" spans="5:7">
      <c r="E4422" s="264"/>
      <c r="G4422" s="264"/>
    </row>
    <row r="4423" spans="5:7">
      <c r="E4423" s="264"/>
      <c r="G4423" s="264"/>
    </row>
    <row r="4424" spans="5:7">
      <c r="E4424" s="264"/>
      <c r="G4424" s="264"/>
    </row>
    <row r="4425" spans="5:7">
      <c r="E4425" s="264"/>
      <c r="G4425" s="264"/>
    </row>
    <row r="4426" spans="5:7">
      <c r="E4426" s="264"/>
      <c r="G4426" s="264"/>
    </row>
    <row r="4427" spans="5:7">
      <c r="E4427" s="264"/>
      <c r="G4427" s="264"/>
    </row>
    <row r="4428" spans="5:7">
      <c r="E4428" s="264"/>
      <c r="G4428" s="264"/>
    </row>
    <row r="4429" spans="5:7">
      <c r="E4429" s="264"/>
      <c r="G4429" s="264"/>
    </row>
    <row r="4430" spans="5:7">
      <c r="E4430" s="264"/>
      <c r="G4430" s="264"/>
    </row>
    <row r="4431" spans="5:7">
      <c r="E4431" s="264"/>
      <c r="G4431" s="264"/>
    </row>
    <row r="4432" spans="5:7">
      <c r="E4432" s="264"/>
      <c r="G4432" s="264"/>
    </row>
    <row r="4433" spans="5:7">
      <c r="E4433" s="264"/>
      <c r="G4433" s="264"/>
    </row>
    <row r="4434" spans="5:7">
      <c r="E4434" s="264"/>
      <c r="G4434" s="264"/>
    </row>
    <row r="4435" spans="5:7">
      <c r="E4435" s="264"/>
      <c r="G4435" s="264"/>
    </row>
    <row r="4436" spans="5:7">
      <c r="E4436" s="264"/>
      <c r="G4436" s="264"/>
    </row>
    <row r="4437" spans="5:7">
      <c r="E4437" s="264"/>
      <c r="G4437" s="264"/>
    </row>
    <row r="4438" spans="5:7">
      <c r="E4438" s="264"/>
      <c r="G4438" s="264"/>
    </row>
    <row r="4439" spans="5:7">
      <c r="E4439" s="264"/>
      <c r="G4439" s="264"/>
    </row>
    <row r="4440" spans="5:7">
      <c r="E4440" s="264"/>
      <c r="G4440" s="264"/>
    </row>
    <row r="4441" spans="5:7">
      <c r="E4441" s="264"/>
      <c r="G4441" s="264"/>
    </row>
    <row r="4442" spans="5:7">
      <c r="E4442" s="264"/>
      <c r="G4442" s="264"/>
    </row>
    <row r="4443" spans="5:7">
      <c r="E4443" s="264"/>
      <c r="G4443" s="264"/>
    </row>
    <row r="4444" spans="5:7">
      <c r="E4444" s="264"/>
      <c r="G4444" s="264"/>
    </row>
    <row r="4445" spans="5:7">
      <c r="E4445" s="264"/>
      <c r="G4445" s="264"/>
    </row>
    <row r="4446" spans="5:7">
      <c r="E4446" s="264"/>
      <c r="G4446" s="264"/>
    </row>
    <row r="4447" spans="5:7">
      <c r="E4447" s="264"/>
      <c r="G4447" s="264"/>
    </row>
    <row r="4448" spans="5:7">
      <c r="E4448" s="264"/>
      <c r="G4448" s="264"/>
    </row>
    <row r="4449" spans="5:7">
      <c r="E4449" s="264"/>
      <c r="G4449" s="264"/>
    </row>
    <row r="4450" spans="5:7">
      <c r="E4450" s="264"/>
      <c r="G4450" s="264"/>
    </row>
    <row r="4451" spans="5:7">
      <c r="E4451" s="264"/>
      <c r="G4451" s="264"/>
    </row>
    <row r="4452" spans="5:7">
      <c r="E4452" s="264"/>
      <c r="G4452" s="264"/>
    </row>
    <row r="4453" spans="5:7">
      <c r="E4453" s="264"/>
      <c r="G4453" s="264"/>
    </row>
    <row r="4454" spans="5:7">
      <c r="E4454" s="264"/>
      <c r="G4454" s="264"/>
    </row>
    <row r="4455" spans="5:7">
      <c r="E4455" s="264"/>
      <c r="G4455" s="264"/>
    </row>
    <row r="4456" spans="5:7">
      <c r="E4456" s="264"/>
      <c r="G4456" s="264"/>
    </row>
    <row r="4457" spans="5:7">
      <c r="E4457" s="264"/>
      <c r="G4457" s="264"/>
    </row>
    <row r="4458" spans="5:7">
      <c r="E4458" s="264"/>
      <c r="G4458" s="264"/>
    </row>
    <row r="4459" spans="5:7">
      <c r="E4459" s="264"/>
      <c r="G4459" s="264"/>
    </row>
    <row r="4460" spans="5:7">
      <c r="E4460" s="264"/>
      <c r="G4460" s="264"/>
    </row>
    <row r="4461" spans="5:7">
      <c r="E4461" s="264"/>
      <c r="G4461" s="264"/>
    </row>
    <row r="4462" spans="5:7">
      <c r="E4462" s="264"/>
      <c r="G4462" s="264"/>
    </row>
    <row r="4463" spans="5:7">
      <c r="E4463" s="264"/>
      <c r="G4463" s="264"/>
    </row>
    <row r="4464" spans="5:7">
      <c r="E4464" s="264"/>
      <c r="G4464" s="264"/>
    </row>
    <row r="4465" spans="5:7">
      <c r="E4465" s="264"/>
      <c r="G4465" s="264"/>
    </row>
    <row r="4466" spans="5:7">
      <c r="E4466" s="264"/>
      <c r="G4466" s="264"/>
    </row>
    <row r="4467" spans="5:7">
      <c r="E4467" s="264"/>
      <c r="G4467" s="264"/>
    </row>
    <row r="4468" spans="5:7">
      <c r="E4468" s="264"/>
      <c r="G4468" s="264"/>
    </row>
    <row r="4469" spans="5:7">
      <c r="E4469" s="264"/>
      <c r="G4469" s="264"/>
    </row>
    <row r="4470" spans="5:7">
      <c r="E4470" s="264"/>
      <c r="G4470" s="264"/>
    </row>
    <row r="4471" spans="5:7">
      <c r="E4471" s="264"/>
      <c r="G4471" s="264"/>
    </row>
    <row r="4472" spans="5:7">
      <c r="E4472" s="264"/>
      <c r="G4472" s="264"/>
    </row>
    <row r="4473" spans="5:7">
      <c r="E4473" s="264"/>
      <c r="G4473" s="264"/>
    </row>
    <row r="4474" spans="5:7">
      <c r="E4474" s="264"/>
      <c r="G4474" s="264"/>
    </row>
    <row r="4475" spans="5:7">
      <c r="E4475" s="264"/>
      <c r="G4475" s="264"/>
    </row>
    <row r="4476" spans="5:7">
      <c r="E4476" s="264"/>
      <c r="G4476" s="264"/>
    </row>
    <row r="4477" spans="5:7">
      <c r="E4477" s="264"/>
      <c r="G4477" s="264"/>
    </row>
    <row r="4478" spans="5:7">
      <c r="E4478" s="264"/>
      <c r="G4478" s="264"/>
    </row>
    <row r="4479" spans="5:7">
      <c r="E4479" s="264"/>
      <c r="G4479" s="264"/>
    </row>
    <row r="4480" spans="5:7">
      <c r="E4480" s="264"/>
      <c r="G4480" s="264"/>
    </row>
    <row r="4481" spans="5:7">
      <c r="E4481" s="264"/>
      <c r="G4481" s="264"/>
    </row>
    <row r="4482" spans="5:7">
      <c r="E4482" s="264"/>
      <c r="G4482" s="264"/>
    </row>
    <row r="4483" spans="5:7">
      <c r="E4483" s="264"/>
      <c r="G4483" s="264"/>
    </row>
    <row r="4484" spans="5:7">
      <c r="E4484" s="264"/>
      <c r="G4484" s="264"/>
    </row>
    <row r="4485" spans="5:7">
      <c r="E4485" s="264"/>
      <c r="G4485" s="264"/>
    </row>
    <row r="4486" spans="5:7">
      <c r="E4486" s="264"/>
      <c r="G4486" s="264"/>
    </row>
    <row r="4487" spans="5:7">
      <c r="E4487" s="264"/>
      <c r="G4487" s="264"/>
    </row>
    <row r="4488" spans="5:7">
      <c r="E4488" s="264"/>
      <c r="G4488" s="264"/>
    </row>
    <row r="4489" spans="5:7">
      <c r="E4489" s="264"/>
      <c r="G4489" s="264"/>
    </row>
    <row r="4490" spans="5:7">
      <c r="E4490" s="264"/>
      <c r="G4490" s="264"/>
    </row>
    <row r="4491" spans="5:7">
      <c r="E4491" s="264"/>
      <c r="G4491" s="264"/>
    </row>
    <row r="4492" spans="5:7">
      <c r="E4492" s="264"/>
      <c r="G4492" s="264"/>
    </row>
    <row r="4493" spans="5:7">
      <c r="E4493" s="264"/>
      <c r="G4493" s="264"/>
    </row>
    <row r="4494" spans="5:7">
      <c r="E4494" s="264"/>
      <c r="G4494" s="264"/>
    </row>
    <row r="4495" spans="5:7">
      <c r="E4495" s="264"/>
      <c r="G4495" s="264"/>
    </row>
    <row r="4496" spans="5:7">
      <c r="E4496" s="264"/>
      <c r="G4496" s="264"/>
    </row>
    <row r="4497" spans="5:7">
      <c r="E4497" s="264"/>
      <c r="G4497" s="264"/>
    </row>
    <row r="4498" spans="5:7">
      <c r="E4498" s="264"/>
      <c r="G4498" s="264"/>
    </row>
    <row r="4499" spans="5:7">
      <c r="E4499" s="264"/>
      <c r="G4499" s="264"/>
    </row>
    <row r="4500" spans="5:7">
      <c r="E4500" s="264"/>
      <c r="G4500" s="264"/>
    </row>
    <row r="4501" spans="5:7">
      <c r="E4501" s="264"/>
      <c r="G4501" s="264"/>
    </row>
    <row r="4502" spans="5:7">
      <c r="E4502" s="264"/>
      <c r="G4502" s="264"/>
    </row>
    <row r="4503" spans="5:7">
      <c r="E4503" s="264"/>
      <c r="G4503" s="264"/>
    </row>
    <row r="4504" spans="5:7">
      <c r="E4504" s="264"/>
      <c r="G4504" s="264"/>
    </row>
    <row r="4505" spans="5:7">
      <c r="E4505" s="264"/>
      <c r="G4505" s="264"/>
    </row>
    <row r="4506" spans="5:7">
      <c r="E4506" s="264"/>
      <c r="G4506" s="264"/>
    </row>
    <row r="4507" spans="5:7">
      <c r="E4507" s="264"/>
      <c r="G4507" s="264"/>
    </row>
    <row r="4508" spans="5:7">
      <c r="E4508" s="264"/>
      <c r="G4508" s="264"/>
    </row>
    <row r="4509" spans="5:7">
      <c r="E4509" s="264"/>
      <c r="G4509" s="264"/>
    </row>
    <row r="4510" spans="5:7">
      <c r="E4510" s="264"/>
      <c r="G4510" s="264"/>
    </row>
    <row r="4511" spans="5:7">
      <c r="E4511" s="264"/>
      <c r="G4511" s="264"/>
    </row>
    <row r="4512" spans="5:7">
      <c r="E4512" s="264"/>
      <c r="G4512" s="264"/>
    </row>
    <row r="4513" spans="5:7">
      <c r="E4513" s="264"/>
      <c r="G4513" s="264"/>
    </row>
    <row r="4514" spans="5:7">
      <c r="E4514" s="264"/>
      <c r="G4514" s="264"/>
    </row>
    <row r="4515" spans="5:7">
      <c r="E4515" s="264"/>
      <c r="G4515" s="264"/>
    </row>
    <row r="4516" spans="5:7">
      <c r="E4516" s="264"/>
      <c r="G4516" s="264"/>
    </row>
    <row r="4517" spans="5:7">
      <c r="E4517" s="264"/>
      <c r="G4517" s="264"/>
    </row>
    <row r="4518" spans="5:7">
      <c r="E4518" s="264"/>
      <c r="G4518" s="264"/>
    </row>
    <row r="4519" spans="5:7">
      <c r="E4519" s="264"/>
      <c r="G4519" s="264"/>
    </row>
    <row r="4520" spans="5:7">
      <c r="E4520" s="264"/>
      <c r="G4520" s="264"/>
    </row>
    <row r="4521" spans="5:7">
      <c r="E4521" s="264"/>
      <c r="G4521" s="264"/>
    </row>
    <row r="4522" spans="5:7">
      <c r="E4522" s="264"/>
      <c r="G4522" s="264"/>
    </row>
    <row r="4523" spans="5:7">
      <c r="E4523" s="264"/>
      <c r="G4523" s="264"/>
    </row>
    <row r="4524" spans="5:7">
      <c r="E4524" s="264"/>
      <c r="G4524" s="264"/>
    </row>
    <row r="4525" spans="5:7">
      <c r="E4525" s="264"/>
      <c r="G4525" s="264"/>
    </row>
    <row r="4526" spans="5:7">
      <c r="E4526" s="264"/>
      <c r="G4526" s="264"/>
    </row>
    <row r="4527" spans="5:7">
      <c r="E4527" s="264"/>
      <c r="G4527" s="264"/>
    </row>
    <row r="4528" spans="5:7">
      <c r="E4528" s="264"/>
      <c r="G4528" s="264"/>
    </row>
    <row r="4529" spans="5:7">
      <c r="E4529" s="264"/>
      <c r="G4529" s="264"/>
    </row>
    <row r="4530" spans="5:7">
      <c r="E4530" s="264"/>
      <c r="G4530" s="264"/>
    </row>
    <row r="4531" spans="5:7">
      <c r="E4531" s="264"/>
      <c r="G4531" s="264"/>
    </row>
    <row r="4532" spans="5:7">
      <c r="E4532" s="264"/>
      <c r="G4532" s="264"/>
    </row>
    <row r="4533" spans="5:7">
      <c r="E4533" s="264"/>
      <c r="G4533" s="264"/>
    </row>
    <row r="4534" spans="5:7">
      <c r="E4534" s="264"/>
      <c r="G4534" s="264"/>
    </row>
    <row r="4535" spans="5:7">
      <c r="E4535" s="264"/>
      <c r="G4535" s="264"/>
    </row>
    <row r="4536" spans="5:7">
      <c r="E4536" s="264"/>
      <c r="G4536" s="264"/>
    </row>
    <row r="4537" spans="5:7">
      <c r="E4537" s="264"/>
      <c r="G4537" s="264"/>
    </row>
    <row r="4538" spans="5:7">
      <c r="E4538" s="264"/>
      <c r="G4538" s="264"/>
    </row>
    <row r="4539" spans="5:7">
      <c r="E4539" s="264"/>
      <c r="G4539" s="264"/>
    </row>
    <row r="4540" spans="5:7">
      <c r="E4540" s="264"/>
      <c r="G4540" s="264"/>
    </row>
    <row r="4541" spans="5:7">
      <c r="E4541" s="264"/>
      <c r="G4541" s="264"/>
    </row>
    <row r="4542" spans="5:7">
      <c r="E4542" s="264"/>
      <c r="G4542" s="264"/>
    </row>
    <row r="4543" spans="5:7">
      <c r="E4543" s="264"/>
      <c r="G4543" s="264"/>
    </row>
    <row r="4544" spans="5:7">
      <c r="E4544" s="264"/>
      <c r="G4544" s="264"/>
    </row>
    <row r="4545" spans="5:7">
      <c r="E4545" s="264"/>
      <c r="G4545" s="264"/>
    </row>
    <row r="4546" spans="5:7">
      <c r="E4546" s="264"/>
      <c r="G4546" s="264"/>
    </row>
    <row r="4547" spans="5:7">
      <c r="E4547" s="264"/>
      <c r="G4547" s="264"/>
    </row>
    <row r="4548" spans="5:7">
      <c r="E4548" s="264"/>
      <c r="G4548" s="264"/>
    </row>
    <row r="4549" spans="5:7">
      <c r="E4549" s="264"/>
      <c r="G4549" s="264"/>
    </row>
    <row r="4550" spans="5:7">
      <c r="E4550" s="264"/>
      <c r="G4550" s="264"/>
    </row>
    <row r="4551" spans="5:7">
      <c r="E4551" s="264"/>
      <c r="G4551" s="264"/>
    </row>
    <row r="4552" spans="5:7">
      <c r="E4552" s="264"/>
      <c r="G4552" s="264"/>
    </row>
    <row r="4553" spans="5:7">
      <c r="E4553" s="264"/>
      <c r="G4553" s="264"/>
    </row>
    <row r="4554" spans="5:7">
      <c r="E4554" s="264"/>
      <c r="G4554" s="264"/>
    </row>
    <row r="4555" spans="5:7">
      <c r="E4555" s="264"/>
      <c r="G4555" s="264"/>
    </row>
    <row r="4556" spans="5:7">
      <c r="E4556" s="264"/>
      <c r="G4556" s="264"/>
    </row>
    <row r="4557" spans="5:7">
      <c r="E4557" s="264"/>
      <c r="G4557" s="264"/>
    </row>
    <row r="4558" spans="5:7">
      <c r="E4558" s="264"/>
      <c r="G4558" s="264"/>
    </row>
    <row r="4559" spans="5:7">
      <c r="E4559" s="264"/>
      <c r="G4559" s="264"/>
    </row>
    <row r="4560" spans="5:7">
      <c r="E4560" s="264"/>
      <c r="G4560" s="264"/>
    </row>
    <row r="4561" spans="5:7">
      <c r="E4561" s="264"/>
      <c r="G4561" s="264"/>
    </row>
    <row r="4562" spans="5:7">
      <c r="E4562" s="264"/>
      <c r="G4562" s="264"/>
    </row>
    <row r="4563" spans="5:7">
      <c r="E4563" s="264"/>
      <c r="G4563" s="264"/>
    </row>
    <row r="4564" spans="5:7">
      <c r="E4564" s="264"/>
      <c r="G4564" s="264"/>
    </row>
    <row r="4565" spans="5:7">
      <c r="E4565" s="264"/>
      <c r="G4565" s="264"/>
    </row>
    <row r="4566" spans="5:7">
      <c r="E4566" s="264"/>
      <c r="G4566" s="264"/>
    </row>
    <row r="4567" spans="5:7">
      <c r="E4567" s="264"/>
      <c r="G4567" s="264"/>
    </row>
    <row r="4568" spans="5:7">
      <c r="E4568" s="264"/>
      <c r="G4568" s="264"/>
    </row>
    <row r="4569" spans="5:7">
      <c r="E4569" s="264"/>
      <c r="G4569" s="264"/>
    </row>
    <row r="4570" spans="5:7">
      <c r="E4570" s="264"/>
      <c r="G4570" s="264"/>
    </row>
    <row r="4571" spans="5:7">
      <c r="E4571" s="264"/>
      <c r="G4571" s="264"/>
    </row>
    <row r="4572" spans="5:7">
      <c r="E4572" s="264"/>
      <c r="G4572" s="264"/>
    </row>
    <row r="4573" spans="5:7">
      <c r="E4573" s="264"/>
      <c r="G4573" s="264"/>
    </row>
    <row r="4574" spans="5:7">
      <c r="E4574" s="264"/>
      <c r="G4574" s="264"/>
    </row>
    <row r="4575" spans="5:7">
      <c r="E4575" s="264"/>
      <c r="G4575" s="264"/>
    </row>
    <row r="4576" spans="5:7">
      <c r="E4576" s="264"/>
      <c r="G4576" s="264"/>
    </row>
    <row r="4577" spans="5:7">
      <c r="E4577" s="264"/>
      <c r="G4577" s="264"/>
    </row>
    <row r="4578" spans="5:7">
      <c r="E4578" s="264"/>
      <c r="G4578" s="264"/>
    </row>
    <row r="4579" spans="5:7">
      <c r="E4579" s="264"/>
      <c r="G4579" s="264"/>
    </row>
    <row r="4580" spans="5:7">
      <c r="E4580" s="264"/>
      <c r="G4580" s="264"/>
    </row>
    <row r="4581" spans="5:7">
      <c r="E4581" s="264"/>
      <c r="G4581" s="264"/>
    </row>
    <row r="4582" spans="5:7">
      <c r="E4582" s="264"/>
      <c r="G4582" s="264"/>
    </row>
    <row r="4583" spans="5:7">
      <c r="E4583" s="264"/>
      <c r="G4583" s="264"/>
    </row>
    <row r="4584" spans="5:7">
      <c r="E4584" s="264"/>
      <c r="G4584" s="264"/>
    </row>
    <row r="4585" spans="5:7">
      <c r="E4585" s="264"/>
      <c r="G4585" s="264"/>
    </row>
    <row r="4586" spans="5:7">
      <c r="E4586" s="264"/>
      <c r="G4586" s="264"/>
    </row>
    <row r="4587" spans="5:7">
      <c r="E4587" s="264"/>
      <c r="G4587" s="264"/>
    </row>
    <row r="4588" spans="5:7">
      <c r="E4588" s="264"/>
      <c r="G4588" s="264"/>
    </row>
    <row r="4589" spans="5:7">
      <c r="E4589" s="264"/>
      <c r="G4589" s="264"/>
    </row>
    <row r="4590" spans="5:7">
      <c r="E4590" s="264"/>
      <c r="G4590" s="264"/>
    </row>
    <row r="4591" spans="5:7">
      <c r="E4591" s="264"/>
      <c r="G4591" s="264"/>
    </row>
    <row r="4592" spans="5:7">
      <c r="E4592" s="264"/>
      <c r="G4592" s="264"/>
    </row>
    <row r="4593" spans="5:7">
      <c r="E4593" s="264"/>
      <c r="G4593" s="264"/>
    </row>
    <row r="4594" spans="5:7">
      <c r="E4594" s="264"/>
      <c r="G4594" s="264"/>
    </row>
    <row r="4595" spans="5:7">
      <c r="E4595" s="264"/>
      <c r="G4595" s="264"/>
    </row>
    <row r="4596" spans="5:7">
      <c r="E4596" s="264"/>
      <c r="G4596" s="264"/>
    </row>
    <row r="4597" spans="5:7">
      <c r="E4597" s="264"/>
      <c r="G4597" s="264"/>
    </row>
    <row r="4598" spans="5:7">
      <c r="E4598" s="264"/>
      <c r="G4598" s="264"/>
    </row>
    <row r="4599" spans="5:7">
      <c r="E4599" s="264"/>
      <c r="G4599" s="264"/>
    </row>
    <row r="4600" spans="5:7">
      <c r="E4600" s="264"/>
      <c r="G4600" s="264"/>
    </row>
    <row r="4601" spans="5:7">
      <c r="E4601" s="264"/>
      <c r="G4601" s="264"/>
    </row>
    <row r="4602" spans="5:7">
      <c r="E4602" s="264"/>
      <c r="G4602" s="264"/>
    </row>
    <row r="4603" spans="5:7">
      <c r="E4603" s="264"/>
      <c r="G4603" s="264"/>
    </row>
    <row r="4604" spans="5:7">
      <c r="E4604" s="264"/>
      <c r="G4604" s="264"/>
    </row>
    <row r="4605" spans="5:7">
      <c r="E4605" s="264"/>
      <c r="G4605" s="264"/>
    </row>
    <row r="4606" spans="5:7">
      <c r="E4606" s="264"/>
      <c r="G4606" s="264"/>
    </row>
    <row r="4607" spans="5:7">
      <c r="E4607" s="264"/>
      <c r="G4607" s="264"/>
    </row>
    <row r="4608" spans="5:7">
      <c r="E4608" s="264"/>
      <c r="G4608" s="264"/>
    </row>
    <row r="4609" spans="5:7">
      <c r="E4609" s="264"/>
      <c r="G4609" s="264"/>
    </row>
    <row r="4610" spans="5:7">
      <c r="E4610" s="264"/>
      <c r="G4610" s="264"/>
    </row>
    <row r="4611" spans="5:7">
      <c r="E4611" s="264"/>
      <c r="G4611" s="264"/>
    </row>
    <row r="4612" spans="5:7">
      <c r="E4612" s="264"/>
      <c r="G4612" s="264"/>
    </row>
    <row r="4613" spans="5:7">
      <c r="E4613" s="264"/>
      <c r="G4613" s="264"/>
    </row>
    <row r="4614" spans="5:7">
      <c r="E4614" s="264"/>
      <c r="G4614" s="264"/>
    </row>
    <row r="4615" spans="5:7">
      <c r="E4615" s="264"/>
      <c r="G4615" s="264"/>
    </row>
    <row r="4616" spans="5:7">
      <c r="E4616" s="264"/>
      <c r="G4616" s="264"/>
    </row>
    <row r="4617" spans="5:7">
      <c r="E4617" s="264"/>
      <c r="G4617" s="264"/>
    </row>
    <row r="4618" spans="5:7">
      <c r="E4618" s="264"/>
      <c r="G4618" s="264"/>
    </row>
    <row r="4619" spans="5:7">
      <c r="E4619" s="264"/>
      <c r="G4619" s="264"/>
    </row>
    <row r="4620" spans="5:7">
      <c r="E4620" s="264"/>
      <c r="G4620" s="264"/>
    </row>
    <row r="4621" spans="5:7">
      <c r="E4621" s="264"/>
      <c r="G4621" s="264"/>
    </row>
    <row r="4622" spans="5:7">
      <c r="E4622" s="264"/>
      <c r="G4622" s="264"/>
    </row>
    <row r="4623" spans="5:7">
      <c r="E4623" s="264"/>
      <c r="G4623" s="264"/>
    </row>
    <row r="4624" spans="5:7">
      <c r="E4624" s="264"/>
      <c r="G4624" s="264"/>
    </row>
    <row r="4625" spans="5:7">
      <c r="E4625" s="264"/>
      <c r="G4625" s="264"/>
    </row>
    <row r="4626" spans="5:7">
      <c r="E4626" s="264"/>
      <c r="G4626" s="264"/>
    </row>
    <row r="4627" spans="5:7">
      <c r="E4627" s="264"/>
      <c r="G4627" s="264"/>
    </row>
    <row r="4628" spans="5:7">
      <c r="E4628" s="264"/>
      <c r="G4628" s="264"/>
    </row>
    <row r="4629" spans="5:7">
      <c r="E4629" s="264"/>
      <c r="G4629" s="264"/>
    </row>
    <row r="4630" spans="5:7">
      <c r="E4630" s="264"/>
      <c r="G4630" s="264"/>
    </row>
    <row r="4631" spans="5:7">
      <c r="E4631" s="264"/>
      <c r="G4631" s="264"/>
    </row>
    <row r="4632" spans="5:7">
      <c r="E4632" s="264"/>
      <c r="G4632" s="264"/>
    </row>
    <row r="4633" spans="5:7">
      <c r="E4633" s="264"/>
      <c r="G4633" s="264"/>
    </row>
    <row r="4634" spans="5:7">
      <c r="E4634" s="264"/>
      <c r="G4634" s="264"/>
    </row>
    <row r="4635" spans="5:7">
      <c r="E4635" s="264"/>
      <c r="G4635" s="264"/>
    </row>
    <row r="4636" spans="5:7">
      <c r="E4636" s="264"/>
      <c r="G4636" s="264"/>
    </row>
    <row r="4637" spans="5:7">
      <c r="E4637" s="264"/>
      <c r="G4637" s="264"/>
    </row>
    <row r="4638" spans="5:7">
      <c r="E4638" s="264"/>
      <c r="G4638" s="264"/>
    </row>
    <row r="4639" spans="5:7">
      <c r="E4639" s="264"/>
      <c r="G4639" s="264"/>
    </row>
    <row r="4640" spans="5:7">
      <c r="E4640" s="264"/>
      <c r="G4640" s="264"/>
    </row>
    <row r="4641" spans="5:7">
      <c r="E4641" s="264"/>
      <c r="G4641" s="264"/>
    </row>
    <row r="4642" spans="5:7">
      <c r="E4642" s="264"/>
      <c r="G4642" s="264"/>
    </row>
    <row r="4643" spans="5:7">
      <c r="E4643" s="264"/>
      <c r="G4643" s="264"/>
    </row>
    <row r="4644" spans="5:7">
      <c r="E4644" s="264"/>
      <c r="G4644" s="264"/>
    </row>
    <row r="4645" spans="5:7">
      <c r="E4645" s="264"/>
      <c r="G4645" s="264"/>
    </row>
    <row r="4646" spans="5:7">
      <c r="E4646" s="264"/>
      <c r="G4646" s="264"/>
    </row>
    <row r="4647" spans="5:7">
      <c r="E4647" s="264"/>
      <c r="G4647" s="264"/>
    </row>
    <row r="4648" spans="5:7">
      <c r="E4648" s="264"/>
      <c r="G4648" s="264"/>
    </row>
    <row r="4649" spans="5:7">
      <c r="E4649" s="264"/>
      <c r="G4649" s="264"/>
    </row>
    <row r="4650" spans="5:7">
      <c r="E4650" s="264"/>
      <c r="G4650" s="264"/>
    </row>
    <row r="4651" spans="5:7">
      <c r="E4651" s="264"/>
      <c r="G4651" s="264"/>
    </row>
    <row r="4652" spans="5:7">
      <c r="E4652" s="264"/>
      <c r="G4652" s="264"/>
    </row>
    <row r="4653" spans="5:7">
      <c r="E4653" s="264"/>
      <c r="G4653" s="264"/>
    </row>
    <row r="4654" spans="5:7">
      <c r="E4654" s="264"/>
      <c r="G4654" s="264"/>
    </row>
    <row r="4655" spans="5:7">
      <c r="E4655" s="264"/>
      <c r="G4655" s="264"/>
    </row>
    <row r="4656" spans="5:7">
      <c r="E4656" s="264"/>
      <c r="G4656" s="264"/>
    </row>
    <row r="4657" spans="5:7">
      <c r="E4657" s="264"/>
      <c r="G4657" s="264"/>
    </row>
    <row r="4658" spans="5:7">
      <c r="E4658" s="264"/>
      <c r="G4658" s="264"/>
    </row>
    <row r="4659" spans="5:7">
      <c r="E4659" s="264"/>
      <c r="G4659" s="264"/>
    </row>
    <row r="4660" spans="5:7">
      <c r="E4660" s="264"/>
      <c r="G4660" s="264"/>
    </row>
    <row r="4661" spans="5:7">
      <c r="E4661" s="264"/>
      <c r="G4661" s="264"/>
    </row>
    <row r="4662" spans="5:7">
      <c r="E4662" s="264"/>
      <c r="G4662" s="264"/>
    </row>
    <row r="4663" spans="5:7">
      <c r="E4663" s="264"/>
      <c r="G4663" s="264"/>
    </row>
    <row r="4664" spans="5:7">
      <c r="E4664" s="264"/>
      <c r="G4664" s="264"/>
    </row>
    <row r="4665" spans="5:7">
      <c r="E4665" s="264"/>
      <c r="G4665" s="264"/>
    </row>
    <row r="4666" spans="5:7">
      <c r="E4666" s="264"/>
      <c r="G4666" s="264"/>
    </row>
    <row r="4667" spans="5:7">
      <c r="E4667" s="264"/>
      <c r="G4667" s="264"/>
    </row>
    <row r="4668" spans="5:7">
      <c r="E4668" s="264"/>
      <c r="G4668" s="264"/>
    </row>
    <row r="4669" spans="5:7">
      <c r="E4669" s="264"/>
      <c r="G4669" s="264"/>
    </row>
    <row r="4670" spans="5:7">
      <c r="E4670" s="264"/>
      <c r="G4670" s="264"/>
    </row>
    <row r="4671" spans="5:7">
      <c r="E4671" s="264"/>
      <c r="G4671" s="264"/>
    </row>
    <row r="4672" spans="5:7">
      <c r="E4672" s="264"/>
      <c r="G4672" s="264"/>
    </row>
    <row r="4673" spans="5:7">
      <c r="E4673" s="264"/>
      <c r="G4673" s="264"/>
    </row>
    <row r="4674" spans="5:7">
      <c r="E4674" s="264"/>
      <c r="G4674" s="264"/>
    </row>
    <row r="4675" spans="5:7">
      <c r="E4675" s="264"/>
      <c r="G4675" s="264"/>
    </row>
    <row r="4676" spans="5:7">
      <c r="E4676" s="264"/>
      <c r="G4676" s="264"/>
    </row>
    <row r="4677" spans="5:7">
      <c r="E4677" s="264"/>
      <c r="G4677" s="264"/>
    </row>
    <row r="4678" spans="5:7">
      <c r="E4678" s="264"/>
      <c r="G4678" s="264"/>
    </row>
    <row r="4679" spans="5:7">
      <c r="E4679" s="264"/>
      <c r="G4679" s="264"/>
    </row>
    <row r="4680" spans="5:7">
      <c r="E4680" s="264"/>
      <c r="G4680" s="264"/>
    </row>
    <row r="4681" spans="5:7">
      <c r="E4681" s="264"/>
      <c r="G4681" s="264"/>
    </row>
    <row r="4682" spans="5:7">
      <c r="E4682" s="264"/>
      <c r="G4682" s="264"/>
    </row>
    <row r="4683" spans="5:7">
      <c r="E4683" s="264"/>
      <c r="G4683" s="264"/>
    </row>
    <row r="4684" spans="5:7">
      <c r="E4684" s="264"/>
      <c r="G4684" s="264"/>
    </row>
    <row r="4685" spans="5:7">
      <c r="E4685" s="264"/>
      <c r="G4685" s="264"/>
    </row>
    <row r="4686" spans="5:7">
      <c r="E4686" s="264"/>
      <c r="G4686" s="264"/>
    </row>
    <row r="4687" spans="5:7">
      <c r="E4687" s="264"/>
      <c r="G4687" s="264"/>
    </row>
    <row r="4688" spans="5:7">
      <c r="E4688" s="264"/>
      <c r="G4688" s="264"/>
    </row>
    <row r="4689" spans="5:7">
      <c r="E4689" s="264"/>
      <c r="G4689" s="264"/>
    </row>
    <row r="4690" spans="5:7">
      <c r="E4690" s="264"/>
      <c r="G4690" s="264"/>
    </row>
    <row r="4691" spans="5:7">
      <c r="E4691" s="264"/>
      <c r="G4691" s="264"/>
    </row>
    <row r="4692" spans="5:7">
      <c r="E4692" s="264"/>
      <c r="G4692" s="264"/>
    </row>
    <row r="4693" spans="5:7">
      <c r="E4693" s="264"/>
      <c r="G4693" s="264"/>
    </row>
    <row r="4694" spans="5:7">
      <c r="E4694" s="264"/>
      <c r="G4694" s="264"/>
    </row>
    <row r="4695" spans="5:7">
      <c r="E4695" s="264"/>
      <c r="G4695" s="264"/>
    </row>
    <row r="4696" spans="5:7">
      <c r="E4696" s="264"/>
      <c r="G4696" s="264"/>
    </row>
    <row r="4697" spans="5:7">
      <c r="E4697" s="264"/>
      <c r="G4697" s="264"/>
    </row>
    <row r="4698" spans="5:7">
      <c r="E4698" s="264"/>
      <c r="G4698" s="264"/>
    </row>
    <row r="4699" spans="5:7">
      <c r="E4699" s="264"/>
      <c r="G4699" s="264"/>
    </row>
    <row r="4700" spans="5:7">
      <c r="E4700" s="264"/>
      <c r="G4700" s="264"/>
    </row>
    <row r="4701" spans="5:7">
      <c r="E4701" s="264"/>
      <c r="G4701" s="264"/>
    </row>
    <row r="4702" spans="5:7">
      <c r="E4702" s="264"/>
      <c r="G4702" s="264"/>
    </row>
    <row r="4703" spans="5:7">
      <c r="E4703" s="264"/>
      <c r="G4703" s="264"/>
    </row>
    <row r="4704" spans="5:7">
      <c r="E4704" s="264"/>
      <c r="G4704" s="264"/>
    </row>
    <row r="4705" spans="5:7">
      <c r="E4705" s="264"/>
      <c r="G4705" s="264"/>
    </row>
    <row r="4706" spans="5:7">
      <c r="E4706" s="264"/>
      <c r="G4706" s="264"/>
    </row>
    <row r="4707" spans="5:7">
      <c r="E4707" s="264"/>
      <c r="G4707" s="264"/>
    </row>
    <row r="4708" spans="5:7">
      <c r="E4708" s="264"/>
      <c r="G4708" s="264"/>
    </row>
    <row r="4709" spans="5:7">
      <c r="E4709" s="264"/>
      <c r="G4709" s="264"/>
    </row>
    <row r="4710" spans="5:7">
      <c r="E4710" s="264"/>
      <c r="G4710" s="264"/>
    </row>
    <row r="4711" spans="5:7">
      <c r="E4711" s="264"/>
      <c r="G4711" s="264"/>
    </row>
    <row r="4712" spans="5:7">
      <c r="E4712" s="264"/>
      <c r="G4712" s="264"/>
    </row>
    <row r="4713" spans="5:7">
      <c r="E4713" s="264"/>
      <c r="G4713" s="264"/>
    </row>
    <row r="4714" spans="5:7">
      <c r="E4714" s="264"/>
      <c r="G4714" s="264"/>
    </row>
    <row r="4715" spans="5:7">
      <c r="E4715" s="264"/>
      <c r="G4715" s="264"/>
    </row>
    <row r="4716" spans="5:7">
      <c r="E4716" s="264"/>
      <c r="G4716" s="264"/>
    </row>
    <row r="4717" spans="5:7">
      <c r="E4717" s="264"/>
      <c r="G4717" s="264"/>
    </row>
    <row r="4718" spans="5:7">
      <c r="E4718" s="264"/>
      <c r="G4718" s="264"/>
    </row>
    <row r="4719" spans="5:7">
      <c r="E4719" s="264"/>
      <c r="G4719" s="264"/>
    </row>
    <row r="4720" spans="5:7">
      <c r="E4720" s="264"/>
      <c r="G4720" s="264"/>
    </row>
    <row r="4721" spans="5:7">
      <c r="E4721" s="264"/>
      <c r="G4721" s="264"/>
    </row>
    <row r="4722" spans="5:7">
      <c r="E4722" s="264"/>
      <c r="G4722" s="264"/>
    </row>
    <row r="4723" spans="5:7">
      <c r="E4723" s="264"/>
      <c r="G4723" s="264"/>
    </row>
    <row r="4724" spans="5:7">
      <c r="E4724" s="264"/>
      <c r="G4724" s="264"/>
    </row>
    <row r="4725" spans="5:7">
      <c r="E4725" s="264"/>
      <c r="G4725" s="264"/>
    </row>
    <row r="4726" spans="5:7">
      <c r="E4726" s="264"/>
      <c r="G4726" s="264"/>
    </row>
    <row r="4727" spans="5:7">
      <c r="E4727" s="264"/>
      <c r="G4727" s="264"/>
    </row>
    <row r="4728" spans="5:7">
      <c r="E4728" s="264"/>
      <c r="G4728" s="264"/>
    </row>
    <row r="4729" spans="5:7">
      <c r="E4729" s="264"/>
      <c r="G4729" s="264"/>
    </row>
    <row r="4730" spans="5:7">
      <c r="E4730" s="264"/>
      <c r="G4730" s="264"/>
    </row>
    <row r="4731" spans="5:7">
      <c r="E4731" s="264"/>
      <c r="G4731" s="264"/>
    </row>
    <row r="4732" spans="5:7">
      <c r="E4732" s="264"/>
      <c r="G4732" s="264"/>
    </row>
    <row r="4733" spans="5:7">
      <c r="E4733" s="264"/>
      <c r="G4733" s="264"/>
    </row>
    <row r="4734" spans="5:7">
      <c r="E4734" s="264"/>
      <c r="G4734" s="264"/>
    </row>
    <row r="4735" spans="5:7">
      <c r="E4735" s="264"/>
      <c r="G4735" s="264"/>
    </row>
    <row r="4736" spans="5:7">
      <c r="E4736" s="264"/>
      <c r="G4736" s="264"/>
    </row>
    <row r="4737" spans="5:7">
      <c r="E4737" s="264"/>
      <c r="G4737" s="264"/>
    </row>
    <row r="4738" spans="5:7">
      <c r="E4738" s="264"/>
      <c r="G4738" s="264"/>
    </row>
    <row r="4739" spans="5:7">
      <c r="E4739" s="264"/>
      <c r="G4739" s="264"/>
    </row>
    <row r="4740" spans="5:7">
      <c r="E4740" s="264"/>
      <c r="G4740" s="264"/>
    </row>
    <row r="4741" spans="5:7">
      <c r="E4741" s="264"/>
      <c r="G4741" s="264"/>
    </row>
    <row r="4742" spans="5:7">
      <c r="E4742" s="264"/>
      <c r="G4742" s="264"/>
    </row>
    <row r="4743" spans="5:7">
      <c r="E4743" s="264"/>
      <c r="G4743" s="264"/>
    </row>
    <row r="4744" spans="5:7">
      <c r="E4744" s="264"/>
      <c r="G4744" s="264"/>
    </row>
    <row r="4745" spans="5:7">
      <c r="E4745" s="264"/>
      <c r="G4745" s="264"/>
    </row>
    <row r="4746" spans="5:7">
      <c r="E4746" s="264"/>
      <c r="G4746" s="264"/>
    </row>
    <row r="4747" spans="5:7">
      <c r="E4747" s="264"/>
      <c r="G4747" s="264"/>
    </row>
    <row r="4748" spans="5:7">
      <c r="E4748" s="264"/>
      <c r="G4748" s="264"/>
    </row>
    <row r="4749" spans="5:7">
      <c r="E4749" s="264"/>
      <c r="G4749" s="264"/>
    </row>
    <row r="4750" spans="5:7">
      <c r="E4750" s="264"/>
      <c r="G4750" s="264"/>
    </row>
    <row r="4751" spans="5:7">
      <c r="E4751" s="264"/>
      <c r="G4751" s="264"/>
    </row>
    <row r="4752" spans="5:7">
      <c r="E4752" s="264"/>
      <c r="G4752" s="264"/>
    </row>
    <row r="4753" spans="5:7">
      <c r="E4753" s="264"/>
      <c r="G4753" s="264"/>
    </row>
    <row r="4754" spans="5:7">
      <c r="E4754" s="264"/>
      <c r="G4754" s="264"/>
    </row>
    <row r="4755" spans="5:7">
      <c r="E4755" s="264"/>
      <c r="G4755" s="264"/>
    </row>
    <row r="4756" spans="5:7">
      <c r="E4756" s="264"/>
      <c r="G4756" s="264"/>
    </row>
    <row r="4757" spans="5:7">
      <c r="E4757" s="264"/>
      <c r="G4757" s="264"/>
    </row>
    <row r="4758" spans="5:7">
      <c r="E4758" s="264"/>
      <c r="G4758" s="264"/>
    </row>
    <row r="4759" spans="5:7">
      <c r="E4759" s="264"/>
      <c r="G4759" s="264"/>
    </row>
    <row r="4760" spans="5:7">
      <c r="E4760" s="264"/>
      <c r="G4760" s="264"/>
    </row>
    <row r="4761" spans="5:7">
      <c r="E4761" s="264"/>
      <c r="G4761" s="264"/>
    </row>
    <row r="4762" spans="5:7">
      <c r="E4762" s="264"/>
      <c r="G4762" s="264"/>
    </row>
    <row r="4763" spans="5:7">
      <c r="E4763" s="264"/>
      <c r="G4763" s="264"/>
    </row>
    <row r="4764" spans="5:7">
      <c r="E4764" s="264"/>
      <c r="G4764" s="264"/>
    </row>
    <row r="4765" spans="5:7">
      <c r="E4765" s="264"/>
      <c r="G4765" s="264"/>
    </row>
    <row r="4766" spans="5:7">
      <c r="E4766" s="264"/>
      <c r="G4766" s="264"/>
    </row>
    <row r="4767" spans="5:7">
      <c r="E4767" s="264"/>
      <c r="G4767" s="264"/>
    </row>
    <row r="4768" spans="5:7">
      <c r="E4768" s="264"/>
      <c r="G4768" s="264"/>
    </row>
    <row r="4769" spans="5:7">
      <c r="E4769" s="264"/>
      <c r="G4769" s="264"/>
    </row>
    <row r="4770" spans="5:7">
      <c r="E4770" s="264"/>
      <c r="G4770" s="264"/>
    </row>
    <row r="4771" spans="5:7">
      <c r="E4771" s="264"/>
      <c r="G4771" s="264"/>
    </row>
    <row r="4772" spans="5:7">
      <c r="E4772" s="264"/>
      <c r="G4772" s="264"/>
    </row>
    <row r="4773" spans="5:7">
      <c r="E4773" s="264"/>
      <c r="G4773" s="264"/>
    </row>
    <row r="4774" spans="5:7">
      <c r="E4774" s="264"/>
      <c r="G4774" s="264"/>
    </row>
    <row r="4775" spans="5:7">
      <c r="E4775" s="264"/>
      <c r="G4775" s="264"/>
    </row>
    <row r="4776" spans="5:7">
      <c r="E4776" s="264"/>
      <c r="G4776" s="264"/>
    </row>
    <row r="4777" spans="5:7">
      <c r="E4777" s="264"/>
      <c r="G4777" s="264"/>
    </row>
    <row r="4778" spans="5:7">
      <c r="E4778" s="264"/>
      <c r="G4778" s="264"/>
    </row>
    <row r="4779" spans="5:7">
      <c r="E4779" s="264"/>
      <c r="G4779" s="264"/>
    </row>
    <row r="4780" spans="5:7">
      <c r="E4780" s="264"/>
      <c r="G4780" s="264"/>
    </row>
    <row r="4781" spans="5:7">
      <c r="E4781" s="264"/>
      <c r="G4781" s="264"/>
    </row>
    <row r="4782" spans="5:7">
      <c r="E4782" s="264"/>
      <c r="G4782" s="264"/>
    </row>
    <row r="4783" spans="5:7">
      <c r="E4783" s="264"/>
      <c r="G4783" s="264"/>
    </row>
    <row r="4784" spans="5:7">
      <c r="E4784" s="264"/>
      <c r="G4784" s="264"/>
    </row>
    <row r="4785" spans="5:7">
      <c r="E4785" s="264"/>
      <c r="G4785" s="264"/>
    </row>
    <row r="4786" spans="5:7">
      <c r="E4786" s="264"/>
      <c r="G4786" s="264"/>
    </row>
    <row r="4787" spans="5:7">
      <c r="E4787" s="264"/>
      <c r="G4787" s="264"/>
    </row>
    <row r="4788" spans="5:7">
      <c r="E4788" s="264"/>
      <c r="G4788" s="264"/>
    </row>
    <row r="4789" spans="5:7">
      <c r="E4789" s="264"/>
      <c r="G4789" s="264"/>
    </row>
    <row r="4790" spans="5:7">
      <c r="E4790" s="264"/>
      <c r="G4790" s="264"/>
    </row>
    <row r="4791" spans="5:7">
      <c r="E4791" s="264"/>
      <c r="G4791" s="264"/>
    </row>
    <row r="4792" spans="5:7">
      <c r="E4792" s="264"/>
      <c r="G4792" s="264"/>
    </row>
    <row r="4793" spans="5:7">
      <c r="E4793" s="264"/>
      <c r="G4793" s="264"/>
    </row>
    <row r="4794" spans="5:7">
      <c r="E4794" s="264"/>
      <c r="G4794" s="264"/>
    </row>
    <row r="4795" spans="5:7">
      <c r="E4795" s="264"/>
      <c r="G4795" s="264"/>
    </row>
    <row r="4796" spans="5:7">
      <c r="E4796" s="264"/>
      <c r="G4796" s="264"/>
    </row>
    <row r="4797" spans="5:7">
      <c r="E4797" s="264"/>
      <c r="G4797" s="264"/>
    </row>
    <row r="4798" spans="5:7">
      <c r="E4798" s="264"/>
      <c r="G4798" s="264"/>
    </row>
    <row r="4799" spans="5:7">
      <c r="E4799" s="264"/>
      <c r="G4799" s="264"/>
    </row>
    <row r="4800" spans="5:7">
      <c r="E4800" s="264"/>
      <c r="G4800" s="264"/>
    </row>
    <row r="4801" spans="5:7">
      <c r="E4801" s="264"/>
      <c r="G4801" s="264"/>
    </row>
    <row r="4802" spans="5:7">
      <c r="E4802" s="264"/>
      <c r="G4802" s="264"/>
    </row>
    <row r="4803" spans="5:7">
      <c r="E4803" s="264"/>
      <c r="G4803" s="264"/>
    </row>
    <row r="4804" spans="5:7">
      <c r="E4804" s="264"/>
      <c r="G4804" s="264"/>
    </row>
    <row r="4805" spans="5:7">
      <c r="E4805" s="264"/>
      <c r="G4805" s="264"/>
    </row>
    <row r="4806" spans="5:7">
      <c r="E4806" s="264"/>
      <c r="G4806" s="264"/>
    </row>
    <row r="4807" spans="5:7">
      <c r="E4807" s="264"/>
      <c r="G4807" s="264"/>
    </row>
    <row r="4808" spans="5:7">
      <c r="E4808" s="264"/>
      <c r="G4808" s="264"/>
    </row>
    <row r="4809" spans="5:7">
      <c r="E4809" s="264"/>
      <c r="G4809" s="264"/>
    </row>
    <row r="4810" spans="5:7">
      <c r="E4810" s="264"/>
      <c r="G4810" s="264"/>
    </row>
    <row r="4811" spans="5:7">
      <c r="E4811" s="264"/>
      <c r="G4811" s="264"/>
    </row>
    <row r="4812" spans="5:7">
      <c r="E4812" s="264"/>
      <c r="G4812" s="264"/>
    </row>
    <row r="4813" spans="5:7">
      <c r="E4813" s="264"/>
      <c r="G4813" s="264"/>
    </row>
    <row r="4814" spans="5:7">
      <c r="E4814" s="264"/>
      <c r="G4814" s="264"/>
    </row>
    <row r="4815" spans="5:7">
      <c r="E4815" s="264"/>
      <c r="G4815" s="264"/>
    </row>
    <row r="4816" spans="5:7">
      <c r="E4816" s="264"/>
      <c r="G4816" s="264"/>
    </row>
    <row r="4817" spans="5:7">
      <c r="E4817" s="264"/>
      <c r="G4817" s="264"/>
    </row>
    <row r="4818" spans="5:7">
      <c r="E4818" s="264"/>
      <c r="G4818" s="264"/>
    </row>
    <row r="4819" spans="5:7">
      <c r="E4819" s="264"/>
      <c r="G4819" s="264"/>
    </row>
    <row r="4820" spans="5:7">
      <c r="E4820" s="264"/>
      <c r="G4820" s="264"/>
    </row>
    <row r="4821" spans="5:7">
      <c r="E4821" s="264"/>
      <c r="G4821" s="264"/>
    </row>
    <row r="4822" spans="5:7">
      <c r="E4822" s="264"/>
      <c r="G4822" s="264"/>
    </row>
    <row r="4823" spans="5:7">
      <c r="E4823" s="264"/>
      <c r="G4823" s="264"/>
    </row>
    <row r="4824" spans="5:7">
      <c r="E4824" s="264"/>
      <c r="G4824" s="264"/>
    </row>
    <row r="4825" spans="5:7">
      <c r="E4825" s="264"/>
      <c r="G4825" s="264"/>
    </row>
    <row r="4826" spans="5:7">
      <c r="E4826" s="264"/>
      <c r="G4826" s="264"/>
    </row>
    <row r="4827" spans="5:7">
      <c r="E4827" s="264"/>
      <c r="G4827" s="264"/>
    </row>
    <row r="4828" spans="5:7">
      <c r="E4828" s="264"/>
      <c r="G4828" s="264"/>
    </row>
    <row r="4829" spans="5:7">
      <c r="E4829" s="264"/>
      <c r="G4829" s="264"/>
    </row>
    <row r="4830" spans="5:7">
      <c r="E4830" s="264"/>
      <c r="G4830" s="264"/>
    </row>
    <row r="4831" spans="5:7">
      <c r="E4831" s="264"/>
      <c r="G4831" s="264"/>
    </row>
    <row r="4832" spans="5:7">
      <c r="E4832" s="264"/>
      <c r="G4832" s="264"/>
    </row>
    <row r="4833" spans="5:7">
      <c r="E4833" s="264"/>
      <c r="G4833" s="264"/>
    </row>
    <row r="4834" spans="5:7">
      <c r="E4834" s="264"/>
      <c r="G4834" s="264"/>
    </row>
    <row r="4835" spans="5:7">
      <c r="E4835" s="264"/>
      <c r="G4835" s="264"/>
    </row>
    <row r="4836" spans="5:7">
      <c r="E4836" s="264"/>
      <c r="G4836" s="264"/>
    </row>
    <row r="4837" spans="5:7">
      <c r="E4837" s="264"/>
      <c r="G4837" s="264"/>
    </row>
    <row r="4838" spans="5:7">
      <c r="E4838" s="264"/>
      <c r="G4838" s="264"/>
    </row>
    <row r="4839" spans="5:7">
      <c r="E4839" s="264"/>
      <c r="G4839" s="264"/>
    </row>
    <row r="4840" spans="5:7">
      <c r="E4840" s="264"/>
      <c r="G4840" s="264"/>
    </row>
    <row r="4841" spans="5:7">
      <c r="E4841" s="264"/>
      <c r="G4841" s="264"/>
    </row>
    <row r="4842" spans="5:7">
      <c r="E4842" s="264"/>
      <c r="G4842" s="264"/>
    </row>
    <row r="4843" spans="5:7">
      <c r="E4843" s="264"/>
      <c r="G4843" s="264"/>
    </row>
    <row r="4844" spans="5:7">
      <c r="E4844" s="264"/>
      <c r="G4844" s="264"/>
    </row>
    <row r="4845" spans="5:7">
      <c r="E4845" s="264"/>
      <c r="G4845" s="264"/>
    </row>
    <row r="4846" spans="5:7">
      <c r="E4846" s="264"/>
      <c r="G4846" s="264"/>
    </row>
    <row r="4847" spans="5:7">
      <c r="E4847" s="264"/>
      <c r="G4847" s="264"/>
    </row>
    <row r="4848" spans="5:7">
      <c r="E4848" s="264"/>
      <c r="G4848" s="264"/>
    </row>
    <row r="4849" spans="5:7">
      <c r="E4849" s="264"/>
      <c r="G4849" s="264"/>
    </row>
    <row r="4850" spans="5:7">
      <c r="E4850" s="264"/>
      <c r="G4850" s="264"/>
    </row>
    <row r="4851" spans="5:7">
      <c r="E4851" s="264"/>
      <c r="G4851" s="264"/>
    </row>
    <row r="4852" spans="5:7">
      <c r="E4852" s="264"/>
      <c r="G4852" s="264"/>
    </row>
    <row r="4853" spans="5:7">
      <c r="E4853" s="264"/>
      <c r="G4853" s="264"/>
    </row>
    <row r="4854" spans="5:7">
      <c r="E4854" s="264"/>
      <c r="G4854" s="264"/>
    </row>
    <row r="4855" spans="5:7">
      <c r="E4855" s="264"/>
      <c r="G4855" s="264"/>
    </row>
    <row r="4856" spans="5:7">
      <c r="E4856" s="264"/>
      <c r="G4856" s="264"/>
    </row>
    <row r="4857" spans="5:7">
      <c r="E4857" s="264"/>
      <c r="G4857" s="264"/>
    </row>
    <row r="4858" spans="5:7">
      <c r="E4858" s="264"/>
      <c r="G4858" s="264"/>
    </row>
    <row r="4859" spans="5:7">
      <c r="E4859" s="264"/>
      <c r="G4859" s="264"/>
    </row>
    <row r="4860" spans="5:7">
      <c r="E4860" s="264"/>
      <c r="G4860" s="264"/>
    </row>
    <row r="4861" spans="5:7">
      <c r="E4861" s="264"/>
      <c r="G4861" s="264"/>
    </row>
    <row r="4862" spans="5:7">
      <c r="E4862" s="264"/>
      <c r="G4862" s="264"/>
    </row>
    <row r="4863" spans="5:7">
      <c r="E4863" s="264"/>
      <c r="G4863" s="264"/>
    </row>
    <row r="4864" spans="5:7">
      <c r="E4864" s="264"/>
      <c r="G4864" s="264"/>
    </row>
    <row r="4865" spans="5:7">
      <c r="E4865" s="264"/>
      <c r="G4865" s="264"/>
    </row>
    <row r="4866" spans="5:7">
      <c r="E4866" s="264"/>
      <c r="G4866" s="264"/>
    </row>
    <row r="4867" spans="5:7">
      <c r="E4867" s="264"/>
      <c r="G4867" s="264"/>
    </row>
    <row r="4868" spans="5:7">
      <c r="E4868" s="264"/>
      <c r="G4868" s="264"/>
    </row>
    <row r="4869" spans="5:7">
      <c r="E4869" s="264"/>
      <c r="G4869" s="264"/>
    </row>
    <row r="4870" spans="5:7">
      <c r="E4870" s="264"/>
      <c r="G4870" s="264"/>
    </row>
    <row r="4871" spans="5:7">
      <c r="E4871" s="264"/>
      <c r="G4871" s="264"/>
    </row>
    <row r="4872" spans="5:7">
      <c r="E4872" s="264"/>
      <c r="G4872" s="264"/>
    </row>
    <row r="4873" spans="5:7">
      <c r="E4873" s="264"/>
      <c r="G4873" s="264"/>
    </row>
    <row r="4874" spans="5:7">
      <c r="E4874" s="264"/>
      <c r="G4874" s="264"/>
    </row>
    <row r="4875" spans="5:7">
      <c r="E4875" s="264"/>
      <c r="G4875" s="264"/>
    </row>
    <row r="4876" spans="5:7">
      <c r="E4876" s="264"/>
      <c r="G4876" s="264"/>
    </row>
    <row r="4877" spans="5:7">
      <c r="E4877" s="264"/>
      <c r="G4877" s="264"/>
    </row>
    <row r="4878" spans="5:7">
      <c r="E4878" s="264"/>
      <c r="G4878" s="264"/>
    </row>
    <row r="4879" spans="5:7">
      <c r="E4879" s="264"/>
      <c r="G4879" s="264"/>
    </row>
    <row r="4880" spans="5:7">
      <c r="E4880" s="264"/>
      <c r="G4880" s="264"/>
    </row>
    <row r="4881" spans="5:7">
      <c r="E4881" s="264"/>
      <c r="G4881" s="264"/>
    </row>
    <row r="4882" spans="5:7">
      <c r="E4882" s="264"/>
      <c r="G4882" s="264"/>
    </row>
    <row r="4883" spans="5:7">
      <c r="E4883" s="264"/>
      <c r="G4883" s="264"/>
    </row>
    <row r="4884" spans="5:7">
      <c r="E4884" s="264"/>
      <c r="G4884" s="264"/>
    </row>
    <row r="4885" spans="5:7">
      <c r="E4885" s="264"/>
      <c r="G4885" s="264"/>
    </row>
    <row r="4886" spans="5:7">
      <c r="E4886" s="264"/>
      <c r="G4886" s="264"/>
    </row>
    <row r="4887" spans="5:7">
      <c r="E4887" s="264"/>
      <c r="G4887" s="264"/>
    </row>
    <row r="4888" spans="5:7">
      <c r="E4888" s="264"/>
      <c r="G4888" s="264"/>
    </row>
    <row r="4889" spans="5:7">
      <c r="E4889" s="264"/>
      <c r="G4889" s="264"/>
    </row>
    <row r="4890" spans="5:7">
      <c r="E4890" s="264"/>
      <c r="G4890" s="264"/>
    </row>
    <row r="4891" spans="5:7">
      <c r="E4891" s="264"/>
      <c r="G4891" s="264"/>
    </row>
    <row r="4892" spans="5:7">
      <c r="E4892" s="264"/>
      <c r="G4892" s="264"/>
    </row>
    <row r="4893" spans="5:7">
      <c r="E4893" s="264"/>
      <c r="G4893" s="264"/>
    </row>
    <row r="4894" spans="5:7">
      <c r="E4894" s="264"/>
      <c r="G4894" s="264"/>
    </row>
    <row r="4895" spans="5:7">
      <c r="E4895" s="264"/>
      <c r="G4895" s="264"/>
    </row>
    <row r="4896" spans="5:7">
      <c r="E4896" s="264"/>
      <c r="G4896" s="264"/>
    </row>
    <row r="4897" spans="5:7">
      <c r="E4897" s="264"/>
      <c r="G4897" s="264"/>
    </row>
    <row r="4898" spans="5:7">
      <c r="E4898" s="264"/>
      <c r="G4898" s="264"/>
    </row>
    <row r="4899" spans="5:7">
      <c r="E4899" s="264"/>
      <c r="G4899" s="264"/>
    </row>
    <row r="4900" spans="5:7">
      <c r="E4900" s="264"/>
      <c r="G4900" s="264"/>
    </row>
    <row r="4901" spans="5:7">
      <c r="E4901" s="264"/>
      <c r="G4901" s="264"/>
    </row>
    <row r="4902" spans="5:7">
      <c r="E4902" s="264"/>
      <c r="G4902" s="264"/>
    </row>
    <row r="4903" spans="5:7">
      <c r="E4903" s="264"/>
      <c r="G4903" s="264"/>
    </row>
    <row r="4904" spans="5:7">
      <c r="E4904" s="264"/>
      <c r="G4904" s="264"/>
    </row>
    <row r="4905" spans="5:7">
      <c r="E4905" s="264"/>
      <c r="G4905" s="264"/>
    </row>
    <row r="4906" spans="5:7">
      <c r="E4906" s="264"/>
      <c r="G4906" s="264"/>
    </row>
    <row r="4907" spans="5:7">
      <c r="E4907" s="264"/>
      <c r="G4907" s="264"/>
    </row>
    <row r="4908" spans="5:7">
      <c r="E4908" s="264"/>
      <c r="G4908" s="264"/>
    </row>
    <row r="4909" spans="5:7">
      <c r="E4909" s="264"/>
      <c r="G4909" s="264"/>
    </row>
    <row r="4910" spans="5:7">
      <c r="E4910" s="264"/>
      <c r="G4910" s="264"/>
    </row>
    <row r="4911" spans="5:7">
      <c r="E4911" s="264"/>
      <c r="G4911" s="264"/>
    </row>
    <row r="4912" spans="5:7">
      <c r="E4912" s="264"/>
      <c r="G4912" s="264"/>
    </row>
    <row r="4913" spans="5:7">
      <c r="E4913" s="264"/>
      <c r="G4913" s="264"/>
    </row>
    <row r="4914" spans="5:7">
      <c r="E4914" s="264"/>
      <c r="G4914" s="264"/>
    </row>
    <row r="4915" spans="5:7">
      <c r="E4915" s="264"/>
      <c r="G4915" s="264"/>
    </row>
    <row r="4916" spans="5:7">
      <c r="E4916" s="264"/>
      <c r="G4916" s="264"/>
    </row>
    <row r="4917" spans="5:7">
      <c r="E4917" s="264"/>
      <c r="G4917" s="264"/>
    </row>
    <row r="4918" spans="5:7">
      <c r="E4918" s="264"/>
      <c r="G4918" s="264"/>
    </row>
    <row r="4919" spans="5:7">
      <c r="E4919" s="264"/>
      <c r="G4919" s="264"/>
    </row>
    <row r="4920" spans="5:7">
      <c r="E4920" s="264"/>
      <c r="G4920" s="264"/>
    </row>
    <row r="4921" spans="5:7">
      <c r="E4921" s="264"/>
      <c r="G4921" s="264"/>
    </row>
    <row r="4922" spans="5:7">
      <c r="E4922" s="264"/>
      <c r="G4922" s="264"/>
    </row>
    <row r="4923" spans="5:7">
      <c r="E4923" s="264"/>
      <c r="G4923" s="264"/>
    </row>
    <row r="4924" spans="5:7">
      <c r="E4924" s="264"/>
      <c r="G4924" s="264"/>
    </row>
    <row r="4925" spans="5:7">
      <c r="E4925" s="264"/>
      <c r="G4925" s="264"/>
    </row>
    <row r="4926" spans="5:7">
      <c r="E4926" s="264"/>
      <c r="G4926" s="264"/>
    </row>
    <row r="4927" spans="5:7">
      <c r="E4927" s="264"/>
      <c r="G4927" s="264"/>
    </row>
    <row r="4928" spans="5:7">
      <c r="E4928" s="264"/>
      <c r="G4928" s="264"/>
    </row>
    <row r="4929" spans="5:7">
      <c r="E4929" s="264"/>
      <c r="G4929" s="264"/>
    </row>
    <row r="4930" spans="5:7">
      <c r="E4930" s="264"/>
      <c r="G4930" s="264"/>
    </row>
    <row r="4931" spans="5:7">
      <c r="E4931" s="264"/>
      <c r="G4931" s="264"/>
    </row>
    <row r="4932" spans="5:7">
      <c r="E4932" s="264"/>
      <c r="G4932" s="264"/>
    </row>
    <row r="4933" spans="5:7">
      <c r="E4933" s="264"/>
      <c r="G4933" s="264"/>
    </row>
    <row r="4934" spans="5:7">
      <c r="E4934" s="264"/>
      <c r="G4934" s="264"/>
    </row>
    <row r="4935" spans="5:7">
      <c r="E4935" s="264"/>
      <c r="G4935" s="264"/>
    </row>
    <row r="4936" spans="5:7">
      <c r="E4936" s="264"/>
      <c r="G4936" s="264"/>
    </row>
    <row r="4937" spans="5:7">
      <c r="E4937" s="264"/>
      <c r="G4937" s="264"/>
    </row>
    <row r="4938" spans="5:7">
      <c r="E4938" s="264"/>
      <c r="G4938" s="264"/>
    </row>
    <row r="4939" spans="5:7">
      <c r="E4939" s="264"/>
      <c r="G4939" s="264"/>
    </row>
    <row r="4940" spans="5:7">
      <c r="E4940" s="264"/>
      <c r="G4940" s="264"/>
    </row>
    <row r="4941" spans="5:7">
      <c r="E4941" s="264"/>
      <c r="G4941" s="264"/>
    </row>
    <row r="4942" spans="5:7">
      <c r="E4942" s="264"/>
      <c r="G4942" s="264"/>
    </row>
    <row r="4943" spans="5:7">
      <c r="E4943" s="264"/>
      <c r="G4943" s="264"/>
    </row>
    <row r="4944" spans="5:7">
      <c r="E4944" s="264"/>
      <c r="G4944" s="264"/>
    </row>
    <row r="4945" spans="5:7">
      <c r="E4945" s="264"/>
      <c r="G4945" s="264"/>
    </row>
    <row r="4946" spans="5:7">
      <c r="E4946" s="264"/>
      <c r="G4946" s="264"/>
    </row>
    <row r="4947" spans="5:7">
      <c r="E4947" s="264"/>
      <c r="G4947" s="264"/>
    </row>
    <row r="4948" spans="5:7">
      <c r="E4948" s="264"/>
      <c r="G4948" s="264"/>
    </row>
    <row r="4949" spans="5:7">
      <c r="E4949" s="264"/>
      <c r="G4949" s="264"/>
    </row>
    <row r="4950" spans="5:7">
      <c r="E4950" s="264"/>
      <c r="G4950" s="264"/>
    </row>
    <row r="4951" spans="5:7">
      <c r="E4951" s="264"/>
      <c r="G4951" s="264"/>
    </row>
    <row r="4952" spans="5:7">
      <c r="E4952" s="264"/>
      <c r="G4952" s="264"/>
    </row>
    <row r="4953" spans="5:7">
      <c r="E4953" s="264"/>
      <c r="G4953" s="264"/>
    </row>
    <row r="4954" spans="5:7">
      <c r="E4954" s="264"/>
      <c r="G4954" s="264"/>
    </row>
    <row r="4955" spans="5:7">
      <c r="E4955" s="264"/>
      <c r="G4955" s="264"/>
    </row>
    <row r="4956" spans="5:7">
      <c r="E4956" s="264"/>
      <c r="G4956" s="264"/>
    </row>
    <row r="4957" spans="5:7">
      <c r="E4957" s="264"/>
      <c r="G4957" s="264"/>
    </row>
    <row r="4958" spans="5:7">
      <c r="E4958" s="264"/>
      <c r="G4958" s="264"/>
    </row>
    <row r="4959" spans="5:7">
      <c r="E4959" s="264"/>
      <c r="G4959" s="264"/>
    </row>
    <row r="4960" spans="5:7">
      <c r="E4960" s="264"/>
      <c r="G4960" s="264"/>
    </row>
    <row r="4961" spans="5:7">
      <c r="E4961" s="264"/>
      <c r="G4961" s="264"/>
    </row>
    <row r="4962" spans="5:7">
      <c r="E4962" s="264"/>
      <c r="G4962" s="264"/>
    </row>
    <row r="4963" spans="5:7">
      <c r="E4963" s="264"/>
      <c r="G4963" s="264"/>
    </row>
    <row r="4964" spans="5:7">
      <c r="E4964" s="264"/>
      <c r="G4964" s="264"/>
    </row>
    <row r="4965" spans="5:7">
      <c r="E4965" s="264"/>
      <c r="G4965" s="264"/>
    </row>
    <row r="4966" spans="5:7">
      <c r="E4966" s="264"/>
      <c r="G4966" s="264"/>
    </row>
    <row r="4967" spans="5:7">
      <c r="E4967" s="264"/>
      <c r="G4967" s="264"/>
    </row>
    <row r="4968" spans="5:7">
      <c r="E4968" s="264"/>
      <c r="G4968" s="264"/>
    </row>
    <row r="4969" spans="5:7">
      <c r="E4969" s="264"/>
      <c r="G4969" s="264"/>
    </row>
    <row r="4970" spans="5:7">
      <c r="E4970" s="264"/>
      <c r="G4970" s="264"/>
    </row>
    <row r="4971" spans="5:7">
      <c r="E4971" s="264"/>
      <c r="G4971" s="264"/>
    </row>
    <row r="4972" spans="5:7">
      <c r="E4972" s="264"/>
      <c r="G4972" s="264"/>
    </row>
    <row r="4973" spans="5:7">
      <c r="E4973" s="264"/>
      <c r="G4973" s="264"/>
    </row>
    <row r="4974" spans="5:7">
      <c r="E4974" s="264"/>
      <c r="G4974" s="264"/>
    </row>
    <row r="4975" spans="5:7">
      <c r="E4975" s="264"/>
      <c r="G4975" s="264"/>
    </row>
    <row r="4976" spans="5:7">
      <c r="E4976" s="264"/>
      <c r="G4976" s="264"/>
    </row>
    <row r="4977" spans="5:7">
      <c r="E4977" s="264"/>
      <c r="G4977" s="264"/>
    </row>
    <row r="4978" spans="5:7">
      <c r="E4978" s="264"/>
      <c r="G4978" s="264"/>
    </row>
    <row r="4979" spans="5:7">
      <c r="E4979" s="264"/>
      <c r="G4979" s="264"/>
    </row>
    <row r="4980" spans="5:7">
      <c r="E4980" s="264"/>
      <c r="G4980" s="264"/>
    </row>
    <row r="4981" spans="5:7">
      <c r="E4981" s="264"/>
      <c r="G4981" s="264"/>
    </row>
    <row r="4982" spans="5:7">
      <c r="E4982" s="264"/>
      <c r="G4982" s="264"/>
    </row>
    <row r="4983" spans="5:7">
      <c r="E4983" s="264"/>
      <c r="G4983" s="264"/>
    </row>
    <row r="4984" spans="5:7">
      <c r="E4984" s="264"/>
      <c r="G4984" s="264"/>
    </row>
    <row r="4985" spans="5:7">
      <c r="E4985" s="264"/>
      <c r="G4985" s="264"/>
    </row>
    <row r="4986" spans="5:7">
      <c r="E4986" s="264"/>
      <c r="G4986" s="264"/>
    </row>
    <row r="4987" spans="5:7">
      <c r="E4987" s="264"/>
      <c r="G4987" s="264"/>
    </row>
    <row r="4988" spans="5:7">
      <c r="E4988" s="264"/>
      <c r="G4988" s="264"/>
    </row>
    <row r="4989" spans="5:7">
      <c r="E4989" s="264"/>
      <c r="G4989" s="264"/>
    </row>
    <row r="4990" spans="5:7">
      <c r="E4990" s="264"/>
      <c r="G4990" s="264"/>
    </row>
    <row r="4991" spans="5:7">
      <c r="E4991" s="264"/>
      <c r="G4991" s="264"/>
    </row>
    <row r="4992" spans="5:7">
      <c r="E4992" s="264"/>
      <c r="G4992" s="264"/>
    </row>
    <row r="4993" spans="5:7">
      <c r="E4993" s="264"/>
      <c r="G4993" s="264"/>
    </row>
    <row r="4994" spans="5:7">
      <c r="E4994" s="264"/>
      <c r="G4994" s="264"/>
    </row>
    <row r="4995" spans="5:7">
      <c r="E4995" s="264"/>
      <c r="G4995" s="264"/>
    </row>
    <row r="4996" spans="5:7">
      <c r="E4996" s="264"/>
      <c r="G4996" s="264"/>
    </row>
    <row r="4997" spans="5:7">
      <c r="E4997" s="264"/>
      <c r="G4997" s="264"/>
    </row>
    <row r="4998" spans="5:7">
      <c r="E4998" s="264"/>
      <c r="G4998" s="264"/>
    </row>
    <row r="4999" spans="5:7">
      <c r="E4999" s="264"/>
      <c r="G4999" s="264"/>
    </row>
    <row r="5000" spans="5:7">
      <c r="E5000" s="264"/>
      <c r="G5000" s="264"/>
    </row>
    <row r="5001" spans="5:7">
      <c r="E5001" s="264"/>
      <c r="G5001" s="264"/>
    </row>
    <row r="5002" spans="5:7">
      <c r="E5002" s="264"/>
      <c r="G5002" s="264"/>
    </row>
    <row r="5003" spans="5:7">
      <c r="E5003" s="264"/>
      <c r="G5003" s="264"/>
    </row>
    <row r="5004" spans="5:7">
      <c r="E5004" s="264"/>
      <c r="G5004" s="264"/>
    </row>
    <row r="5005" spans="5:7">
      <c r="E5005" s="264"/>
      <c r="G5005" s="264"/>
    </row>
    <row r="5006" spans="5:7">
      <c r="E5006" s="264"/>
      <c r="G5006" s="264"/>
    </row>
    <row r="5007" spans="5:7">
      <c r="E5007" s="264"/>
      <c r="G5007" s="264"/>
    </row>
    <row r="5008" spans="5:7">
      <c r="E5008" s="264"/>
      <c r="G5008" s="264"/>
    </row>
    <row r="5009" spans="5:7">
      <c r="E5009" s="264"/>
      <c r="G5009" s="264"/>
    </row>
    <row r="5010" spans="5:7">
      <c r="E5010" s="264"/>
      <c r="G5010" s="264"/>
    </row>
    <row r="5011" spans="5:7">
      <c r="E5011" s="264"/>
      <c r="G5011" s="264"/>
    </row>
    <row r="5012" spans="5:7">
      <c r="E5012" s="264"/>
      <c r="G5012" s="264"/>
    </row>
    <row r="5013" spans="5:7">
      <c r="E5013" s="264"/>
      <c r="G5013" s="264"/>
    </row>
    <row r="5014" spans="5:7">
      <c r="E5014" s="264"/>
      <c r="G5014" s="264"/>
    </row>
    <row r="5015" spans="5:7">
      <c r="E5015" s="264"/>
      <c r="G5015" s="264"/>
    </row>
    <row r="5016" spans="5:7">
      <c r="E5016" s="264"/>
      <c r="G5016" s="264"/>
    </row>
    <row r="5017" spans="5:7">
      <c r="E5017" s="264"/>
      <c r="G5017" s="264"/>
    </row>
    <row r="5018" spans="5:7">
      <c r="E5018" s="264"/>
      <c r="G5018" s="264"/>
    </row>
    <row r="5019" spans="5:7">
      <c r="E5019" s="264"/>
      <c r="G5019" s="264"/>
    </row>
    <row r="5020" spans="5:7">
      <c r="E5020" s="264"/>
      <c r="G5020" s="264"/>
    </row>
    <row r="5021" spans="5:7">
      <c r="E5021" s="264"/>
      <c r="G5021" s="264"/>
    </row>
    <row r="5022" spans="5:7">
      <c r="E5022" s="264"/>
      <c r="G5022" s="264"/>
    </row>
    <row r="5023" spans="5:7">
      <c r="E5023" s="264"/>
      <c r="G5023" s="264"/>
    </row>
    <row r="5024" spans="5:7">
      <c r="E5024" s="264"/>
      <c r="G5024" s="264"/>
    </row>
    <row r="5025" spans="5:7">
      <c r="E5025" s="264"/>
      <c r="G5025" s="264"/>
    </row>
    <row r="5026" spans="5:7">
      <c r="E5026" s="264"/>
      <c r="G5026" s="264"/>
    </row>
    <row r="5027" spans="5:7">
      <c r="E5027" s="264"/>
      <c r="G5027" s="264"/>
    </row>
    <row r="5028" spans="5:7">
      <c r="E5028" s="264"/>
      <c r="G5028" s="264"/>
    </row>
    <row r="5029" spans="5:7">
      <c r="E5029" s="264"/>
      <c r="G5029" s="264"/>
    </row>
    <row r="5030" spans="5:7">
      <c r="E5030" s="264"/>
      <c r="G5030" s="264"/>
    </row>
    <row r="5031" spans="5:7">
      <c r="E5031" s="264"/>
      <c r="G5031" s="264"/>
    </row>
    <row r="5032" spans="5:7">
      <c r="E5032" s="264"/>
      <c r="G5032" s="264"/>
    </row>
    <row r="5033" spans="5:7">
      <c r="E5033" s="264"/>
      <c r="G5033" s="264"/>
    </row>
    <row r="5034" spans="5:7">
      <c r="E5034" s="264"/>
      <c r="G5034" s="264"/>
    </row>
    <row r="5035" spans="5:7">
      <c r="E5035" s="264"/>
      <c r="G5035" s="264"/>
    </row>
    <row r="5036" spans="5:7">
      <c r="E5036" s="264"/>
      <c r="G5036" s="264"/>
    </row>
    <row r="5037" spans="5:7">
      <c r="E5037" s="264"/>
      <c r="G5037" s="264"/>
    </row>
    <row r="5038" spans="5:7">
      <c r="E5038" s="264"/>
      <c r="G5038" s="264"/>
    </row>
    <row r="5039" spans="5:7">
      <c r="E5039" s="264"/>
      <c r="G5039" s="264"/>
    </row>
    <row r="5040" spans="5:7">
      <c r="E5040" s="264"/>
      <c r="G5040" s="264"/>
    </row>
    <row r="5041" spans="5:7">
      <c r="E5041" s="264"/>
      <c r="G5041" s="264"/>
    </row>
    <row r="5042" spans="5:7">
      <c r="E5042" s="264"/>
      <c r="G5042" s="264"/>
    </row>
    <row r="5043" spans="5:7">
      <c r="E5043" s="264"/>
      <c r="G5043" s="264"/>
    </row>
    <row r="5044" spans="5:7">
      <c r="E5044" s="264"/>
      <c r="G5044" s="264"/>
    </row>
    <row r="5045" spans="5:7">
      <c r="E5045" s="264"/>
      <c r="G5045" s="264"/>
    </row>
    <row r="5046" spans="5:7">
      <c r="E5046" s="264"/>
      <c r="G5046" s="264"/>
    </row>
    <row r="5047" spans="5:7">
      <c r="E5047" s="264"/>
      <c r="G5047" s="264"/>
    </row>
    <row r="5048" spans="5:7">
      <c r="E5048" s="264"/>
      <c r="G5048" s="264"/>
    </row>
    <row r="5049" spans="5:7">
      <c r="E5049" s="264"/>
      <c r="G5049" s="264"/>
    </row>
    <row r="5050" spans="5:7">
      <c r="E5050" s="264"/>
      <c r="G5050" s="264"/>
    </row>
    <row r="5051" spans="5:7">
      <c r="E5051" s="264"/>
      <c r="G5051" s="264"/>
    </row>
    <row r="5052" spans="5:7">
      <c r="E5052" s="264"/>
      <c r="G5052" s="264"/>
    </row>
    <row r="5053" spans="5:7">
      <c r="E5053" s="264"/>
      <c r="G5053" s="264"/>
    </row>
    <row r="5054" spans="5:7">
      <c r="E5054" s="264"/>
      <c r="G5054" s="264"/>
    </row>
    <row r="5055" spans="5:7">
      <c r="E5055" s="264"/>
      <c r="G5055" s="264"/>
    </row>
    <row r="5056" spans="5:7">
      <c r="E5056" s="264"/>
      <c r="G5056" s="264"/>
    </row>
    <row r="5057" spans="5:7">
      <c r="E5057" s="264"/>
      <c r="G5057" s="264"/>
    </row>
    <row r="5058" spans="5:7">
      <c r="E5058" s="264"/>
      <c r="G5058" s="264"/>
    </row>
    <row r="5059" spans="5:7">
      <c r="E5059" s="264"/>
      <c r="G5059" s="264"/>
    </row>
    <row r="5060" spans="5:7">
      <c r="E5060" s="264"/>
      <c r="G5060" s="264"/>
    </row>
    <row r="5061" spans="5:7">
      <c r="E5061" s="264"/>
      <c r="G5061" s="264"/>
    </row>
    <row r="5062" spans="5:7">
      <c r="E5062" s="264"/>
      <c r="G5062" s="264"/>
    </row>
    <row r="5063" spans="5:7">
      <c r="E5063" s="264"/>
      <c r="G5063" s="264"/>
    </row>
    <row r="5064" spans="5:7">
      <c r="E5064" s="264"/>
      <c r="G5064" s="264"/>
    </row>
    <row r="5065" spans="5:7">
      <c r="E5065" s="264"/>
      <c r="G5065" s="264"/>
    </row>
    <row r="5066" spans="5:7">
      <c r="E5066" s="264"/>
      <c r="G5066" s="264"/>
    </row>
    <row r="5067" spans="5:7">
      <c r="E5067" s="264"/>
      <c r="G5067" s="264"/>
    </row>
    <row r="5068" spans="5:7">
      <c r="E5068" s="264"/>
      <c r="G5068" s="264"/>
    </row>
    <row r="5069" spans="5:7">
      <c r="E5069" s="264"/>
      <c r="G5069" s="264"/>
    </row>
    <row r="5070" spans="5:7">
      <c r="E5070" s="264"/>
      <c r="G5070" s="264"/>
    </row>
    <row r="5071" spans="5:7">
      <c r="E5071" s="264"/>
      <c r="G5071" s="264"/>
    </row>
    <row r="5072" spans="5:7">
      <c r="E5072" s="264"/>
      <c r="G5072" s="264"/>
    </row>
    <row r="5073" spans="5:7">
      <c r="E5073" s="264"/>
      <c r="G5073" s="264"/>
    </row>
    <row r="5074" spans="5:7">
      <c r="E5074" s="264"/>
      <c r="G5074" s="264"/>
    </row>
    <row r="5075" spans="5:7">
      <c r="E5075" s="264"/>
      <c r="G5075" s="264"/>
    </row>
    <row r="5076" spans="5:7">
      <c r="E5076" s="264"/>
      <c r="G5076" s="264"/>
    </row>
    <row r="5077" spans="5:7">
      <c r="E5077" s="264"/>
      <c r="G5077" s="264"/>
    </row>
    <row r="5078" spans="5:7">
      <c r="E5078" s="264"/>
      <c r="G5078" s="264"/>
    </row>
    <row r="5079" spans="5:7">
      <c r="E5079" s="264"/>
      <c r="G5079" s="264"/>
    </row>
    <row r="5080" spans="5:7">
      <c r="E5080" s="264"/>
      <c r="G5080" s="264"/>
    </row>
    <row r="5081" spans="5:7">
      <c r="E5081" s="264"/>
      <c r="G5081" s="264"/>
    </row>
    <row r="5082" spans="5:7">
      <c r="E5082" s="264"/>
      <c r="G5082" s="264"/>
    </row>
    <row r="5083" spans="5:7">
      <c r="E5083" s="264"/>
      <c r="G5083" s="264"/>
    </row>
    <row r="5084" spans="5:7">
      <c r="E5084" s="264"/>
      <c r="G5084" s="264"/>
    </row>
    <row r="5085" spans="5:7">
      <c r="E5085" s="264"/>
      <c r="G5085" s="264"/>
    </row>
    <row r="5086" spans="5:7">
      <c r="E5086" s="264"/>
      <c r="G5086" s="264"/>
    </row>
    <row r="5087" spans="5:7">
      <c r="E5087" s="264"/>
      <c r="G5087" s="264"/>
    </row>
    <row r="5088" spans="5:7">
      <c r="E5088" s="264"/>
      <c r="G5088" s="264"/>
    </row>
    <row r="5089" spans="5:7">
      <c r="E5089" s="264"/>
      <c r="G5089" s="264"/>
    </row>
    <row r="5090" spans="5:7">
      <c r="E5090" s="264"/>
      <c r="G5090" s="264"/>
    </row>
    <row r="5091" spans="5:7">
      <c r="E5091" s="264"/>
      <c r="G5091" s="264"/>
    </row>
    <row r="5092" spans="5:7">
      <c r="E5092" s="264"/>
      <c r="G5092" s="264"/>
    </row>
    <row r="5093" spans="5:7">
      <c r="E5093" s="264"/>
      <c r="G5093" s="264"/>
    </row>
    <row r="5094" spans="5:7">
      <c r="E5094" s="264"/>
      <c r="G5094" s="264"/>
    </row>
    <row r="5095" spans="5:7">
      <c r="E5095" s="264"/>
      <c r="G5095" s="264"/>
    </row>
    <row r="5096" spans="5:7">
      <c r="E5096" s="264"/>
      <c r="G5096" s="264"/>
    </row>
    <row r="5097" spans="5:7">
      <c r="E5097" s="264"/>
      <c r="G5097" s="264"/>
    </row>
    <row r="5098" spans="5:7">
      <c r="E5098" s="264"/>
      <c r="G5098" s="264"/>
    </row>
    <row r="5099" spans="5:7">
      <c r="E5099" s="264"/>
      <c r="G5099" s="264"/>
    </row>
    <row r="5100" spans="5:7">
      <c r="E5100" s="264"/>
      <c r="G5100" s="264"/>
    </row>
    <row r="5101" spans="5:7">
      <c r="E5101" s="264"/>
      <c r="G5101" s="264"/>
    </row>
    <row r="5102" spans="5:7">
      <c r="E5102" s="264"/>
      <c r="G5102" s="264"/>
    </row>
    <row r="5103" spans="5:7">
      <c r="E5103" s="264"/>
      <c r="G5103" s="264"/>
    </row>
    <row r="5104" spans="5:7">
      <c r="E5104" s="264"/>
      <c r="G5104" s="264"/>
    </row>
    <row r="5105" spans="5:7">
      <c r="E5105" s="264"/>
      <c r="G5105" s="264"/>
    </row>
    <row r="5106" spans="5:7">
      <c r="E5106" s="264"/>
      <c r="G5106" s="264"/>
    </row>
    <row r="5107" spans="5:7">
      <c r="E5107" s="264"/>
      <c r="G5107" s="264"/>
    </row>
    <row r="5108" spans="5:7">
      <c r="E5108" s="264"/>
      <c r="G5108" s="264"/>
    </row>
    <row r="5109" spans="5:7">
      <c r="E5109" s="264"/>
      <c r="G5109" s="264"/>
    </row>
    <row r="5110" spans="5:7">
      <c r="E5110" s="264"/>
      <c r="G5110" s="264"/>
    </row>
    <row r="5111" spans="5:7">
      <c r="E5111" s="264"/>
      <c r="G5111" s="264"/>
    </row>
    <row r="5112" spans="5:7">
      <c r="E5112" s="264"/>
      <c r="G5112" s="264"/>
    </row>
    <row r="5113" spans="5:7">
      <c r="E5113" s="264"/>
      <c r="G5113" s="264"/>
    </row>
    <row r="5114" spans="5:7">
      <c r="E5114" s="264"/>
      <c r="G5114" s="264"/>
    </row>
    <row r="5115" spans="5:7">
      <c r="E5115" s="264"/>
      <c r="G5115" s="264"/>
    </row>
    <row r="5116" spans="5:7">
      <c r="E5116" s="264"/>
      <c r="G5116" s="264"/>
    </row>
    <row r="5117" spans="5:7">
      <c r="E5117" s="264"/>
      <c r="G5117" s="264"/>
    </row>
    <row r="5118" spans="5:7">
      <c r="E5118" s="264"/>
      <c r="G5118" s="264"/>
    </row>
    <row r="5119" spans="5:7">
      <c r="E5119" s="264"/>
      <c r="G5119" s="264"/>
    </row>
    <row r="5120" spans="5:7">
      <c r="E5120" s="264"/>
      <c r="G5120" s="264"/>
    </row>
    <row r="5121" spans="5:7">
      <c r="E5121" s="264"/>
      <c r="G5121" s="264"/>
    </row>
    <row r="5122" spans="5:7">
      <c r="E5122" s="264"/>
      <c r="G5122" s="264"/>
    </row>
    <row r="5123" spans="5:7">
      <c r="E5123" s="264"/>
      <c r="G5123" s="264"/>
    </row>
    <row r="5124" spans="5:7">
      <c r="E5124" s="264"/>
      <c r="G5124" s="264"/>
    </row>
    <row r="5125" spans="5:7">
      <c r="E5125" s="264"/>
      <c r="G5125" s="264"/>
    </row>
    <row r="5126" spans="5:7">
      <c r="E5126" s="264"/>
      <c r="G5126" s="264"/>
    </row>
    <row r="5127" spans="5:7">
      <c r="E5127" s="264"/>
      <c r="G5127" s="264"/>
    </row>
    <row r="5128" spans="5:7">
      <c r="E5128" s="264"/>
      <c r="G5128" s="264"/>
    </row>
    <row r="5129" spans="5:7">
      <c r="E5129" s="264"/>
      <c r="G5129" s="264"/>
    </row>
    <row r="5130" spans="5:7">
      <c r="E5130" s="264"/>
      <c r="G5130" s="264"/>
    </row>
    <row r="5131" spans="5:7">
      <c r="E5131" s="264"/>
      <c r="G5131" s="264"/>
    </row>
    <row r="5132" spans="5:7">
      <c r="E5132" s="264"/>
      <c r="G5132" s="264"/>
    </row>
    <row r="5133" spans="5:7">
      <c r="E5133" s="264"/>
      <c r="G5133" s="264"/>
    </row>
    <row r="5134" spans="5:7">
      <c r="E5134" s="264"/>
      <c r="G5134" s="264"/>
    </row>
    <row r="5135" spans="5:7">
      <c r="E5135" s="264"/>
      <c r="G5135" s="264"/>
    </row>
    <row r="5136" spans="5:7">
      <c r="E5136" s="264"/>
      <c r="G5136" s="264"/>
    </row>
    <row r="5137" spans="5:7">
      <c r="E5137" s="264"/>
      <c r="G5137" s="264"/>
    </row>
    <row r="5138" spans="5:7">
      <c r="E5138" s="264"/>
      <c r="G5138" s="264"/>
    </row>
    <row r="5139" spans="5:7">
      <c r="E5139" s="264"/>
      <c r="G5139" s="264"/>
    </row>
    <row r="5140" spans="5:7">
      <c r="E5140" s="264"/>
      <c r="G5140" s="264"/>
    </row>
    <row r="5141" spans="5:7">
      <c r="E5141" s="264"/>
      <c r="G5141" s="264"/>
    </row>
    <row r="5142" spans="5:7">
      <c r="E5142" s="264"/>
      <c r="G5142" s="264"/>
    </row>
    <row r="5143" spans="5:7">
      <c r="E5143" s="264"/>
      <c r="G5143" s="264"/>
    </row>
    <row r="5144" spans="5:7">
      <c r="E5144" s="264"/>
      <c r="G5144" s="264"/>
    </row>
    <row r="5145" spans="5:7">
      <c r="E5145" s="264"/>
      <c r="G5145" s="264"/>
    </row>
    <row r="5146" spans="5:7">
      <c r="E5146" s="264"/>
      <c r="G5146" s="264"/>
    </row>
    <row r="5147" spans="5:7">
      <c r="E5147" s="264"/>
      <c r="G5147" s="264"/>
    </row>
    <row r="5148" spans="5:7">
      <c r="E5148" s="264"/>
      <c r="G5148" s="264"/>
    </row>
    <row r="5149" spans="5:7">
      <c r="E5149" s="264"/>
      <c r="G5149" s="264"/>
    </row>
    <row r="5150" spans="5:7">
      <c r="E5150" s="264"/>
      <c r="G5150" s="264"/>
    </row>
    <row r="5151" spans="5:7">
      <c r="E5151" s="264"/>
      <c r="G5151" s="264"/>
    </row>
    <row r="5152" spans="5:7">
      <c r="E5152" s="264"/>
      <c r="G5152" s="264"/>
    </row>
    <row r="5153" spans="5:7">
      <c r="E5153" s="264"/>
      <c r="G5153" s="264"/>
    </row>
    <row r="5154" spans="5:7">
      <c r="E5154" s="264"/>
      <c r="G5154" s="264"/>
    </row>
    <row r="5155" spans="5:7">
      <c r="E5155" s="264"/>
      <c r="G5155" s="264"/>
    </row>
    <row r="5156" spans="5:7">
      <c r="E5156" s="264"/>
      <c r="G5156" s="264"/>
    </row>
    <row r="5157" spans="5:7">
      <c r="E5157" s="264"/>
      <c r="G5157" s="264"/>
    </row>
    <row r="5158" spans="5:7">
      <c r="E5158" s="264"/>
      <c r="G5158" s="264"/>
    </row>
    <row r="5159" spans="5:7">
      <c r="E5159" s="264"/>
      <c r="G5159" s="264"/>
    </row>
    <row r="5160" spans="5:7">
      <c r="E5160" s="264"/>
      <c r="G5160" s="264"/>
    </row>
    <row r="5161" spans="5:7">
      <c r="E5161" s="264"/>
      <c r="G5161" s="264"/>
    </row>
    <row r="5162" spans="5:7">
      <c r="E5162" s="264"/>
      <c r="G5162" s="264"/>
    </row>
    <row r="5163" spans="5:7">
      <c r="E5163" s="264"/>
      <c r="G5163" s="264"/>
    </row>
    <row r="5164" spans="5:7">
      <c r="E5164" s="264"/>
      <c r="G5164" s="264"/>
    </row>
    <row r="5165" spans="5:7">
      <c r="E5165" s="264"/>
      <c r="G5165" s="264"/>
    </row>
    <row r="5166" spans="5:7">
      <c r="E5166" s="264"/>
      <c r="G5166" s="264"/>
    </row>
    <row r="5167" spans="5:7">
      <c r="E5167" s="264"/>
      <c r="G5167" s="264"/>
    </row>
    <row r="5168" spans="5:7">
      <c r="E5168" s="264"/>
      <c r="G5168" s="264"/>
    </row>
    <row r="5169" spans="5:7">
      <c r="E5169" s="264"/>
      <c r="G5169" s="264"/>
    </row>
    <row r="5170" spans="5:7">
      <c r="E5170" s="264"/>
      <c r="G5170" s="264"/>
    </row>
    <row r="5171" spans="5:7">
      <c r="E5171" s="264"/>
      <c r="G5171" s="264"/>
    </row>
    <row r="5172" spans="5:7">
      <c r="E5172" s="264"/>
      <c r="G5172" s="264"/>
    </row>
    <row r="5173" spans="5:7">
      <c r="E5173" s="264"/>
      <c r="G5173" s="264"/>
    </row>
    <row r="5174" spans="5:7">
      <c r="E5174" s="264"/>
      <c r="G5174" s="264"/>
    </row>
    <row r="5175" spans="5:7">
      <c r="E5175" s="264"/>
      <c r="G5175" s="264"/>
    </row>
    <row r="5176" spans="5:7">
      <c r="E5176" s="264"/>
      <c r="G5176" s="264"/>
    </row>
    <row r="5177" spans="5:7">
      <c r="E5177" s="264"/>
      <c r="G5177" s="264"/>
    </row>
    <row r="5178" spans="5:7">
      <c r="E5178" s="264"/>
      <c r="G5178" s="264"/>
    </row>
    <row r="5179" spans="5:7">
      <c r="E5179" s="264"/>
      <c r="G5179" s="264"/>
    </row>
    <row r="5180" spans="5:7">
      <c r="E5180" s="264"/>
      <c r="G5180" s="264"/>
    </row>
    <row r="5181" spans="5:7">
      <c r="E5181" s="264"/>
      <c r="G5181" s="264"/>
    </row>
    <row r="5182" spans="5:7">
      <c r="E5182" s="264"/>
      <c r="G5182" s="264"/>
    </row>
    <row r="5183" spans="5:7">
      <c r="E5183" s="264"/>
      <c r="G5183" s="264"/>
    </row>
    <row r="5184" spans="5:7">
      <c r="E5184" s="264"/>
      <c r="G5184" s="264"/>
    </row>
    <row r="5185" spans="5:7">
      <c r="E5185" s="264"/>
      <c r="G5185" s="264"/>
    </row>
    <row r="5186" spans="5:7">
      <c r="E5186" s="264"/>
      <c r="G5186" s="264"/>
    </row>
    <row r="5187" spans="5:7">
      <c r="E5187" s="264"/>
      <c r="G5187" s="264"/>
    </row>
    <row r="5188" spans="5:7">
      <c r="E5188" s="264"/>
      <c r="G5188" s="264"/>
    </row>
    <row r="5189" spans="5:7">
      <c r="E5189" s="264"/>
      <c r="G5189" s="264"/>
    </row>
    <row r="5190" spans="5:7">
      <c r="E5190" s="264"/>
      <c r="G5190" s="264"/>
    </row>
    <row r="5191" spans="5:7">
      <c r="E5191" s="264"/>
      <c r="G5191" s="264"/>
    </row>
    <row r="5192" spans="5:7">
      <c r="E5192" s="264"/>
      <c r="G5192" s="264"/>
    </row>
    <row r="5193" spans="5:7">
      <c r="E5193" s="264"/>
      <c r="G5193" s="264"/>
    </row>
    <row r="5194" spans="5:7">
      <c r="E5194" s="264"/>
      <c r="G5194" s="264"/>
    </row>
    <row r="5195" spans="5:7">
      <c r="E5195" s="264"/>
      <c r="G5195" s="264"/>
    </row>
    <row r="5196" spans="5:7">
      <c r="E5196" s="264"/>
      <c r="G5196" s="264"/>
    </row>
    <row r="5197" spans="5:7">
      <c r="E5197" s="264"/>
      <c r="G5197" s="264"/>
    </row>
    <row r="5198" spans="5:7">
      <c r="E5198" s="264"/>
      <c r="G5198" s="264"/>
    </row>
    <row r="5199" spans="5:7">
      <c r="E5199" s="264"/>
      <c r="G5199" s="264"/>
    </row>
    <row r="5200" spans="5:7">
      <c r="E5200" s="264"/>
      <c r="G5200" s="264"/>
    </row>
    <row r="5201" spans="5:7">
      <c r="E5201" s="264"/>
      <c r="G5201" s="264"/>
    </row>
    <row r="5202" spans="5:7">
      <c r="E5202" s="264"/>
      <c r="G5202" s="264"/>
    </row>
    <row r="5203" spans="5:7">
      <c r="E5203" s="264"/>
      <c r="G5203" s="264"/>
    </row>
    <row r="5204" spans="5:7">
      <c r="E5204" s="264"/>
      <c r="G5204" s="264"/>
    </row>
    <row r="5205" spans="5:7">
      <c r="E5205" s="264"/>
      <c r="G5205" s="264"/>
    </row>
    <row r="5206" spans="5:7">
      <c r="E5206" s="264"/>
      <c r="G5206" s="264"/>
    </row>
    <row r="5207" spans="5:7">
      <c r="E5207" s="264"/>
      <c r="G5207" s="264"/>
    </row>
    <row r="5208" spans="5:7">
      <c r="E5208" s="264"/>
      <c r="G5208" s="264"/>
    </row>
    <row r="5209" spans="5:7">
      <c r="E5209" s="264"/>
      <c r="G5209" s="264"/>
    </row>
    <row r="5210" spans="5:7">
      <c r="E5210" s="264"/>
      <c r="G5210" s="264"/>
    </row>
    <row r="5211" spans="5:7">
      <c r="E5211" s="264"/>
      <c r="G5211" s="264"/>
    </row>
    <row r="5212" spans="5:7">
      <c r="E5212" s="264"/>
      <c r="G5212" s="264"/>
    </row>
    <row r="5213" spans="5:7">
      <c r="E5213" s="264"/>
      <c r="G5213" s="264"/>
    </row>
    <row r="5214" spans="5:7">
      <c r="E5214" s="264"/>
      <c r="G5214" s="264"/>
    </row>
    <row r="5215" spans="5:7">
      <c r="E5215" s="264"/>
      <c r="G5215" s="264"/>
    </row>
    <row r="5216" spans="5:7">
      <c r="E5216" s="264"/>
      <c r="G5216" s="264"/>
    </row>
    <row r="5217" spans="5:7">
      <c r="E5217" s="264"/>
      <c r="G5217" s="264"/>
    </row>
    <row r="5218" spans="5:7">
      <c r="E5218" s="264"/>
      <c r="G5218" s="264"/>
    </row>
    <row r="5219" spans="5:7">
      <c r="E5219" s="264"/>
      <c r="G5219" s="264"/>
    </row>
    <row r="5220" spans="5:7">
      <c r="E5220" s="264"/>
      <c r="G5220" s="264"/>
    </row>
    <row r="5221" spans="5:7">
      <c r="E5221" s="264"/>
      <c r="G5221" s="264"/>
    </row>
    <row r="5222" spans="5:7">
      <c r="E5222" s="264"/>
      <c r="G5222" s="264"/>
    </row>
    <row r="5223" spans="5:7">
      <c r="E5223" s="264"/>
      <c r="G5223" s="264"/>
    </row>
    <row r="5224" spans="5:7">
      <c r="E5224" s="264"/>
      <c r="G5224" s="264"/>
    </row>
    <row r="5225" spans="5:7">
      <c r="E5225" s="264"/>
      <c r="G5225" s="264"/>
    </row>
    <row r="5226" spans="5:7">
      <c r="E5226" s="264"/>
      <c r="G5226" s="264"/>
    </row>
    <row r="5227" spans="5:7">
      <c r="E5227" s="264"/>
      <c r="G5227" s="264"/>
    </row>
    <row r="5228" spans="5:7">
      <c r="E5228" s="264"/>
      <c r="G5228" s="264"/>
    </row>
    <row r="5229" spans="5:7">
      <c r="E5229" s="264"/>
      <c r="G5229" s="264"/>
    </row>
    <row r="5230" spans="5:7">
      <c r="E5230" s="264"/>
      <c r="G5230" s="264"/>
    </row>
    <row r="5231" spans="5:7">
      <c r="E5231" s="264"/>
      <c r="G5231" s="264"/>
    </row>
    <row r="5232" spans="5:7">
      <c r="E5232" s="264"/>
      <c r="G5232" s="264"/>
    </row>
    <row r="5233" spans="5:7">
      <c r="E5233" s="264"/>
      <c r="G5233" s="264"/>
    </row>
    <row r="5234" spans="5:7">
      <c r="E5234" s="264"/>
      <c r="G5234" s="264"/>
    </row>
    <row r="5235" spans="5:7">
      <c r="E5235" s="264"/>
      <c r="G5235" s="264"/>
    </row>
    <row r="5236" spans="5:7">
      <c r="E5236" s="264"/>
      <c r="G5236" s="264"/>
    </row>
    <row r="5237" spans="5:7">
      <c r="E5237" s="264"/>
      <c r="G5237" s="264"/>
    </row>
    <row r="5238" spans="5:7">
      <c r="E5238" s="264"/>
      <c r="G5238" s="264"/>
    </row>
    <row r="5239" spans="5:7">
      <c r="E5239" s="264"/>
      <c r="G5239" s="264"/>
    </row>
    <row r="5240" spans="5:7">
      <c r="E5240" s="264"/>
      <c r="G5240" s="264"/>
    </row>
    <row r="5241" spans="5:7">
      <c r="E5241" s="264"/>
      <c r="G5241" s="264"/>
    </row>
    <row r="5242" spans="5:7">
      <c r="E5242" s="264"/>
      <c r="G5242" s="264"/>
    </row>
    <row r="5243" spans="5:7">
      <c r="E5243" s="264"/>
      <c r="G5243" s="264"/>
    </row>
    <row r="5244" spans="5:7">
      <c r="E5244" s="264"/>
      <c r="G5244" s="264"/>
    </row>
    <row r="5245" spans="5:7">
      <c r="E5245" s="264"/>
      <c r="G5245" s="264"/>
    </row>
    <row r="5246" spans="5:7">
      <c r="E5246" s="264"/>
      <c r="G5246" s="264"/>
    </row>
    <row r="5247" spans="5:7">
      <c r="E5247" s="264"/>
      <c r="G5247" s="264"/>
    </row>
    <row r="5248" spans="5:7">
      <c r="E5248" s="264"/>
      <c r="G5248" s="264"/>
    </row>
    <row r="5249" spans="5:7">
      <c r="E5249" s="264"/>
      <c r="G5249" s="264"/>
    </row>
    <row r="5250" spans="5:7">
      <c r="E5250" s="264"/>
      <c r="G5250" s="264"/>
    </row>
    <row r="5251" spans="5:7">
      <c r="E5251" s="264"/>
      <c r="G5251" s="264"/>
    </row>
    <row r="5252" spans="5:7">
      <c r="E5252" s="264"/>
      <c r="G5252" s="264"/>
    </row>
    <row r="5253" spans="5:7">
      <c r="E5253" s="264"/>
      <c r="G5253" s="264"/>
    </row>
    <row r="5254" spans="5:7">
      <c r="E5254" s="264"/>
      <c r="G5254" s="264"/>
    </row>
    <row r="5255" spans="5:7">
      <c r="E5255" s="264"/>
      <c r="G5255" s="264"/>
    </row>
    <row r="5256" spans="5:7">
      <c r="E5256" s="264"/>
      <c r="G5256" s="264"/>
    </row>
    <row r="5257" spans="5:7">
      <c r="E5257" s="264"/>
      <c r="G5257" s="264"/>
    </row>
    <row r="5258" spans="5:7">
      <c r="E5258" s="264"/>
      <c r="G5258" s="264"/>
    </row>
    <row r="5259" spans="5:7">
      <c r="E5259" s="264"/>
      <c r="G5259" s="264"/>
    </row>
    <row r="5260" spans="5:7">
      <c r="E5260" s="264"/>
      <c r="G5260" s="264"/>
    </row>
    <row r="5261" spans="5:7">
      <c r="E5261" s="264"/>
      <c r="G5261" s="264"/>
    </row>
    <row r="5262" spans="5:7">
      <c r="E5262" s="264"/>
      <c r="G5262" s="264"/>
    </row>
    <row r="5263" spans="5:7">
      <c r="E5263" s="264"/>
      <c r="G5263" s="264"/>
    </row>
    <row r="5264" spans="5:7">
      <c r="E5264" s="264"/>
      <c r="G5264" s="264"/>
    </row>
    <row r="5265" spans="5:7">
      <c r="E5265" s="264"/>
      <c r="G5265" s="264"/>
    </row>
    <row r="5266" spans="5:7">
      <c r="E5266" s="264"/>
      <c r="G5266" s="264"/>
    </row>
    <row r="5267" spans="5:7">
      <c r="E5267" s="264"/>
      <c r="G5267" s="264"/>
    </row>
    <row r="5268" spans="5:7">
      <c r="E5268" s="264"/>
      <c r="G5268" s="264"/>
    </row>
    <row r="5269" spans="5:7">
      <c r="E5269" s="264"/>
      <c r="G5269" s="264"/>
    </row>
    <row r="5270" spans="5:7">
      <c r="E5270" s="264"/>
      <c r="G5270" s="264"/>
    </row>
    <row r="5271" spans="5:7">
      <c r="E5271" s="264"/>
      <c r="G5271" s="264"/>
    </row>
    <row r="5272" spans="5:7">
      <c r="E5272" s="264"/>
      <c r="G5272" s="264"/>
    </row>
    <row r="5273" spans="5:7">
      <c r="E5273" s="264"/>
      <c r="G5273" s="264"/>
    </row>
    <row r="5274" spans="5:7">
      <c r="E5274" s="264"/>
      <c r="G5274" s="264"/>
    </row>
    <row r="5275" spans="5:7">
      <c r="E5275" s="264"/>
      <c r="G5275" s="264"/>
    </row>
    <row r="5276" spans="5:7">
      <c r="E5276" s="264"/>
      <c r="G5276" s="264"/>
    </row>
    <row r="5277" spans="5:7">
      <c r="E5277" s="264"/>
      <c r="G5277" s="264"/>
    </row>
    <row r="5278" spans="5:7">
      <c r="E5278" s="264"/>
      <c r="G5278" s="264"/>
    </row>
    <row r="5279" spans="5:7">
      <c r="E5279" s="264"/>
      <c r="G5279" s="264"/>
    </row>
    <row r="5280" spans="5:7">
      <c r="E5280" s="264"/>
      <c r="G5280" s="264"/>
    </row>
    <row r="5281" spans="5:7">
      <c r="E5281" s="264"/>
      <c r="G5281" s="264"/>
    </row>
    <row r="5282" spans="5:7">
      <c r="E5282" s="264"/>
      <c r="G5282" s="264"/>
    </row>
    <row r="5283" spans="5:7">
      <c r="E5283" s="264"/>
      <c r="G5283" s="264"/>
    </row>
    <row r="5284" spans="5:7">
      <c r="E5284" s="264"/>
      <c r="G5284" s="264"/>
    </row>
    <row r="5285" spans="5:7">
      <c r="E5285" s="264"/>
      <c r="G5285" s="264"/>
    </row>
    <row r="5286" spans="5:7">
      <c r="E5286" s="264"/>
      <c r="G5286" s="264"/>
    </row>
    <row r="5287" spans="5:7">
      <c r="E5287" s="264"/>
      <c r="G5287" s="264"/>
    </row>
    <row r="5288" spans="5:7">
      <c r="E5288" s="264"/>
      <c r="G5288" s="264"/>
    </row>
    <row r="5289" spans="5:7">
      <c r="E5289" s="264"/>
      <c r="G5289" s="264"/>
    </row>
    <row r="5290" spans="5:7">
      <c r="E5290" s="264"/>
      <c r="G5290" s="264"/>
    </row>
    <row r="5291" spans="5:7">
      <c r="E5291" s="264"/>
      <c r="G5291" s="264"/>
    </row>
    <row r="5292" spans="5:7">
      <c r="E5292" s="264"/>
      <c r="G5292" s="264"/>
    </row>
    <row r="5293" spans="5:7">
      <c r="E5293" s="264"/>
      <c r="G5293" s="264"/>
    </row>
    <row r="5294" spans="5:7">
      <c r="E5294" s="264"/>
      <c r="G5294" s="264"/>
    </row>
    <row r="5295" spans="5:7">
      <c r="E5295" s="264"/>
      <c r="G5295" s="264"/>
    </row>
    <row r="5296" spans="5:7">
      <c r="E5296" s="264"/>
      <c r="G5296" s="264"/>
    </row>
    <row r="5297" spans="5:7">
      <c r="E5297" s="264"/>
      <c r="G5297" s="264"/>
    </row>
    <row r="5298" spans="5:7">
      <c r="E5298" s="264"/>
      <c r="G5298" s="264"/>
    </row>
    <row r="5299" spans="5:7">
      <c r="E5299" s="264"/>
      <c r="G5299" s="264"/>
    </row>
    <row r="5300" spans="5:7">
      <c r="E5300" s="264"/>
      <c r="G5300" s="264"/>
    </row>
    <row r="5301" spans="5:7">
      <c r="E5301" s="264"/>
      <c r="G5301" s="264"/>
    </row>
    <row r="5302" spans="5:7">
      <c r="E5302" s="264"/>
      <c r="G5302" s="264"/>
    </row>
    <row r="5303" spans="5:7">
      <c r="E5303" s="264"/>
      <c r="G5303" s="264"/>
    </row>
    <row r="5304" spans="5:7">
      <c r="E5304" s="264"/>
      <c r="G5304" s="264"/>
    </row>
    <row r="5305" spans="5:7">
      <c r="E5305" s="264"/>
      <c r="G5305" s="264"/>
    </row>
    <row r="5306" spans="5:7">
      <c r="E5306" s="264"/>
      <c r="G5306" s="264"/>
    </row>
    <row r="5307" spans="5:7">
      <c r="E5307" s="264"/>
      <c r="G5307" s="264"/>
    </row>
    <row r="5308" spans="5:7">
      <c r="E5308" s="264"/>
      <c r="G5308" s="264"/>
    </row>
    <row r="5309" spans="5:7">
      <c r="E5309" s="264"/>
      <c r="G5309" s="264"/>
    </row>
    <row r="5310" spans="5:7">
      <c r="E5310" s="264"/>
      <c r="G5310" s="264"/>
    </row>
    <row r="5311" spans="5:7">
      <c r="E5311" s="264"/>
      <c r="G5311" s="264"/>
    </row>
    <row r="5312" spans="5:7">
      <c r="E5312" s="264"/>
      <c r="G5312" s="264"/>
    </row>
    <row r="5313" spans="5:7">
      <c r="E5313" s="264"/>
      <c r="G5313" s="264"/>
    </row>
    <row r="5314" spans="5:7">
      <c r="E5314" s="264"/>
      <c r="G5314" s="264"/>
    </row>
    <row r="5315" spans="5:7">
      <c r="E5315" s="264"/>
      <c r="G5315" s="264"/>
    </row>
    <row r="5316" spans="5:7">
      <c r="E5316" s="264"/>
      <c r="G5316" s="264"/>
    </row>
    <row r="5317" spans="5:7">
      <c r="E5317" s="264"/>
      <c r="G5317" s="264"/>
    </row>
    <row r="5318" spans="5:7">
      <c r="E5318" s="264"/>
      <c r="G5318" s="264"/>
    </row>
    <row r="5319" spans="5:7">
      <c r="E5319" s="264"/>
      <c r="G5319" s="264"/>
    </row>
    <row r="5320" spans="5:7">
      <c r="E5320" s="264"/>
      <c r="G5320" s="264"/>
    </row>
    <row r="5321" spans="5:7">
      <c r="E5321" s="264"/>
      <c r="G5321" s="264"/>
    </row>
    <row r="5322" spans="5:7">
      <c r="E5322" s="264"/>
      <c r="G5322" s="264"/>
    </row>
    <row r="5323" spans="5:7">
      <c r="E5323" s="264"/>
      <c r="G5323" s="264"/>
    </row>
    <row r="5324" spans="5:7">
      <c r="E5324" s="264"/>
      <c r="G5324" s="264"/>
    </row>
    <row r="5325" spans="5:7">
      <c r="E5325" s="264"/>
      <c r="G5325" s="264"/>
    </row>
    <row r="5326" spans="5:7">
      <c r="E5326" s="264"/>
      <c r="G5326" s="264"/>
    </row>
    <row r="5327" spans="5:7">
      <c r="E5327" s="264"/>
      <c r="G5327" s="264"/>
    </row>
    <row r="5328" spans="5:7">
      <c r="E5328" s="264"/>
      <c r="G5328" s="264"/>
    </row>
    <row r="5329" spans="5:7">
      <c r="E5329" s="264"/>
      <c r="G5329" s="264"/>
    </row>
    <row r="5330" spans="5:7">
      <c r="E5330" s="264"/>
      <c r="G5330" s="264"/>
    </row>
    <row r="5331" spans="5:7">
      <c r="E5331" s="264"/>
      <c r="G5331" s="264"/>
    </row>
    <row r="5332" spans="5:7">
      <c r="E5332" s="264"/>
      <c r="G5332" s="264"/>
    </row>
    <row r="5333" spans="5:7">
      <c r="E5333" s="264"/>
      <c r="G5333" s="264"/>
    </row>
    <row r="5334" spans="5:7">
      <c r="E5334" s="264"/>
      <c r="G5334" s="264"/>
    </row>
    <row r="5335" spans="5:7">
      <c r="E5335" s="264"/>
      <c r="G5335" s="264"/>
    </row>
    <row r="5336" spans="5:7">
      <c r="E5336" s="264"/>
      <c r="G5336" s="264"/>
    </row>
    <row r="5337" spans="5:7">
      <c r="E5337" s="264"/>
      <c r="G5337" s="264"/>
    </row>
    <row r="5338" spans="5:7">
      <c r="E5338" s="264"/>
      <c r="G5338" s="264"/>
    </row>
    <row r="5339" spans="5:7">
      <c r="E5339" s="264"/>
      <c r="G5339" s="264"/>
    </row>
    <row r="5340" spans="5:7">
      <c r="E5340" s="264"/>
      <c r="G5340" s="264"/>
    </row>
    <row r="5341" spans="5:7">
      <c r="E5341" s="264"/>
      <c r="G5341" s="264"/>
    </row>
    <row r="5342" spans="5:7">
      <c r="E5342" s="264"/>
      <c r="G5342" s="264"/>
    </row>
    <row r="5343" spans="5:7">
      <c r="E5343" s="264"/>
      <c r="G5343" s="264"/>
    </row>
    <row r="5344" spans="5:7">
      <c r="E5344" s="264"/>
      <c r="G5344" s="264"/>
    </row>
    <row r="5345" spans="5:7">
      <c r="E5345" s="264"/>
      <c r="G5345" s="264"/>
    </row>
    <row r="5346" spans="5:7">
      <c r="E5346" s="264"/>
      <c r="G5346" s="264"/>
    </row>
    <row r="5347" spans="5:7">
      <c r="E5347" s="264"/>
      <c r="G5347" s="264"/>
    </row>
    <row r="5348" spans="5:7">
      <c r="E5348" s="264"/>
      <c r="G5348" s="264"/>
    </row>
    <row r="5349" spans="5:7">
      <c r="E5349" s="264"/>
      <c r="G5349" s="264"/>
    </row>
    <row r="5350" spans="5:7">
      <c r="E5350" s="264"/>
      <c r="G5350" s="264"/>
    </row>
    <row r="5351" spans="5:7">
      <c r="E5351" s="264"/>
      <c r="G5351" s="264"/>
    </row>
    <row r="5352" spans="5:7">
      <c r="E5352" s="264"/>
      <c r="G5352" s="264"/>
    </row>
    <row r="5353" spans="5:7">
      <c r="E5353" s="264"/>
      <c r="G5353" s="264"/>
    </row>
    <row r="5354" spans="5:7">
      <c r="E5354" s="264"/>
      <c r="G5354" s="264"/>
    </row>
    <row r="5355" spans="5:7">
      <c r="E5355" s="264"/>
      <c r="G5355" s="264"/>
    </row>
    <row r="5356" spans="5:7">
      <c r="E5356" s="264"/>
      <c r="G5356" s="264"/>
    </row>
    <row r="5357" spans="5:7">
      <c r="E5357" s="264"/>
      <c r="G5357" s="264"/>
    </row>
    <row r="5358" spans="5:7">
      <c r="E5358" s="264"/>
      <c r="G5358" s="264"/>
    </row>
    <row r="5359" spans="5:7">
      <c r="E5359" s="264"/>
      <c r="G5359" s="264"/>
    </row>
    <row r="5360" spans="5:7">
      <c r="E5360" s="264"/>
      <c r="G5360" s="264"/>
    </row>
    <row r="5361" spans="5:7">
      <c r="E5361" s="264"/>
      <c r="G5361" s="264"/>
    </row>
    <row r="5362" spans="5:7">
      <c r="E5362" s="264"/>
      <c r="G5362" s="264"/>
    </row>
    <row r="5363" spans="5:7">
      <c r="E5363" s="264"/>
      <c r="G5363" s="264"/>
    </row>
    <row r="5364" spans="5:7">
      <c r="E5364" s="264"/>
      <c r="G5364" s="264"/>
    </row>
    <row r="5365" spans="5:7">
      <c r="E5365" s="264"/>
      <c r="G5365" s="264"/>
    </row>
    <row r="5366" spans="5:7">
      <c r="E5366" s="264"/>
      <c r="G5366" s="264"/>
    </row>
    <row r="5367" spans="5:7">
      <c r="E5367" s="264"/>
      <c r="G5367" s="264"/>
    </row>
    <row r="5368" spans="5:7">
      <c r="E5368" s="264"/>
      <c r="G5368" s="264"/>
    </row>
    <row r="5369" spans="5:7">
      <c r="E5369" s="264"/>
      <c r="G5369" s="264"/>
    </row>
    <row r="5370" spans="5:7">
      <c r="E5370" s="264"/>
      <c r="G5370" s="264"/>
    </row>
    <row r="5371" spans="5:7">
      <c r="E5371" s="264"/>
      <c r="G5371" s="264"/>
    </row>
    <row r="5372" spans="5:7">
      <c r="E5372" s="264"/>
      <c r="G5372" s="264"/>
    </row>
    <row r="5373" spans="5:7">
      <c r="E5373" s="264"/>
      <c r="G5373" s="264"/>
    </row>
    <row r="5374" spans="5:7">
      <c r="E5374" s="264"/>
      <c r="G5374" s="264"/>
    </row>
    <row r="5375" spans="5:7">
      <c r="E5375" s="264"/>
      <c r="G5375" s="264"/>
    </row>
    <row r="5376" spans="5:7">
      <c r="E5376" s="264"/>
      <c r="G5376" s="264"/>
    </row>
    <row r="5377" spans="5:7">
      <c r="E5377" s="264"/>
      <c r="G5377" s="264"/>
    </row>
    <row r="5378" spans="5:7">
      <c r="E5378" s="264"/>
      <c r="G5378" s="264"/>
    </row>
    <row r="5379" spans="5:7">
      <c r="E5379" s="264"/>
      <c r="G5379" s="264"/>
    </row>
    <row r="5380" spans="5:7">
      <c r="E5380" s="264"/>
      <c r="G5380" s="264"/>
    </row>
    <row r="5381" spans="5:7">
      <c r="E5381" s="264"/>
      <c r="G5381" s="264"/>
    </row>
    <row r="5382" spans="5:7">
      <c r="E5382" s="264"/>
      <c r="G5382" s="264"/>
    </row>
    <row r="5383" spans="5:7">
      <c r="E5383" s="264"/>
      <c r="G5383" s="264"/>
    </row>
    <row r="5384" spans="5:7">
      <c r="E5384" s="264"/>
      <c r="G5384" s="264"/>
    </row>
    <row r="5385" spans="5:7">
      <c r="E5385" s="264"/>
      <c r="G5385" s="264"/>
    </row>
    <row r="5386" spans="5:7">
      <c r="E5386" s="264"/>
      <c r="G5386" s="264"/>
    </row>
    <row r="5387" spans="5:7">
      <c r="E5387" s="264"/>
      <c r="G5387" s="264"/>
    </row>
    <row r="5388" spans="5:7">
      <c r="E5388" s="264"/>
      <c r="G5388" s="264"/>
    </row>
    <row r="5389" spans="5:7">
      <c r="E5389" s="264"/>
      <c r="G5389" s="264"/>
    </row>
    <row r="5390" spans="5:7">
      <c r="E5390" s="264"/>
      <c r="G5390" s="264"/>
    </row>
    <row r="5391" spans="5:7">
      <c r="E5391" s="264"/>
      <c r="G5391" s="264"/>
    </row>
    <row r="5392" spans="5:7">
      <c r="E5392" s="264"/>
      <c r="G5392" s="264"/>
    </row>
    <row r="5393" spans="5:7">
      <c r="E5393" s="264"/>
      <c r="G5393" s="264"/>
    </row>
    <row r="5394" spans="5:7">
      <c r="E5394" s="264"/>
      <c r="G5394" s="264"/>
    </row>
    <row r="5395" spans="5:7">
      <c r="E5395" s="264"/>
      <c r="G5395" s="264"/>
    </row>
    <row r="5396" spans="5:7">
      <c r="E5396" s="264"/>
      <c r="G5396" s="264"/>
    </row>
    <row r="5397" spans="5:7">
      <c r="E5397" s="264"/>
      <c r="G5397" s="264"/>
    </row>
    <row r="5398" spans="5:7">
      <c r="E5398" s="264"/>
      <c r="G5398" s="264"/>
    </row>
    <row r="5399" spans="5:7">
      <c r="E5399" s="264"/>
      <c r="G5399" s="264"/>
    </row>
    <row r="5400" spans="5:7">
      <c r="E5400" s="264"/>
      <c r="G5400" s="264"/>
    </row>
    <row r="5401" spans="5:7">
      <c r="E5401" s="264"/>
      <c r="G5401" s="264"/>
    </row>
    <row r="5402" spans="5:7">
      <c r="E5402" s="264"/>
      <c r="G5402" s="264"/>
    </row>
    <row r="5403" spans="5:7">
      <c r="E5403" s="264"/>
      <c r="G5403" s="264"/>
    </row>
    <row r="5404" spans="5:7">
      <c r="E5404" s="264"/>
      <c r="G5404" s="264"/>
    </row>
    <row r="5405" spans="5:7">
      <c r="E5405" s="264"/>
      <c r="G5405" s="264"/>
    </row>
    <row r="5406" spans="5:7">
      <c r="E5406" s="264"/>
      <c r="G5406" s="264"/>
    </row>
    <row r="5407" spans="5:7">
      <c r="E5407" s="264"/>
      <c r="G5407" s="264"/>
    </row>
    <row r="5408" spans="5:7">
      <c r="E5408" s="264"/>
      <c r="G5408" s="264"/>
    </row>
    <row r="5409" spans="5:7">
      <c r="E5409" s="264"/>
      <c r="G5409" s="264"/>
    </row>
    <row r="5410" spans="5:7">
      <c r="E5410" s="264"/>
      <c r="G5410" s="264"/>
    </row>
    <row r="5411" spans="5:7">
      <c r="E5411" s="264"/>
      <c r="G5411" s="264"/>
    </row>
    <row r="5412" spans="5:7">
      <c r="E5412" s="264"/>
      <c r="G5412" s="264"/>
    </row>
    <row r="5413" spans="5:7">
      <c r="E5413" s="264"/>
      <c r="G5413" s="264"/>
    </row>
    <row r="5414" spans="5:7">
      <c r="E5414" s="264"/>
      <c r="G5414" s="264"/>
    </row>
    <row r="5415" spans="5:7">
      <c r="E5415" s="264"/>
      <c r="G5415" s="264"/>
    </row>
    <row r="5416" spans="5:7">
      <c r="E5416" s="264"/>
      <c r="G5416" s="264"/>
    </row>
    <row r="5417" spans="5:7">
      <c r="E5417" s="264"/>
      <c r="G5417" s="264"/>
    </row>
    <row r="5418" spans="5:7">
      <c r="E5418" s="264"/>
      <c r="G5418" s="264"/>
    </row>
    <row r="5419" spans="5:7">
      <c r="E5419" s="264"/>
      <c r="G5419" s="264"/>
    </row>
    <row r="5420" spans="5:7">
      <c r="E5420" s="264"/>
      <c r="G5420" s="264"/>
    </row>
    <row r="5421" spans="5:7">
      <c r="E5421" s="264"/>
      <c r="G5421" s="264"/>
    </row>
    <row r="5422" spans="5:7">
      <c r="E5422" s="264"/>
      <c r="G5422" s="264"/>
    </row>
    <row r="5423" spans="5:7">
      <c r="E5423" s="264"/>
      <c r="G5423" s="264"/>
    </row>
    <row r="5424" spans="5:7">
      <c r="E5424" s="264"/>
      <c r="G5424" s="264"/>
    </row>
    <row r="5425" spans="5:7">
      <c r="E5425" s="264"/>
      <c r="G5425" s="264"/>
    </row>
    <row r="5426" spans="5:7">
      <c r="E5426" s="264"/>
      <c r="G5426" s="264"/>
    </row>
    <row r="5427" spans="5:7">
      <c r="E5427" s="264"/>
      <c r="G5427" s="264"/>
    </row>
    <row r="5428" spans="5:7">
      <c r="E5428" s="264"/>
      <c r="G5428" s="264"/>
    </row>
    <row r="5429" spans="5:7">
      <c r="E5429" s="264"/>
      <c r="G5429" s="264"/>
    </row>
    <row r="5430" spans="5:7">
      <c r="E5430" s="264"/>
      <c r="G5430" s="264"/>
    </row>
    <row r="5431" spans="5:7">
      <c r="E5431" s="264"/>
      <c r="G5431" s="264"/>
    </row>
    <row r="5432" spans="5:7">
      <c r="E5432" s="264"/>
      <c r="G5432" s="264"/>
    </row>
    <row r="5433" spans="5:7">
      <c r="E5433" s="264"/>
      <c r="G5433" s="264"/>
    </row>
    <row r="5434" spans="5:7">
      <c r="E5434" s="264"/>
      <c r="G5434" s="264"/>
    </row>
    <row r="5435" spans="5:7">
      <c r="E5435" s="264"/>
      <c r="G5435" s="264"/>
    </row>
    <row r="5436" spans="5:7">
      <c r="E5436" s="264"/>
      <c r="G5436" s="264"/>
    </row>
    <row r="5437" spans="5:7">
      <c r="E5437" s="264"/>
      <c r="G5437" s="264"/>
    </row>
    <row r="5438" spans="5:7">
      <c r="E5438" s="264"/>
      <c r="G5438" s="264"/>
    </row>
    <row r="5439" spans="5:7">
      <c r="E5439" s="264"/>
      <c r="G5439" s="264"/>
    </row>
    <row r="5440" spans="5:7">
      <c r="E5440" s="264"/>
      <c r="G5440" s="264"/>
    </row>
    <row r="5441" spans="5:7">
      <c r="E5441" s="264"/>
      <c r="G5441" s="264"/>
    </row>
    <row r="5442" spans="5:7">
      <c r="E5442" s="264"/>
      <c r="G5442" s="264"/>
    </row>
    <row r="5443" spans="5:7">
      <c r="E5443" s="264"/>
      <c r="G5443" s="264"/>
    </row>
    <row r="5444" spans="5:7">
      <c r="E5444" s="264"/>
      <c r="G5444" s="264"/>
    </row>
    <row r="5445" spans="5:7">
      <c r="E5445" s="264"/>
      <c r="G5445" s="264"/>
    </row>
    <row r="5446" spans="5:7">
      <c r="E5446" s="264"/>
      <c r="G5446" s="264"/>
    </row>
    <row r="5447" spans="5:7">
      <c r="E5447" s="264"/>
      <c r="G5447" s="264"/>
    </row>
    <row r="5448" spans="5:7">
      <c r="E5448" s="264"/>
      <c r="G5448" s="264"/>
    </row>
    <row r="5449" spans="5:7">
      <c r="E5449" s="264"/>
      <c r="G5449" s="264"/>
    </row>
    <row r="5450" spans="5:7">
      <c r="E5450" s="264"/>
      <c r="G5450" s="264"/>
    </row>
    <row r="5451" spans="5:7">
      <c r="E5451" s="264"/>
      <c r="G5451" s="264"/>
    </row>
    <row r="5452" spans="5:7">
      <c r="E5452" s="264"/>
      <c r="G5452" s="264"/>
    </row>
    <row r="5453" spans="5:7">
      <c r="E5453" s="264"/>
      <c r="G5453" s="264"/>
    </row>
    <row r="5454" spans="5:7">
      <c r="E5454" s="264"/>
      <c r="G5454" s="264"/>
    </row>
    <row r="5455" spans="5:7">
      <c r="E5455" s="264"/>
      <c r="G5455" s="264"/>
    </row>
    <row r="5456" spans="5:7">
      <c r="E5456" s="264"/>
      <c r="G5456" s="264"/>
    </row>
    <row r="5457" spans="5:7">
      <c r="E5457" s="264"/>
      <c r="G5457" s="264"/>
    </row>
    <row r="5458" spans="5:7">
      <c r="E5458" s="264"/>
      <c r="G5458" s="264"/>
    </row>
    <row r="5459" spans="5:7">
      <c r="E5459" s="264"/>
      <c r="G5459" s="264"/>
    </row>
    <row r="5460" spans="5:7">
      <c r="E5460" s="264"/>
      <c r="G5460" s="264"/>
    </row>
    <row r="5461" spans="5:7">
      <c r="E5461" s="264"/>
      <c r="G5461" s="264"/>
    </row>
    <row r="5462" spans="5:7">
      <c r="E5462" s="264"/>
      <c r="G5462" s="264"/>
    </row>
    <row r="5463" spans="5:7">
      <c r="E5463" s="264"/>
      <c r="G5463" s="264"/>
    </row>
    <row r="5464" spans="5:7">
      <c r="E5464" s="264"/>
      <c r="G5464" s="264"/>
    </row>
    <row r="5465" spans="5:7">
      <c r="E5465" s="264"/>
      <c r="G5465" s="264"/>
    </row>
    <row r="5466" spans="5:7">
      <c r="E5466" s="264"/>
      <c r="G5466" s="264"/>
    </row>
    <row r="5467" spans="5:7">
      <c r="E5467" s="264"/>
      <c r="G5467" s="264"/>
    </row>
    <row r="5468" spans="5:7">
      <c r="E5468" s="264"/>
      <c r="G5468" s="264"/>
    </row>
    <row r="5469" spans="5:7">
      <c r="E5469" s="264"/>
      <c r="G5469" s="264"/>
    </row>
    <row r="5470" spans="5:7">
      <c r="E5470" s="264"/>
      <c r="G5470" s="264"/>
    </row>
    <row r="5471" spans="5:7">
      <c r="E5471" s="264"/>
      <c r="G5471" s="264"/>
    </row>
    <row r="5472" spans="5:7">
      <c r="E5472" s="264"/>
      <c r="G5472" s="264"/>
    </row>
    <row r="5473" spans="5:7">
      <c r="E5473" s="264"/>
      <c r="G5473" s="264"/>
    </row>
    <row r="5474" spans="5:7">
      <c r="E5474" s="264"/>
      <c r="G5474" s="264"/>
    </row>
    <row r="5475" spans="5:7">
      <c r="E5475" s="264"/>
      <c r="G5475" s="264"/>
    </row>
    <row r="5476" spans="5:7">
      <c r="E5476" s="264"/>
      <c r="G5476" s="264"/>
    </row>
    <row r="5477" spans="5:7">
      <c r="E5477" s="264"/>
      <c r="G5477" s="264"/>
    </row>
    <row r="5478" spans="5:7">
      <c r="E5478" s="264"/>
      <c r="G5478" s="264"/>
    </row>
    <row r="5479" spans="5:7">
      <c r="E5479" s="264"/>
      <c r="G5479" s="264"/>
    </row>
    <row r="5480" spans="5:7">
      <c r="E5480" s="264"/>
      <c r="G5480" s="264"/>
    </row>
    <row r="5481" spans="5:7">
      <c r="E5481" s="264"/>
      <c r="G5481" s="264"/>
    </row>
    <row r="5482" spans="5:7">
      <c r="E5482" s="264"/>
      <c r="G5482" s="264"/>
    </row>
    <row r="5483" spans="5:7">
      <c r="E5483" s="264"/>
      <c r="G5483" s="264"/>
    </row>
    <row r="5484" spans="5:7">
      <c r="E5484" s="264"/>
      <c r="G5484" s="264"/>
    </row>
    <row r="5485" spans="5:7">
      <c r="E5485" s="264"/>
      <c r="G5485" s="264"/>
    </row>
    <row r="5486" spans="5:7">
      <c r="E5486" s="264"/>
      <c r="G5486" s="264"/>
    </row>
    <row r="5487" spans="5:7">
      <c r="E5487" s="264"/>
      <c r="G5487" s="264"/>
    </row>
    <row r="5488" spans="5:7">
      <c r="E5488" s="264"/>
      <c r="G5488" s="264"/>
    </row>
    <row r="5489" spans="5:7">
      <c r="E5489" s="264"/>
      <c r="G5489" s="264"/>
    </row>
    <row r="5490" spans="5:7">
      <c r="E5490" s="264"/>
      <c r="G5490" s="264"/>
    </row>
    <row r="5491" spans="5:7">
      <c r="E5491" s="264"/>
      <c r="G5491" s="264"/>
    </row>
    <row r="5492" spans="5:7">
      <c r="E5492" s="264"/>
      <c r="G5492" s="264"/>
    </row>
    <row r="5493" spans="5:7">
      <c r="E5493" s="264"/>
      <c r="G5493" s="264"/>
    </row>
    <row r="5494" spans="5:7">
      <c r="E5494" s="264"/>
      <c r="G5494" s="264"/>
    </row>
    <row r="5495" spans="5:7">
      <c r="E5495" s="264"/>
      <c r="G5495" s="264"/>
    </row>
    <row r="5496" spans="5:7">
      <c r="E5496" s="264"/>
      <c r="G5496" s="264"/>
    </row>
    <row r="5497" spans="5:7">
      <c r="E5497" s="264"/>
      <c r="G5497" s="264"/>
    </row>
    <row r="5498" spans="5:7">
      <c r="E5498" s="264"/>
      <c r="G5498" s="264"/>
    </row>
    <row r="5499" spans="5:7">
      <c r="E5499" s="264"/>
      <c r="G5499" s="264"/>
    </row>
    <row r="5500" spans="5:7">
      <c r="E5500" s="264"/>
      <c r="G5500" s="264"/>
    </row>
    <row r="5501" spans="5:7">
      <c r="E5501" s="264"/>
      <c r="G5501" s="264"/>
    </row>
    <row r="5502" spans="5:7">
      <c r="E5502" s="264"/>
      <c r="G5502" s="264"/>
    </row>
    <row r="5503" spans="5:7">
      <c r="E5503" s="264"/>
      <c r="G5503" s="264"/>
    </row>
    <row r="5504" spans="5:7">
      <c r="E5504" s="264"/>
      <c r="G5504" s="264"/>
    </row>
    <row r="5505" spans="5:7">
      <c r="E5505" s="264"/>
      <c r="G5505" s="264"/>
    </row>
    <row r="5506" spans="5:7">
      <c r="E5506" s="264"/>
      <c r="G5506" s="264"/>
    </row>
    <row r="5507" spans="5:7">
      <c r="E5507" s="264"/>
      <c r="G5507" s="264"/>
    </row>
    <row r="5508" spans="5:7">
      <c r="E5508" s="264"/>
      <c r="G5508" s="264"/>
    </row>
    <row r="5509" spans="5:7">
      <c r="E5509" s="264"/>
      <c r="G5509" s="264"/>
    </row>
    <row r="5510" spans="5:7">
      <c r="E5510" s="264"/>
      <c r="G5510" s="264"/>
    </row>
    <row r="5511" spans="5:7">
      <c r="E5511" s="264"/>
      <c r="G5511" s="264"/>
    </row>
    <row r="5512" spans="5:7">
      <c r="E5512" s="264"/>
      <c r="G5512" s="264"/>
    </row>
    <row r="5513" spans="5:7">
      <c r="E5513" s="264"/>
      <c r="G5513" s="264"/>
    </row>
    <row r="5514" spans="5:7">
      <c r="E5514" s="264"/>
      <c r="G5514" s="264"/>
    </row>
    <row r="5515" spans="5:7">
      <c r="E5515" s="264"/>
      <c r="G5515" s="264"/>
    </row>
    <row r="5516" spans="5:7">
      <c r="E5516" s="264"/>
      <c r="G5516" s="264"/>
    </row>
    <row r="5517" spans="5:7">
      <c r="E5517" s="264"/>
      <c r="G5517" s="264"/>
    </row>
    <row r="5518" spans="5:7">
      <c r="E5518" s="264"/>
      <c r="G5518" s="264"/>
    </row>
    <row r="5519" spans="5:7">
      <c r="E5519" s="264"/>
      <c r="G5519" s="264"/>
    </row>
    <row r="5520" spans="5:7">
      <c r="E5520" s="264"/>
      <c r="G5520" s="264"/>
    </row>
    <row r="5521" spans="5:7">
      <c r="E5521" s="264"/>
      <c r="G5521" s="264"/>
    </row>
    <row r="5522" spans="5:7">
      <c r="E5522" s="264"/>
      <c r="G5522" s="264"/>
    </row>
    <row r="5523" spans="5:7">
      <c r="E5523" s="264"/>
      <c r="G5523" s="264"/>
    </row>
    <row r="5524" spans="5:7">
      <c r="E5524" s="264"/>
      <c r="G5524" s="264"/>
    </row>
    <row r="5525" spans="5:7">
      <c r="E5525" s="264"/>
      <c r="G5525" s="264"/>
    </row>
    <row r="5526" spans="5:7">
      <c r="E5526" s="264"/>
      <c r="G5526" s="264"/>
    </row>
    <row r="5527" spans="5:7">
      <c r="E5527" s="264"/>
      <c r="G5527" s="264"/>
    </row>
    <row r="5528" spans="5:7">
      <c r="E5528" s="264"/>
      <c r="G5528" s="264"/>
    </row>
    <row r="5529" spans="5:7">
      <c r="E5529" s="264"/>
      <c r="G5529" s="264"/>
    </row>
    <row r="5530" spans="5:7">
      <c r="E5530" s="264"/>
      <c r="G5530" s="264"/>
    </row>
    <row r="5531" spans="5:7">
      <c r="E5531" s="264"/>
      <c r="G5531" s="264"/>
    </row>
    <row r="5532" spans="5:7">
      <c r="E5532" s="264"/>
      <c r="G5532" s="264"/>
    </row>
    <row r="5533" spans="5:7">
      <c r="E5533" s="264"/>
      <c r="G5533" s="264"/>
    </row>
    <row r="5534" spans="5:7">
      <c r="E5534" s="264"/>
      <c r="G5534" s="264"/>
    </row>
    <row r="5535" spans="5:7">
      <c r="E5535" s="264"/>
      <c r="G5535" s="264"/>
    </row>
    <row r="5536" spans="5:7">
      <c r="E5536" s="264"/>
      <c r="G5536" s="264"/>
    </row>
    <row r="5537" spans="5:7">
      <c r="E5537" s="264"/>
      <c r="G5537" s="264"/>
    </row>
    <row r="5538" spans="5:7">
      <c r="E5538" s="264"/>
      <c r="G5538" s="264"/>
    </row>
    <row r="5539" spans="5:7">
      <c r="E5539" s="264"/>
      <c r="G5539" s="264"/>
    </row>
    <row r="5540" spans="5:7">
      <c r="E5540" s="264"/>
      <c r="G5540" s="264"/>
    </row>
    <row r="5541" spans="5:7">
      <c r="E5541" s="264"/>
      <c r="G5541" s="264"/>
    </row>
    <row r="5542" spans="5:7">
      <c r="E5542" s="264"/>
      <c r="G5542" s="264"/>
    </row>
    <row r="5543" spans="5:7">
      <c r="E5543" s="264"/>
      <c r="G5543" s="264"/>
    </row>
    <row r="5544" spans="5:7">
      <c r="E5544" s="264"/>
      <c r="G5544" s="264"/>
    </row>
    <row r="5545" spans="5:7">
      <c r="E5545" s="264"/>
      <c r="G5545" s="264"/>
    </row>
    <row r="5546" spans="5:7">
      <c r="E5546" s="264"/>
      <c r="G5546" s="264"/>
    </row>
    <row r="5547" spans="5:7">
      <c r="E5547" s="264"/>
      <c r="G5547" s="264"/>
    </row>
    <row r="5548" spans="5:7">
      <c r="E5548" s="264"/>
      <c r="G5548" s="264"/>
    </row>
    <row r="5549" spans="5:7">
      <c r="E5549" s="264"/>
      <c r="G5549" s="264"/>
    </row>
    <row r="5550" spans="5:7">
      <c r="E5550" s="264"/>
      <c r="G5550" s="264"/>
    </row>
    <row r="5551" spans="5:7">
      <c r="E5551" s="264"/>
      <c r="G5551" s="264"/>
    </row>
    <row r="5552" spans="5:7">
      <c r="E5552" s="264"/>
      <c r="G5552" s="264"/>
    </row>
    <row r="5553" spans="5:7">
      <c r="E5553" s="264"/>
      <c r="G5553" s="264"/>
    </row>
    <row r="5554" spans="5:7">
      <c r="E5554" s="264"/>
      <c r="G5554" s="264"/>
    </row>
    <row r="5555" spans="5:7">
      <c r="E5555" s="264"/>
      <c r="G5555" s="264"/>
    </row>
    <row r="5556" spans="5:7">
      <c r="E5556" s="264"/>
      <c r="G5556" s="264"/>
    </row>
    <row r="5557" spans="5:7">
      <c r="E5557" s="264"/>
      <c r="G5557" s="264"/>
    </row>
    <row r="5558" spans="5:7">
      <c r="E5558" s="264"/>
      <c r="G5558" s="264"/>
    </row>
    <row r="5559" spans="5:7">
      <c r="E5559" s="264"/>
      <c r="G5559" s="264"/>
    </row>
    <row r="5560" spans="5:7">
      <c r="E5560" s="264"/>
      <c r="G5560" s="264"/>
    </row>
    <row r="5561" spans="5:7">
      <c r="E5561" s="264"/>
      <c r="G5561" s="264"/>
    </row>
    <row r="5562" spans="5:7">
      <c r="E5562" s="264"/>
      <c r="G5562" s="264"/>
    </row>
    <row r="5563" spans="5:7">
      <c r="E5563" s="264"/>
      <c r="G5563" s="264"/>
    </row>
    <row r="5564" spans="5:7">
      <c r="E5564" s="264"/>
      <c r="G5564" s="264"/>
    </row>
    <row r="5565" spans="5:7">
      <c r="E5565" s="264"/>
      <c r="G5565" s="264"/>
    </row>
    <row r="5566" spans="5:7">
      <c r="E5566" s="264"/>
      <c r="G5566" s="264"/>
    </row>
    <row r="5567" spans="5:7">
      <c r="E5567" s="264"/>
      <c r="G5567" s="264"/>
    </row>
    <row r="5568" spans="5:7">
      <c r="E5568" s="264"/>
      <c r="G5568" s="264"/>
    </row>
    <row r="5569" spans="5:7">
      <c r="E5569" s="264"/>
      <c r="G5569" s="264"/>
    </row>
    <row r="5570" spans="5:7">
      <c r="E5570" s="264"/>
      <c r="G5570" s="264"/>
    </row>
    <row r="5571" spans="5:7">
      <c r="E5571" s="264"/>
      <c r="G5571" s="264"/>
    </row>
    <row r="5572" spans="5:7">
      <c r="E5572" s="264"/>
      <c r="G5572" s="264"/>
    </row>
    <row r="5573" spans="5:7">
      <c r="E5573" s="264"/>
      <c r="G5573" s="264"/>
    </row>
    <row r="5574" spans="5:7">
      <c r="E5574" s="264"/>
      <c r="G5574" s="264"/>
    </row>
    <row r="5575" spans="5:7">
      <c r="E5575" s="264"/>
      <c r="G5575" s="264"/>
    </row>
    <row r="5576" spans="5:7">
      <c r="E5576" s="264"/>
      <c r="G5576" s="264"/>
    </row>
    <row r="5577" spans="5:7">
      <c r="E5577" s="264"/>
      <c r="G5577" s="264"/>
    </row>
    <row r="5578" spans="5:7">
      <c r="E5578" s="264"/>
      <c r="G5578" s="264"/>
    </row>
    <row r="5579" spans="5:7">
      <c r="E5579" s="264"/>
      <c r="G5579" s="264"/>
    </row>
    <row r="5580" spans="5:7">
      <c r="E5580" s="264"/>
      <c r="G5580" s="264"/>
    </row>
    <row r="5581" spans="5:7">
      <c r="E5581" s="264"/>
      <c r="G5581" s="264"/>
    </row>
    <row r="5582" spans="5:7">
      <c r="E5582" s="264"/>
      <c r="G5582" s="264"/>
    </row>
    <row r="5583" spans="5:7">
      <c r="E5583" s="264"/>
      <c r="G5583" s="264"/>
    </row>
    <row r="5584" spans="5:7">
      <c r="E5584" s="264"/>
      <c r="G5584" s="264"/>
    </row>
    <row r="5585" spans="5:7">
      <c r="E5585" s="264"/>
      <c r="G5585" s="264"/>
    </row>
    <row r="5586" spans="5:7">
      <c r="E5586" s="264"/>
      <c r="G5586" s="264"/>
    </row>
    <row r="5587" spans="5:7">
      <c r="E5587" s="264"/>
      <c r="G5587" s="264"/>
    </row>
    <row r="5588" spans="5:7">
      <c r="E5588" s="264"/>
      <c r="G5588" s="264"/>
    </row>
    <row r="5589" spans="5:7">
      <c r="E5589" s="264"/>
      <c r="G5589" s="264"/>
    </row>
    <row r="5590" spans="5:7">
      <c r="E5590" s="264"/>
      <c r="G5590" s="264"/>
    </row>
    <row r="5591" spans="5:7">
      <c r="E5591" s="264"/>
      <c r="G5591" s="264"/>
    </row>
    <row r="5592" spans="5:7">
      <c r="E5592" s="264"/>
      <c r="G5592" s="264"/>
    </row>
    <row r="5593" spans="5:7">
      <c r="E5593" s="264"/>
      <c r="G5593" s="264"/>
    </row>
    <row r="5594" spans="5:7">
      <c r="E5594" s="264"/>
      <c r="G5594" s="264"/>
    </row>
    <row r="5595" spans="5:7">
      <c r="E5595" s="264"/>
      <c r="G5595" s="264"/>
    </row>
    <row r="5596" spans="5:7">
      <c r="E5596" s="264"/>
      <c r="G5596" s="264"/>
    </row>
    <row r="5597" spans="5:7">
      <c r="E5597" s="264"/>
      <c r="G5597" s="264"/>
    </row>
    <row r="5598" spans="5:7">
      <c r="E5598" s="264"/>
      <c r="G5598" s="264"/>
    </row>
    <row r="5599" spans="5:7">
      <c r="E5599" s="264"/>
      <c r="G5599" s="264"/>
    </row>
    <row r="5600" spans="5:7">
      <c r="E5600" s="264"/>
      <c r="G5600" s="264"/>
    </row>
    <row r="5601" spans="5:7">
      <c r="E5601" s="264"/>
      <c r="G5601" s="264"/>
    </row>
    <row r="5602" spans="5:7">
      <c r="E5602" s="264"/>
      <c r="G5602" s="264"/>
    </row>
    <row r="5603" spans="5:7">
      <c r="E5603" s="264"/>
      <c r="G5603" s="264"/>
    </row>
    <row r="5604" spans="5:7">
      <c r="E5604" s="264"/>
      <c r="G5604" s="264"/>
    </row>
    <row r="5605" spans="5:7">
      <c r="E5605" s="264"/>
      <c r="G5605" s="264"/>
    </row>
    <row r="5606" spans="5:7">
      <c r="E5606" s="264"/>
      <c r="G5606" s="264"/>
    </row>
    <row r="5607" spans="5:7">
      <c r="E5607" s="264"/>
      <c r="G5607" s="264"/>
    </row>
    <row r="5608" spans="5:7">
      <c r="E5608" s="264"/>
      <c r="G5608" s="264"/>
    </row>
    <row r="5609" spans="5:7">
      <c r="E5609" s="264"/>
      <c r="G5609" s="264"/>
    </row>
    <row r="5610" spans="5:7">
      <c r="E5610" s="264"/>
      <c r="G5610" s="264"/>
    </row>
    <row r="5611" spans="5:7">
      <c r="E5611" s="264"/>
      <c r="G5611" s="264"/>
    </row>
    <row r="5612" spans="5:7">
      <c r="E5612" s="264"/>
      <c r="G5612" s="264"/>
    </row>
    <row r="5613" spans="5:7">
      <c r="E5613" s="264"/>
      <c r="G5613" s="264"/>
    </row>
    <row r="5614" spans="5:7">
      <c r="E5614" s="264"/>
      <c r="G5614" s="264"/>
    </row>
    <row r="5615" spans="5:7">
      <c r="E5615" s="264"/>
      <c r="G5615" s="264"/>
    </row>
    <row r="5616" spans="5:7">
      <c r="E5616" s="264"/>
      <c r="G5616" s="264"/>
    </row>
    <row r="5617" spans="5:7">
      <c r="E5617" s="264"/>
      <c r="G5617" s="264"/>
    </row>
    <row r="5618" spans="5:7">
      <c r="E5618" s="264"/>
      <c r="G5618" s="264"/>
    </row>
    <row r="5619" spans="5:7">
      <c r="E5619" s="264"/>
      <c r="G5619" s="264"/>
    </row>
    <row r="5620" spans="5:7">
      <c r="E5620" s="264"/>
      <c r="G5620" s="264"/>
    </row>
    <row r="5621" spans="5:7">
      <c r="E5621" s="264"/>
      <c r="G5621" s="264"/>
    </row>
    <row r="5622" spans="5:7">
      <c r="E5622" s="264"/>
      <c r="G5622" s="264"/>
    </row>
    <row r="5623" spans="5:7">
      <c r="E5623" s="264"/>
      <c r="G5623" s="264"/>
    </row>
    <row r="5624" spans="5:7">
      <c r="E5624" s="264"/>
      <c r="G5624" s="264"/>
    </row>
    <row r="5625" spans="5:7">
      <c r="E5625" s="264"/>
      <c r="G5625" s="264"/>
    </row>
    <row r="5626" spans="5:7">
      <c r="E5626" s="264"/>
      <c r="G5626" s="264"/>
    </row>
    <row r="5627" spans="5:7">
      <c r="E5627" s="264"/>
      <c r="G5627" s="264"/>
    </row>
    <row r="5628" spans="5:7">
      <c r="E5628" s="264"/>
      <c r="G5628" s="264"/>
    </row>
    <row r="5629" spans="5:7">
      <c r="E5629" s="264"/>
      <c r="G5629" s="264"/>
    </row>
    <row r="5630" spans="5:7">
      <c r="E5630" s="264"/>
      <c r="G5630" s="264"/>
    </row>
    <row r="5631" spans="5:7">
      <c r="E5631" s="264"/>
      <c r="G5631" s="264"/>
    </row>
    <row r="5632" spans="5:7">
      <c r="E5632" s="264"/>
      <c r="G5632" s="264"/>
    </row>
    <row r="5633" spans="5:7">
      <c r="E5633" s="264"/>
      <c r="G5633" s="264"/>
    </row>
    <row r="5634" spans="5:7">
      <c r="E5634" s="264"/>
      <c r="G5634" s="264"/>
    </row>
    <row r="5635" spans="5:7">
      <c r="E5635" s="264"/>
      <c r="G5635" s="264"/>
    </row>
    <row r="5636" spans="5:7">
      <c r="E5636" s="264"/>
      <c r="G5636" s="264"/>
    </row>
    <row r="5637" spans="5:7">
      <c r="E5637" s="264"/>
      <c r="G5637" s="264"/>
    </row>
    <row r="5638" spans="5:7">
      <c r="E5638" s="264"/>
      <c r="G5638" s="264"/>
    </row>
    <row r="5639" spans="5:7">
      <c r="E5639" s="264"/>
      <c r="G5639" s="264"/>
    </row>
    <row r="5640" spans="5:7">
      <c r="E5640" s="264"/>
      <c r="G5640" s="264"/>
    </row>
    <row r="5641" spans="5:7">
      <c r="E5641" s="264"/>
      <c r="G5641" s="264"/>
    </row>
    <row r="5642" spans="5:7">
      <c r="E5642" s="264"/>
      <c r="G5642" s="264"/>
    </row>
    <row r="5643" spans="5:7">
      <c r="E5643" s="264"/>
      <c r="G5643" s="264"/>
    </row>
    <row r="5644" spans="5:7">
      <c r="E5644" s="264"/>
      <c r="G5644" s="264"/>
    </row>
    <row r="5645" spans="5:7">
      <c r="E5645" s="264"/>
      <c r="G5645" s="264"/>
    </row>
    <row r="5646" spans="5:7">
      <c r="E5646" s="264"/>
      <c r="G5646" s="264"/>
    </row>
    <row r="5647" spans="5:7">
      <c r="E5647" s="264"/>
      <c r="G5647" s="264"/>
    </row>
    <row r="5648" spans="5:7">
      <c r="E5648" s="264"/>
      <c r="G5648" s="264"/>
    </row>
    <row r="5649" spans="5:7">
      <c r="E5649" s="264"/>
      <c r="G5649" s="264"/>
    </row>
    <row r="5650" spans="5:7">
      <c r="E5650" s="264"/>
      <c r="G5650" s="264"/>
    </row>
    <row r="5651" spans="5:7">
      <c r="E5651" s="264"/>
      <c r="G5651" s="264"/>
    </row>
    <row r="5652" spans="5:7">
      <c r="E5652" s="264"/>
      <c r="G5652" s="264"/>
    </row>
    <row r="5653" spans="5:7">
      <c r="E5653" s="264"/>
      <c r="G5653" s="264"/>
    </row>
    <row r="5654" spans="5:7">
      <c r="E5654" s="264"/>
      <c r="G5654" s="264"/>
    </row>
    <row r="5655" spans="5:7">
      <c r="E5655" s="264"/>
      <c r="G5655" s="264"/>
    </row>
    <row r="5656" spans="5:7">
      <c r="E5656" s="264"/>
      <c r="G5656" s="264"/>
    </row>
    <row r="5657" spans="5:7">
      <c r="E5657" s="264"/>
      <c r="G5657" s="264"/>
    </row>
    <row r="5658" spans="5:7">
      <c r="E5658" s="264"/>
      <c r="G5658" s="264"/>
    </row>
    <row r="5659" spans="5:7">
      <c r="E5659" s="264"/>
      <c r="G5659" s="264"/>
    </row>
    <row r="5660" spans="5:7">
      <c r="E5660" s="264"/>
      <c r="G5660" s="264"/>
    </row>
    <row r="5661" spans="5:7">
      <c r="E5661" s="264"/>
      <c r="G5661" s="264"/>
    </row>
    <row r="5662" spans="5:7">
      <c r="E5662" s="264"/>
      <c r="G5662" s="264"/>
    </row>
    <row r="5663" spans="5:7">
      <c r="E5663" s="264"/>
      <c r="G5663" s="264"/>
    </row>
    <row r="5664" spans="5:7">
      <c r="E5664" s="264"/>
      <c r="G5664" s="264"/>
    </row>
    <row r="5665" spans="5:7">
      <c r="E5665" s="264"/>
      <c r="G5665" s="264"/>
    </row>
    <row r="5666" spans="5:7">
      <c r="E5666" s="264"/>
      <c r="G5666" s="264"/>
    </row>
    <row r="5667" spans="5:7">
      <c r="E5667" s="264"/>
      <c r="G5667" s="264"/>
    </row>
    <row r="5668" spans="5:7">
      <c r="E5668" s="264"/>
      <c r="G5668" s="264"/>
    </row>
    <row r="5669" spans="5:7">
      <c r="E5669" s="264"/>
      <c r="G5669" s="264"/>
    </row>
    <row r="5670" spans="5:7">
      <c r="E5670" s="264"/>
      <c r="G5670" s="264"/>
    </row>
    <row r="5671" spans="5:7">
      <c r="E5671" s="264"/>
      <c r="G5671" s="264"/>
    </row>
    <row r="5672" spans="5:7">
      <c r="E5672" s="264"/>
      <c r="G5672" s="264"/>
    </row>
    <row r="5673" spans="5:7">
      <c r="E5673" s="264"/>
      <c r="G5673" s="264"/>
    </row>
    <row r="5674" spans="5:7">
      <c r="E5674" s="264"/>
      <c r="G5674" s="264"/>
    </row>
    <row r="5675" spans="5:7">
      <c r="E5675" s="264"/>
      <c r="G5675" s="264"/>
    </row>
    <row r="5676" spans="5:7">
      <c r="E5676" s="264"/>
      <c r="G5676" s="264"/>
    </row>
    <row r="5677" spans="5:7">
      <c r="E5677" s="264"/>
      <c r="G5677" s="264"/>
    </row>
    <row r="5678" spans="5:7">
      <c r="E5678" s="264"/>
      <c r="G5678" s="264"/>
    </row>
    <row r="5679" spans="5:7">
      <c r="E5679" s="264"/>
      <c r="G5679" s="264"/>
    </row>
    <row r="5680" spans="5:7">
      <c r="E5680" s="264"/>
      <c r="G5680" s="264"/>
    </row>
    <row r="5681" spans="5:7">
      <c r="E5681" s="264"/>
      <c r="G5681" s="264"/>
    </row>
    <row r="5682" spans="5:7">
      <c r="E5682" s="264"/>
      <c r="G5682" s="264"/>
    </row>
    <row r="5683" spans="5:7">
      <c r="E5683" s="264"/>
      <c r="G5683" s="264"/>
    </row>
    <row r="5684" spans="5:7">
      <c r="E5684" s="264"/>
      <c r="G5684" s="264"/>
    </row>
    <row r="5685" spans="5:7">
      <c r="E5685" s="264"/>
      <c r="G5685" s="264"/>
    </row>
    <row r="5686" spans="5:7">
      <c r="E5686" s="264"/>
      <c r="G5686" s="264"/>
    </row>
    <row r="5687" spans="5:7">
      <c r="E5687" s="264"/>
      <c r="G5687" s="264"/>
    </row>
    <row r="5688" spans="5:7">
      <c r="E5688" s="264"/>
      <c r="G5688" s="264"/>
    </row>
    <row r="5689" spans="5:7">
      <c r="E5689" s="264"/>
      <c r="G5689" s="264"/>
    </row>
    <row r="5690" spans="5:7">
      <c r="E5690" s="264"/>
      <c r="G5690" s="264"/>
    </row>
    <row r="5691" spans="5:7">
      <c r="E5691" s="264"/>
      <c r="G5691" s="264"/>
    </row>
    <row r="5692" spans="5:7">
      <c r="E5692" s="264"/>
      <c r="G5692" s="264"/>
    </row>
    <row r="5693" spans="5:7">
      <c r="E5693" s="264"/>
      <c r="G5693" s="264"/>
    </row>
    <row r="5694" spans="5:7">
      <c r="E5694" s="264"/>
      <c r="G5694" s="264"/>
    </row>
    <row r="5695" spans="5:7">
      <c r="E5695" s="264"/>
      <c r="G5695" s="264"/>
    </row>
    <row r="5696" spans="5:7">
      <c r="E5696" s="264"/>
      <c r="G5696" s="264"/>
    </row>
    <row r="5697" spans="5:7">
      <c r="E5697" s="264"/>
      <c r="G5697" s="264"/>
    </row>
    <row r="5698" spans="5:7">
      <c r="E5698" s="264"/>
      <c r="G5698" s="264"/>
    </row>
    <row r="5699" spans="5:7">
      <c r="E5699" s="264"/>
      <c r="G5699" s="264"/>
    </row>
    <row r="5700" spans="5:7">
      <c r="E5700" s="264"/>
      <c r="G5700" s="264"/>
    </row>
    <row r="5701" spans="5:7">
      <c r="E5701" s="264"/>
      <c r="G5701" s="264"/>
    </row>
    <row r="5702" spans="5:7">
      <c r="E5702" s="264"/>
      <c r="G5702" s="264"/>
    </row>
    <row r="5703" spans="5:7">
      <c r="E5703" s="264"/>
      <c r="G5703" s="264"/>
    </row>
    <row r="5704" spans="5:7">
      <c r="E5704" s="264"/>
      <c r="G5704" s="264"/>
    </row>
    <row r="5705" spans="5:7">
      <c r="E5705" s="264"/>
      <c r="G5705" s="264"/>
    </row>
    <row r="5706" spans="5:7">
      <c r="E5706" s="264"/>
      <c r="G5706" s="264"/>
    </row>
    <row r="5707" spans="5:7">
      <c r="E5707" s="264"/>
      <c r="G5707" s="264"/>
    </row>
    <row r="5708" spans="5:7">
      <c r="E5708" s="264"/>
      <c r="G5708" s="264"/>
    </row>
    <row r="5709" spans="5:7">
      <c r="E5709" s="264"/>
      <c r="G5709" s="264"/>
    </row>
    <row r="5710" spans="5:7">
      <c r="E5710" s="264"/>
      <c r="G5710" s="264"/>
    </row>
    <row r="5711" spans="5:7">
      <c r="E5711" s="264"/>
      <c r="G5711" s="264"/>
    </row>
    <row r="5712" spans="5:7">
      <c r="E5712" s="264"/>
      <c r="G5712" s="264"/>
    </row>
    <row r="5713" spans="5:7">
      <c r="E5713" s="264"/>
      <c r="G5713" s="264"/>
    </row>
    <row r="5714" spans="5:7">
      <c r="E5714" s="264"/>
      <c r="G5714" s="264"/>
    </row>
    <row r="5715" spans="5:7">
      <c r="E5715" s="264"/>
      <c r="G5715" s="264"/>
    </row>
    <row r="5716" spans="5:7">
      <c r="E5716" s="264"/>
      <c r="G5716" s="264"/>
    </row>
    <row r="5717" spans="5:7">
      <c r="E5717" s="264"/>
      <c r="G5717" s="264"/>
    </row>
    <row r="5718" spans="5:7">
      <c r="E5718" s="264"/>
      <c r="G5718" s="264"/>
    </row>
    <row r="5719" spans="5:7">
      <c r="E5719" s="264"/>
      <c r="G5719" s="264"/>
    </row>
    <row r="5720" spans="5:7">
      <c r="E5720" s="264"/>
      <c r="G5720" s="264"/>
    </row>
    <row r="5721" spans="5:7">
      <c r="E5721" s="264"/>
      <c r="G5721" s="264"/>
    </row>
    <row r="5722" spans="5:7">
      <c r="E5722" s="264"/>
      <c r="G5722" s="264"/>
    </row>
    <row r="5723" spans="5:7">
      <c r="E5723" s="264"/>
      <c r="G5723" s="264"/>
    </row>
    <row r="5724" spans="5:7">
      <c r="E5724" s="264"/>
      <c r="G5724" s="264"/>
    </row>
    <row r="5725" spans="5:7">
      <c r="E5725" s="264"/>
      <c r="G5725" s="264"/>
    </row>
    <row r="5726" spans="5:7">
      <c r="E5726" s="264"/>
      <c r="G5726" s="264"/>
    </row>
    <row r="5727" spans="5:7">
      <c r="E5727" s="264"/>
      <c r="G5727" s="264"/>
    </row>
    <row r="5728" spans="5:7">
      <c r="E5728" s="264"/>
      <c r="G5728" s="264"/>
    </row>
    <row r="5729" spans="5:7">
      <c r="E5729" s="264"/>
      <c r="G5729" s="264"/>
    </row>
    <row r="5730" spans="5:7">
      <c r="E5730" s="264"/>
      <c r="G5730" s="264"/>
    </row>
    <row r="5731" spans="5:7">
      <c r="E5731" s="264"/>
      <c r="G5731" s="264"/>
    </row>
    <row r="5732" spans="5:7">
      <c r="E5732" s="264"/>
      <c r="G5732" s="264"/>
    </row>
    <row r="5733" spans="5:7">
      <c r="E5733" s="264"/>
      <c r="G5733" s="264"/>
    </row>
    <row r="5734" spans="5:7">
      <c r="E5734" s="264"/>
      <c r="G5734" s="264"/>
    </row>
    <row r="5735" spans="5:7">
      <c r="E5735" s="264"/>
      <c r="G5735" s="264"/>
    </row>
    <row r="5736" spans="5:7">
      <c r="E5736" s="264"/>
      <c r="G5736" s="264"/>
    </row>
    <row r="5737" spans="5:7">
      <c r="E5737" s="264"/>
      <c r="G5737" s="264"/>
    </row>
    <row r="5738" spans="5:7">
      <c r="E5738" s="264"/>
      <c r="G5738" s="264"/>
    </row>
    <row r="5739" spans="5:7">
      <c r="E5739" s="264"/>
      <c r="G5739" s="264"/>
    </row>
    <row r="5740" spans="5:7">
      <c r="E5740" s="264"/>
      <c r="G5740" s="264"/>
    </row>
    <row r="5741" spans="5:7">
      <c r="E5741" s="264"/>
      <c r="G5741" s="264"/>
    </row>
    <row r="5742" spans="5:7">
      <c r="E5742" s="264"/>
      <c r="G5742" s="264"/>
    </row>
    <row r="5743" spans="5:7">
      <c r="E5743" s="264"/>
      <c r="G5743" s="264"/>
    </row>
    <row r="5744" spans="5:7">
      <c r="E5744" s="264"/>
      <c r="G5744" s="264"/>
    </row>
    <row r="5745" spans="5:7">
      <c r="E5745" s="264"/>
      <c r="G5745" s="264"/>
    </row>
    <row r="5746" spans="5:7">
      <c r="E5746" s="264"/>
      <c r="G5746" s="264"/>
    </row>
    <row r="5747" spans="5:7">
      <c r="E5747" s="264"/>
      <c r="G5747" s="264"/>
    </row>
    <row r="5748" spans="5:7">
      <c r="E5748" s="264"/>
      <c r="G5748" s="264"/>
    </row>
    <row r="5749" spans="5:7">
      <c r="E5749" s="264"/>
      <c r="G5749" s="264"/>
    </row>
    <row r="5750" spans="5:7">
      <c r="E5750" s="264"/>
      <c r="G5750" s="264"/>
    </row>
    <row r="5751" spans="5:7">
      <c r="E5751" s="264"/>
      <c r="G5751" s="264"/>
    </row>
    <row r="5752" spans="5:7">
      <c r="E5752" s="264"/>
      <c r="G5752" s="264"/>
    </row>
    <row r="5753" spans="5:7">
      <c r="E5753" s="264"/>
      <c r="G5753" s="264"/>
    </row>
    <row r="5754" spans="5:7">
      <c r="E5754" s="264"/>
      <c r="G5754" s="264"/>
    </row>
    <row r="5755" spans="5:7">
      <c r="E5755" s="264"/>
      <c r="G5755" s="264"/>
    </row>
    <row r="5756" spans="5:7">
      <c r="E5756" s="264"/>
      <c r="G5756" s="264"/>
    </row>
    <row r="5757" spans="5:7">
      <c r="E5757" s="264"/>
      <c r="G5757" s="264"/>
    </row>
    <row r="5758" spans="5:7">
      <c r="E5758" s="264"/>
      <c r="G5758" s="264"/>
    </row>
    <row r="5759" spans="5:7">
      <c r="E5759" s="264"/>
      <c r="G5759" s="264"/>
    </row>
    <row r="5760" spans="5:7">
      <c r="E5760" s="264"/>
      <c r="G5760" s="264"/>
    </row>
    <row r="5761" spans="5:7">
      <c r="E5761" s="264"/>
      <c r="G5761" s="264"/>
    </row>
    <row r="5762" spans="5:7">
      <c r="E5762" s="264"/>
      <c r="G5762" s="264"/>
    </row>
    <row r="5763" spans="5:7">
      <c r="E5763" s="264"/>
      <c r="G5763" s="264"/>
    </row>
    <row r="5764" spans="5:7">
      <c r="E5764" s="264"/>
      <c r="G5764" s="264"/>
    </row>
    <row r="5765" spans="5:7">
      <c r="E5765" s="264"/>
      <c r="G5765" s="264"/>
    </row>
    <row r="5766" spans="5:7">
      <c r="E5766" s="264"/>
      <c r="G5766" s="264"/>
    </row>
    <row r="5767" spans="5:7">
      <c r="E5767" s="264"/>
      <c r="G5767" s="264"/>
    </row>
    <row r="5768" spans="5:7">
      <c r="E5768" s="264"/>
      <c r="G5768" s="264"/>
    </row>
    <row r="5769" spans="5:7">
      <c r="E5769" s="264"/>
      <c r="G5769" s="264"/>
    </row>
    <row r="5770" spans="5:7">
      <c r="E5770" s="264"/>
      <c r="G5770" s="264"/>
    </row>
    <row r="5771" spans="5:7">
      <c r="E5771" s="264"/>
      <c r="G5771" s="264"/>
    </row>
    <row r="5772" spans="5:7">
      <c r="E5772" s="264"/>
      <c r="G5772" s="264"/>
    </row>
    <row r="5773" spans="5:7">
      <c r="E5773" s="264"/>
      <c r="G5773" s="264"/>
    </row>
    <row r="5774" spans="5:7">
      <c r="E5774" s="264"/>
      <c r="G5774" s="264"/>
    </row>
    <row r="5775" spans="5:7">
      <c r="E5775" s="264"/>
      <c r="G5775" s="264"/>
    </row>
    <row r="5776" spans="5:7">
      <c r="E5776" s="264"/>
      <c r="G5776" s="264"/>
    </row>
    <row r="5777" spans="5:7">
      <c r="E5777" s="264"/>
      <c r="G5777" s="264"/>
    </row>
    <row r="5778" spans="5:7">
      <c r="E5778" s="264"/>
      <c r="G5778" s="264"/>
    </row>
    <row r="5779" spans="5:7">
      <c r="E5779" s="264"/>
      <c r="G5779" s="264"/>
    </row>
    <row r="5780" spans="5:7">
      <c r="E5780" s="264"/>
      <c r="G5780" s="264"/>
    </row>
    <row r="5781" spans="5:7">
      <c r="E5781" s="264"/>
      <c r="G5781" s="264"/>
    </row>
    <row r="5782" spans="5:7">
      <c r="E5782" s="264"/>
      <c r="G5782" s="264"/>
    </row>
    <row r="5783" spans="5:7">
      <c r="E5783" s="264"/>
      <c r="G5783" s="264"/>
    </row>
    <row r="5784" spans="5:7">
      <c r="E5784" s="264"/>
      <c r="G5784" s="264"/>
    </row>
    <row r="5785" spans="5:7">
      <c r="E5785" s="264"/>
      <c r="G5785" s="264"/>
    </row>
    <row r="5786" spans="5:7">
      <c r="E5786" s="264"/>
      <c r="G5786" s="264"/>
    </row>
    <row r="5787" spans="5:7">
      <c r="E5787" s="264"/>
      <c r="G5787" s="264"/>
    </row>
    <row r="5788" spans="5:7">
      <c r="E5788" s="264"/>
      <c r="G5788" s="264"/>
    </row>
    <row r="5789" spans="5:7">
      <c r="E5789" s="264"/>
      <c r="G5789" s="264"/>
    </row>
    <row r="5790" spans="5:7">
      <c r="E5790" s="264"/>
      <c r="G5790" s="264"/>
    </row>
    <row r="5791" spans="5:7">
      <c r="E5791" s="264"/>
      <c r="G5791" s="264"/>
    </row>
    <row r="5792" spans="5:7">
      <c r="E5792" s="264"/>
      <c r="G5792" s="264"/>
    </row>
    <row r="5793" spans="5:7">
      <c r="E5793" s="264"/>
      <c r="G5793" s="264"/>
    </row>
    <row r="5794" spans="5:7">
      <c r="E5794" s="264"/>
      <c r="G5794" s="264"/>
    </row>
    <row r="5795" spans="5:7">
      <c r="E5795" s="264"/>
      <c r="G5795" s="264"/>
    </row>
    <row r="5796" spans="5:7">
      <c r="E5796" s="264"/>
      <c r="G5796" s="264"/>
    </row>
    <row r="5797" spans="5:7">
      <c r="E5797" s="264"/>
      <c r="G5797" s="264"/>
    </row>
    <row r="5798" spans="5:7">
      <c r="E5798" s="264"/>
      <c r="G5798" s="264"/>
    </row>
    <row r="5799" spans="5:7">
      <c r="E5799" s="264"/>
      <c r="G5799" s="264"/>
    </row>
    <row r="5800" spans="5:7">
      <c r="E5800" s="264"/>
      <c r="G5800" s="264"/>
    </row>
    <row r="5801" spans="5:7">
      <c r="E5801" s="264"/>
      <c r="G5801" s="264"/>
    </row>
    <row r="5802" spans="5:7">
      <c r="E5802" s="264"/>
      <c r="G5802" s="264"/>
    </row>
    <row r="5803" spans="5:7">
      <c r="E5803" s="264"/>
      <c r="G5803" s="264"/>
    </row>
    <row r="5804" spans="5:7">
      <c r="E5804" s="264"/>
      <c r="G5804" s="264"/>
    </row>
    <row r="5805" spans="5:7">
      <c r="E5805" s="264"/>
      <c r="G5805" s="264"/>
    </row>
    <row r="5806" spans="5:7">
      <c r="E5806" s="264"/>
      <c r="G5806" s="264"/>
    </row>
    <row r="5807" spans="5:7">
      <c r="E5807" s="264"/>
      <c r="G5807" s="264"/>
    </row>
    <row r="5808" spans="5:7">
      <c r="E5808" s="264"/>
      <c r="G5808" s="264"/>
    </row>
    <row r="5809" spans="5:7">
      <c r="E5809" s="264"/>
      <c r="G5809" s="264"/>
    </row>
    <row r="5810" spans="5:7">
      <c r="E5810" s="264"/>
      <c r="G5810" s="264"/>
    </row>
    <row r="5811" spans="5:7">
      <c r="E5811" s="264"/>
      <c r="G5811" s="264"/>
    </row>
    <row r="5812" spans="5:7">
      <c r="E5812" s="264"/>
      <c r="G5812" s="264"/>
    </row>
    <row r="5813" spans="5:7">
      <c r="E5813" s="264"/>
      <c r="G5813" s="264"/>
    </row>
    <row r="5814" spans="5:7">
      <c r="E5814" s="264"/>
      <c r="G5814" s="264"/>
    </row>
    <row r="5815" spans="5:7">
      <c r="E5815" s="264"/>
      <c r="G5815" s="264"/>
    </row>
    <row r="5816" spans="5:7">
      <c r="E5816" s="264"/>
      <c r="G5816" s="264"/>
    </row>
    <row r="5817" spans="5:7">
      <c r="E5817" s="264"/>
      <c r="G5817" s="264"/>
    </row>
    <row r="5818" spans="5:7">
      <c r="E5818" s="264"/>
      <c r="G5818" s="264"/>
    </row>
    <row r="5819" spans="5:7">
      <c r="E5819" s="264"/>
      <c r="G5819" s="264"/>
    </row>
    <row r="5820" spans="5:7">
      <c r="E5820" s="264"/>
      <c r="G5820" s="264"/>
    </row>
    <row r="5821" spans="5:7">
      <c r="E5821" s="264"/>
      <c r="G5821" s="264"/>
    </row>
    <row r="5822" spans="5:7">
      <c r="E5822" s="264"/>
      <c r="G5822" s="264"/>
    </row>
    <row r="5823" spans="5:7">
      <c r="E5823" s="264"/>
      <c r="G5823" s="264"/>
    </row>
    <row r="5824" spans="5:7">
      <c r="E5824" s="264"/>
      <c r="G5824" s="264"/>
    </row>
    <row r="5825" spans="5:7">
      <c r="E5825" s="264"/>
      <c r="G5825" s="264"/>
    </row>
    <row r="5826" spans="5:7">
      <c r="E5826" s="264"/>
      <c r="G5826" s="264"/>
    </row>
    <row r="5827" spans="5:7">
      <c r="E5827" s="264"/>
      <c r="G5827" s="264"/>
    </row>
    <row r="5828" spans="5:7">
      <c r="E5828" s="264"/>
      <c r="G5828" s="264"/>
    </row>
    <row r="5829" spans="5:7">
      <c r="E5829" s="264"/>
      <c r="G5829" s="264"/>
    </row>
    <row r="5830" spans="5:7">
      <c r="E5830" s="264"/>
      <c r="G5830" s="264"/>
    </row>
    <row r="5831" spans="5:7">
      <c r="E5831" s="264"/>
      <c r="G5831" s="264"/>
    </row>
    <row r="5832" spans="5:7">
      <c r="E5832" s="264"/>
      <c r="G5832" s="264"/>
    </row>
    <row r="5833" spans="5:7">
      <c r="E5833" s="264"/>
      <c r="G5833" s="264"/>
    </row>
    <row r="5834" spans="5:7">
      <c r="E5834" s="264"/>
      <c r="G5834" s="264"/>
    </row>
    <row r="5835" spans="5:7">
      <c r="E5835" s="264"/>
      <c r="G5835" s="264"/>
    </row>
    <row r="5836" spans="5:7">
      <c r="E5836" s="264"/>
      <c r="G5836" s="264"/>
    </row>
    <row r="5837" spans="5:7">
      <c r="E5837" s="264"/>
      <c r="G5837" s="264"/>
    </row>
    <row r="5838" spans="5:7">
      <c r="E5838" s="264"/>
      <c r="G5838" s="264"/>
    </row>
    <row r="5839" spans="5:7">
      <c r="E5839" s="264"/>
      <c r="G5839" s="264"/>
    </row>
    <row r="5840" spans="5:7">
      <c r="E5840" s="264"/>
      <c r="G5840" s="264"/>
    </row>
    <row r="5841" spans="5:7">
      <c r="E5841" s="264"/>
      <c r="G5841" s="264"/>
    </row>
    <row r="5842" spans="5:7">
      <c r="E5842" s="264"/>
      <c r="G5842" s="264"/>
    </row>
    <row r="5843" spans="5:7">
      <c r="E5843" s="264"/>
      <c r="G5843" s="264"/>
    </row>
    <row r="5844" spans="5:7">
      <c r="E5844" s="264"/>
      <c r="G5844" s="264"/>
    </row>
    <row r="5845" spans="5:7">
      <c r="E5845" s="264"/>
      <c r="G5845" s="264"/>
    </row>
    <row r="5846" spans="5:7">
      <c r="E5846" s="264"/>
      <c r="G5846" s="264"/>
    </row>
    <row r="5847" spans="5:7">
      <c r="E5847" s="264"/>
      <c r="G5847" s="264"/>
    </row>
    <row r="5848" spans="5:7">
      <c r="E5848" s="264"/>
      <c r="G5848" s="264"/>
    </row>
    <row r="5849" spans="5:7">
      <c r="E5849" s="264"/>
      <c r="G5849" s="264"/>
    </row>
    <row r="5850" spans="5:7">
      <c r="E5850" s="264"/>
      <c r="G5850" s="264"/>
    </row>
    <row r="5851" spans="5:7">
      <c r="E5851" s="264"/>
      <c r="G5851" s="264"/>
    </row>
    <row r="5852" spans="5:7">
      <c r="E5852" s="264"/>
      <c r="G5852" s="264"/>
    </row>
    <row r="5853" spans="5:7">
      <c r="E5853" s="264"/>
      <c r="G5853" s="264"/>
    </row>
    <row r="5854" spans="5:7">
      <c r="E5854" s="264"/>
      <c r="G5854" s="264"/>
    </row>
    <row r="5855" spans="5:7">
      <c r="E5855" s="264"/>
      <c r="G5855" s="264"/>
    </row>
    <row r="5856" spans="5:7">
      <c r="E5856" s="264"/>
      <c r="G5856" s="264"/>
    </row>
    <row r="5857" spans="5:7">
      <c r="E5857" s="264"/>
      <c r="G5857" s="264"/>
    </row>
    <row r="5858" spans="5:7">
      <c r="E5858" s="264"/>
      <c r="G5858" s="264"/>
    </row>
    <row r="5859" spans="5:7">
      <c r="E5859" s="264"/>
      <c r="G5859" s="264"/>
    </row>
    <row r="5860" spans="5:7">
      <c r="E5860" s="264"/>
      <c r="G5860" s="264"/>
    </row>
    <row r="5861" spans="5:7">
      <c r="E5861" s="264"/>
      <c r="G5861" s="264"/>
    </row>
    <row r="5862" spans="5:7">
      <c r="E5862" s="264"/>
      <c r="G5862" s="264"/>
    </row>
    <row r="5863" spans="5:7">
      <c r="E5863" s="264"/>
      <c r="G5863" s="264"/>
    </row>
    <row r="5864" spans="5:7">
      <c r="E5864" s="264"/>
      <c r="G5864" s="264"/>
    </row>
    <row r="5865" spans="5:7">
      <c r="E5865" s="264"/>
      <c r="G5865" s="264"/>
    </row>
    <row r="5866" spans="5:7">
      <c r="E5866" s="264"/>
      <c r="G5866" s="264"/>
    </row>
    <row r="5867" spans="5:7">
      <c r="E5867" s="264"/>
      <c r="G5867" s="264"/>
    </row>
    <row r="5868" spans="5:7">
      <c r="E5868" s="264"/>
      <c r="G5868" s="264"/>
    </row>
    <row r="5869" spans="5:7">
      <c r="E5869" s="264"/>
      <c r="G5869" s="264"/>
    </row>
    <row r="5870" spans="5:7">
      <c r="E5870" s="264"/>
      <c r="G5870" s="264"/>
    </row>
    <row r="5871" spans="5:7">
      <c r="E5871" s="264"/>
      <c r="G5871" s="264"/>
    </row>
    <row r="5872" spans="5:7">
      <c r="E5872" s="264"/>
      <c r="G5872" s="264"/>
    </row>
    <row r="5873" spans="5:7">
      <c r="E5873" s="264"/>
      <c r="G5873" s="264"/>
    </row>
    <row r="5874" spans="5:7">
      <c r="E5874" s="264"/>
      <c r="G5874" s="264"/>
    </row>
    <row r="5875" spans="5:7">
      <c r="E5875" s="264"/>
      <c r="G5875" s="264"/>
    </row>
    <row r="5876" spans="5:7">
      <c r="E5876" s="264"/>
      <c r="G5876" s="264"/>
    </row>
    <row r="5877" spans="5:7">
      <c r="E5877" s="264"/>
      <c r="G5877" s="264"/>
    </row>
    <row r="5878" spans="5:7">
      <c r="E5878" s="264"/>
      <c r="G5878" s="264"/>
    </row>
    <row r="5879" spans="5:7">
      <c r="E5879" s="264"/>
      <c r="G5879" s="264"/>
    </row>
    <row r="5880" spans="5:7">
      <c r="E5880" s="264"/>
      <c r="G5880" s="264"/>
    </row>
    <row r="5881" spans="5:7">
      <c r="E5881" s="264"/>
      <c r="G5881" s="264"/>
    </row>
    <row r="5882" spans="5:7">
      <c r="E5882" s="264"/>
      <c r="G5882" s="264"/>
    </row>
    <row r="5883" spans="5:7">
      <c r="E5883" s="264"/>
      <c r="G5883" s="264"/>
    </row>
    <row r="5884" spans="5:7">
      <c r="E5884" s="264"/>
      <c r="G5884" s="264"/>
    </row>
    <row r="5885" spans="5:7">
      <c r="E5885" s="264"/>
      <c r="G5885" s="264"/>
    </row>
    <row r="5886" spans="5:7">
      <c r="E5886" s="264"/>
      <c r="G5886" s="264"/>
    </row>
    <row r="5887" spans="5:7">
      <c r="E5887" s="264"/>
      <c r="G5887" s="264"/>
    </row>
    <row r="5888" spans="5:7">
      <c r="E5888" s="264"/>
      <c r="G5888" s="264"/>
    </row>
    <row r="5889" spans="5:7">
      <c r="E5889" s="264"/>
      <c r="G5889" s="264"/>
    </row>
    <row r="5890" spans="5:7">
      <c r="E5890" s="264"/>
      <c r="G5890" s="264"/>
    </row>
    <row r="5891" spans="5:7">
      <c r="E5891" s="264"/>
      <c r="G5891" s="264"/>
    </row>
    <row r="5892" spans="5:7">
      <c r="E5892" s="264"/>
      <c r="G5892" s="264"/>
    </row>
    <row r="5893" spans="5:7">
      <c r="E5893" s="264"/>
      <c r="G5893" s="264"/>
    </row>
    <row r="5894" spans="5:7">
      <c r="E5894" s="264"/>
      <c r="G5894" s="264"/>
    </row>
    <row r="5895" spans="5:7">
      <c r="E5895" s="264"/>
      <c r="G5895" s="264"/>
    </row>
    <row r="5896" spans="5:7">
      <c r="E5896" s="264"/>
      <c r="G5896" s="264"/>
    </row>
    <row r="5897" spans="5:7">
      <c r="E5897" s="264"/>
      <c r="G5897" s="264"/>
    </row>
    <row r="5898" spans="5:7">
      <c r="E5898" s="264"/>
      <c r="G5898" s="264"/>
    </row>
    <row r="5899" spans="5:7">
      <c r="E5899" s="264"/>
      <c r="G5899" s="264"/>
    </row>
    <row r="5900" spans="5:7">
      <c r="E5900" s="264"/>
      <c r="G5900" s="264"/>
    </row>
    <row r="5901" spans="5:7">
      <c r="E5901" s="264"/>
      <c r="G5901" s="264"/>
    </row>
    <row r="5902" spans="5:7">
      <c r="E5902" s="264"/>
      <c r="G5902" s="264"/>
    </row>
    <row r="5903" spans="5:7">
      <c r="E5903" s="264"/>
      <c r="G5903" s="264"/>
    </row>
    <row r="5904" spans="5:7">
      <c r="E5904" s="264"/>
      <c r="G5904" s="264"/>
    </row>
    <row r="5905" spans="5:7">
      <c r="E5905" s="264"/>
      <c r="G5905" s="264"/>
    </row>
    <row r="5906" spans="5:7">
      <c r="E5906" s="264"/>
      <c r="G5906" s="264"/>
    </row>
    <row r="5907" spans="5:7">
      <c r="E5907" s="264"/>
      <c r="G5907" s="264"/>
    </row>
    <row r="5908" spans="5:7">
      <c r="E5908" s="264"/>
      <c r="G5908" s="264"/>
    </row>
    <row r="5909" spans="5:7">
      <c r="E5909" s="264"/>
      <c r="G5909" s="264"/>
    </row>
    <row r="5910" spans="5:7">
      <c r="E5910" s="264"/>
      <c r="G5910" s="264"/>
    </row>
    <row r="5911" spans="5:7">
      <c r="E5911" s="264"/>
      <c r="G5911" s="264"/>
    </row>
    <row r="5912" spans="5:7">
      <c r="E5912" s="264"/>
      <c r="G5912" s="264"/>
    </row>
    <row r="5913" spans="5:7">
      <c r="E5913" s="264"/>
      <c r="G5913" s="264"/>
    </row>
    <row r="5914" spans="5:7">
      <c r="E5914" s="264"/>
      <c r="G5914" s="264"/>
    </row>
    <row r="5915" spans="5:7">
      <c r="E5915" s="264"/>
      <c r="G5915" s="264"/>
    </row>
    <row r="5916" spans="5:7">
      <c r="E5916" s="264"/>
      <c r="G5916" s="264"/>
    </row>
    <row r="5917" spans="5:7">
      <c r="E5917" s="264"/>
      <c r="G5917" s="264"/>
    </row>
    <row r="5918" spans="5:7">
      <c r="E5918" s="264"/>
      <c r="G5918" s="264"/>
    </row>
    <row r="5919" spans="5:7">
      <c r="E5919" s="264"/>
      <c r="G5919" s="264"/>
    </row>
    <row r="5920" spans="5:7">
      <c r="E5920" s="264"/>
      <c r="G5920" s="264"/>
    </row>
    <row r="5921" spans="5:7">
      <c r="E5921" s="264"/>
      <c r="G5921" s="264"/>
    </row>
    <row r="5922" spans="5:7">
      <c r="E5922" s="264"/>
      <c r="G5922" s="264"/>
    </row>
    <row r="5923" spans="5:7">
      <c r="E5923" s="264"/>
      <c r="G5923" s="264"/>
    </row>
    <row r="5924" spans="5:7">
      <c r="E5924" s="264"/>
      <c r="G5924" s="264"/>
    </row>
    <row r="5925" spans="5:7">
      <c r="E5925" s="264"/>
      <c r="G5925" s="264"/>
    </row>
    <row r="5926" spans="5:7">
      <c r="E5926" s="264"/>
      <c r="G5926" s="264"/>
    </row>
    <row r="5927" spans="5:7">
      <c r="E5927" s="264"/>
      <c r="G5927" s="264"/>
    </row>
    <row r="5928" spans="5:7">
      <c r="E5928" s="264"/>
      <c r="G5928" s="264"/>
    </row>
    <row r="5929" spans="5:7">
      <c r="E5929" s="264"/>
      <c r="G5929" s="264"/>
    </row>
    <row r="5930" spans="5:7">
      <c r="E5930" s="264"/>
      <c r="G5930" s="264"/>
    </row>
    <row r="5931" spans="5:7">
      <c r="E5931" s="264"/>
      <c r="G5931" s="264"/>
    </row>
    <row r="5932" spans="5:7">
      <c r="E5932" s="264"/>
      <c r="G5932" s="264"/>
    </row>
    <row r="5933" spans="5:7">
      <c r="E5933" s="264"/>
      <c r="G5933" s="264"/>
    </row>
    <row r="5934" spans="5:7">
      <c r="E5934" s="264"/>
      <c r="G5934" s="264"/>
    </row>
    <row r="5935" spans="5:7">
      <c r="E5935" s="264"/>
      <c r="G5935" s="264"/>
    </row>
    <row r="5936" spans="5:7">
      <c r="E5936" s="264"/>
      <c r="G5936" s="264"/>
    </row>
    <row r="5937" spans="5:7">
      <c r="E5937" s="264"/>
      <c r="G5937" s="264"/>
    </row>
    <row r="5938" spans="5:7">
      <c r="E5938" s="264"/>
      <c r="G5938" s="264"/>
    </row>
    <row r="5939" spans="5:7">
      <c r="E5939" s="264"/>
      <c r="G5939" s="264"/>
    </row>
    <row r="5940" spans="5:7">
      <c r="E5940" s="264"/>
      <c r="G5940" s="264"/>
    </row>
    <row r="5941" spans="5:7">
      <c r="E5941" s="264"/>
      <c r="G5941" s="264"/>
    </row>
    <row r="5942" spans="5:7">
      <c r="E5942" s="264"/>
      <c r="G5942" s="264"/>
    </row>
    <row r="5943" spans="5:7">
      <c r="E5943" s="264"/>
      <c r="G5943" s="264"/>
    </row>
    <row r="5944" spans="5:7">
      <c r="E5944" s="264"/>
      <c r="G5944" s="264"/>
    </row>
    <row r="5945" spans="5:7">
      <c r="E5945" s="264"/>
      <c r="G5945" s="264"/>
    </row>
    <row r="5946" spans="5:7">
      <c r="E5946" s="264"/>
      <c r="G5946" s="264"/>
    </row>
    <row r="5947" spans="5:7">
      <c r="E5947" s="264"/>
      <c r="G5947" s="264"/>
    </row>
    <row r="5948" spans="5:7">
      <c r="E5948" s="264"/>
      <c r="G5948" s="264"/>
    </row>
    <row r="5949" spans="5:7">
      <c r="E5949" s="264"/>
      <c r="G5949" s="264"/>
    </row>
    <row r="5950" spans="5:7">
      <c r="E5950" s="264"/>
      <c r="G5950" s="264"/>
    </row>
    <row r="5951" spans="5:7">
      <c r="E5951" s="264"/>
      <c r="G5951" s="264"/>
    </row>
    <row r="5952" spans="5:7">
      <c r="E5952" s="264"/>
      <c r="G5952" s="264"/>
    </row>
    <row r="5953" spans="5:7">
      <c r="E5953" s="264"/>
      <c r="G5953" s="264"/>
    </row>
    <row r="5954" spans="5:7">
      <c r="E5954" s="264"/>
      <c r="G5954" s="264"/>
    </row>
    <row r="5955" spans="5:7">
      <c r="E5955" s="264"/>
      <c r="G5955" s="264"/>
    </row>
    <row r="5956" spans="5:7">
      <c r="E5956" s="264"/>
      <c r="G5956" s="264"/>
    </row>
    <row r="5957" spans="5:7">
      <c r="E5957" s="264"/>
      <c r="G5957" s="264"/>
    </row>
    <row r="5958" spans="5:7">
      <c r="E5958" s="264"/>
      <c r="G5958" s="264"/>
    </row>
    <row r="5959" spans="5:7">
      <c r="E5959" s="264"/>
      <c r="G5959" s="264"/>
    </row>
    <row r="5960" spans="5:7">
      <c r="E5960" s="264"/>
      <c r="G5960" s="264"/>
    </row>
    <row r="5961" spans="5:7">
      <c r="E5961" s="264"/>
      <c r="G5961" s="264"/>
    </row>
    <row r="5962" spans="5:7">
      <c r="E5962" s="264"/>
      <c r="G5962" s="264"/>
    </row>
    <row r="5963" spans="5:7">
      <c r="E5963" s="264"/>
      <c r="G5963" s="264"/>
    </row>
    <row r="5964" spans="5:7">
      <c r="E5964" s="264"/>
      <c r="G5964" s="264"/>
    </row>
    <row r="5965" spans="5:7">
      <c r="E5965" s="264"/>
      <c r="G5965" s="264"/>
    </row>
    <row r="5966" spans="5:7">
      <c r="E5966" s="264"/>
      <c r="G5966" s="264"/>
    </row>
    <row r="5967" spans="5:7">
      <c r="E5967" s="264"/>
      <c r="G5967" s="264"/>
    </row>
    <row r="5968" spans="5:7">
      <c r="E5968" s="264"/>
      <c r="G5968" s="264"/>
    </row>
    <row r="5969" spans="5:7">
      <c r="E5969" s="264"/>
      <c r="G5969" s="264"/>
    </row>
    <row r="5970" spans="5:7">
      <c r="E5970" s="264"/>
      <c r="G5970" s="264"/>
    </row>
    <row r="5971" spans="5:7">
      <c r="E5971" s="264"/>
      <c r="G5971" s="264"/>
    </row>
    <row r="5972" spans="5:7">
      <c r="E5972" s="264"/>
      <c r="G5972" s="264"/>
    </row>
    <row r="5973" spans="5:7">
      <c r="E5973" s="264"/>
      <c r="G5973" s="264"/>
    </row>
    <row r="5974" spans="5:7">
      <c r="E5974" s="264"/>
      <c r="G5974" s="264"/>
    </row>
    <row r="5975" spans="5:7">
      <c r="E5975" s="264"/>
      <c r="G5975" s="264"/>
    </row>
    <row r="5976" spans="5:7">
      <c r="E5976" s="264"/>
      <c r="G5976" s="264"/>
    </row>
    <row r="5977" spans="5:7">
      <c r="E5977" s="264"/>
      <c r="G5977" s="264"/>
    </row>
    <row r="5978" spans="5:7">
      <c r="E5978" s="264"/>
      <c r="G5978" s="264"/>
    </row>
    <row r="5979" spans="5:7">
      <c r="E5979" s="264"/>
      <c r="G5979" s="264"/>
    </row>
    <row r="5980" spans="5:7">
      <c r="E5980" s="264"/>
      <c r="G5980" s="264"/>
    </row>
    <row r="5981" spans="5:7">
      <c r="E5981" s="264"/>
      <c r="G5981" s="264"/>
    </row>
    <row r="5982" spans="5:7">
      <c r="E5982" s="264"/>
      <c r="G5982" s="264"/>
    </row>
    <row r="5983" spans="5:7">
      <c r="E5983" s="264"/>
      <c r="G5983" s="264"/>
    </row>
    <row r="5984" spans="5:7">
      <c r="E5984" s="264"/>
      <c r="G5984" s="264"/>
    </row>
    <row r="5985" spans="5:7">
      <c r="E5985" s="264"/>
      <c r="G5985" s="264"/>
    </row>
    <row r="5986" spans="5:7">
      <c r="E5986" s="264"/>
      <c r="G5986" s="264"/>
    </row>
    <row r="5987" spans="5:7">
      <c r="E5987" s="264"/>
      <c r="G5987" s="264"/>
    </row>
    <row r="5988" spans="5:7">
      <c r="E5988" s="264"/>
      <c r="G5988" s="264"/>
    </row>
    <row r="5989" spans="5:7">
      <c r="E5989" s="264"/>
      <c r="G5989" s="264"/>
    </row>
    <row r="5990" spans="5:7">
      <c r="E5990" s="264"/>
      <c r="G5990" s="264"/>
    </row>
    <row r="5991" spans="5:7">
      <c r="E5991" s="264"/>
      <c r="G5991" s="264"/>
    </row>
    <row r="5992" spans="5:7">
      <c r="E5992" s="264"/>
      <c r="G5992" s="264"/>
    </row>
    <row r="5993" spans="5:7">
      <c r="E5993" s="264"/>
      <c r="G5993" s="264"/>
    </row>
    <row r="5994" spans="5:7">
      <c r="E5994" s="264"/>
      <c r="G5994" s="264"/>
    </row>
    <row r="5995" spans="5:7">
      <c r="E5995" s="264"/>
      <c r="G5995" s="264"/>
    </row>
    <row r="5996" spans="5:7">
      <c r="E5996" s="264"/>
      <c r="G5996" s="264"/>
    </row>
    <row r="5997" spans="5:7">
      <c r="E5997" s="264"/>
      <c r="G5997" s="264"/>
    </row>
    <row r="5998" spans="5:7">
      <c r="E5998" s="264"/>
      <c r="G5998" s="264"/>
    </row>
    <row r="5999" spans="5:7">
      <c r="E5999" s="264"/>
      <c r="G5999" s="264"/>
    </row>
    <row r="6000" spans="5:7">
      <c r="E6000" s="264"/>
      <c r="G6000" s="264"/>
    </row>
    <row r="6001" spans="5:7">
      <c r="E6001" s="264"/>
      <c r="G6001" s="264"/>
    </row>
    <row r="6002" spans="5:7">
      <c r="E6002" s="264"/>
      <c r="G6002" s="264"/>
    </row>
    <row r="6003" spans="5:7">
      <c r="E6003" s="264"/>
      <c r="G6003" s="264"/>
    </row>
    <row r="6004" spans="5:7">
      <c r="E6004" s="264"/>
      <c r="G6004" s="264"/>
    </row>
    <row r="6005" spans="5:7">
      <c r="E6005" s="264"/>
      <c r="G6005" s="264"/>
    </row>
    <row r="6006" spans="5:7">
      <c r="E6006" s="264"/>
      <c r="G6006" s="264"/>
    </row>
    <row r="6007" spans="5:7">
      <c r="E6007" s="264"/>
      <c r="G6007" s="264"/>
    </row>
    <row r="6008" spans="5:7">
      <c r="E6008" s="264"/>
      <c r="G6008" s="264"/>
    </row>
    <row r="6009" spans="5:7">
      <c r="E6009" s="264"/>
      <c r="G6009" s="264"/>
    </row>
    <row r="6010" spans="5:7">
      <c r="E6010" s="264"/>
      <c r="G6010" s="264"/>
    </row>
    <row r="6011" spans="5:7">
      <c r="E6011" s="264"/>
      <c r="G6011" s="264"/>
    </row>
    <row r="6012" spans="5:7">
      <c r="E6012" s="264"/>
      <c r="G6012" s="264"/>
    </row>
    <row r="6013" spans="5:7">
      <c r="E6013" s="264"/>
      <c r="G6013" s="264"/>
    </row>
    <row r="6014" spans="5:7">
      <c r="E6014" s="264"/>
      <c r="G6014" s="264"/>
    </row>
    <row r="6015" spans="5:7">
      <c r="E6015" s="264"/>
      <c r="G6015" s="264"/>
    </row>
    <row r="6016" spans="5:7">
      <c r="E6016" s="264"/>
      <c r="G6016" s="264"/>
    </row>
    <row r="6017" spans="5:7">
      <c r="E6017" s="264"/>
      <c r="G6017" s="264"/>
    </row>
    <row r="6018" spans="5:7">
      <c r="E6018" s="264"/>
      <c r="G6018" s="264"/>
    </row>
    <row r="6019" spans="5:7">
      <c r="E6019" s="264"/>
      <c r="G6019" s="264"/>
    </row>
    <row r="6020" spans="5:7">
      <c r="E6020" s="264"/>
      <c r="G6020" s="264"/>
    </row>
    <row r="6021" spans="5:7">
      <c r="E6021" s="264"/>
      <c r="G6021" s="264"/>
    </row>
    <row r="6022" spans="5:7">
      <c r="E6022" s="264"/>
      <c r="G6022" s="264"/>
    </row>
    <row r="6023" spans="5:7">
      <c r="E6023" s="264"/>
      <c r="G6023" s="264"/>
    </row>
    <row r="6024" spans="5:7">
      <c r="E6024" s="264"/>
      <c r="G6024" s="264"/>
    </row>
    <row r="6025" spans="5:7">
      <c r="E6025" s="264"/>
      <c r="G6025" s="264"/>
    </row>
    <row r="6026" spans="5:7">
      <c r="E6026" s="264"/>
      <c r="G6026" s="264"/>
    </row>
    <row r="6027" spans="5:7">
      <c r="E6027" s="264"/>
      <c r="G6027" s="264"/>
    </row>
    <row r="6028" spans="5:7">
      <c r="E6028" s="264"/>
      <c r="G6028" s="264"/>
    </row>
    <row r="6029" spans="5:7">
      <c r="E6029" s="264"/>
      <c r="G6029" s="264"/>
    </row>
    <row r="6030" spans="5:7">
      <c r="E6030" s="264"/>
      <c r="G6030" s="264"/>
    </row>
    <row r="6031" spans="5:7">
      <c r="E6031" s="264"/>
      <c r="G6031" s="264"/>
    </row>
    <row r="6032" spans="5:7">
      <c r="E6032" s="264"/>
      <c r="G6032" s="264"/>
    </row>
    <row r="6033" spans="5:7">
      <c r="E6033" s="264"/>
      <c r="G6033" s="264"/>
    </row>
    <row r="6034" spans="5:7">
      <c r="E6034" s="264"/>
      <c r="G6034" s="264"/>
    </row>
    <row r="6035" spans="5:7">
      <c r="E6035" s="264"/>
      <c r="G6035" s="264"/>
    </row>
    <row r="6036" spans="5:7">
      <c r="E6036" s="264"/>
      <c r="G6036" s="264"/>
    </row>
    <row r="6037" spans="5:7">
      <c r="E6037" s="264"/>
      <c r="G6037" s="264"/>
    </row>
    <row r="6038" spans="5:7">
      <c r="E6038" s="264"/>
      <c r="G6038" s="264"/>
    </row>
    <row r="6039" spans="5:7">
      <c r="E6039" s="264"/>
      <c r="G6039" s="264"/>
    </row>
    <row r="6040" spans="5:7">
      <c r="E6040" s="264"/>
      <c r="G6040" s="264"/>
    </row>
    <row r="6041" spans="5:7">
      <c r="E6041" s="264"/>
      <c r="G6041" s="264"/>
    </row>
    <row r="6042" spans="5:7">
      <c r="E6042" s="264"/>
      <c r="G6042" s="264"/>
    </row>
    <row r="6043" spans="5:7">
      <c r="E6043" s="264"/>
      <c r="G6043" s="264"/>
    </row>
    <row r="6044" spans="5:7">
      <c r="E6044" s="264"/>
      <c r="G6044" s="264"/>
    </row>
    <row r="6045" spans="5:7">
      <c r="E6045" s="264"/>
      <c r="G6045" s="264"/>
    </row>
    <row r="6046" spans="5:7">
      <c r="E6046" s="264"/>
      <c r="G6046" s="264"/>
    </row>
    <row r="6047" spans="5:7">
      <c r="E6047" s="264"/>
      <c r="G6047" s="264"/>
    </row>
    <row r="6048" spans="5:7">
      <c r="E6048" s="264"/>
      <c r="G6048" s="264"/>
    </row>
    <row r="6049" spans="5:7">
      <c r="E6049" s="264"/>
      <c r="G6049" s="264"/>
    </row>
    <row r="6050" spans="5:7">
      <c r="E6050" s="264"/>
      <c r="G6050" s="264"/>
    </row>
    <row r="6051" spans="5:7">
      <c r="E6051" s="264"/>
      <c r="G6051" s="264"/>
    </row>
    <row r="6052" spans="5:7">
      <c r="E6052" s="264"/>
      <c r="G6052" s="264"/>
    </row>
    <row r="6053" spans="5:7">
      <c r="E6053" s="264"/>
      <c r="G6053" s="264"/>
    </row>
    <row r="6054" spans="5:7">
      <c r="E6054" s="264"/>
      <c r="G6054" s="264"/>
    </row>
    <row r="6055" spans="5:7">
      <c r="E6055" s="264"/>
      <c r="G6055" s="264"/>
    </row>
    <row r="6056" spans="5:7">
      <c r="E6056" s="264"/>
      <c r="G6056" s="264"/>
    </row>
    <row r="6057" spans="5:7">
      <c r="E6057" s="264"/>
      <c r="G6057" s="264"/>
    </row>
    <row r="6058" spans="5:7">
      <c r="E6058" s="264"/>
      <c r="G6058" s="264"/>
    </row>
    <row r="6059" spans="5:7">
      <c r="E6059" s="264"/>
      <c r="G6059" s="264"/>
    </row>
    <row r="6060" spans="5:7">
      <c r="E6060" s="264"/>
      <c r="G6060" s="264"/>
    </row>
    <row r="6061" spans="5:7">
      <c r="E6061" s="264"/>
      <c r="G6061" s="264"/>
    </row>
    <row r="6062" spans="5:7">
      <c r="E6062" s="264"/>
      <c r="G6062" s="264"/>
    </row>
    <row r="6063" spans="5:7">
      <c r="E6063" s="264"/>
      <c r="G6063" s="264"/>
    </row>
    <row r="6064" spans="5:7">
      <c r="E6064" s="264"/>
      <c r="G6064" s="264"/>
    </row>
    <row r="6065" spans="5:7">
      <c r="E6065" s="264"/>
      <c r="G6065" s="264"/>
    </row>
    <row r="6066" spans="5:7">
      <c r="E6066" s="264"/>
      <c r="G6066" s="264"/>
    </row>
    <row r="6067" spans="5:7">
      <c r="E6067" s="264"/>
      <c r="G6067" s="264"/>
    </row>
    <row r="6068" spans="5:7">
      <c r="E6068" s="264"/>
      <c r="G6068" s="264"/>
    </row>
    <row r="6069" spans="5:7">
      <c r="E6069" s="264"/>
      <c r="G6069" s="264"/>
    </row>
    <row r="6070" spans="5:7">
      <c r="E6070" s="264"/>
      <c r="G6070" s="264"/>
    </row>
    <row r="6071" spans="5:7">
      <c r="E6071" s="264"/>
      <c r="G6071" s="264"/>
    </row>
    <row r="6072" spans="5:7">
      <c r="E6072" s="264"/>
      <c r="G6072" s="264"/>
    </row>
    <row r="6073" spans="5:7">
      <c r="E6073" s="264"/>
      <c r="G6073" s="264"/>
    </row>
    <row r="6074" spans="5:7">
      <c r="E6074" s="264"/>
      <c r="G6074" s="264"/>
    </row>
    <row r="6075" spans="5:7">
      <c r="E6075" s="264"/>
      <c r="G6075" s="264"/>
    </row>
    <row r="6076" spans="5:7">
      <c r="E6076" s="264"/>
      <c r="G6076" s="264"/>
    </row>
    <row r="6077" spans="5:7">
      <c r="E6077" s="264"/>
      <c r="G6077" s="264"/>
    </row>
    <row r="6078" spans="5:7">
      <c r="E6078" s="264"/>
      <c r="G6078" s="264"/>
    </row>
    <row r="6079" spans="5:7">
      <c r="E6079" s="264"/>
      <c r="G6079" s="264"/>
    </row>
    <row r="6080" spans="5:7">
      <c r="E6080" s="264"/>
      <c r="G6080" s="264"/>
    </row>
    <row r="6081" spans="5:7">
      <c r="E6081" s="264"/>
      <c r="G6081" s="264"/>
    </row>
    <row r="6082" spans="5:7">
      <c r="E6082" s="264"/>
      <c r="G6082" s="264"/>
    </row>
    <row r="6083" spans="5:7">
      <c r="E6083" s="264"/>
      <c r="G6083" s="264"/>
    </row>
    <row r="6084" spans="5:7">
      <c r="E6084" s="264"/>
      <c r="G6084" s="264"/>
    </row>
    <row r="6085" spans="5:7">
      <c r="E6085" s="264"/>
      <c r="G6085" s="264"/>
    </row>
    <row r="6086" spans="5:7">
      <c r="E6086" s="264"/>
      <c r="G6086" s="264"/>
    </row>
    <row r="6087" spans="5:7">
      <c r="E6087" s="264"/>
      <c r="G6087" s="264"/>
    </row>
    <row r="6088" spans="5:7">
      <c r="E6088" s="264"/>
      <c r="G6088" s="264"/>
    </row>
    <row r="6089" spans="5:7">
      <c r="E6089" s="264"/>
      <c r="G6089" s="264"/>
    </row>
    <row r="6090" spans="5:7">
      <c r="E6090" s="264"/>
      <c r="G6090" s="264"/>
    </row>
    <row r="6091" spans="5:7">
      <c r="E6091" s="264"/>
      <c r="G6091" s="264"/>
    </row>
    <row r="6092" spans="5:7">
      <c r="E6092" s="264"/>
      <c r="G6092" s="264"/>
    </row>
    <row r="6093" spans="5:7">
      <c r="E6093" s="264"/>
      <c r="G6093" s="264"/>
    </row>
    <row r="6094" spans="5:7">
      <c r="E6094" s="264"/>
      <c r="G6094" s="264"/>
    </row>
    <row r="6095" spans="5:7">
      <c r="E6095" s="264"/>
      <c r="G6095" s="264"/>
    </row>
    <row r="6096" spans="5:7">
      <c r="E6096" s="264"/>
      <c r="G6096" s="264"/>
    </row>
    <row r="6097" spans="5:7">
      <c r="E6097" s="264"/>
      <c r="G6097" s="264"/>
    </row>
    <row r="6098" spans="5:7">
      <c r="E6098" s="264"/>
      <c r="G6098" s="264"/>
    </row>
    <row r="6099" spans="5:7">
      <c r="E6099" s="264"/>
      <c r="G6099" s="264"/>
    </row>
    <row r="6100" spans="5:7">
      <c r="E6100" s="264"/>
      <c r="G6100" s="264"/>
    </row>
    <row r="6101" spans="5:7">
      <c r="E6101" s="264"/>
      <c r="G6101" s="264"/>
    </row>
    <row r="6102" spans="5:7">
      <c r="E6102" s="264"/>
      <c r="G6102" s="264"/>
    </row>
    <row r="6103" spans="5:7">
      <c r="E6103" s="264"/>
      <c r="G6103" s="264"/>
    </row>
    <row r="6104" spans="5:7">
      <c r="E6104" s="264"/>
      <c r="G6104" s="264"/>
    </row>
    <row r="6105" spans="5:7">
      <c r="E6105" s="264"/>
      <c r="G6105" s="264"/>
    </row>
    <row r="6106" spans="5:7">
      <c r="E6106" s="264"/>
      <c r="G6106" s="264"/>
    </row>
    <row r="6107" spans="5:7">
      <c r="E6107" s="264"/>
      <c r="G6107" s="264"/>
    </row>
    <row r="6108" spans="5:7">
      <c r="E6108" s="264"/>
      <c r="G6108" s="264"/>
    </row>
    <row r="6109" spans="5:7">
      <c r="E6109" s="264"/>
      <c r="G6109" s="264"/>
    </row>
    <row r="6110" spans="5:7">
      <c r="E6110" s="264"/>
      <c r="G6110" s="264"/>
    </row>
    <row r="6111" spans="5:7">
      <c r="E6111" s="264"/>
      <c r="G6111" s="264"/>
    </row>
    <row r="6112" spans="5:7">
      <c r="E6112" s="264"/>
      <c r="G6112" s="264"/>
    </row>
    <row r="6113" spans="5:7">
      <c r="E6113" s="264"/>
      <c r="G6113" s="264"/>
    </row>
    <row r="6114" spans="5:7">
      <c r="E6114" s="264"/>
      <c r="G6114" s="264"/>
    </row>
    <row r="6115" spans="5:7">
      <c r="E6115" s="264"/>
      <c r="G6115" s="264"/>
    </row>
    <row r="6116" spans="5:7">
      <c r="E6116" s="264"/>
      <c r="G6116" s="264"/>
    </row>
    <row r="6117" spans="5:7">
      <c r="E6117" s="264"/>
      <c r="G6117" s="264"/>
    </row>
    <row r="6118" spans="5:7">
      <c r="E6118" s="264"/>
      <c r="G6118" s="264"/>
    </row>
    <row r="6119" spans="5:7">
      <c r="E6119" s="264"/>
      <c r="G6119" s="264"/>
    </row>
    <row r="6120" spans="5:7">
      <c r="E6120" s="264"/>
      <c r="G6120" s="264"/>
    </row>
    <row r="6121" spans="5:7">
      <c r="E6121" s="264"/>
      <c r="G6121" s="264"/>
    </row>
    <row r="6122" spans="5:7">
      <c r="E6122" s="264"/>
      <c r="G6122" s="264"/>
    </row>
    <row r="6123" spans="5:7">
      <c r="E6123" s="264"/>
      <c r="G6123" s="264"/>
    </row>
    <row r="6124" spans="5:7">
      <c r="E6124" s="264"/>
      <c r="G6124" s="264"/>
    </row>
    <row r="6125" spans="5:7">
      <c r="E6125" s="264"/>
      <c r="G6125" s="264"/>
    </row>
    <row r="6126" spans="5:7">
      <c r="E6126" s="264"/>
      <c r="G6126" s="264"/>
    </row>
    <row r="6127" spans="5:7">
      <c r="E6127" s="264"/>
      <c r="G6127" s="264"/>
    </row>
    <row r="6128" spans="5:7">
      <c r="E6128" s="264"/>
      <c r="G6128" s="264"/>
    </row>
    <row r="6129" spans="5:7">
      <c r="E6129" s="264"/>
      <c r="G6129" s="264"/>
    </row>
    <row r="6130" spans="5:7">
      <c r="E6130" s="264"/>
      <c r="G6130" s="264"/>
    </row>
    <row r="6131" spans="5:7">
      <c r="E6131" s="264"/>
      <c r="G6131" s="264"/>
    </row>
    <row r="6132" spans="5:7">
      <c r="E6132" s="264"/>
      <c r="G6132" s="264"/>
    </row>
    <row r="6133" spans="5:7">
      <c r="E6133" s="264"/>
      <c r="G6133" s="264"/>
    </row>
    <row r="6134" spans="5:7">
      <c r="E6134" s="264"/>
      <c r="G6134" s="264"/>
    </row>
    <row r="6135" spans="5:7">
      <c r="E6135" s="264"/>
      <c r="G6135" s="264"/>
    </row>
    <row r="6136" spans="5:7">
      <c r="E6136" s="264"/>
      <c r="G6136" s="264"/>
    </row>
    <row r="6137" spans="5:7">
      <c r="E6137" s="264"/>
      <c r="G6137" s="264"/>
    </row>
    <row r="6138" spans="5:7">
      <c r="E6138" s="264"/>
      <c r="G6138" s="264"/>
    </row>
    <row r="6139" spans="5:7">
      <c r="E6139" s="264"/>
      <c r="G6139" s="264"/>
    </row>
    <row r="6140" spans="5:7">
      <c r="E6140" s="264"/>
      <c r="G6140" s="264"/>
    </row>
    <row r="6141" spans="5:7">
      <c r="E6141" s="264"/>
      <c r="G6141" s="264"/>
    </row>
    <row r="6142" spans="5:7">
      <c r="E6142" s="264"/>
      <c r="G6142" s="264"/>
    </row>
    <row r="6143" spans="5:7">
      <c r="E6143" s="264"/>
      <c r="G6143" s="264"/>
    </row>
    <row r="6144" spans="5:7">
      <c r="E6144" s="264"/>
      <c r="G6144" s="264"/>
    </row>
    <row r="6145" spans="5:7">
      <c r="E6145" s="264"/>
      <c r="G6145" s="264"/>
    </row>
    <row r="6146" spans="5:7">
      <c r="E6146" s="264"/>
      <c r="G6146" s="264"/>
    </row>
    <row r="6147" spans="5:7">
      <c r="E6147" s="264"/>
      <c r="G6147" s="264"/>
    </row>
    <row r="6148" spans="5:7">
      <c r="E6148" s="264"/>
      <c r="G6148" s="264"/>
    </row>
    <row r="6149" spans="5:7">
      <c r="E6149" s="264"/>
      <c r="G6149" s="264"/>
    </row>
    <row r="6150" spans="5:7">
      <c r="E6150" s="264"/>
      <c r="G6150" s="264"/>
    </row>
    <row r="6151" spans="5:7">
      <c r="E6151" s="264"/>
      <c r="G6151" s="264"/>
    </row>
    <row r="6152" spans="5:7">
      <c r="E6152" s="264"/>
      <c r="G6152" s="264"/>
    </row>
    <row r="6153" spans="5:7">
      <c r="E6153" s="264"/>
      <c r="G6153" s="264"/>
    </row>
    <row r="6154" spans="5:7">
      <c r="E6154" s="264"/>
      <c r="G6154" s="264"/>
    </row>
    <row r="6155" spans="5:7">
      <c r="E6155" s="264"/>
      <c r="G6155" s="264"/>
    </row>
    <row r="6156" spans="5:7">
      <c r="E6156" s="264"/>
      <c r="G6156" s="264"/>
    </row>
    <row r="6157" spans="5:7">
      <c r="E6157" s="264"/>
      <c r="G6157" s="264"/>
    </row>
    <row r="6158" spans="5:7">
      <c r="E6158" s="264"/>
      <c r="G6158" s="264"/>
    </row>
    <row r="6159" spans="5:7">
      <c r="E6159" s="264"/>
      <c r="G6159" s="264"/>
    </row>
    <row r="6160" spans="5:7">
      <c r="E6160" s="264"/>
      <c r="G6160" s="264"/>
    </row>
    <row r="6161" spans="5:7">
      <c r="E6161" s="264"/>
      <c r="G6161" s="264"/>
    </row>
    <row r="6162" spans="5:7">
      <c r="E6162" s="264"/>
      <c r="G6162" s="264"/>
    </row>
    <row r="6163" spans="5:7">
      <c r="E6163" s="264"/>
      <c r="G6163" s="264"/>
    </row>
    <row r="6164" spans="5:7">
      <c r="E6164" s="264"/>
      <c r="G6164" s="264"/>
    </row>
    <row r="6165" spans="5:7">
      <c r="E6165" s="264"/>
      <c r="G6165" s="264"/>
    </row>
    <row r="6166" spans="5:7">
      <c r="E6166" s="264"/>
      <c r="G6166" s="264"/>
    </row>
    <row r="6167" spans="5:7">
      <c r="E6167" s="264"/>
      <c r="G6167" s="264"/>
    </row>
    <row r="6168" spans="5:7">
      <c r="E6168" s="264"/>
      <c r="G6168" s="264"/>
    </row>
    <row r="6169" spans="5:7">
      <c r="E6169" s="264"/>
      <c r="G6169" s="264"/>
    </row>
    <row r="6170" spans="5:7">
      <c r="E6170" s="264"/>
      <c r="G6170" s="264"/>
    </row>
    <row r="6171" spans="5:7">
      <c r="E6171" s="264"/>
      <c r="G6171" s="264"/>
    </row>
    <row r="6172" spans="5:7">
      <c r="E6172" s="264"/>
      <c r="G6172" s="264"/>
    </row>
    <row r="6173" spans="5:7">
      <c r="E6173" s="264"/>
      <c r="G6173" s="264"/>
    </row>
    <row r="6174" spans="5:7">
      <c r="E6174" s="264"/>
      <c r="G6174" s="264"/>
    </row>
    <row r="6175" spans="5:7">
      <c r="E6175" s="264"/>
      <c r="G6175" s="264"/>
    </row>
    <row r="6176" spans="5:7">
      <c r="E6176" s="264"/>
      <c r="G6176" s="264"/>
    </row>
    <row r="6177" spans="5:7">
      <c r="E6177" s="264"/>
      <c r="G6177" s="264"/>
    </row>
    <row r="6178" spans="5:7">
      <c r="E6178" s="264"/>
      <c r="G6178" s="264"/>
    </row>
    <row r="6179" spans="5:7">
      <c r="E6179" s="264"/>
      <c r="G6179" s="264"/>
    </row>
    <row r="6180" spans="5:7">
      <c r="E6180" s="264"/>
      <c r="G6180" s="264"/>
    </row>
    <row r="6181" spans="5:7">
      <c r="E6181" s="264"/>
      <c r="G6181" s="264"/>
    </row>
    <row r="6182" spans="5:7">
      <c r="E6182" s="264"/>
      <c r="G6182" s="264"/>
    </row>
    <row r="6183" spans="5:7">
      <c r="E6183" s="264"/>
      <c r="G6183" s="264"/>
    </row>
    <row r="6184" spans="5:7">
      <c r="E6184" s="264"/>
      <c r="G6184" s="264"/>
    </row>
    <row r="6185" spans="5:7">
      <c r="E6185" s="264"/>
      <c r="G6185" s="264"/>
    </row>
    <row r="6186" spans="5:7">
      <c r="E6186" s="264"/>
      <c r="G6186" s="264"/>
    </row>
    <row r="6187" spans="5:7">
      <c r="E6187" s="264"/>
      <c r="G6187" s="264"/>
    </row>
    <row r="6188" spans="5:7">
      <c r="E6188" s="264"/>
      <c r="G6188" s="264"/>
    </row>
    <row r="6189" spans="5:7">
      <c r="E6189" s="264"/>
      <c r="G6189" s="264"/>
    </row>
    <row r="6190" spans="5:7">
      <c r="E6190" s="264"/>
      <c r="G6190" s="264"/>
    </row>
    <row r="6191" spans="5:7">
      <c r="E6191" s="264"/>
      <c r="G6191" s="264"/>
    </row>
    <row r="6192" spans="5:7">
      <c r="E6192" s="264"/>
      <c r="G6192" s="264"/>
    </row>
    <row r="6193" spans="5:7">
      <c r="E6193" s="264"/>
      <c r="G6193" s="264"/>
    </row>
    <row r="6194" spans="5:7">
      <c r="E6194" s="264"/>
      <c r="G6194" s="264"/>
    </row>
    <row r="6195" spans="5:7">
      <c r="E6195" s="264"/>
      <c r="G6195" s="264"/>
    </row>
    <row r="6196" spans="5:7">
      <c r="E6196" s="264"/>
      <c r="G6196" s="264"/>
    </row>
    <row r="6197" spans="5:7">
      <c r="E6197" s="264"/>
      <c r="G6197" s="264"/>
    </row>
    <row r="6198" spans="5:7">
      <c r="E6198" s="264"/>
      <c r="G6198" s="264"/>
    </row>
    <row r="6199" spans="5:7">
      <c r="E6199" s="264"/>
      <c r="G6199" s="264"/>
    </row>
    <row r="6200" spans="5:7">
      <c r="E6200" s="264"/>
      <c r="G6200" s="264"/>
    </row>
    <row r="6201" spans="5:7">
      <c r="E6201" s="264"/>
      <c r="G6201" s="264"/>
    </row>
    <row r="6202" spans="5:7">
      <c r="E6202" s="264"/>
      <c r="G6202" s="264"/>
    </row>
    <row r="6203" spans="5:7">
      <c r="E6203" s="264"/>
      <c r="G6203" s="264"/>
    </row>
    <row r="6204" spans="5:7">
      <c r="E6204" s="264"/>
      <c r="G6204" s="264"/>
    </row>
    <row r="6205" spans="5:7">
      <c r="E6205" s="264"/>
      <c r="G6205" s="264"/>
    </row>
    <row r="6206" spans="5:7">
      <c r="E6206" s="264"/>
      <c r="G6206" s="264"/>
    </row>
    <row r="6207" spans="5:7">
      <c r="E6207" s="264"/>
      <c r="G6207" s="264"/>
    </row>
    <row r="6208" spans="5:7">
      <c r="E6208" s="264"/>
      <c r="G6208" s="264"/>
    </row>
    <row r="6209" spans="5:7">
      <c r="E6209" s="264"/>
      <c r="G6209" s="264"/>
    </row>
    <row r="6210" spans="5:7">
      <c r="E6210" s="264"/>
      <c r="G6210" s="264"/>
    </row>
    <row r="6211" spans="5:7">
      <c r="E6211" s="264"/>
      <c r="G6211" s="264"/>
    </row>
    <row r="6212" spans="5:7">
      <c r="E6212" s="264"/>
      <c r="G6212" s="264"/>
    </row>
    <row r="6213" spans="5:7">
      <c r="E6213" s="264"/>
      <c r="G6213" s="264"/>
    </row>
    <row r="6214" spans="5:7">
      <c r="E6214" s="264"/>
      <c r="G6214" s="264"/>
    </row>
    <row r="6215" spans="5:7">
      <c r="E6215" s="264"/>
      <c r="G6215" s="264"/>
    </row>
    <row r="6216" spans="5:7">
      <c r="E6216" s="264"/>
      <c r="G6216" s="264"/>
    </row>
    <row r="6217" spans="5:7">
      <c r="E6217" s="264"/>
      <c r="G6217" s="264"/>
    </row>
    <row r="6218" spans="5:7">
      <c r="E6218" s="264"/>
      <c r="G6218" s="264"/>
    </row>
    <row r="6219" spans="5:7">
      <c r="E6219" s="264"/>
      <c r="G6219" s="264"/>
    </row>
    <row r="6220" spans="5:7">
      <c r="E6220" s="264"/>
      <c r="G6220" s="264"/>
    </row>
    <row r="6221" spans="5:7">
      <c r="E6221" s="264"/>
      <c r="G6221" s="264"/>
    </row>
    <row r="6222" spans="5:7">
      <c r="E6222" s="264"/>
      <c r="G6222" s="264"/>
    </row>
    <row r="6223" spans="5:7">
      <c r="E6223" s="264"/>
      <c r="G6223" s="264"/>
    </row>
    <row r="6224" spans="5:7">
      <c r="E6224" s="264"/>
      <c r="G6224" s="264"/>
    </row>
    <row r="6225" spans="5:7">
      <c r="E6225" s="264"/>
      <c r="G6225" s="264"/>
    </row>
    <row r="6226" spans="5:7">
      <c r="E6226" s="264"/>
      <c r="G6226" s="264"/>
    </row>
    <row r="6227" spans="5:7">
      <c r="E6227" s="264"/>
      <c r="G6227" s="264"/>
    </row>
    <row r="6228" spans="5:7">
      <c r="E6228" s="264"/>
      <c r="G6228" s="264"/>
    </row>
    <row r="6229" spans="5:7">
      <c r="E6229" s="264"/>
      <c r="G6229" s="264"/>
    </row>
    <row r="6230" spans="5:7">
      <c r="E6230" s="264"/>
      <c r="G6230" s="264"/>
    </row>
    <row r="6231" spans="5:7">
      <c r="E6231" s="264"/>
      <c r="G6231" s="264"/>
    </row>
    <row r="6232" spans="5:7">
      <c r="E6232" s="264"/>
      <c r="G6232" s="264"/>
    </row>
    <row r="6233" spans="5:7">
      <c r="E6233" s="264"/>
      <c r="G6233" s="264"/>
    </row>
    <row r="6234" spans="5:7">
      <c r="E6234" s="264"/>
      <c r="G6234" s="264"/>
    </row>
    <row r="6235" spans="5:7">
      <c r="E6235" s="264"/>
      <c r="G6235" s="264"/>
    </row>
    <row r="6236" spans="5:7">
      <c r="E6236" s="264"/>
      <c r="G6236" s="264"/>
    </row>
    <row r="6237" spans="5:7">
      <c r="E6237" s="264"/>
      <c r="G6237" s="264"/>
    </row>
    <row r="6238" spans="5:7">
      <c r="E6238" s="264"/>
      <c r="G6238" s="264"/>
    </row>
    <row r="6239" spans="5:7">
      <c r="E6239" s="264"/>
      <c r="G6239" s="264"/>
    </row>
    <row r="6240" spans="5:7">
      <c r="E6240" s="264"/>
      <c r="G6240" s="264"/>
    </row>
    <row r="6241" spans="5:7">
      <c r="E6241" s="264"/>
      <c r="G6241" s="264"/>
    </row>
    <row r="6242" spans="5:7">
      <c r="E6242" s="264"/>
      <c r="G6242" s="264"/>
    </row>
    <row r="6243" spans="5:7">
      <c r="E6243" s="264"/>
      <c r="G6243" s="264"/>
    </row>
    <row r="6244" spans="5:7">
      <c r="E6244" s="264"/>
      <c r="G6244" s="264"/>
    </row>
    <row r="6245" spans="5:7">
      <c r="E6245" s="264"/>
      <c r="G6245" s="264"/>
    </row>
    <row r="6246" spans="5:7">
      <c r="E6246" s="264"/>
      <c r="G6246" s="264"/>
    </row>
    <row r="6247" spans="5:7">
      <c r="E6247" s="264"/>
      <c r="G6247" s="264"/>
    </row>
    <row r="6248" spans="5:7">
      <c r="E6248" s="264"/>
      <c r="G6248" s="264"/>
    </row>
    <row r="6249" spans="5:7">
      <c r="E6249" s="264"/>
      <c r="G6249" s="264"/>
    </row>
    <row r="6250" spans="5:7">
      <c r="E6250" s="264"/>
      <c r="G6250" s="264"/>
    </row>
    <row r="6251" spans="5:7">
      <c r="E6251" s="264"/>
      <c r="G6251" s="264"/>
    </row>
    <row r="6252" spans="5:7">
      <c r="E6252" s="264"/>
      <c r="G6252" s="264"/>
    </row>
    <row r="6253" spans="5:7">
      <c r="E6253" s="264"/>
      <c r="G6253" s="264"/>
    </row>
    <row r="6254" spans="5:7">
      <c r="E6254" s="264"/>
      <c r="G6254" s="264"/>
    </row>
    <row r="6255" spans="5:7">
      <c r="E6255" s="264"/>
      <c r="G6255" s="264"/>
    </row>
    <row r="6256" spans="5:7">
      <c r="E6256" s="264"/>
      <c r="G6256" s="264"/>
    </row>
    <row r="6257" spans="5:7">
      <c r="E6257" s="264"/>
      <c r="G6257" s="264"/>
    </row>
    <row r="6258" spans="5:7">
      <c r="E6258" s="264"/>
      <c r="G6258" s="264"/>
    </row>
    <row r="6259" spans="5:7">
      <c r="E6259" s="264"/>
      <c r="G6259" s="264"/>
    </row>
    <row r="6260" spans="5:7">
      <c r="E6260" s="264"/>
      <c r="G6260" s="264"/>
    </row>
    <row r="6261" spans="5:7">
      <c r="E6261" s="264"/>
      <c r="G6261" s="264"/>
    </row>
    <row r="6262" spans="5:7">
      <c r="E6262" s="264"/>
      <c r="G6262" s="264"/>
    </row>
    <row r="6263" spans="5:7">
      <c r="E6263" s="264"/>
      <c r="G6263" s="264"/>
    </row>
    <row r="6264" spans="5:7">
      <c r="E6264" s="264"/>
      <c r="G6264" s="264"/>
    </row>
    <row r="6265" spans="5:7">
      <c r="E6265" s="264"/>
      <c r="G6265" s="264"/>
    </row>
    <row r="6266" spans="5:7">
      <c r="E6266" s="264"/>
      <c r="G6266" s="264"/>
    </row>
    <row r="6267" spans="5:7">
      <c r="E6267" s="264"/>
      <c r="G6267" s="264"/>
    </row>
    <row r="6268" spans="5:7">
      <c r="E6268" s="264"/>
      <c r="G6268" s="264"/>
    </row>
    <row r="6269" spans="5:7">
      <c r="E6269" s="264"/>
      <c r="G6269" s="264"/>
    </row>
    <row r="6270" spans="5:7">
      <c r="E6270" s="264"/>
      <c r="G6270" s="264"/>
    </row>
    <row r="6271" spans="5:7">
      <c r="E6271" s="264"/>
      <c r="G6271" s="264"/>
    </row>
    <row r="6272" spans="5:7">
      <c r="E6272" s="264"/>
      <c r="G6272" s="264"/>
    </row>
    <row r="6273" spans="5:7">
      <c r="E6273" s="264"/>
      <c r="G6273" s="264"/>
    </row>
    <row r="6274" spans="5:7">
      <c r="E6274" s="264"/>
      <c r="G6274" s="264"/>
    </row>
    <row r="6275" spans="5:7">
      <c r="E6275" s="264"/>
      <c r="G6275" s="264"/>
    </row>
    <row r="6276" spans="5:7">
      <c r="E6276" s="264"/>
      <c r="G6276" s="264"/>
    </row>
    <row r="6277" spans="5:7">
      <c r="E6277" s="264"/>
      <c r="G6277" s="264"/>
    </row>
    <row r="6278" spans="5:7">
      <c r="E6278" s="264"/>
      <c r="G6278" s="264"/>
    </row>
    <row r="6279" spans="5:7">
      <c r="E6279" s="264"/>
      <c r="G6279" s="264"/>
    </row>
    <row r="6280" spans="5:7">
      <c r="E6280" s="264"/>
      <c r="G6280" s="264"/>
    </row>
    <row r="6281" spans="5:7">
      <c r="E6281" s="264"/>
      <c r="G6281" s="264"/>
    </row>
    <row r="6282" spans="5:7">
      <c r="E6282" s="264"/>
      <c r="G6282" s="264"/>
    </row>
    <row r="6283" spans="5:7">
      <c r="E6283" s="264"/>
      <c r="G6283" s="264"/>
    </row>
    <row r="6284" spans="5:7">
      <c r="E6284" s="264"/>
      <c r="G6284" s="264"/>
    </row>
    <row r="6285" spans="5:7">
      <c r="E6285" s="264"/>
      <c r="G6285" s="264"/>
    </row>
    <row r="6286" spans="5:7">
      <c r="E6286" s="264"/>
      <c r="G6286" s="264"/>
    </row>
    <row r="6287" spans="5:7">
      <c r="E6287" s="264"/>
      <c r="G6287" s="264"/>
    </row>
    <row r="6288" spans="5:7">
      <c r="E6288" s="264"/>
      <c r="G6288" s="264"/>
    </row>
    <row r="6289" spans="5:7">
      <c r="E6289" s="264"/>
      <c r="G6289" s="264"/>
    </row>
    <row r="6290" spans="5:7">
      <c r="E6290" s="264"/>
      <c r="G6290" s="264"/>
    </row>
    <row r="6291" spans="5:7">
      <c r="E6291" s="264"/>
      <c r="G6291" s="264"/>
    </row>
    <row r="6292" spans="5:7">
      <c r="E6292" s="264"/>
      <c r="G6292" s="264"/>
    </row>
    <row r="6293" spans="5:7">
      <c r="E6293" s="264"/>
      <c r="G6293" s="264"/>
    </row>
    <row r="6294" spans="5:7">
      <c r="E6294" s="264"/>
      <c r="G6294" s="264"/>
    </row>
    <row r="6295" spans="5:7">
      <c r="E6295" s="264"/>
      <c r="G6295" s="264"/>
    </row>
    <row r="6296" spans="5:7">
      <c r="E6296" s="264"/>
      <c r="G6296" s="264"/>
    </row>
    <row r="6297" spans="5:7">
      <c r="E6297" s="264"/>
      <c r="G6297" s="264"/>
    </row>
    <row r="6298" spans="5:7">
      <c r="E6298" s="264"/>
      <c r="G6298" s="264"/>
    </row>
    <row r="6299" spans="5:7">
      <c r="E6299" s="264"/>
      <c r="G6299" s="264"/>
    </row>
    <row r="6300" spans="5:7">
      <c r="E6300" s="264"/>
      <c r="G6300" s="264"/>
    </row>
    <row r="6301" spans="5:7">
      <c r="E6301" s="264"/>
      <c r="G6301" s="264"/>
    </row>
    <row r="6302" spans="5:7">
      <c r="E6302" s="264"/>
      <c r="G6302" s="264"/>
    </row>
    <row r="6303" spans="5:7">
      <c r="E6303" s="264"/>
      <c r="G6303" s="264"/>
    </row>
    <row r="6304" spans="5:7">
      <c r="E6304" s="264"/>
      <c r="G6304" s="264"/>
    </row>
    <row r="6305" spans="5:7">
      <c r="E6305" s="264"/>
      <c r="G6305" s="264"/>
    </row>
    <row r="6306" spans="5:7">
      <c r="E6306" s="264"/>
      <c r="G6306" s="264"/>
    </row>
    <row r="6307" spans="5:7">
      <c r="E6307" s="264"/>
      <c r="G6307" s="264"/>
    </row>
    <row r="6308" spans="5:7">
      <c r="E6308" s="264"/>
      <c r="G6308" s="264"/>
    </row>
    <row r="6309" spans="5:7">
      <c r="E6309" s="264"/>
      <c r="G6309" s="264"/>
    </row>
    <row r="6310" spans="5:7">
      <c r="E6310" s="264"/>
      <c r="G6310" s="264"/>
    </row>
    <row r="6311" spans="5:7">
      <c r="E6311" s="264"/>
      <c r="G6311" s="264"/>
    </row>
    <row r="6312" spans="5:7">
      <c r="E6312" s="264"/>
      <c r="G6312" s="264"/>
    </row>
    <row r="6313" spans="5:7">
      <c r="E6313" s="264"/>
      <c r="G6313" s="264"/>
    </row>
    <row r="6314" spans="5:7">
      <c r="E6314" s="264"/>
      <c r="G6314" s="264"/>
    </row>
    <row r="6315" spans="5:7">
      <c r="E6315" s="264"/>
      <c r="G6315" s="264"/>
    </row>
    <row r="6316" spans="5:7">
      <c r="E6316" s="264"/>
      <c r="G6316" s="264"/>
    </row>
    <row r="6317" spans="5:7">
      <c r="E6317" s="264"/>
      <c r="G6317" s="264"/>
    </row>
    <row r="6318" spans="5:7">
      <c r="E6318" s="264"/>
      <c r="G6318" s="264"/>
    </row>
    <row r="6319" spans="5:7">
      <c r="E6319" s="264"/>
      <c r="G6319" s="264"/>
    </row>
    <row r="6320" spans="5:7">
      <c r="E6320" s="264"/>
      <c r="G6320" s="264"/>
    </row>
    <row r="6321" spans="5:7">
      <c r="E6321" s="264"/>
      <c r="G6321" s="264"/>
    </row>
    <row r="6322" spans="5:7">
      <c r="E6322" s="264"/>
      <c r="G6322" s="264"/>
    </row>
    <row r="6323" spans="5:7">
      <c r="E6323" s="264"/>
      <c r="G6323" s="264"/>
    </row>
    <row r="6324" spans="5:7">
      <c r="E6324" s="264"/>
      <c r="G6324" s="264"/>
    </row>
    <row r="6325" spans="5:7">
      <c r="E6325" s="264"/>
      <c r="G6325" s="264"/>
    </row>
    <row r="6326" spans="5:7">
      <c r="E6326" s="264"/>
      <c r="G6326" s="264"/>
    </row>
    <row r="6327" spans="5:7">
      <c r="E6327" s="264"/>
      <c r="G6327" s="264"/>
    </row>
    <row r="6328" spans="5:7">
      <c r="E6328" s="264"/>
      <c r="G6328" s="264"/>
    </row>
    <row r="6329" spans="5:7">
      <c r="E6329" s="264"/>
      <c r="G6329" s="264"/>
    </row>
    <row r="6330" spans="5:7">
      <c r="E6330" s="264"/>
      <c r="G6330" s="264"/>
    </row>
    <row r="6331" spans="5:7">
      <c r="E6331" s="264"/>
      <c r="G6331" s="264"/>
    </row>
    <row r="6332" spans="5:7">
      <c r="E6332" s="264"/>
      <c r="G6332" s="264"/>
    </row>
    <row r="6333" spans="5:7">
      <c r="E6333" s="264"/>
      <c r="G6333" s="264"/>
    </row>
    <row r="6334" spans="5:7">
      <c r="E6334" s="264"/>
      <c r="G6334" s="264"/>
    </row>
    <row r="6335" spans="5:7">
      <c r="E6335" s="264"/>
      <c r="G6335" s="264"/>
    </row>
    <row r="6336" spans="5:7">
      <c r="E6336" s="264"/>
      <c r="G6336" s="264"/>
    </row>
    <row r="6337" spans="5:7">
      <c r="E6337" s="264"/>
      <c r="G6337" s="264"/>
    </row>
    <row r="6338" spans="5:7">
      <c r="E6338" s="264"/>
      <c r="G6338" s="264"/>
    </row>
    <row r="6339" spans="5:7">
      <c r="E6339" s="264"/>
      <c r="G6339" s="264"/>
    </row>
    <row r="6340" spans="5:7">
      <c r="E6340" s="264"/>
      <c r="G6340" s="264"/>
    </row>
    <row r="6341" spans="5:7">
      <c r="E6341" s="264"/>
      <c r="G6341" s="264"/>
    </row>
    <row r="6342" spans="5:7">
      <c r="E6342" s="264"/>
      <c r="G6342" s="264"/>
    </row>
    <row r="6343" spans="5:7">
      <c r="E6343" s="264"/>
      <c r="G6343" s="264"/>
    </row>
    <row r="6344" spans="5:7">
      <c r="E6344" s="264"/>
      <c r="G6344" s="264"/>
    </row>
    <row r="6345" spans="5:7">
      <c r="E6345" s="264"/>
      <c r="G6345" s="264"/>
    </row>
    <row r="6346" spans="5:7">
      <c r="E6346" s="264"/>
      <c r="G6346" s="264"/>
    </row>
    <row r="6347" spans="5:7">
      <c r="E6347" s="264"/>
      <c r="G6347" s="264"/>
    </row>
    <row r="6348" spans="5:7">
      <c r="E6348" s="264"/>
      <c r="G6348" s="264"/>
    </row>
    <row r="6349" spans="5:7">
      <c r="E6349" s="264"/>
      <c r="G6349" s="264"/>
    </row>
    <row r="6350" spans="5:7">
      <c r="E6350" s="264"/>
      <c r="G6350" s="264"/>
    </row>
    <row r="6351" spans="5:7">
      <c r="E6351" s="264"/>
      <c r="G6351" s="264"/>
    </row>
    <row r="6352" spans="5:7">
      <c r="E6352" s="264"/>
      <c r="G6352" s="264"/>
    </row>
    <row r="6353" spans="5:7">
      <c r="E6353" s="264"/>
      <c r="G6353" s="264"/>
    </row>
    <row r="6354" spans="5:7">
      <c r="E6354" s="264"/>
      <c r="G6354" s="264"/>
    </row>
    <row r="6355" spans="5:7">
      <c r="E6355" s="264"/>
      <c r="G6355" s="264"/>
    </row>
    <row r="6356" spans="5:7">
      <c r="E6356" s="264"/>
      <c r="G6356" s="264"/>
    </row>
    <row r="6357" spans="5:7">
      <c r="E6357" s="264"/>
      <c r="G6357" s="264"/>
    </row>
    <row r="6358" spans="5:7">
      <c r="E6358" s="264"/>
      <c r="G6358" s="264"/>
    </row>
    <row r="6359" spans="5:7">
      <c r="E6359" s="264"/>
      <c r="G6359" s="264"/>
    </row>
    <row r="6360" spans="5:7">
      <c r="E6360" s="264"/>
      <c r="G6360" s="264"/>
    </row>
    <row r="6361" spans="5:7">
      <c r="E6361" s="264"/>
      <c r="G6361" s="264"/>
    </row>
    <row r="6362" spans="5:7">
      <c r="E6362" s="264"/>
      <c r="G6362" s="264"/>
    </row>
    <row r="6363" spans="5:7">
      <c r="E6363" s="264"/>
      <c r="G6363" s="264"/>
    </row>
    <row r="6364" spans="5:7">
      <c r="E6364" s="264"/>
      <c r="G6364" s="264"/>
    </row>
    <row r="6365" spans="5:7">
      <c r="E6365" s="264"/>
      <c r="G6365" s="264"/>
    </row>
    <row r="6366" spans="5:7">
      <c r="E6366" s="264"/>
      <c r="G6366" s="264"/>
    </row>
    <row r="6367" spans="5:7">
      <c r="E6367" s="264"/>
      <c r="G6367" s="264"/>
    </row>
    <row r="6368" spans="5:7">
      <c r="E6368" s="264"/>
      <c r="G6368" s="264"/>
    </row>
    <row r="6369" spans="5:7">
      <c r="E6369" s="264"/>
      <c r="G6369" s="264"/>
    </row>
    <row r="6370" spans="5:7">
      <c r="E6370" s="264"/>
      <c r="G6370" s="264"/>
    </row>
    <row r="6371" spans="5:7">
      <c r="E6371" s="264"/>
      <c r="G6371" s="264"/>
    </row>
    <row r="6372" spans="5:7">
      <c r="E6372" s="264"/>
      <c r="G6372" s="264"/>
    </row>
    <row r="6373" spans="5:7">
      <c r="E6373" s="264"/>
      <c r="G6373" s="264"/>
    </row>
    <row r="6374" spans="5:7">
      <c r="E6374" s="264"/>
      <c r="G6374" s="264"/>
    </row>
    <row r="6375" spans="5:7">
      <c r="E6375" s="264"/>
      <c r="G6375" s="264"/>
    </row>
    <row r="6376" spans="5:7">
      <c r="E6376" s="264"/>
      <c r="G6376" s="264"/>
    </row>
    <row r="6377" spans="5:7">
      <c r="E6377" s="264"/>
      <c r="G6377" s="264"/>
    </row>
    <row r="6378" spans="5:7">
      <c r="E6378" s="264"/>
      <c r="G6378" s="264"/>
    </row>
    <row r="6379" spans="5:7">
      <c r="E6379" s="264"/>
      <c r="G6379" s="264"/>
    </row>
    <row r="6380" spans="5:7">
      <c r="E6380" s="264"/>
      <c r="G6380" s="264"/>
    </row>
    <row r="6381" spans="5:7">
      <c r="E6381" s="264"/>
      <c r="G6381" s="264"/>
    </row>
    <row r="6382" spans="5:7">
      <c r="E6382" s="264"/>
      <c r="G6382" s="264"/>
    </row>
    <row r="6383" spans="5:7">
      <c r="E6383" s="264"/>
      <c r="G6383" s="264"/>
    </row>
    <row r="6384" spans="5:7">
      <c r="E6384" s="264"/>
      <c r="G6384" s="264"/>
    </row>
    <row r="6385" spans="5:7">
      <c r="E6385" s="264"/>
      <c r="G6385" s="264"/>
    </row>
    <row r="6386" spans="5:7">
      <c r="E6386" s="264"/>
      <c r="G6386" s="264"/>
    </row>
    <row r="6387" spans="5:7">
      <c r="E6387" s="264"/>
      <c r="G6387" s="264"/>
    </row>
    <row r="6388" spans="5:7">
      <c r="E6388" s="264"/>
      <c r="G6388" s="264"/>
    </row>
    <row r="6389" spans="5:7">
      <c r="E6389" s="264"/>
      <c r="G6389" s="264"/>
    </row>
    <row r="6390" spans="5:7">
      <c r="E6390" s="264"/>
      <c r="G6390" s="264"/>
    </row>
    <row r="6391" spans="5:7">
      <c r="E6391" s="264"/>
      <c r="G6391" s="264"/>
    </row>
    <row r="6392" spans="5:7">
      <c r="E6392" s="264"/>
      <c r="G6392" s="264"/>
    </row>
    <row r="6393" spans="5:7">
      <c r="E6393" s="264"/>
      <c r="G6393" s="264"/>
    </row>
    <row r="6394" spans="5:7">
      <c r="E6394" s="264"/>
      <c r="G6394" s="264"/>
    </row>
    <row r="6395" spans="5:7">
      <c r="E6395" s="264"/>
      <c r="G6395" s="264"/>
    </row>
    <row r="6396" spans="5:7">
      <c r="E6396" s="264"/>
      <c r="G6396" s="264"/>
    </row>
    <row r="6397" spans="5:7">
      <c r="E6397" s="264"/>
      <c r="G6397" s="264"/>
    </row>
    <row r="6398" spans="5:7">
      <c r="E6398" s="264"/>
      <c r="G6398" s="264"/>
    </row>
    <row r="6399" spans="5:7">
      <c r="E6399" s="264"/>
      <c r="G6399" s="264"/>
    </row>
    <row r="6400" spans="5:7">
      <c r="E6400" s="264"/>
      <c r="G6400" s="264"/>
    </row>
    <row r="6401" spans="5:7">
      <c r="E6401" s="264"/>
      <c r="G6401" s="264"/>
    </row>
    <row r="6402" spans="5:7">
      <c r="E6402" s="264"/>
      <c r="G6402" s="264"/>
    </row>
    <row r="6403" spans="5:7">
      <c r="E6403" s="264"/>
      <c r="G6403" s="264"/>
    </row>
    <row r="6404" spans="5:7">
      <c r="E6404" s="264"/>
      <c r="G6404" s="264"/>
    </row>
    <row r="6405" spans="5:7">
      <c r="E6405" s="264"/>
      <c r="G6405" s="264"/>
    </row>
    <row r="6406" spans="5:7">
      <c r="E6406" s="264"/>
      <c r="G6406" s="264"/>
    </row>
    <row r="6407" spans="5:7">
      <c r="E6407" s="264"/>
      <c r="G6407" s="264"/>
    </row>
    <row r="6408" spans="5:7">
      <c r="E6408" s="264"/>
      <c r="G6408" s="264"/>
    </row>
    <row r="6409" spans="5:7">
      <c r="E6409" s="264"/>
      <c r="G6409" s="264"/>
    </row>
    <row r="6410" spans="5:7">
      <c r="E6410" s="264"/>
      <c r="G6410" s="264"/>
    </row>
    <row r="6411" spans="5:7">
      <c r="E6411" s="264"/>
      <c r="G6411" s="264"/>
    </row>
    <row r="6412" spans="5:7">
      <c r="E6412" s="264"/>
      <c r="G6412" s="264"/>
    </row>
    <row r="6413" spans="5:7">
      <c r="E6413" s="264"/>
      <c r="G6413" s="264"/>
    </row>
    <row r="6414" spans="5:7">
      <c r="E6414" s="264"/>
      <c r="G6414" s="264"/>
    </row>
  </sheetData>
  <phoneticPr fontId="0" type="noConversion"/>
  <pageMargins left="0.75" right="0.75" top="0.75" bottom="0.75" header="0.25" footer="0.5"/>
  <pageSetup scale="64"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J102"/>
  <sheetViews>
    <sheetView topLeftCell="A89" zoomScaleNormal="100" zoomScaleSheetLayoutView="100" workbookViewId="0">
      <selection activeCell="L89" sqref="L1:U1048576"/>
    </sheetView>
  </sheetViews>
  <sheetFormatPr defaultRowHeight="12.75"/>
  <cols>
    <col min="1" max="1" width="20" customWidth="1"/>
    <col min="2" max="10" width="11.7109375" customWidth="1"/>
  </cols>
  <sheetData>
    <row r="1" spans="1:10">
      <c r="A1" s="108" t="s">
        <v>465</v>
      </c>
    </row>
    <row r="2" spans="1:10" s="14" customFormat="1"/>
    <row r="3" spans="1:10" s="14" customFormat="1"/>
    <row r="4" spans="1:10" s="14" customFormat="1" ht="12.75" customHeight="1">
      <c r="A4" s="535" t="s">
        <v>9</v>
      </c>
      <c r="B4" s="535"/>
      <c r="C4" s="535"/>
      <c r="D4" s="535"/>
      <c r="E4" s="535"/>
      <c r="F4" s="535"/>
      <c r="G4" s="535"/>
      <c r="H4" s="535"/>
      <c r="I4" s="535"/>
      <c r="J4" s="535"/>
    </row>
    <row r="5" spans="1:10" s="14" customFormat="1" ht="12.75" customHeight="1">
      <c r="A5" s="294">
        <f>INPUT!C1</f>
        <v>2017</v>
      </c>
      <c r="B5" s="536" t="s">
        <v>10</v>
      </c>
      <c r="C5" s="536" t="s">
        <v>11</v>
      </c>
      <c r="D5" s="538" t="s">
        <v>12</v>
      </c>
      <c r="E5" s="538"/>
      <c r="F5" s="538"/>
      <c r="G5" s="538"/>
      <c r="H5" s="538" t="s">
        <v>3</v>
      </c>
      <c r="I5" s="538"/>
      <c r="J5" s="538"/>
    </row>
    <row r="6" spans="1:10" s="14" customFormat="1" ht="12.75" customHeight="1">
      <c r="A6" s="295" t="s">
        <v>7</v>
      </c>
      <c r="B6" s="537"/>
      <c r="C6" s="537"/>
      <c r="D6" s="296" t="s">
        <v>0</v>
      </c>
      <c r="E6" s="296" t="s">
        <v>13</v>
      </c>
      <c r="F6" s="296" t="s">
        <v>1</v>
      </c>
      <c r="G6" s="296" t="s">
        <v>2</v>
      </c>
      <c r="H6" s="296" t="s">
        <v>0</v>
      </c>
      <c r="I6" s="296" t="s">
        <v>13</v>
      </c>
      <c r="J6" s="296" t="s">
        <v>1</v>
      </c>
    </row>
    <row r="7" spans="1:10" s="14" customFormat="1">
      <c r="A7" s="297" t="s">
        <v>14</v>
      </c>
      <c r="B7" s="173">
        <f>ROUND('NORTH FORK'!$B$54,-1)</f>
        <v>37830</v>
      </c>
      <c r="C7" s="173">
        <f>ROUND('NORTH FORK'!$B$56,-1)</f>
        <v>37830</v>
      </c>
      <c r="D7" s="173">
        <f>ROUND('NORTH FORK'!$B$60,-1)</f>
        <v>8470</v>
      </c>
      <c r="E7" s="173">
        <f>ROUND('NORTH FORK'!$B$62,-1)</f>
        <v>0</v>
      </c>
      <c r="F7" s="173">
        <f>ROUND('NORTH FORK'!$B$64,-1)</f>
        <v>9310</v>
      </c>
      <c r="G7" s="173">
        <f>ROUND('NORTH FORK'!$B$67,-1)</f>
        <v>20050</v>
      </c>
      <c r="H7" s="173">
        <f>ROUND('NORTH FORK'!$B$29,-1)</f>
        <v>17210</v>
      </c>
      <c r="I7" s="173">
        <f>ROUND('NORTH FORK'!$B$33,-1)</f>
        <v>0</v>
      </c>
      <c r="J7" s="173">
        <f>ROUND('NORTH FORK'!$B$39,-1)</f>
        <v>4010</v>
      </c>
    </row>
    <row r="8" spans="1:10" s="14" customFormat="1">
      <c r="A8" s="297" t="s">
        <v>15</v>
      </c>
      <c r="B8" s="173">
        <f>ROUND(ARIKAREE!$B$65,-1)</f>
        <v>3010</v>
      </c>
      <c r="C8" s="173">
        <f>ROUND(ARIKAREE!$B$67,-1)</f>
        <v>3010</v>
      </c>
      <c r="D8" s="173">
        <f>+ARIKAREE!$B$71</f>
        <v>2360</v>
      </c>
      <c r="E8" s="173">
        <f>+ARIKAREE!$B$73</f>
        <v>150</v>
      </c>
      <c r="F8" s="173">
        <f>+ARIKAREE!$B$75</f>
        <v>510</v>
      </c>
      <c r="G8" s="173">
        <f>+ARIKAREE!$B$78</f>
        <v>-10</v>
      </c>
      <c r="H8" s="173">
        <f>ROUND(ARIKAREE!$B$34,-1)</f>
        <v>2110</v>
      </c>
      <c r="I8" s="173">
        <f>ROUND(ARIKAREE!$B$43,-1)</f>
        <v>170</v>
      </c>
      <c r="J8" s="173">
        <f>ROUND(ARIKAREE!$B$52,-1)</f>
        <v>80</v>
      </c>
    </row>
    <row r="9" spans="1:10" s="14" customFormat="1">
      <c r="A9" s="297" t="s">
        <v>16</v>
      </c>
      <c r="B9" s="173">
        <f>ROUND(BUFFALO!$B$56,-1)</f>
        <v>5570</v>
      </c>
      <c r="C9" s="173">
        <f>ROUND(BUFFALO!$B$58,-1)</f>
        <v>5570</v>
      </c>
      <c r="D9" s="173">
        <f>+BUFFALO!$B$62</f>
        <v>0</v>
      </c>
      <c r="E9" s="173">
        <f>+BUFFALO!$B$64</f>
        <v>0</v>
      </c>
      <c r="F9" s="173">
        <f>+BUFFALO!$B$66</f>
        <v>1840</v>
      </c>
      <c r="G9" s="173">
        <f>+BUFFALO!$B$69</f>
        <v>3730</v>
      </c>
      <c r="H9" s="173">
        <f>ROUND(BUFFALO!$B$30,-1)</f>
        <v>500</v>
      </c>
      <c r="I9" s="173">
        <f>ROUND(BUFFALO!$B$34,-1)</f>
        <v>0</v>
      </c>
      <c r="J9" s="173">
        <f>ROUND(BUFFALO!$B$43,-1)</f>
        <v>3790</v>
      </c>
    </row>
    <row r="10" spans="1:10" s="14" customFormat="1">
      <c r="A10" s="297" t="s">
        <v>5</v>
      </c>
      <c r="B10" s="173">
        <f>ROUND(ROCK!$B$48,-1)</f>
        <v>9390</v>
      </c>
      <c r="C10" s="173">
        <f>ROUND(ROCK!$B$50,-1)</f>
        <v>9390</v>
      </c>
      <c r="D10" s="173">
        <f>+ROCK!$B$54</f>
        <v>0</v>
      </c>
      <c r="E10" s="173">
        <f>+ROCK!$B$56</f>
        <v>0</v>
      </c>
      <c r="F10" s="173">
        <f>+ROCK!$B$58</f>
        <v>3760</v>
      </c>
      <c r="G10" s="173">
        <f>+ROCK!$B$61</f>
        <v>5630</v>
      </c>
      <c r="H10" s="173">
        <f>ROUND(ROCK!$B$21,-1)</f>
        <v>110</v>
      </c>
      <c r="I10" s="173">
        <f>ROUND(ROCK!$B$25,-1)</f>
        <v>0</v>
      </c>
      <c r="J10" s="173">
        <f>ROUND(ROCK!$B$34,-1)</f>
        <v>5160</v>
      </c>
    </row>
    <row r="11" spans="1:10" s="14" customFormat="1">
      <c r="A11" s="297" t="s">
        <v>17</v>
      </c>
      <c r="B11" s="173">
        <f>ROUND('SOUTH FORK'!$B$71,-1)</f>
        <v>21800</v>
      </c>
      <c r="C11" s="173">
        <f>ROUND('SOUTH FORK'!$B$73,-1)</f>
        <v>21800</v>
      </c>
      <c r="D11" s="173">
        <f>+'SOUTH FORK'!$B$77</f>
        <v>9680</v>
      </c>
      <c r="E11" s="173">
        <f>+'SOUTH FORK'!$B$79</f>
        <v>8760</v>
      </c>
      <c r="F11" s="173">
        <f>+'SOUTH FORK'!$B$81</f>
        <v>310</v>
      </c>
      <c r="G11" s="173">
        <f>+'SOUTH FORK'!$B$84</f>
        <v>3050</v>
      </c>
      <c r="H11" s="173">
        <f>ROUND('SOUTH FORK'!$B$39,-1)</f>
        <v>13980</v>
      </c>
      <c r="I11" s="173">
        <f>ROUND('SOUTH FORK'!$B$48,-1)</f>
        <v>4730</v>
      </c>
      <c r="J11" s="173">
        <f>ROUND('SOUTH FORK'!$B$57,-1)</f>
        <v>700</v>
      </c>
    </row>
    <row r="12" spans="1:10" s="14" customFormat="1">
      <c r="A12" s="297" t="s">
        <v>18</v>
      </c>
      <c r="B12" s="173">
        <f>ROUND(FRENCHMAN!$B$66,-1)</f>
        <v>108260</v>
      </c>
      <c r="C12" s="173">
        <f>ROUND(FRENCHMAN!$B$68,-1)</f>
        <v>109930</v>
      </c>
      <c r="D12" s="173">
        <f>+FRENCHMAN!$B$72</f>
        <v>0</v>
      </c>
      <c r="E12" s="173">
        <f>+FRENCHMAN!$B$74</f>
        <v>0</v>
      </c>
      <c r="F12" s="173">
        <f>+FRENCHMAN!$B$76</f>
        <v>58920</v>
      </c>
      <c r="G12" s="173">
        <f>+FRENCHMAN!$B$79</f>
        <v>51010</v>
      </c>
      <c r="H12" s="173">
        <f>ROUND(FRENCHMAN!$B$31,-1)</f>
        <v>1220</v>
      </c>
      <c r="I12" s="173">
        <f>ROUND(FRENCHMAN!$B$35,-1)</f>
        <v>0</v>
      </c>
      <c r="J12" s="173">
        <f>ROUND(FRENCHMAN!$B$49,-1)</f>
        <v>81220</v>
      </c>
    </row>
    <row r="13" spans="1:10" s="14" customFormat="1">
      <c r="A13" s="297" t="s">
        <v>19</v>
      </c>
      <c r="B13" s="173">
        <f>ROUND(DRIFTWOOD!$B$61,-1)</f>
        <v>630</v>
      </c>
      <c r="C13" s="173">
        <f>ROUND(DRIFTWOOD!$B$63,-1)</f>
        <v>630</v>
      </c>
      <c r="D13" s="173">
        <f>+DRIFTWOOD!$B$67</f>
        <v>0</v>
      </c>
      <c r="E13" s="173">
        <f>+DRIFTWOOD!$B$69</f>
        <v>40</v>
      </c>
      <c r="F13" s="173">
        <f>+DRIFTWOOD!$B$71</f>
        <v>100</v>
      </c>
      <c r="G13" s="173">
        <f>+DRIFTWOOD!$B$74</f>
        <v>490</v>
      </c>
      <c r="H13" s="173">
        <f>ROUND(DRIFTWOOD!$B$29,-1)</f>
        <v>0</v>
      </c>
      <c r="I13" s="173">
        <f>ROUND(DRIFTWOOD!$B$38,-1)</f>
        <v>10</v>
      </c>
      <c r="J13" s="173">
        <f>ROUND(DRIFTWOOD!$B$47,-1)</f>
        <v>890</v>
      </c>
    </row>
    <row r="14" spans="1:10" s="14" customFormat="1">
      <c r="A14" s="297" t="s">
        <v>20</v>
      </c>
      <c r="B14" s="173">
        <f>ROUND('RED WILLOW'!$B$59,-1)</f>
        <v>15840</v>
      </c>
      <c r="C14" s="173">
        <f>ROUND('RED WILLOW'!$B$61,-1)</f>
        <v>14880</v>
      </c>
      <c r="D14" s="173">
        <f>+'RED WILLOW'!$B$65</f>
        <v>0</v>
      </c>
      <c r="E14" s="173">
        <f>+'RED WILLOW'!$B$67</f>
        <v>0</v>
      </c>
      <c r="F14" s="173">
        <f>+'RED WILLOW'!$B$69</f>
        <v>2860</v>
      </c>
      <c r="G14" s="173">
        <f>+'RED WILLOW'!$B$72</f>
        <v>12020</v>
      </c>
      <c r="H14" s="173">
        <f>ROUND('RED WILLOW'!$B$27,-1)</f>
        <v>0</v>
      </c>
      <c r="I14" s="173">
        <f>ROUND('RED WILLOW'!$B$31,-1)</f>
        <v>0</v>
      </c>
      <c r="J14" s="173">
        <f>ROUND('RED WILLOW'!$B$42,-1)</f>
        <v>8710</v>
      </c>
    </row>
    <row r="15" spans="1:10" s="14" customFormat="1">
      <c r="A15" s="297" t="s">
        <v>21</v>
      </c>
      <c r="B15" s="173">
        <f>ROUND('MEDICINE CREEK'!$B$65,-1)</f>
        <v>37740</v>
      </c>
      <c r="C15" s="173">
        <f>ROUND('MEDICINE CREEK'!$B$67,-1)</f>
        <v>43280</v>
      </c>
      <c r="D15" s="173">
        <f>+'MEDICINE CREEK'!$B$71</f>
        <v>0</v>
      </c>
      <c r="E15" s="173">
        <f>+'MEDICINE CREEK'!$B$73</f>
        <v>0</v>
      </c>
      <c r="F15" s="173">
        <f>+'MEDICINE CREEK'!$B$75</f>
        <v>3940</v>
      </c>
      <c r="G15" s="173">
        <f>+'MEDICINE CREEK'!$B$78</f>
        <v>39340</v>
      </c>
      <c r="H15" s="173">
        <f>ROUND('MEDICINE CREEK'!$B$27,-1)</f>
        <v>0</v>
      </c>
      <c r="I15" s="173">
        <f>ROUND('MEDICINE CREEK'!$B$31,-1)</f>
        <v>0</v>
      </c>
      <c r="J15" s="173">
        <f>ROUND('MEDICINE CREEK'!$B$44,-1)</f>
        <v>21040</v>
      </c>
    </row>
    <row r="16" spans="1:10" s="14" customFormat="1">
      <c r="A16" s="297" t="s">
        <v>22</v>
      </c>
      <c r="B16" s="173">
        <f>ROUND(BEAVER!$B$78,-1)</f>
        <v>12230</v>
      </c>
      <c r="C16" s="173">
        <f>ROUND(BEAVER!$B$80,-1)</f>
        <v>12230</v>
      </c>
      <c r="D16" s="173">
        <f>+BEAVER!$B$84</f>
        <v>2450</v>
      </c>
      <c r="E16" s="173">
        <f>+BEAVER!$B$86</f>
        <v>4750</v>
      </c>
      <c r="F16" s="173">
        <f>+BEAVER!$B$88</f>
        <v>4970</v>
      </c>
      <c r="G16" s="173">
        <f>+BEAVER!$B$91</f>
        <v>60</v>
      </c>
      <c r="H16" s="173">
        <f>ROUND(BEAVER!$B$38,-1)</f>
        <v>0</v>
      </c>
      <c r="I16" s="173">
        <f>ROUND(BEAVER!$B$47,-1)</f>
        <v>6610</v>
      </c>
      <c r="J16" s="173">
        <f>ROUND(BEAVER!$B$60,-1)</f>
        <v>4540</v>
      </c>
    </row>
    <row r="17" spans="1:10" s="14" customFormat="1">
      <c r="A17" s="297" t="s">
        <v>23</v>
      </c>
      <c r="B17" s="173">
        <f>ROUND(SAPPA!$B$72,-1)</f>
        <v>11840</v>
      </c>
      <c r="C17" s="173">
        <f>ROUND(SAPPA!$B$74,-1)</f>
        <v>11840</v>
      </c>
      <c r="D17" s="173">
        <f>+SAPPA!$B$78</f>
        <v>0</v>
      </c>
      <c r="E17" s="173">
        <f>+SAPPA!$B$80</f>
        <v>4870</v>
      </c>
      <c r="F17" s="173">
        <f>+SAPPA!$B$82</f>
        <v>4870</v>
      </c>
      <c r="G17" s="173">
        <f>+SAPPA!$B$85</f>
        <v>2100</v>
      </c>
      <c r="H17" s="173">
        <f>ROUND(SAPPA!$B$30,-1)</f>
        <v>0</v>
      </c>
      <c r="I17" s="173">
        <f>ROUND(SAPPA!$B$39,-1)</f>
        <v>2530</v>
      </c>
      <c r="J17" s="173">
        <f>ROUND(SAPPA!$B$53,-1)</f>
        <v>2220</v>
      </c>
    </row>
    <row r="18" spans="1:10" s="14" customFormat="1">
      <c r="A18" s="297" t="s">
        <v>24</v>
      </c>
      <c r="B18" s="173">
        <f>ROUND('PRAIRIE DOG'!$B$70,-1)</f>
        <v>13300</v>
      </c>
      <c r="C18" s="173">
        <f>ROUND('PRAIRIE DOG'!$B$72,-1)</f>
        <v>12960</v>
      </c>
      <c r="D18" s="173">
        <f>+'PRAIRIE DOG'!$B$76</f>
        <v>0</v>
      </c>
      <c r="E18" s="173">
        <f>+'PRAIRIE DOG'!$B$78</f>
        <v>5920</v>
      </c>
      <c r="F18" s="173">
        <f>+'PRAIRIE DOG'!$B$80</f>
        <v>980</v>
      </c>
      <c r="G18" s="173">
        <f>+'PRAIRIE DOG'!$B$83</f>
        <v>6060</v>
      </c>
      <c r="H18" s="173">
        <f>ROUND('PRAIRIE DOG'!$B$31,-1)</f>
        <v>0</v>
      </c>
      <c r="I18" s="173">
        <f>ROUND('PRAIRIE DOG'!$B$42,-1)</f>
        <v>10780</v>
      </c>
      <c r="J18" s="173">
        <f>ROUND('PRAIRIE DOG'!$B$66,-1)</f>
        <v>80</v>
      </c>
    </row>
    <row r="19" spans="1:10" s="14" customFormat="1" ht="13.5" thickBot="1">
      <c r="A19" s="298" t="s">
        <v>6</v>
      </c>
      <c r="B19" s="299">
        <f>ROUND(MAINSTEM!$B$188,-1)</f>
        <v>193030</v>
      </c>
      <c r="C19" s="299">
        <f>ROUND(MAINSTEM!$B$191,-1)</f>
        <v>155380</v>
      </c>
      <c r="D19" s="299">
        <f>+MAINSTEM!$B$195</f>
        <v>0</v>
      </c>
      <c r="E19" s="299">
        <f>+MAINSTEM!$B$197</f>
        <v>79400</v>
      </c>
      <c r="F19" s="299">
        <f>+MAINSTEM!$B$199</f>
        <v>75980</v>
      </c>
      <c r="G19" s="299">
        <f>+MAINSTEM!$B$202</f>
        <v>0</v>
      </c>
      <c r="H19" s="299">
        <f>ROUND(MAINSTEM!$B$103,-1)</f>
        <v>-3320</v>
      </c>
      <c r="I19" s="299">
        <f>ROUND(MAINSTEM!$B$118,-1)</f>
        <v>37210</v>
      </c>
      <c r="J19" s="299">
        <f>ROUND(MAINSTEM!$B$141,-1)</f>
        <v>109700</v>
      </c>
    </row>
    <row r="20" spans="1:10" s="14" customFormat="1" ht="13.5" thickTop="1">
      <c r="A20" s="300" t="s">
        <v>8</v>
      </c>
      <c r="B20" s="174">
        <f t="shared" ref="B20:J20" si="0">SUM(B7:B19)</f>
        <v>470470</v>
      </c>
      <c r="C20" s="174">
        <f t="shared" si="0"/>
        <v>438730</v>
      </c>
      <c r="D20" s="174">
        <f t="shared" si="0"/>
        <v>22960</v>
      </c>
      <c r="E20" s="174">
        <f t="shared" si="0"/>
        <v>103890</v>
      </c>
      <c r="F20" s="174">
        <f t="shared" si="0"/>
        <v>168350</v>
      </c>
      <c r="G20" s="174">
        <f t="shared" si="0"/>
        <v>143530</v>
      </c>
      <c r="H20" s="174">
        <f t="shared" si="0"/>
        <v>31810</v>
      </c>
      <c r="I20" s="174">
        <f t="shared" si="0"/>
        <v>62040</v>
      </c>
      <c r="J20" s="174">
        <f t="shared" si="0"/>
        <v>242140</v>
      </c>
    </row>
    <row r="21" spans="1:10" s="14" customFormat="1" ht="24.75" customHeight="1" thickBot="1">
      <c r="A21" s="301" t="s">
        <v>25</v>
      </c>
      <c r="B21" s="299"/>
      <c r="C21" s="299">
        <f>+C19+G20</f>
        <v>298910</v>
      </c>
      <c r="D21" s="299">
        <f>+D19</f>
        <v>0</v>
      </c>
      <c r="E21" s="299">
        <f>E19+ROUND(G20*0.511,-1)</f>
        <v>152740</v>
      </c>
      <c r="F21" s="299">
        <f>F19+ROUND(G20*0.489,-1)</f>
        <v>146170</v>
      </c>
      <c r="G21" s="299"/>
      <c r="H21" s="299"/>
      <c r="I21" s="299"/>
      <c r="J21" s="299"/>
    </row>
    <row r="22" spans="1:10" s="14" customFormat="1" ht="13.5" thickTop="1">
      <c r="A22" s="300" t="s">
        <v>4</v>
      </c>
      <c r="B22" s="174">
        <f>SUM(B7:B19)</f>
        <v>470470</v>
      </c>
      <c r="C22" s="174">
        <f>SUM(C7:C19)</f>
        <v>438730</v>
      </c>
      <c r="D22" s="174">
        <f>SUM(D7:D18,D21)</f>
        <v>22960</v>
      </c>
      <c r="E22" s="174">
        <f>SUM(E7:E18,E21)</f>
        <v>177230</v>
      </c>
      <c r="F22" s="174">
        <f>SUM(F7:F18,F21)</f>
        <v>238540</v>
      </c>
      <c r="G22" s="174">
        <f>+G21</f>
        <v>0</v>
      </c>
      <c r="H22" s="174">
        <f>SUM(H7:H19)</f>
        <v>31810</v>
      </c>
      <c r="I22" s="174">
        <f>SUM(I7:I19)</f>
        <v>62040</v>
      </c>
      <c r="J22" s="174">
        <f>SUM(J7:J19)</f>
        <v>242140</v>
      </c>
    </row>
    <row r="23" spans="1:10" s="14" customFormat="1"/>
    <row r="24" spans="1:10" s="14" customFormat="1" ht="12.75" customHeight="1">
      <c r="A24" s="535" t="s">
        <v>9</v>
      </c>
      <c r="B24" s="535"/>
      <c r="C24" s="535"/>
      <c r="D24" s="535"/>
      <c r="E24" s="535"/>
      <c r="F24" s="535"/>
      <c r="G24" s="535"/>
      <c r="H24" s="535"/>
      <c r="I24" s="535"/>
      <c r="J24" s="535"/>
    </row>
    <row r="25" spans="1:10" s="14" customFormat="1" ht="12.75" customHeight="1">
      <c r="A25" s="294">
        <f>INPUT!D1</f>
        <v>2018</v>
      </c>
      <c r="B25" s="536" t="s">
        <v>10</v>
      </c>
      <c r="C25" s="536" t="s">
        <v>11</v>
      </c>
      <c r="D25" s="538" t="s">
        <v>12</v>
      </c>
      <c r="E25" s="538"/>
      <c r="F25" s="538"/>
      <c r="G25" s="538"/>
      <c r="H25" s="538" t="s">
        <v>3</v>
      </c>
      <c r="I25" s="538"/>
      <c r="J25" s="538"/>
    </row>
    <row r="26" spans="1:10" s="14" customFormat="1" ht="12.75" customHeight="1">
      <c r="A26" s="295" t="s">
        <v>7</v>
      </c>
      <c r="B26" s="537"/>
      <c r="C26" s="537"/>
      <c r="D26" s="296" t="s">
        <v>0</v>
      </c>
      <c r="E26" s="296" t="s">
        <v>13</v>
      </c>
      <c r="F26" s="296" t="s">
        <v>1</v>
      </c>
      <c r="G26" s="296" t="s">
        <v>2</v>
      </c>
      <c r="H26" s="296" t="s">
        <v>0</v>
      </c>
      <c r="I26" s="296" t="s">
        <v>13</v>
      </c>
      <c r="J26" s="296" t="s">
        <v>1</v>
      </c>
    </row>
    <row r="27" spans="1:10" s="14" customFormat="1">
      <c r="A27" s="297" t="s">
        <v>14</v>
      </c>
      <c r="B27" s="173">
        <f>ROUND('NORTH FORK'!$C$54,-1)</f>
        <v>41570</v>
      </c>
      <c r="C27" s="173">
        <f>ROUND('NORTH FORK'!$C$56,-1)</f>
        <v>41570</v>
      </c>
      <c r="D27" s="173">
        <f>ROUND('NORTH FORK'!$C$60,-1)</f>
        <v>9310</v>
      </c>
      <c r="E27" s="173">
        <f>ROUND('NORTH FORK'!$C$62,-1)</f>
        <v>0</v>
      </c>
      <c r="F27" s="173">
        <f>ROUND('NORTH FORK'!$C$64,-1)</f>
        <v>10230</v>
      </c>
      <c r="G27" s="173">
        <f>ROUND('NORTH FORK'!$C$67,-1)</f>
        <v>22030</v>
      </c>
      <c r="H27" s="173">
        <f>ROUND('NORTH FORK'!$C$29,-1)</f>
        <v>17690</v>
      </c>
      <c r="I27" s="173">
        <f>ROUND('NORTH FORK'!$C$33,-1)</f>
        <v>0</v>
      </c>
      <c r="J27" s="173">
        <f>ROUND('NORTH FORK'!$C$39,-1)</f>
        <v>3410</v>
      </c>
    </row>
    <row r="28" spans="1:10" s="14" customFormat="1">
      <c r="A28" s="297" t="s">
        <v>15</v>
      </c>
      <c r="B28" s="173">
        <f>ROUND(ARIKAREE!$C$65,-1)</f>
        <v>3760</v>
      </c>
      <c r="C28" s="173">
        <f>ROUND(ARIKAREE!$C$67,-1)</f>
        <v>3760</v>
      </c>
      <c r="D28" s="173">
        <f>+ARIKAREE!$C$71</f>
        <v>2950</v>
      </c>
      <c r="E28" s="173">
        <f>+ARIKAREE!$C$73</f>
        <v>190</v>
      </c>
      <c r="F28" s="173">
        <f>+ARIKAREE!$C$75</f>
        <v>630</v>
      </c>
      <c r="G28" s="173">
        <f>+ARIKAREE!$C$78</f>
        <v>-10</v>
      </c>
      <c r="H28" s="173">
        <f>ROUND(ARIKAREE!$C$34,-1)</f>
        <v>2640</v>
      </c>
      <c r="I28" s="173">
        <f>ROUND(ARIKAREE!$C$43,-1)</f>
        <v>190</v>
      </c>
      <c r="J28" s="173">
        <f>ROUND(ARIKAREE!$C$52,-1)</f>
        <v>110</v>
      </c>
    </row>
    <row r="29" spans="1:10" s="14" customFormat="1">
      <c r="A29" s="297" t="s">
        <v>16</v>
      </c>
      <c r="B29" s="173">
        <f>ROUND(BUFFALO!$C$56,-1)</f>
        <v>6140</v>
      </c>
      <c r="C29" s="173">
        <f>ROUND(BUFFALO!$C$58,-1)</f>
        <v>6140</v>
      </c>
      <c r="D29" s="173">
        <f>+BUFFALO!$C$62</f>
        <v>0</v>
      </c>
      <c r="E29" s="173">
        <f>+BUFFALO!$C$64</f>
        <v>0</v>
      </c>
      <c r="F29" s="173">
        <f>+BUFFALO!$C$66</f>
        <v>2030</v>
      </c>
      <c r="G29" s="173">
        <f>+BUFFALO!$C$69</f>
        <v>4110</v>
      </c>
      <c r="H29" s="173">
        <f>ROUND(BUFFALO!$C$30,-1)</f>
        <v>520</v>
      </c>
      <c r="I29" s="173">
        <f>ROUND(BUFFALO!$C$34,-1)</f>
        <v>0</v>
      </c>
      <c r="J29" s="173">
        <f>ROUND(BUFFALO!$C$43,-1)</f>
        <v>3760</v>
      </c>
    </row>
    <row r="30" spans="1:10" s="14" customFormat="1">
      <c r="A30" s="297" t="s">
        <v>5</v>
      </c>
      <c r="B30" s="173">
        <f>ROUND(ROCK!$C$48,-1)</f>
        <v>9510</v>
      </c>
      <c r="C30" s="173">
        <f>ROUND(ROCK!$C$50,-1)</f>
        <v>9510</v>
      </c>
      <c r="D30" s="173">
        <f>+ROCK!$C$54</f>
        <v>0</v>
      </c>
      <c r="E30" s="173">
        <f>+ROCK!$C$56</f>
        <v>0</v>
      </c>
      <c r="F30" s="173">
        <f>+ROCK!$C$58</f>
        <v>3800</v>
      </c>
      <c r="G30" s="173">
        <f>+ROCK!$C$61</f>
        <v>5710</v>
      </c>
      <c r="H30" s="173">
        <f>ROUND(ROCK!$C$21,-1)</f>
        <v>120</v>
      </c>
      <c r="I30" s="173">
        <f>ROUND(ROCK!$C$25,-1)</f>
        <v>0</v>
      </c>
      <c r="J30" s="173">
        <f>ROUND(ROCK!$C$34,-1)</f>
        <v>5290</v>
      </c>
    </row>
    <row r="31" spans="1:10" s="14" customFormat="1">
      <c r="A31" s="297" t="s">
        <v>17</v>
      </c>
      <c r="B31" s="173">
        <f>ROUND('SOUTH FORK'!$C$71,-1)</f>
        <v>24640</v>
      </c>
      <c r="C31" s="173">
        <f>ROUND('SOUTH FORK'!$C$73,-1)</f>
        <v>24640</v>
      </c>
      <c r="D31" s="173">
        <f>+'SOUTH FORK'!$C$77</f>
        <v>10940</v>
      </c>
      <c r="E31" s="173">
        <f>+'SOUTH FORK'!$C$79</f>
        <v>9910</v>
      </c>
      <c r="F31" s="173">
        <f>+'SOUTH FORK'!$C$81</f>
        <v>340</v>
      </c>
      <c r="G31" s="173">
        <f>+'SOUTH FORK'!$C$84</f>
        <v>3450</v>
      </c>
      <c r="H31" s="173">
        <f>ROUND('SOUTH FORK'!$C$39,-1)</f>
        <v>14960</v>
      </c>
      <c r="I31" s="173">
        <f>ROUND('SOUTH FORK'!$C$48,-1)</f>
        <v>6740</v>
      </c>
      <c r="J31" s="173">
        <f>ROUND('SOUTH FORK'!$C$57,-1)</f>
        <v>970</v>
      </c>
    </row>
    <row r="32" spans="1:10" s="14" customFormat="1">
      <c r="A32" s="297" t="s">
        <v>18</v>
      </c>
      <c r="B32" s="173">
        <f>ROUND(FRENCHMAN!$C$66,-1)</f>
        <v>114230</v>
      </c>
      <c r="C32" s="173">
        <f>ROUND(FRENCHMAN!$C$68,-1)</f>
        <v>113460</v>
      </c>
      <c r="D32" s="173">
        <f>+FRENCHMAN!$C$72</f>
        <v>0</v>
      </c>
      <c r="E32" s="173">
        <f>+FRENCHMAN!$C$74</f>
        <v>0</v>
      </c>
      <c r="F32" s="173">
        <f>+FRENCHMAN!$C$76</f>
        <v>60810</v>
      </c>
      <c r="G32" s="173">
        <f>+FRENCHMAN!$C$79</f>
        <v>52650</v>
      </c>
      <c r="H32" s="173">
        <f>ROUND(FRENCHMAN!$C$31,-1)</f>
        <v>1180</v>
      </c>
      <c r="I32" s="173">
        <f>ROUND(FRENCHMAN!$C$35,-1)</f>
        <v>0</v>
      </c>
      <c r="J32" s="173">
        <f>ROUND(FRENCHMAN!$C$49,-1)</f>
        <v>85380</v>
      </c>
    </row>
    <row r="33" spans="1:10" s="14" customFormat="1">
      <c r="A33" s="297" t="s">
        <v>19</v>
      </c>
      <c r="B33" s="173">
        <f>ROUND(DRIFTWOOD!$C$61,-1)</f>
        <v>2540</v>
      </c>
      <c r="C33" s="173">
        <f>ROUND(DRIFTWOOD!$C$63,-1)</f>
        <v>2540</v>
      </c>
      <c r="D33" s="173">
        <f>+DRIFTWOOD!$C$67</f>
        <v>0</v>
      </c>
      <c r="E33" s="173">
        <f>+DRIFTWOOD!$C$69</f>
        <v>180</v>
      </c>
      <c r="F33" s="173">
        <f>+DRIFTWOOD!$C$71</f>
        <v>420</v>
      </c>
      <c r="G33" s="173">
        <f>+DRIFTWOOD!$C$74</f>
        <v>1940</v>
      </c>
      <c r="H33" s="173">
        <f>ROUND(DRIFTWOOD!$C$29,-1)</f>
        <v>0</v>
      </c>
      <c r="I33" s="173">
        <f>ROUND(DRIFTWOOD!$C$38,-1)</f>
        <v>10</v>
      </c>
      <c r="J33" s="173">
        <f>ROUND(DRIFTWOOD!$C$47,-1)</f>
        <v>870</v>
      </c>
    </row>
    <row r="34" spans="1:10" s="14" customFormat="1">
      <c r="A34" s="297" t="s">
        <v>20</v>
      </c>
      <c r="B34" s="173">
        <f>ROUND('RED WILLOW'!$C$59,-1)</f>
        <v>19050</v>
      </c>
      <c r="C34" s="173">
        <f>ROUND('RED WILLOW'!$C$61,-1)</f>
        <v>15060</v>
      </c>
      <c r="D34" s="173">
        <f>+'RED WILLOW'!$C$65</f>
        <v>0</v>
      </c>
      <c r="E34" s="173">
        <f>+'RED WILLOW'!$C$67</f>
        <v>0</v>
      </c>
      <c r="F34" s="173">
        <f>+'RED WILLOW'!$C$69</f>
        <v>2890</v>
      </c>
      <c r="G34" s="173">
        <f>+'RED WILLOW'!$C$72</f>
        <v>12170</v>
      </c>
      <c r="H34" s="173">
        <f>ROUND('RED WILLOW'!$C$27,-1)</f>
        <v>0</v>
      </c>
      <c r="I34" s="173">
        <f>ROUND('RED WILLOW'!$C$31,-1)</f>
        <v>0</v>
      </c>
      <c r="J34" s="173">
        <f>ROUND('RED WILLOW'!$C$42,-1)</f>
        <v>9930</v>
      </c>
    </row>
    <row r="35" spans="1:10" s="14" customFormat="1">
      <c r="A35" s="297" t="s">
        <v>21</v>
      </c>
      <c r="B35" s="173">
        <f>ROUND('MEDICINE CREEK'!$C$65,-1)</f>
        <v>42910</v>
      </c>
      <c r="C35" s="173">
        <f>ROUND('MEDICINE CREEK'!$C$67,-1)</f>
        <v>37770</v>
      </c>
      <c r="D35" s="173">
        <f>+'MEDICINE CREEK'!$C$71</f>
        <v>0</v>
      </c>
      <c r="E35" s="173">
        <f>+'MEDICINE CREEK'!$C$73</f>
        <v>0</v>
      </c>
      <c r="F35" s="173">
        <f>+'MEDICINE CREEK'!$C$75</f>
        <v>3440</v>
      </c>
      <c r="G35" s="173">
        <f>+'MEDICINE CREEK'!$C$78</f>
        <v>34330</v>
      </c>
      <c r="H35" s="173">
        <f>ROUND('MEDICINE CREEK'!$C$27,-1)</f>
        <v>0</v>
      </c>
      <c r="I35" s="173">
        <f>ROUND('MEDICINE CREEK'!$C$31,-1)</f>
        <v>0</v>
      </c>
      <c r="J35" s="173">
        <f>ROUND('MEDICINE CREEK'!$C$44,-1)</f>
        <v>21560</v>
      </c>
    </row>
    <row r="36" spans="1:10" s="14" customFormat="1">
      <c r="A36" s="297" t="s">
        <v>22</v>
      </c>
      <c r="B36" s="173">
        <f>ROUND(BEAVER!$C$78,-1)</f>
        <v>12140</v>
      </c>
      <c r="C36" s="173">
        <f>ROUND(BEAVER!$C$80,-1)</f>
        <v>12140</v>
      </c>
      <c r="D36" s="173">
        <f>+BEAVER!$C$84</f>
        <v>2430</v>
      </c>
      <c r="E36" s="173">
        <f>+BEAVER!$C$86</f>
        <v>4710</v>
      </c>
      <c r="F36" s="173">
        <f>+BEAVER!$C$88</f>
        <v>4930</v>
      </c>
      <c r="G36" s="173">
        <f>+BEAVER!$C$91</f>
        <v>70</v>
      </c>
      <c r="H36" s="173">
        <f>ROUND(BEAVER!$C$38,-1)</f>
        <v>0</v>
      </c>
      <c r="I36" s="173">
        <f>ROUND(BEAVER!$C$47,-1)</f>
        <v>6760</v>
      </c>
      <c r="J36" s="173">
        <f>ROUND(BEAVER!$C$60,-1)</f>
        <v>4360</v>
      </c>
    </row>
    <row r="37" spans="1:10" s="14" customFormat="1">
      <c r="A37" s="297" t="s">
        <v>23</v>
      </c>
      <c r="B37" s="173">
        <f>ROUND(SAPPA!$C$72,-1)</f>
        <v>16830</v>
      </c>
      <c r="C37" s="173">
        <f>ROUND(SAPPA!$C$74,-1)</f>
        <v>16830</v>
      </c>
      <c r="D37" s="173">
        <f>+SAPPA!$C$78</f>
        <v>0</v>
      </c>
      <c r="E37" s="173">
        <f>+SAPPA!$C$80</f>
        <v>6920</v>
      </c>
      <c r="F37" s="173">
        <f>+SAPPA!$C$82</f>
        <v>6920</v>
      </c>
      <c r="G37" s="173">
        <f>+SAPPA!$C$85</f>
        <v>2990</v>
      </c>
      <c r="H37" s="173">
        <f>ROUND(SAPPA!$C$30,-1)</f>
        <v>0</v>
      </c>
      <c r="I37" s="173">
        <f>ROUND(SAPPA!$C$39,-1)</f>
        <v>3170</v>
      </c>
      <c r="J37" s="173">
        <f>ROUND(SAPPA!$C$53,-1)</f>
        <v>2170</v>
      </c>
    </row>
    <row r="38" spans="1:10" s="14" customFormat="1">
      <c r="A38" s="297" t="s">
        <v>24</v>
      </c>
      <c r="B38" s="173">
        <f>ROUND('PRAIRIE DOG'!$C$70,-1)</f>
        <v>19310</v>
      </c>
      <c r="C38" s="173">
        <f>ROUND('PRAIRIE DOG'!$C$72,-1)</f>
        <v>16120</v>
      </c>
      <c r="D38" s="173">
        <f>+'PRAIRIE DOG'!$C$76</f>
        <v>0</v>
      </c>
      <c r="E38" s="173">
        <f>+'PRAIRIE DOG'!$C$78</f>
        <v>7370</v>
      </c>
      <c r="F38" s="173">
        <f>+'PRAIRIE DOG'!$C$80</f>
        <v>1230</v>
      </c>
      <c r="G38" s="173">
        <f>+'PRAIRIE DOG'!$C$83</f>
        <v>7520</v>
      </c>
      <c r="H38" s="173">
        <f>ROUND('PRAIRIE DOG'!$C$31,-1)</f>
        <v>0</v>
      </c>
      <c r="I38" s="173">
        <f>ROUND('PRAIRIE DOG'!$C$42,-1)</f>
        <v>11910</v>
      </c>
      <c r="J38" s="173">
        <f>ROUND('PRAIRIE DOG'!$C$66,-1)</f>
        <v>90</v>
      </c>
    </row>
    <row r="39" spans="1:10" s="14" customFormat="1" ht="13.5" thickBot="1">
      <c r="A39" s="298" t="s">
        <v>6</v>
      </c>
      <c r="B39" s="299">
        <f>ROUND(MAINSTEM!$C$188,-1)</f>
        <v>187690</v>
      </c>
      <c r="C39" s="299">
        <f>ROUND(MAINSTEM!$C$191,-1)</f>
        <v>147550</v>
      </c>
      <c r="D39" s="299">
        <f>+MAINSTEM!$C$195</f>
        <v>0</v>
      </c>
      <c r="E39" s="299">
        <f>+MAINSTEM!$C$197</f>
        <v>75400</v>
      </c>
      <c r="F39" s="299">
        <f>+MAINSTEM!$C$199</f>
        <v>72150</v>
      </c>
      <c r="G39" s="299">
        <f>+MAINSTEM!$C$202</f>
        <v>0</v>
      </c>
      <c r="H39" s="299">
        <f>ROUND(MAINSTEM!$C$103,-1)</f>
        <v>-1980</v>
      </c>
      <c r="I39" s="299">
        <f>ROUND(MAINSTEM!$C$118,-1)</f>
        <v>22670</v>
      </c>
      <c r="J39" s="299">
        <f>ROUND(MAINSTEM!$C$141,-1)</f>
        <v>128180</v>
      </c>
    </row>
    <row r="40" spans="1:10" s="14" customFormat="1" ht="13.5" thickTop="1">
      <c r="A40" s="300" t="s">
        <v>8</v>
      </c>
      <c r="B40" s="174">
        <f t="shared" ref="B40:J40" si="1">SUM(B27:B39)</f>
        <v>500320</v>
      </c>
      <c r="C40" s="174">
        <f t="shared" si="1"/>
        <v>447090</v>
      </c>
      <c r="D40" s="174">
        <f t="shared" si="1"/>
        <v>25630</v>
      </c>
      <c r="E40" s="174">
        <f t="shared" si="1"/>
        <v>104680</v>
      </c>
      <c r="F40" s="174">
        <f t="shared" si="1"/>
        <v>169820</v>
      </c>
      <c r="G40" s="174">
        <f t="shared" si="1"/>
        <v>146960</v>
      </c>
      <c r="H40" s="174">
        <f t="shared" si="1"/>
        <v>35130</v>
      </c>
      <c r="I40" s="174">
        <f t="shared" si="1"/>
        <v>51450</v>
      </c>
      <c r="J40" s="174">
        <f t="shared" si="1"/>
        <v>266080</v>
      </c>
    </row>
    <row r="41" spans="1:10" s="14" customFormat="1" ht="24.75" thickBot="1">
      <c r="A41" s="301" t="s">
        <v>25</v>
      </c>
      <c r="B41" s="299"/>
      <c r="C41" s="299">
        <f>+C39+G40</f>
        <v>294510</v>
      </c>
      <c r="D41" s="299">
        <f>+D39</f>
        <v>0</v>
      </c>
      <c r="E41" s="299">
        <f>E39+ROUND(G40*0.511,-1)</f>
        <v>150500</v>
      </c>
      <c r="F41" s="299">
        <f>F39+ROUND(G40*0.489,-1)</f>
        <v>144010</v>
      </c>
      <c r="G41" s="299"/>
      <c r="H41" s="299"/>
      <c r="I41" s="299"/>
      <c r="J41" s="299"/>
    </row>
    <row r="42" spans="1:10" s="14" customFormat="1" ht="13.5" thickTop="1">
      <c r="A42" s="300" t="s">
        <v>4</v>
      </c>
      <c r="B42" s="174">
        <f>SUM(B27:B39)</f>
        <v>500320</v>
      </c>
      <c r="C42" s="174">
        <f>SUM(C27:C39)</f>
        <v>447090</v>
      </c>
      <c r="D42" s="174">
        <f>SUM(D27:D38,D41)</f>
        <v>25630</v>
      </c>
      <c r="E42" s="174">
        <f>SUM(E27:E38,E41)</f>
        <v>179780</v>
      </c>
      <c r="F42" s="174">
        <f>SUM(F27:F38,F41)</f>
        <v>241680</v>
      </c>
      <c r="G42" s="174">
        <f>+G41</f>
        <v>0</v>
      </c>
      <c r="H42" s="174">
        <f>SUM(H27:H39)</f>
        <v>35130</v>
      </c>
      <c r="I42" s="174">
        <f>SUM(I27:I39)</f>
        <v>51450</v>
      </c>
      <c r="J42" s="174">
        <f>SUM(J27:J39)</f>
        <v>266080</v>
      </c>
    </row>
    <row r="43" spans="1:10" s="14" customFormat="1"/>
    <row r="44" spans="1:10" s="14" customFormat="1" ht="12.75" customHeight="1">
      <c r="A44" s="535" t="s">
        <v>9</v>
      </c>
      <c r="B44" s="535"/>
      <c r="C44" s="535"/>
      <c r="D44" s="535"/>
      <c r="E44" s="535"/>
      <c r="F44" s="535"/>
      <c r="G44" s="535"/>
      <c r="H44" s="535"/>
      <c r="I44" s="535"/>
      <c r="J44" s="535"/>
    </row>
    <row r="45" spans="1:10" s="14" customFormat="1" ht="12.75" customHeight="1">
      <c r="A45" s="294">
        <f>INPUT!E1</f>
        <v>2019</v>
      </c>
      <c r="B45" s="536" t="s">
        <v>10</v>
      </c>
      <c r="C45" s="536" t="s">
        <v>11</v>
      </c>
      <c r="D45" s="538" t="s">
        <v>12</v>
      </c>
      <c r="E45" s="538"/>
      <c r="F45" s="538"/>
      <c r="G45" s="538"/>
      <c r="H45" s="538" t="s">
        <v>3</v>
      </c>
      <c r="I45" s="538"/>
      <c r="J45" s="538"/>
    </row>
    <row r="46" spans="1:10" s="14" customFormat="1" ht="12.75" customHeight="1">
      <c r="A46" s="295" t="s">
        <v>7</v>
      </c>
      <c r="B46" s="537"/>
      <c r="C46" s="537"/>
      <c r="D46" s="296" t="s">
        <v>0</v>
      </c>
      <c r="E46" s="296" t="s">
        <v>13</v>
      </c>
      <c r="F46" s="296" t="s">
        <v>1</v>
      </c>
      <c r="G46" s="296" t="s">
        <v>2</v>
      </c>
      <c r="H46" s="296" t="s">
        <v>0</v>
      </c>
      <c r="I46" s="296" t="s">
        <v>13</v>
      </c>
      <c r="J46" s="296" t="s">
        <v>1</v>
      </c>
    </row>
    <row r="47" spans="1:10" s="14" customFormat="1">
      <c r="A47" s="297" t="s">
        <v>14</v>
      </c>
      <c r="B47" s="173">
        <f>ROUND('NORTH FORK'!$D$54,-1)</f>
        <v>39410</v>
      </c>
      <c r="C47" s="173">
        <f>ROUND('NORTH FORK'!$D$56,-1)</f>
        <v>39410</v>
      </c>
      <c r="D47" s="173">
        <f>ROUND('NORTH FORK'!$D$60,-1)</f>
        <v>8830</v>
      </c>
      <c r="E47" s="173">
        <f>ROUND('NORTH FORK'!$D$62,-1)</f>
        <v>0</v>
      </c>
      <c r="F47" s="173">
        <f>ROUND('NORTH FORK'!$D$64,-1)</f>
        <v>9690</v>
      </c>
      <c r="G47" s="173">
        <f>ROUND('NORTH FORK'!$D$67,-1)</f>
        <v>20890</v>
      </c>
      <c r="H47" s="173">
        <f>ROUND('NORTH FORK'!$D$29,-1)</f>
        <v>17680</v>
      </c>
      <c r="I47" s="173">
        <f>ROUND('NORTH FORK'!$D$33,-1)</f>
        <v>0</v>
      </c>
      <c r="J47" s="173">
        <f>ROUND('NORTH FORK'!$D$39,-1)</f>
        <v>3610</v>
      </c>
    </row>
    <row r="48" spans="1:10" s="14" customFormat="1">
      <c r="A48" s="297" t="s">
        <v>15</v>
      </c>
      <c r="B48" s="173">
        <f>ROUND(ARIKAREE!$D$65,-1)</f>
        <v>3390</v>
      </c>
      <c r="C48" s="173">
        <f>ROUND(ARIKAREE!$D$67,-1)</f>
        <v>3390</v>
      </c>
      <c r="D48" s="173">
        <f>+ARIKAREE!$D$71</f>
        <v>2660</v>
      </c>
      <c r="E48" s="173">
        <f>+ARIKAREE!$D$73</f>
        <v>170</v>
      </c>
      <c r="F48" s="173">
        <f>+ARIKAREE!$D$75</f>
        <v>570</v>
      </c>
      <c r="G48" s="173">
        <f>+ARIKAREE!$D$78</f>
        <v>-10</v>
      </c>
      <c r="H48" s="173">
        <f>ROUND(ARIKAREE!$D$34,-1)</f>
        <v>2080</v>
      </c>
      <c r="I48" s="173">
        <f>ROUND(ARIKAREE!$D$43,-1)</f>
        <v>120</v>
      </c>
      <c r="J48" s="173">
        <f>ROUND(ARIKAREE!$D$52,-1)</f>
        <v>80</v>
      </c>
    </row>
    <row r="49" spans="1:10" s="14" customFormat="1">
      <c r="A49" s="297" t="s">
        <v>16</v>
      </c>
      <c r="B49" s="173">
        <f>ROUND(BUFFALO!$D$56,-1)</f>
        <v>5740</v>
      </c>
      <c r="C49" s="173">
        <f>ROUND(BUFFALO!$D$58,-1)</f>
        <v>5740</v>
      </c>
      <c r="D49" s="173">
        <f>+BUFFALO!$D$62</f>
        <v>0</v>
      </c>
      <c r="E49" s="173">
        <f>+BUFFALO!$D$64</f>
        <v>0</v>
      </c>
      <c r="F49" s="173">
        <f>+BUFFALO!$D$66</f>
        <v>1890</v>
      </c>
      <c r="G49" s="173">
        <f>+BUFFALO!$D$69</f>
        <v>3850</v>
      </c>
      <c r="H49" s="173">
        <f>ROUND(BUFFALO!$D$30,-1)</f>
        <v>540</v>
      </c>
      <c r="I49" s="173">
        <f>ROUND(BUFFALO!$D$34,-1)</f>
        <v>0</v>
      </c>
      <c r="J49" s="173">
        <f>ROUND(BUFFALO!$D$43,-1)</f>
        <v>3840</v>
      </c>
    </row>
    <row r="50" spans="1:10" s="14" customFormat="1">
      <c r="A50" s="297" t="s">
        <v>5</v>
      </c>
      <c r="B50" s="173">
        <f>ROUND(ROCK!$D$48,-1)</f>
        <v>9260</v>
      </c>
      <c r="C50" s="173">
        <f>ROUND(ROCK!$D$50,-1)</f>
        <v>9260</v>
      </c>
      <c r="D50" s="173">
        <f>+ROCK!$D$54</f>
        <v>0</v>
      </c>
      <c r="E50" s="173">
        <f>+ROCK!$D$56</f>
        <v>0</v>
      </c>
      <c r="F50" s="173">
        <f>+ROCK!$D$58</f>
        <v>3700</v>
      </c>
      <c r="G50" s="173">
        <f>+ROCK!$D$61</f>
        <v>5560</v>
      </c>
      <c r="H50" s="173">
        <f>ROUND(ROCK!$D$21,-1)</f>
        <v>130</v>
      </c>
      <c r="I50" s="173">
        <f>ROUND(ROCK!$D$25,-1)</f>
        <v>0</v>
      </c>
      <c r="J50" s="173">
        <f>ROUND(ROCK!$D$34,-1)</f>
        <v>5380</v>
      </c>
    </row>
    <row r="51" spans="1:10" s="14" customFormat="1">
      <c r="A51" s="297" t="s">
        <v>17</v>
      </c>
      <c r="B51" s="173">
        <f>ROUND('SOUTH FORK'!$D$71,-1)</f>
        <v>19620</v>
      </c>
      <c r="C51" s="173">
        <f>ROUND('SOUTH FORK'!$D$73,-1)</f>
        <v>19620</v>
      </c>
      <c r="D51" s="173">
        <f>+'SOUTH FORK'!$D$77</f>
        <v>8710</v>
      </c>
      <c r="E51" s="173">
        <f>+'SOUTH FORK'!$D$79</f>
        <v>7890</v>
      </c>
      <c r="F51" s="173">
        <f>+'SOUTH FORK'!$D$81</f>
        <v>270</v>
      </c>
      <c r="G51" s="173">
        <f>+'SOUTH FORK'!$D$84</f>
        <v>2750</v>
      </c>
      <c r="H51" s="173">
        <f>ROUND('SOUTH FORK'!$D$39,-1)</f>
        <v>13150</v>
      </c>
      <c r="I51" s="173">
        <f>ROUND('SOUTH FORK'!$D$48,-1)</f>
        <v>3470</v>
      </c>
      <c r="J51" s="173">
        <f>ROUND('SOUTH FORK'!$D$57,-1)</f>
        <v>610</v>
      </c>
    </row>
    <row r="52" spans="1:10" s="14" customFormat="1">
      <c r="A52" s="297" t="s">
        <v>18</v>
      </c>
      <c r="B52" s="173">
        <f>ROUND(FRENCHMAN!$D$66,-1)</f>
        <v>115930</v>
      </c>
      <c r="C52" s="173">
        <f>ROUND(FRENCHMAN!$D$68,-1)</f>
        <v>115510</v>
      </c>
      <c r="D52" s="173">
        <f>+FRENCHMAN!$D$72</f>
        <v>0</v>
      </c>
      <c r="E52" s="173">
        <f>+FRENCHMAN!$D$74</f>
        <v>0</v>
      </c>
      <c r="F52" s="173">
        <f>+FRENCHMAN!$D$76</f>
        <v>61910</v>
      </c>
      <c r="G52" s="173">
        <f>+FRENCHMAN!$D$79</f>
        <v>53600</v>
      </c>
      <c r="H52" s="173">
        <f>ROUND(FRENCHMAN!$D$31,-1)</f>
        <v>1680</v>
      </c>
      <c r="I52" s="173">
        <f>ROUND(FRENCHMAN!$D$35,-1)</f>
        <v>0</v>
      </c>
      <c r="J52" s="173">
        <f>ROUND(FRENCHMAN!$D$49,-1)</f>
        <v>84930</v>
      </c>
    </row>
    <row r="53" spans="1:10" s="14" customFormat="1">
      <c r="A53" s="297" t="s">
        <v>19</v>
      </c>
      <c r="B53" s="173">
        <f>ROUND(DRIFTWOOD!$D$61,-1)</f>
        <v>1480</v>
      </c>
      <c r="C53" s="173">
        <f>ROUND(DRIFTWOOD!$D$63,-1)</f>
        <v>1480</v>
      </c>
      <c r="D53" s="173">
        <f>+DRIFTWOOD!$D$67</f>
        <v>0</v>
      </c>
      <c r="E53" s="173">
        <f>+DRIFTWOOD!$D$69</f>
        <v>100</v>
      </c>
      <c r="F53" s="173">
        <f>+DRIFTWOOD!$D$71</f>
        <v>240</v>
      </c>
      <c r="G53" s="173">
        <f>+DRIFTWOOD!$D$74</f>
        <v>1140</v>
      </c>
      <c r="H53" s="173">
        <f>ROUND(DRIFTWOOD!$D$29,-1)</f>
        <v>0</v>
      </c>
      <c r="I53" s="173">
        <f>ROUND(DRIFTWOOD!$D$38,-1)</f>
        <v>10</v>
      </c>
      <c r="J53" s="173">
        <f>ROUND(DRIFTWOOD!$D$47,-1)</f>
        <v>830</v>
      </c>
    </row>
    <row r="54" spans="1:10" s="14" customFormat="1">
      <c r="A54" s="297" t="s">
        <v>20</v>
      </c>
      <c r="B54" s="173">
        <f>ROUND('RED WILLOW'!$D$59,-1)</f>
        <v>23130</v>
      </c>
      <c r="C54" s="173">
        <f>ROUND('RED WILLOW'!$D$61,-1)</f>
        <v>20130</v>
      </c>
      <c r="D54" s="173">
        <f>+'RED WILLOW'!$D$65</f>
        <v>0</v>
      </c>
      <c r="E54" s="173">
        <f>+'RED WILLOW'!$D$67</f>
        <v>0</v>
      </c>
      <c r="F54" s="173">
        <f>+'RED WILLOW'!$D$69</f>
        <v>3860</v>
      </c>
      <c r="G54" s="173">
        <f>+'RED WILLOW'!$D$72</f>
        <v>16270</v>
      </c>
      <c r="H54" s="173">
        <f>ROUND('RED WILLOW'!$D$27,-1)</f>
        <v>0</v>
      </c>
      <c r="I54" s="173">
        <f>ROUND('RED WILLOW'!$D$31,-1)</f>
        <v>0</v>
      </c>
      <c r="J54" s="173">
        <f>ROUND('RED WILLOW'!$D$42,-1)</f>
        <v>10690</v>
      </c>
    </row>
    <row r="55" spans="1:10" s="14" customFormat="1">
      <c r="A55" s="297" t="s">
        <v>21</v>
      </c>
      <c r="B55" s="173">
        <f>ROUND('MEDICINE CREEK'!$D$65,-1)</f>
        <v>65040</v>
      </c>
      <c r="C55" s="173">
        <f>ROUND('MEDICINE CREEK'!$D$67,-1)</f>
        <v>59810</v>
      </c>
      <c r="D55" s="173">
        <f>+'MEDICINE CREEK'!$D$71</f>
        <v>0</v>
      </c>
      <c r="E55" s="173">
        <f>+'MEDICINE CREEK'!$D$73</f>
        <v>0</v>
      </c>
      <c r="F55" s="173">
        <f>+'MEDICINE CREEK'!$D$75</f>
        <v>5440</v>
      </c>
      <c r="G55" s="173">
        <f>+'MEDICINE CREEK'!$D$78</f>
        <v>54370</v>
      </c>
      <c r="H55" s="173">
        <f>ROUND('MEDICINE CREEK'!$D$27,-1)</f>
        <v>0</v>
      </c>
      <c r="I55" s="173">
        <f>ROUND('MEDICINE CREEK'!$D$31,-1)</f>
        <v>0</v>
      </c>
      <c r="J55" s="173">
        <f>ROUND('MEDICINE CREEK'!$D$44,-1)</f>
        <v>21590</v>
      </c>
    </row>
    <row r="56" spans="1:10" s="14" customFormat="1">
      <c r="A56" s="297" t="s">
        <v>22</v>
      </c>
      <c r="B56" s="173">
        <f>ROUND(BEAVER!$D$78,-1)</f>
        <v>12540</v>
      </c>
      <c r="C56" s="173">
        <f>ROUND(BEAVER!$D$80,-1)</f>
        <v>12540</v>
      </c>
      <c r="D56" s="173">
        <f>+BEAVER!$D$84</f>
        <v>2510</v>
      </c>
      <c r="E56" s="173">
        <f>+BEAVER!$D$86</f>
        <v>4870</v>
      </c>
      <c r="F56" s="173">
        <f>+BEAVER!$D$88</f>
        <v>5090</v>
      </c>
      <c r="G56" s="173">
        <f>+BEAVER!$D$91</f>
        <v>70</v>
      </c>
      <c r="H56" s="173">
        <f>ROUND(BEAVER!$D$38,-1)</f>
        <v>0</v>
      </c>
      <c r="I56" s="173">
        <f>ROUND(BEAVER!$D$47,-1)</f>
        <v>6760</v>
      </c>
      <c r="J56" s="173">
        <f>ROUND(BEAVER!$D$60,-1)</f>
        <v>4150</v>
      </c>
    </row>
    <row r="57" spans="1:10" s="14" customFormat="1">
      <c r="A57" s="297" t="s">
        <v>23</v>
      </c>
      <c r="B57" s="173">
        <f>ROUND(SAPPA!$D$72,-1)</f>
        <v>46100</v>
      </c>
      <c r="C57" s="173">
        <f>ROUND(SAPPA!$D$74,-1)</f>
        <v>30110</v>
      </c>
      <c r="D57" s="173">
        <f>+SAPPA!$D$78</f>
        <v>0</v>
      </c>
      <c r="E57" s="173">
        <f>+SAPPA!$D$80</f>
        <v>12380</v>
      </c>
      <c r="F57" s="173">
        <f>+SAPPA!$D$82</f>
        <v>12380</v>
      </c>
      <c r="G57" s="173">
        <f>+SAPPA!$D$85</f>
        <v>5350</v>
      </c>
      <c r="H57" s="173">
        <f>ROUND(SAPPA!$D$30,-1)</f>
        <v>0</v>
      </c>
      <c r="I57" s="173">
        <f>ROUND(SAPPA!$D$39,-1)</f>
        <v>2950</v>
      </c>
      <c r="J57" s="173">
        <f>ROUND(SAPPA!$D$53,-1)</f>
        <v>1930</v>
      </c>
    </row>
    <row r="58" spans="1:10" s="14" customFormat="1">
      <c r="A58" s="297" t="s">
        <v>24</v>
      </c>
      <c r="B58" s="173">
        <f>ROUND('PRAIRIE DOG'!$D$70,-1)</f>
        <v>63280</v>
      </c>
      <c r="C58" s="173">
        <f>ROUND('PRAIRIE DOG'!$D$72,-1)</f>
        <v>28760</v>
      </c>
      <c r="D58" s="173">
        <f>+'PRAIRIE DOG'!$D$76</f>
        <v>0</v>
      </c>
      <c r="E58" s="173">
        <f>+'PRAIRIE DOG'!$D$78</f>
        <v>13140</v>
      </c>
      <c r="F58" s="173">
        <f>+'PRAIRIE DOG'!$D$80</f>
        <v>2190</v>
      </c>
      <c r="G58" s="173">
        <f>+'PRAIRIE DOG'!$D$83</f>
        <v>13430</v>
      </c>
      <c r="H58" s="173">
        <f>ROUND('PRAIRIE DOG'!$D$31,-1)</f>
        <v>0</v>
      </c>
      <c r="I58" s="173">
        <f>ROUND('PRAIRIE DOG'!$D$42,-1)</f>
        <v>13040</v>
      </c>
      <c r="J58" s="173">
        <f>ROUND('PRAIRIE DOG'!$D$66,-1)</f>
        <v>180</v>
      </c>
    </row>
    <row r="59" spans="1:10" s="14" customFormat="1" ht="13.5" thickBot="1">
      <c r="A59" s="298" t="s">
        <v>6</v>
      </c>
      <c r="B59" s="299">
        <f>ROUND(MAINSTEM!$D$188,-1)</f>
        <v>662620</v>
      </c>
      <c r="C59" s="299">
        <f>ROUND(MAINSTEM!$D$191,-1)</f>
        <v>399550</v>
      </c>
      <c r="D59" s="299">
        <f>+MAINSTEM!$D$195</f>
        <v>0</v>
      </c>
      <c r="E59" s="299">
        <f>+MAINSTEM!$D$197</f>
        <v>204170</v>
      </c>
      <c r="F59" s="299">
        <f>+MAINSTEM!$D$199</f>
        <v>195380</v>
      </c>
      <c r="G59" s="299">
        <f>+MAINSTEM!$D$202</f>
        <v>0</v>
      </c>
      <c r="H59" s="299">
        <f>ROUND(MAINSTEM!$D$103,-1)</f>
        <v>-2520</v>
      </c>
      <c r="I59" s="299">
        <f>ROUND(MAINSTEM!$D$118,-1)</f>
        <v>21560</v>
      </c>
      <c r="J59" s="299">
        <f>ROUND(MAINSTEM!$D$141,-1)</f>
        <v>125050</v>
      </c>
    </row>
    <row r="60" spans="1:10" s="14" customFormat="1" ht="13.5" thickTop="1">
      <c r="A60" s="300" t="s">
        <v>8</v>
      </c>
      <c r="B60" s="174">
        <f>SUM(B47:B59)</f>
        <v>1067540</v>
      </c>
      <c r="C60" s="174">
        <f t="shared" ref="C60:J60" si="2">SUM(C47:C59)</f>
        <v>745310</v>
      </c>
      <c r="D60" s="174">
        <f t="shared" si="2"/>
        <v>22710</v>
      </c>
      <c r="E60" s="174">
        <f t="shared" si="2"/>
        <v>242720</v>
      </c>
      <c r="F60" s="174">
        <f t="shared" si="2"/>
        <v>302610</v>
      </c>
      <c r="G60" s="174">
        <f t="shared" si="2"/>
        <v>177270</v>
      </c>
      <c r="H60" s="174">
        <f t="shared" si="2"/>
        <v>32740</v>
      </c>
      <c r="I60" s="174">
        <f t="shared" si="2"/>
        <v>47910</v>
      </c>
      <c r="J60" s="174">
        <f t="shared" si="2"/>
        <v>262870</v>
      </c>
    </row>
    <row r="61" spans="1:10" s="14" customFormat="1" ht="24.75" thickBot="1">
      <c r="A61" s="301" t="s">
        <v>25</v>
      </c>
      <c r="B61" s="299"/>
      <c r="C61" s="299">
        <f>+C59+G60</f>
        <v>576820</v>
      </c>
      <c r="D61" s="299">
        <f>+D59</f>
        <v>0</v>
      </c>
      <c r="E61" s="299">
        <f>E59+ROUND(G60*0.511,-1)</f>
        <v>294750</v>
      </c>
      <c r="F61" s="299">
        <f>F59+ROUND(G60*0.489,-1)</f>
        <v>282070</v>
      </c>
      <c r="G61" s="299"/>
      <c r="H61" s="299"/>
      <c r="I61" s="299"/>
      <c r="J61" s="299"/>
    </row>
    <row r="62" spans="1:10" s="14" customFormat="1" ht="13.5" thickTop="1">
      <c r="A62" s="300" t="s">
        <v>4</v>
      </c>
      <c r="B62" s="174">
        <f>SUM(B47:B59)</f>
        <v>1067540</v>
      </c>
      <c r="C62" s="174">
        <f>SUM(C47:C59)</f>
        <v>745310</v>
      </c>
      <c r="D62" s="174">
        <f>SUM(D47:D58,D61)</f>
        <v>22710</v>
      </c>
      <c r="E62" s="174">
        <f>SUM(E47:E58,E61)</f>
        <v>333300</v>
      </c>
      <c r="F62" s="174">
        <f>SUM(F47:F58,F61)</f>
        <v>389300</v>
      </c>
      <c r="G62" s="174">
        <f>+G61</f>
        <v>0</v>
      </c>
      <c r="H62" s="174">
        <f>SUM(H47:H59)</f>
        <v>32740</v>
      </c>
      <c r="I62" s="174">
        <f>SUM(I47:I59)</f>
        <v>47910</v>
      </c>
      <c r="J62" s="174">
        <f>SUM(J47:J59)</f>
        <v>262870</v>
      </c>
    </row>
    <row r="63" spans="1:10" s="14" customFormat="1"/>
    <row r="64" spans="1:10" s="14" customFormat="1" ht="12.75" customHeight="1">
      <c r="A64" s="535" t="s">
        <v>9</v>
      </c>
      <c r="B64" s="535"/>
      <c r="C64" s="535"/>
      <c r="D64" s="535"/>
      <c r="E64" s="535"/>
      <c r="F64" s="535"/>
      <c r="G64" s="535"/>
      <c r="H64" s="535"/>
      <c r="I64" s="535"/>
      <c r="J64" s="535"/>
    </row>
    <row r="65" spans="1:10" s="14" customFormat="1" ht="12.75" customHeight="1">
      <c r="A65" s="294">
        <f>INPUT!F1</f>
        <v>2020</v>
      </c>
      <c r="B65" s="536" t="s">
        <v>10</v>
      </c>
      <c r="C65" s="536" t="s">
        <v>11</v>
      </c>
      <c r="D65" s="538" t="s">
        <v>12</v>
      </c>
      <c r="E65" s="538"/>
      <c r="F65" s="538"/>
      <c r="G65" s="538"/>
      <c r="H65" s="538" t="s">
        <v>3</v>
      </c>
      <c r="I65" s="538"/>
      <c r="J65" s="538"/>
    </row>
    <row r="66" spans="1:10" s="14" customFormat="1" ht="12.75" customHeight="1">
      <c r="A66" s="424" t="s">
        <v>7</v>
      </c>
      <c r="B66" s="537"/>
      <c r="C66" s="537"/>
      <c r="D66" s="296" t="s">
        <v>0</v>
      </c>
      <c r="E66" s="296" t="s">
        <v>13</v>
      </c>
      <c r="F66" s="296" t="s">
        <v>1</v>
      </c>
      <c r="G66" s="296" t="s">
        <v>2</v>
      </c>
      <c r="H66" s="296" t="s">
        <v>0</v>
      </c>
      <c r="I66" s="296" t="s">
        <v>13</v>
      </c>
      <c r="J66" s="296" t="s">
        <v>1</v>
      </c>
    </row>
    <row r="67" spans="1:10" s="14" customFormat="1">
      <c r="A67" s="297" t="s">
        <v>14</v>
      </c>
      <c r="B67" s="173">
        <f>ROUND('NORTH FORK'!$E$54,-1)</f>
        <v>40930</v>
      </c>
      <c r="C67" s="173">
        <f>ROUND('NORTH FORK'!$E$56,-1)</f>
        <v>40930</v>
      </c>
      <c r="D67" s="173">
        <f>ROUND('NORTH FORK'!$E$60,-1)</f>
        <v>9170</v>
      </c>
      <c r="E67" s="173">
        <f>ROUND('NORTH FORK'!$E$62,-1)</f>
        <v>0</v>
      </c>
      <c r="F67" s="173">
        <f>ROUND('NORTH FORK'!$E$64,-1)</f>
        <v>10070</v>
      </c>
      <c r="G67" s="173">
        <f>ROUND('NORTH FORK'!$E$67,-1)</f>
        <v>21690</v>
      </c>
      <c r="H67" s="173">
        <f>ROUND('NORTH FORK'!$E$29,-1)</f>
        <v>17630</v>
      </c>
      <c r="I67" s="173">
        <f>ROUND('NORTH FORK'!$E$33,-1)</f>
        <v>0</v>
      </c>
      <c r="J67" s="173">
        <f>ROUND('NORTH FORK'!$E$39,-1)</f>
        <v>4420</v>
      </c>
    </row>
    <row r="68" spans="1:10" s="14" customFormat="1">
      <c r="A68" s="297" t="s">
        <v>15</v>
      </c>
      <c r="B68" s="173">
        <f>ROUND(ARIKAREE!$E$65,-1)</f>
        <v>3480</v>
      </c>
      <c r="C68" s="173">
        <f>ROUND(ARIKAREE!$E$67,-1)</f>
        <v>3480</v>
      </c>
      <c r="D68" s="173">
        <f>+ARIKAREE!$E$71</f>
        <v>2730</v>
      </c>
      <c r="E68" s="173">
        <f>+ARIKAREE!$E$73</f>
        <v>180</v>
      </c>
      <c r="F68" s="173">
        <f>+ARIKAREE!$E$75</f>
        <v>580</v>
      </c>
      <c r="G68" s="173">
        <f>+ARIKAREE!$E$78</f>
        <v>-10</v>
      </c>
      <c r="H68" s="173">
        <f>ROUND(ARIKAREE!$E$34,-1)</f>
        <v>1650</v>
      </c>
      <c r="I68" s="173">
        <f>ROUND(ARIKAREE!$E$43,-1)</f>
        <v>100</v>
      </c>
      <c r="J68" s="173">
        <f>ROUND(ARIKAREE!$E$52,-1)</f>
        <v>70</v>
      </c>
    </row>
    <row r="69" spans="1:10" s="14" customFormat="1">
      <c r="A69" s="297" t="s">
        <v>16</v>
      </c>
      <c r="B69" s="173">
        <f>ROUND(BUFFALO!$E$56,-1)</f>
        <v>6290</v>
      </c>
      <c r="C69" s="173">
        <f>ROUND(BUFFALO!$E$58,-1)</f>
        <v>6290</v>
      </c>
      <c r="D69" s="173">
        <f>+BUFFALO!$E$62</f>
        <v>0</v>
      </c>
      <c r="E69" s="173">
        <f>+BUFFALO!$E$64</f>
        <v>0</v>
      </c>
      <c r="F69" s="173">
        <f>+BUFFALO!$E$66</f>
        <v>2080</v>
      </c>
      <c r="G69" s="173">
        <f>+BUFFALO!$E$69</f>
        <v>4210</v>
      </c>
      <c r="H69" s="173">
        <f>ROUND(BUFFALO!$E$30,-1)</f>
        <v>480</v>
      </c>
      <c r="I69" s="173">
        <f>ROUND(BUFFALO!$E$34,-1)</f>
        <v>0</v>
      </c>
      <c r="J69" s="173">
        <f>ROUND(BUFFALO!$E$43,-1)</f>
        <v>3670</v>
      </c>
    </row>
    <row r="70" spans="1:10" s="14" customFormat="1">
      <c r="A70" s="297" t="s">
        <v>5</v>
      </c>
      <c r="B70" s="173">
        <f>ROUND(ROCK!$E$48,-1)</f>
        <v>9480</v>
      </c>
      <c r="C70" s="173">
        <f>ROUND(ROCK!$E$50,-1)</f>
        <v>9480</v>
      </c>
      <c r="D70" s="173">
        <f>+ROCK!$E$54</f>
        <v>0</v>
      </c>
      <c r="E70" s="173">
        <f>+ROCK!$E$56</f>
        <v>0</v>
      </c>
      <c r="F70" s="173">
        <f>+ROCK!$E$58</f>
        <v>3790</v>
      </c>
      <c r="G70" s="173">
        <f>+ROCK!$E$61</f>
        <v>5690</v>
      </c>
      <c r="H70" s="173">
        <f>ROUND(ROCK!$E$21,-1)</f>
        <v>90</v>
      </c>
      <c r="I70" s="173">
        <f>ROUND(ROCK!$E$25,-1)</f>
        <v>0</v>
      </c>
      <c r="J70" s="173">
        <f>ROUND(ROCK!$E$34,-1)</f>
        <v>5340</v>
      </c>
    </row>
    <row r="71" spans="1:10" s="14" customFormat="1">
      <c r="A71" s="297" t="s">
        <v>17</v>
      </c>
      <c r="B71" s="173">
        <f>ROUND('SOUTH FORK'!$E$71,-1)</f>
        <v>22640</v>
      </c>
      <c r="C71" s="173">
        <f>ROUND('SOUTH FORK'!$E$73,-1)</f>
        <v>22640</v>
      </c>
      <c r="D71" s="173">
        <f>+'SOUTH FORK'!$E$77</f>
        <v>10050</v>
      </c>
      <c r="E71" s="173">
        <f>+'SOUTH FORK'!$E$79</f>
        <v>9100</v>
      </c>
      <c r="F71" s="173">
        <f>+'SOUTH FORK'!$E$81</f>
        <v>320</v>
      </c>
      <c r="G71" s="173">
        <f>+'SOUTH FORK'!$E$84</f>
        <v>3170</v>
      </c>
      <c r="H71" s="173">
        <f>ROUND('SOUTH FORK'!$E$39,-1)</f>
        <v>11040</v>
      </c>
      <c r="I71" s="173">
        <f>ROUND('SOUTH FORK'!$E$48,-1)</f>
        <v>3650</v>
      </c>
      <c r="J71" s="173">
        <f>ROUND('SOUTH FORK'!$E$57,-1)</f>
        <v>720</v>
      </c>
    </row>
    <row r="72" spans="1:10" s="14" customFormat="1">
      <c r="A72" s="297" t="s">
        <v>18</v>
      </c>
      <c r="B72" s="173">
        <f>ROUND(FRENCHMAN!$E$66,-1)</f>
        <v>102180</v>
      </c>
      <c r="C72" s="173">
        <f>ROUND(FRENCHMAN!$E$68,-1)</f>
        <v>103330</v>
      </c>
      <c r="D72" s="173">
        <f>+FRENCHMAN!$E$72</f>
        <v>0</v>
      </c>
      <c r="E72" s="173">
        <f>+FRENCHMAN!$E$74</f>
        <v>0</v>
      </c>
      <c r="F72" s="173">
        <f>+FRENCHMAN!$E$76</f>
        <v>55380</v>
      </c>
      <c r="G72" s="173">
        <f>+FRENCHMAN!$E$79</f>
        <v>47950</v>
      </c>
      <c r="H72" s="173">
        <f>ROUND(FRENCHMAN!$E$31,-1)</f>
        <v>1140</v>
      </c>
      <c r="I72" s="173">
        <f>ROUND(FRENCHMAN!$E$35,-1)</f>
        <v>0</v>
      </c>
      <c r="J72" s="173">
        <f>ROUND(FRENCHMAN!$E$49,-1)</f>
        <v>82130</v>
      </c>
    </row>
    <row r="73" spans="1:10" s="14" customFormat="1">
      <c r="A73" s="297" t="s">
        <v>19</v>
      </c>
      <c r="B73" s="173">
        <f>ROUND(DRIFTWOOD!$E$61,-1)</f>
        <v>450</v>
      </c>
      <c r="C73" s="173">
        <f>ROUND(DRIFTWOOD!$E$63,-1)</f>
        <v>450</v>
      </c>
      <c r="D73" s="173">
        <f>+DRIFTWOOD!$E$67</f>
        <v>0</v>
      </c>
      <c r="E73" s="173">
        <f>+DRIFTWOOD!$E$69</f>
        <v>30</v>
      </c>
      <c r="F73" s="173">
        <f>+DRIFTWOOD!$E$71</f>
        <v>70</v>
      </c>
      <c r="G73" s="173">
        <f>+DRIFTWOOD!$E$74</f>
        <v>350</v>
      </c>
      <c r="H73" s="173">
        <f>ROUND(DRIFTWOOD!$E$29,-1)</f>
        <v>0</v>
      </c>
      <c r="I73" s="173">
        <f>ROUND(DRIFTWOOD!$E$38,-1)</f>
        <v>20</v>
      </c>
      <c r="J73" s="173">
        <f>ROUND(DRIFTWOOD!$E$47,-1)</f>
        <v>810</v>
      </c>
    </row>
    <row r="74" spans="1:10" s="14" customFormat="1">
      <c r="A74" s="297" t="s">
        <v>20</v>
      </c>
      <c r="B74" s="173">
        <f>ROUND('RED WILLOW'!$E$59,-1)</f>
        <v>16970</v>
      </c>
      <c r="C74" s="173">
        <f>ROUND('RED WILLOW'!$E$61,-1)</f>
        <v>21160</v>
      </c>
      <c r="D74" s="173">
        <f>+'RED WILLOW'!$E$65</f>
        <v>0</v>
      </c>
      <c r="E74" s="173">
        <f>+'RED WILLOW'!$E$67</f>
        <v>0</v>
      </c>
      <c r="F74" s="173">
        <f>+'RED WILLOW'!$E$69</f>
        <v>4060</v>
      </c>
      <c r="G74" s="173">
        <f>+'RED WILLOW'!$E$72</f>
        <v>17100</v>
      </c>
      <c r="H74" s="173">
        <f>ROUND('RED WILLOW'!$E$27,-1)</f>
        <v>0</v>
      </c>
      <c r="I74" s="173">
        <f>ROUND('RED WILLOW'!$E$31,-1)</f>
        <v>0</v>
      </c>
      <c r="J74" s="173">
        <f>ROUND('RED WILLOW'!$E$42,-1)</f>
        <v>9490</v>
      </c>
    </row>
    <row r="75" spans="1:10" s="14" customFormat="1">
      <c r="A75" s="297" t="s">
        <v>21</v>
      </c>
      <c r="B75" s="173">
        <f>ROUND('MEDICINE CREEK'!$E$65,-1)</f>
        <v>42950</v>
      </c>
      <c r="C75" s="173">
        <f>ROUND('MEDICINE CREEK'!$E$67,-1)</f>
        <v>52480</v>
      </c>
      <c r="D75" s="173">
        <f>+'MEDICINE CREEK'!$E$71</f>
        <v>0</v>
      </c>
      <c r="E75" s="173">
        <f>+'MEDICINE CREEK'!$E$73</f>
        <v>0</v>
      </c>
      <c r="F75" s="173">
        <f>+'MEDICINE CREEK'!$E$75</f>
        <v>4780</v>
      </c>
      <c r="G75" s="173">
        <f>+'MEDICINE CREEK'!$E$78</f>
        <v>47700</v>
      </c>
      <c r="H75" s="173">
        <f>ROUND('MEDICINE CREEK'!$E$27,-1)</f>
        <v>0</v>
      </c>
      <c r="I75" s="173">
        <f>ROUND('MEDICINE CREEK'!$E$31,-1)</f>
        <v>0</v>
      </c>
      <c r="J75" s="173">
        <f>ROUND('MEDICINE CREEK'!$E$44,-1)</f>
        <v>20390</v>
      </c>
    </row>
    <row r="76" spans="1:10" s="14" customFormat="1">
      <c r="A76" s="297" t="s">
        <v>22</v>
      </c>
      <c r="B76" s="173">
        <f>ROUND(BEAVER!$E$78,-1)</f>
        <v>11260</v>
      </c>
      <c r="C76" s="173">
        <f>ROUND(BEAVER!$E$80,-1)</f>
        <v>11260</v>
      </c>
      <c r="D76" s="173">
        <f>+BEAVER!$E$84</f>
        <v>2250</v>
      </c>
      <c r="E76" s="173">
        <f>+BEAVER!$E$86</f>
        <v>4370</v>
      </c>
      <c r="F76" s="173">
        <f>+BEAVER!$E$88</f>
        <v>4570</v>
      </c>
      <c r="G76" s="173">
        <f>+BEAVER!$E$91</f>
        <v>70</v>
      </c>
      <c r="H76" s="173">
        <f>ROUND(BEAVER!$E$38,-1)</f>
        <v>0</v>
      </c>
      <c r="I76" s="173">
        <f>ROUND(BEAVER!$E$47,-1)</f>
        <v>6430</v>
      </c>
      <c r="J76" s="173">
        <f>ROUND(BEAVER!$E$60,-1)</f>
        <v>4040</v>
      </c>
    </row>
    <row r="77" spans="1:10" s="14" customFormat="1">
      <c r="A77" s="297" t="s">
        <v>23</v>
      </c>
      <c r="B77" s="173">
        <f>ROUND(SAPPA!$E$72,-1)</f>
        <v>19630</v>
      </c>
      <c r="C77" s="173">
        <f>ROUND(SAPPA!$E$74,-1)</f>
        <v>19630</v>
      </c>
      <c r="D77" s="173">
        <f>+SAPPA!$E$78</f>
        <v>0</v>
      </c>
      <c r="E77" s="173">
        <f>+SAPPA!$E$80</f>
        <v>8070</v>
      </c>
      <c r="F77" s="173">
        <f>+SAPPA!$E$82</f>
        <v>8070</v>
      </c>
      <c r="G77" s="173">
        <f>+SAPPA!$E$85</f>
        <v>3490</v>
      </c>
      <c r="H77" s="173">
        <f>ROUND(SAPPA!$E$30,-1)</f>
        <v>0</v>
      </c>
      <c r="I77" s="173">
        <f>ROUND(SAPPA!$E$39,-1)</f>
        <v>2490</v>
      </c>
      <c r="J77" s="173">
        <f>ROUND(SAPPA!$E$53,-1)</f>
        <v>1740</v>
      </c>
    </row>
    <row r="78" spans="1:10" s="14" customFormat="1">
      <c r="A78" s="297" t="s">
        <v>24</v>
      </c>
      <c r="B78" s="173">
        <f>ROUND('PRAIRIE DOG'!$E$70,-1)</f>
        <v>14660</v>
      </c>
      <c r="C78" s="173">
        <f>ROUND('PRAIRIE DOG'!$E$72,-1)</f>
        <v>19290</v>
      </c>
      <c r="D78" s="173">
        <f>+'PRAIRIE DOG'!$E$76</f>
        <v>0</v>
      </c>
      <c r="E78" s="173">
        <f>+'PRAIRIE DOG'!$E$78</f>
        <v>8820</v>
      </c>
      <c r="F78" s="173">
        <f>+'PRAIRIE DOG'!$E$80</f>
        <v>1470</v>
      </c>
      <c r="G78" s="173">
        <f>+'PRAIRIE DOG'!$E$83</f>
        <v>9000</v>
      </c>
      <c r="H78" s="173">
        <f>ROUND('PRAIRIE DOG'!$E$31,-1)</f>
        <v>0</v>
      </c>
      <c r="I78" s="173">
        <f>ROUND('PRAIRIE DOG'!$E$42,-1)</f>
        <v>11010</v>
      </c>
      <c r="J78" s="173">
        <f>ROUND('PRAIRIE DOG'!$E$66,-1)</f>
        <v>160</v>
      </c>
    </row>
    <row r="79" spans="1:10" s="14" customFormat="1" ht="13.5" thickBot="1">
      <c r="A79" s="298" t="s">
        <v>6</v>
      </c>
      <c r="B79" s="299">
        <f>ROUND(MAINSTEM!$E$188,-1)</f>
        <v>213600</v>
      </c>
      <c r="C79" s="299">
        <f>ROUND(MAINSTEM!$E$191,-1)</f>
        <v>264600</v>
      </c>
      <c r="D79" s="299">
        <f>+MAINSTEM!$E$195</f>
        <v>0</v>
      </c>
      <c r="E79" s="299">
        <f>+MAINSTEM!$E$197</f>
        <v>135210</v>
      </c>
      <c r="F79" s="299">
        <f>+MAINSTEM!$E$199</f>
        <v>129390</v>
      </c>
      <c r="G79" s="299">
        <f>+MAINSTEM!$E$202</f>
        <v>0</v>
      </c>
      <c r="H79" s="299">
        <f>ROUND(MAINSTEM!$E$103,-1)</f>
        <v>-5120</v>
      </c>
      <c r="I79" s="299">
        <f>ROUND(MAINSTEM!$E$118,-1)</f>
        <v>30110</v>
      </c>
      <c r="J79" s="299">
        <f>ROUND(MAINSTEM!$E$141,-1)</f>
        <v>119420</v>
      </c>
    </row>
    <row r="80" spans="1:10" s="14" customFormat="1" ht="13.5" thickTop="1">
      <c r="A80" s="300" t="s">
        <v>8</v>
      </c>
      <c r="B80" s="174">
        <f>SUM(B67:B79)</f>
        <v>504520</v>
      </c>
      <c r="C80" s="174">
        <f t="shared" ref="C80:J80" si="3">SUM(C67:C79)</f>
        <v>575020</v>
      </c>
      <c r="D80" s="174">
        <f t="shared" si="3"/>
        <v>24200</v>
      </c>
      <c r="E80" s="174">
        <f t="shared" si="3"/>
        <v>165780</v>
      </c>
      <c r="F80" s="174">
        <f t="shared" si="3"/>
        <v>224630</v>
      </c>
      <c r="G80" s="174">
        <f t="shared" si="3"/>
        <v>160410</v>
      </c>
      <c r="H80" s="174">
        <f t="shared" si="3"/>
        <v>26910</v>
      </c>
      <c r="I80" s="174">
        <f t="shared" si="3"/>
        <v>53810</v>
      </c>
      <c r="J80" s="174">
        <f t="shared" si="3"/>
        <v>252400</v>
      </c>
    </row>
    <row r="81" spans="1:10" s="14" customFormat="1" ht="24.75" thickBot="1">
      <c r="A81" s="301" t="s">
        <v>25</v>
      </c>
      <c r="B81" s="299"/>
      <c r="C81" s="299">
        <f>+C79+G80</f>
        <v>425010</v>
      </c>
      <c r="D81" s="299">
        <f>+D79</f>
        <v>0</v>
      </c>
      <c r="E81" s="299">
        <f>E79+ROUND(G80*0.511,-1)</f>
        <v>217180</v>
      </c>
      <c r="F81" s="299">
        <f>F79+ROUND(G80*0.489,-1)</f>
        <v>207830</v>
      </c>
      <c r="G81" s="299"/>
      <c r="H81" s="299"/>
      <c r="I81" s="299"/>
      <c r="J81" s="299"/>
    </row>
    <row r="82" spans="1:10" s="14" customFormat="1" ht="13.5" thickTop="1">
      <c r="A82" s="300" t="s">
        <v>4</v>
      </c>
      <c r="B82" s="174">
        <f>SUM(B67:B79)</f>
        <v>504520</v>
      </c>
      <c r="C82" s="174">
        <f>SUM(C67:C79)</f>
        <v>575020</v>
      </c>
      <c r="D82" s="174">
        <f>SUM(D67:D78,D81)</f>
        <v>24200</v>
      </c>
      <c r="E82" s="174">
        <f>SUM(E67:E78,E81)</f>
        <v>247750</v>
      </c>
      <c r="F82" s="174">
        <f>SUM(F67:F78,F81)</f>
        <v>303070</v>
      </c>
      <c r="G82" s="174">
        <f>+G81</f>
        <v>0</v>
      </c>
      <c r="H82" s="174">
        <f>SUM(H67:H79)</f>
        <v>26910</v>
      </c>
      <c r="I82" s="174">
        <f>SUM(I67:I79)</f>
        <v>53810</v>
      </c>
      <c r="J82" s="174">
        <f>SUM(J67:J79)</f>
        <v>252400</v>
      </c>
    </row>
    <row r="83" spans="1:10" s="14" customFormat="1"/>
    <row r="84" spans="1:10" s="14" customFormat="1">
      <c r="A84" s="535" t="s">
        <v>9</v>
      </c>
      <c r="B84" s="535"/>
      <c r="C84" s="535"/>
      <c r="D84" s="535"/>
      <c r="E84" s="535"/>
      <c r="F84" s="535"/>
      <c r="G84" s="535"/>
      <c r="H84" s="535"/>
      <c r="I84" s="535"/>
      <c r="J84" s="535"/>
    </row>
    <row r="85" spans="1:10" s="14" customFormat="1">
      <c r="A85" s="294">
        <f>INPUT!G1</f>
        <v>2021</v>
      </c>
      <c r="B85" s="536" t="s">
        <v>10</v>
      </c>
      <c r="C85" s="536" t="s">
        <v>11</v>
      </c>
      <c r="D85" s="538" t="s">
        <v>12</v>
      </c>
      <c r="E85" s="538"/>
      <c r="F85" s="538"/>
      <c r="G85" s="538"/>
      <c r="H85" s="538" t="s">
        <v>3</v>
      </c>
      <c r="I85" s="538"/>
      <c r="J85" s="538"/>
    </row>
    <row r="86" spans="1:10" s="14" customFormat="1">
      <c r="A86" s="424" t="s">
        <v>7</v>
      </c>
      <c r="B86" s="537"/>
      <c r="C86" s="537"/>
      <c r="D86" s="296" t="s">
        <v>0</v>
      </c>
      <c r="E86" s="296" t="s">
        <v>13</v>
      </c>
      <c r="F86" s="296" t="s">
        <v>1</v>
      </c>
      <c r="G86" s="296" t="s">
        <v>2</v>
      </c>
      <c r="H86" s="296" t="s">
        <v>0</v>
      </c>
      <c r="I86" s="296" t="s">
        <v>13</v>
      </c>
      <c r="J86" s="296" t="s">
        <v>1</v>
      </c>
    </row>
    <row r="87" spans="1:10" s="14" customFormat="1">
      <c r="A87" s="297" t="s">
        <v>14</v>
      </c>
      <c r="B87" s="173">
        <f>ROUND('NORTH FORK'!$F$54,-1)</f>
        <v>41490</v>
      </c>
      <c r="C87" s="173">
        <f>ROUND('NORTH FORK'!$F$56,-1)</f>
        <v>41490</v>
      </c>
      <c r="D87" s="173">
        <f>ROUND('NORTH FORK'!$F$60,-1)</f>
        <v>9290</v>
      </c>
      <c r="E87" s="173">
        <f>ROUND('NORTH FORK'!$F$62,-1)</f>
        <v>0</v>
      </c>
      <c r="F87" s="173">
        <f>ROUND('NORTH FORK'!$F$64,-1)</f>
        <v>10210</v>
      </c>
      <c r="G87" s="173">
        <f>ROUND('NORTH FORK'!$F$67,-1)</f>
        <v>21990</v>
      </c>
      <c r="H87" s="173">
        <f>ROUND('NORTH FORK'!$F$29,-1)</f>
        <v>18120</v>
      </c>
      <c r="I87" s="173">
        <f>ROUND('NORTH FORK'!$F$33,-1)</f>
        <v>0</v>
      </c>
      <c r="J87" s="173">
        <f>ROUND('NORTH FORK'!$F$39,-1)</f>
        <v>4660</v>
      </c>
    </row>
    <row r="88" spans="1:10" s="14" customFormat="1">
      <c r="A88" s="297" t="s">
        <v>15</v>
      </c>
      <c r="B88" s="173">
        <f>ROUND(ARIKAREE!$F$65,-1)</f>
        <v>3320</v>
      </c>
      <c r="C88" s="173">
        <f>ROUND(ARIKAREE!$F$67,-1)</f>
        <v>3320</v>
      </c>
      <c r="D88" s="173">
        <f>+ARIKAREE!$F$71</f>
        <v>2610</v>
      </c>
      <c r="E88" s="173">
        <f>+ARIKAREE!$F$73</f>
        <v>170</v>
      </c>
      <c r="F88" s="173">
        <f>+ARIKAREE!$F$75</f>
        <v>560</v>
      </c>
      <c r="G88" s="173">
        <f>+ARIKAREE!$F$78</f>
        <v>-20</v>
      </c>
      <c r="H88" s="173">
        <f>ROUND(ARIKAREE!$F$34,-1)</f>
        <v>1440</v>
      </c>
      <c r="I88" s="173">
        <f>ROUND(ARIKAREE!$F$43,-1)</f>
        <v>130</v>
      </c>
      <c r="J88" s="173">
        <f>ROUND(ARIKAREE!$F$52,-1)</f>
        <v>110</v>
      </c>
    </row>
    <row r="89" spans="1:10" s="14" customFormat="1">
      <c r="A89" s="297" t="s">
        <v>16</v>
      </c>
      <c r="B89" s="173">
        <f>ROUND(BUFFALO!$F$56,-1)</f>
        <v>5660</v>
      </c>
      <c r="C89" s="173">
        <f>ROUND(BUFFALO!$F$58,-1)</f>
        <v>5660</v>
      </c>
      <c r="D89" s="173">
        <f>+BUFFALO!$F$62</f>
        <v>0</v>
      </c>
      <c r="E89" s="173">
        <f>+BUFFALO!$F$64</f>
        <v>0</v>
      </c>
      <c r="F89" s="173">
        <f>+BUFFALO!$F$66</f>
        <v>1870</v>
      </c>
      <c r="G89" s="173">
        <f>+BUFFALO!$F$69</f>
        <v>3790</v>
      </c>
      <c r="H89" s="173">
        <f>ROUND(BUFFALO!$F$30,-1)</f>
        <v>440</v>
      </c>
      <c r="I89" s="173">
        <f>ROUND(BUFFALO!$F$34,-1)</f>
        <v>0</v>
      </c>
      <c r="J89" s="173">
        <f>ROUND(BUFFALO!$F$43,-1)</f>
        <v>3640</v>
      </c>
    </row>
    <row r="90" spans="1:10" s="14" customFormat="1">
      <c r="A90" s="297" t="s">
        <v>5</v>
      </c>
      <c r="B90" s="173">
        <f>ROUND(ROCK!$F$48,-1)</f>
        <v>8900</v>
      </c>
      <c r="C90" s="173">
        <f>ROUND(ROCK!$F$50,-1)</f>
        <v>8900</v>
      </c>
      <c r="D90" s="173">
        <f>+ROCK!$F$54</f>
        <v>0</v>
      </c>
      <c r="E90" s="173">
        <f>+ROCK!$F$56</f>
        <v>0</v>
      </c>
      <c r="F90" s="173">
        <f>+ROCK!$F$58</f>
        <v>3560</v>
      </c>
      <c r="G90" s="173">
        <f>+ROCK!$F$61</f>
        <v>5340</v>
      </c>
      <c r="H90" s="173">
        <f>ROUND(ROCK!$F$21,-1)</f>
        <v>80</v>
      </c>
      <c r="I90" s="173">
        <f>ROUND(ROCK!$F$25,-1)</f>
        <v>0</v>
      </c>
      <c r="J90" s="173">
        <f>ROUND(ROCK!$F$34,-1)</f>
        <v>5240</v>
      </c>
    </row>
    <row r="91" spans="1:10" s="14" customFormat="1">
      <c r="A91" s="297" t="s">
        <v>17</v>
      </c>
      <c r="B91" s="173">
        <f>ROUND('SOUTH FORK'!$F$71,-1)</f>
        <v>20160</v>
      </c>
      <c r="C91" s="173">
        <f>ROUND('SOUTH FORK'!$F$73,-1)</f>
        <v>20160</v>
      </c>
      <c r="D91" s="173">
        <f>+'SOUTH FORK'!$F$77</f>
        <v>8950</v>
      </c>
      <c r="E91" s="173">
        <f>+'SOUTH FORK'!$F$79</f>
        <v>8100</v>
      </c>
      <c r="F91" s="173">
        <f>+'SOUTH FORK'!$F$81</f>
        <v>280</v>
      </c>
      <c r="G91" s="173">
        <f>+'SOUTH FORK'!$F$84</f>
        <v>2830</v>
      </c>
      <c r="H91" s="173">
        <f>ROUND('SOUTH FORK'!$F$39,-1)</f>
        <v>13760</v>
      </c>
      <c r="I91" s="173">
        <f>ROUND('SOUTH FORK'!$F$48,-1)</f>
        <v>5310</v>
      </c>
      <c r="J91" s="173">
        <f>ROUND('SOUTH FORK'!$F$57,-1)</f>
        <v>770</v>
      </c>
    </row>
    <row r="92" spans="1:10" s="14" customFormat="1">
      <c r="A92" s="297" t="s">
        <v>18</v>
      </c>
      <c r="B92" s="173">
        <f>ROUND(FRENCHMAN!$F$66,-1)</f>
        <v>99790</v>
      </c>
      <c r="C92" s="173">
        <f>ROUND(FRENCHMAN!$F$68,-1)</f>
        <v>100450</v>
      </c>
      <c r="D92" s="173">
        <f>+FRENCHMAN!$F$72</f>
        <v>0</v>
      </c>
      <c r="E92" s="173">
        <f>+FRENCHMAN!$F$74</f>
        <v>0</v>
      </c>
      <c r="F92" s="173">
        <f>+FRENCHMAN!$F$76</f>
        <v>53840</v>
      </c>
      <c r="G92" s="173">
        <f>+FRENCHMAN!$F$79</f>
        <v>46610</v>
      </c>
      <c r="H92" s="173">
        <f>ROUND(FRENCHMAN!$F$31,-1)</f>
        <v>200</v>
      </c>
      <c r="I92" s="173">
        <f>ROUND(FRENCHMAN!$F$35,-1)</f>
        <v>0</v>
      </c>
      <c r="J92" s="173">
        <f>ROUND(FRENCHMAN!$F$49,-1)</f>
        <v>82730</v>
      </c>
    </row>
    <row r="93" spans="1:10" s="14" customFormat="1">
      <c r="A93" s="297" t="s">
        <v>19</v>
      </c>
      <c r="B93" s="173">
        <f>ROUND(DRIFTWOOD!$F$61,-1)</f>
        <v>170</v>
      </c>
      <c r="C93" s="173">
        <f>ROUND(DRIFTWOOD!$F$63,-1)</f>
        <v>170</v>
      </c>
      <c r="D93" s="173">
        <f>+DRIFTWOOD!$F$67</f>
        <v>0</v>
      </c>
      <c r="E93" s="173">
        <f>+DRIFTWOOD!$F$69</f>
        <v>10</v>
      </c>
      <c r="F93" s="173">
        <f>+DRIFTWOOD!$F$71</f>
        <v>30</v>
      </c>
      <c r="G93" s="173">
        <f>+DRIFTWOOD!$F$74</f>
        <v>130</v>
      </c>
      <c r="H93" s="173">
        <f>ROUND(DRIFTWOOD!$F$29,-1)</f>
        <v>0</v>
      </c>
      <c r="I93" s="173">
        <f>ROUND(DRIFTWOOD!$F$38,-1)</f>
        <v>20</v>
      </c>
      <c r="J93" s="173">
        <f>ROUND(DRIFTWOOD!$F$47,-1)</f>
        <v>830</v>
      </c>
    </row>
    <row r="94" spans="1:10" s="14" customFormat="1">
      <c r="A94" s="297" t="s">
        <v>20</v>
      </c>
      <c r="B94" s="173">
        <f>ROUND('RED WILLOW'!$F$59,-1)</f>
        <v>17930</v>
      </c>
      <c r="C94" s="173">
        <f>ROUND('RED WILLOW'!$F$61,-1)</f>
        <v>20550</v>
      </c>
      <c r="D94" s="173">
        <f>+'RED WILLOW'!$F$65</f>
        <v>0</v>
      </c>
      <c r="E94" s="173">
        <f>+'RED WILLOW'!$F$67</f>
        <v>0</v>
      </c>
      <c r="F94" s="173">
        <f>+'RED WILLOW'!$F$69</f>
        <v>3950</v>
      </c>
      <c r="G94" s="173">
        <f>+'RED WILLOW'!$F$72</f>
        <v>16600</v>
      </c>
      <c r="H94" s="173">
        <f>ROUND('RED WILLOW'!$F$27,-1)</f>
        <v>0</v>
      </c>
      <c r="I94" s="173">
        <f>ROUND('RED WILLOW'!$F$31,-1)</f>
        <v>0</v>
      </c>
      <c r="J94" s="173">
        <f>ROUND('RED WILLOW'!$F$42,-1)</f>
        <v>9590</v>
      </c>
    </row>
    <row r="95" spans="1:10" s="14" customFormat="1">
      <c r="A95" s="297" t="s">
        <v>21</v>
      </c>
      <c r="B95" s="173">
        <f>ROUND('MEDICINE CREEK'!$F$65,-1)</f>
        <v>38440</v>
      </c>
      <c r="C95" s="173">
        <f>ROUND('MEDICINE CREEK'!$F$67,-1)</f>
        <v>35490</v>
      </c>
      <c r="D95" s="173">
        <f>+'MEDICINE CREEK'!$F$71</f>
        <v>0</v>
      </c>
      <c r="E95" s="173">
        <f>+'MEDICINE CREEK'!$F$73</f>
        <v>0</v>
      </c>
      <c r="F95" s="173">
        <f>+'MEDICINE CREEK'!$F$75</f>
        <v>3230</v>
      </c>
      <c r="G95" s="173">
        <f>+'MEDICINE CREEK'!$F$78</f>
        <v>32260</v>
      </c>
      <c r="H95" s="173">
        <f>ROUND('MEDICINE CREEK'!$F$27,-1)</f>
        <v>0</v>
      </c>
      <c r="I95" s="173">
        <f>ROUND('MEDICINE CREEK'!$F$31,-1)</f>
        <v>0</v>
      </c>
      <c r="J95" s="173">
        <f>ROUND('MEDICINE CREEK'!$F$44,-1)</f>
        <v>20910</v>
      </c>
    </row>
    <row r="96" spans="1:10" s="14" customFormat="1">
      <c r="A96" s="297" t="s">
        <v>22</v>
      </c>
      <c r="B96" s="173">
        <f>ROUND(BEAVER!$F$78,-1)</f>
        <v>9700</v>
      </c>
      <c r="C96" s="173">
        <f>ROUND(BEAVER!$F$80,-1)</f>
        <v>9700</v>
      </c>
      <c r="D96" s="173">
        <f>+BEAVER!$F$84</f>
        <v>1940</v>
      </c>
      <c r="E96" s="173">
        <f>+BEAVER!$F$86</f>
        <v>3760</v>
      </c>
      <c r="F96" s="173">
        <f>+BEAVER!$F$88</f>
        <v>3940</v>
      </c>
      <c r="G96" s="173">
        <f>+BEAVER!$F$91</f>
        <v>60</v>
      </c>
      <c r="H96" s="173">
        <f>ROUND(BEAVER!$F$38,-1)</f>
        <v>0</v>
      </c>
      <c r="I96" s="173">
        <f>ROUND(BEAVER!$F$47,-1)</f>
        <v>5550</v>
      </c>
      <c r="J96" s="173">
        <f>ROUND(BEAVER!$F$60,-1)</f>
        <v>3350</v>
      </c>
    </row>
    <row r="97" spans="1:10" s="14" customFormat="1">
      <c r="A97" s="297" t="s">
        <v>23</v>
      </c>
      <c r="B97" s="173">
        <f>ROUND(SAPPA!$F$72,-1)</f>
        <v>17350</v>
      </c>
      <c r="C97" s="173">
        <f>ROUND(SAPPA!$F$74,-1)</f>
        <v>17350</v>
      </c>
      <c r="D97" s="173">
        <f>+SAPPA!$F$78</f>
        <v>0</v>
      </c>
      <c r="E97" s="173">
        <f>+SAPPA!$F$80</f>
        <v>7130</v>
      </c>
      <c r="F97" s="173">
        <f>+SAPPA!$F$82</f>
        <v>7130</v>
      </c>
      <c r="G97" s="173">
        <f>+SAPPA!$F$85</f>
        <v>3090</v>
      </c>
      <c r="H97" s="173">
        <f>ROUND(SAPPA!$F$30,-1)</f>
        <v>0</v>
      </c>
      <c r="I97" s="173">
        <f>ROUND(SAPPA!$F$39,-1)</f>
        <v>1640</v>
      </c>
      <c r="J97" s="173">
        <f>ROUND(SAPPA!$F$53,-1)</f>
        <v>1610</v>
      </c>
    </row>
    <row r="98" spans="1:10">
      <c r="A98" s="297" t="s">
        <v>24</v>
      </c>
      <c r="B98" s="173">
        <f>ROUND('PRAIRIE DOG'!$F$70,-1)</f>
        <v>11200</v>
      </c>
      <c r="C98" s="173">
        <f>ROUND('PRAIRIE DOG'!$F$72,-1)</f>
        <v>14640</v>
      </c>
      <c r="D98" s="173">
        <f>+'PRAIRIE DOG'!$F$76</f>
        <v>0</v>
      </c>
      <c r="E98" s="173">
        <f>+'PRAIRIE DOG'!$F$78</f>
        <v>6690</v>
      </c>
      <c r="F98" s="173">
        <f>+'PRAIRIE DOG'!$F$80</f>
        <v>1110</v>
      </c>
      <c r="G98" s="173">
        <f>+'PRAIRIE DOG'!$F$83</f>
        <v>6840</v>
      </c>
      <c r="H98" s="173">
        <f>ROUND('PRAIRIE DOG'!$F$31,-1)</f>
        <v>0</v>
      </c>
      <c r="I98" s="173">
        <f>ROUND('PRAIRIE DOG'!$F$42,-1)</f>
        <v>8000</v>
      </c>
      <c r="J98" s="173">
        <f>ROUND('PRAIRIE DOG'!$F$66,-1)</f>
        <v>80</v>
      </c>
    </row>
    <row r="99" spans="1:10" ht="13.5" thickBot="1">
      <c r="A99" s="298" t="s">
        <v>6</v>
      </c>
      <c r="B99" s="299">
        <f>ROUND(MAINSTEM!$F$188,-1)</f>
        <v>197990</v>
      </c>
      <c r="C99" s="299">
        <f>ROUND(MAINSTEM!$F$191,-1)</f>
        <v>204980</v>
      </c>
      <c r="D99" s="299">
        <f>+MAINSTEM!$F$195</f>
        <v>0</v>
      </c>
      <c r="E99" s="299">
        <f>+MAINSTEM!$F$197</f>
        <v>104740</v>
      </c>
      <c r="F99" s="299">
        <f>+MAINSTEM!$F$199</f>
        <v>100240</v>
      </c>
      <c r="G99" s="299">
        <f>+MAINSTEM!$F$202</f>
        <v>0</v>
      </c>
      <c r="H99" s="299">
        <f>ROUND(MAINSTEM!$F$103,-1)</f>
        <v>-3840</v>
      </c>
      <c r="I99" s="299">
        <f>ROUND(MAINSTEM!$F$118,-1)</f>
        <v>36480</v>
      </c>
      <c r="J99" s="299">
        <f>ROUND(MAINSTEM!$F$141,-1)</f>
        <v>119130</v>
      </c>
    </row>
    <row r="100" spans="1:10" ht="13.5" thickTop="1">
      <c r="A100" s="300" t="s">
        <v>8</v>
      </c>
      <c r="B100" s="174">
        <f>SUM(B87:B99)</f>
        <v>472100</v>
      </c>
      <c r="C100" s="174">
        <f t="shared" ref="C100:J100" si="4">SUM(C87:C99)</f>
        <v>482860</v>
      </c>
      <c r="D100" s="174">
        <f t="shared" si="4"/>
        <v>22790</v>
      </c>
      <c r="E100" s="174">
        <f t="shared" si="4"/>
        <v>130600</v>
      </c>
      <c r="F100" s="174">
        <f t="shared" si="4"/>
        <v>189950</v>
      </c>
      <c r="G100" s="174">
        <f t="shared" si="4"/>
        <v>139520</v>
      </c>
      <c r="H100" s="174">
        <f t="shared" si="4"/>
        <v>30200</v>
      </c>
      <c r="I100" s="174">
        <f t="shared" si="4"/>
        <v>57130</v>
      </c>
      <c r="J100" s="174">
        <f t="shared" si="4"/>
        <v>252650</v>
      </c>
    </row>
    <row r="101" spans="1:10" ht="24.75" thickBot="1">
      <c r="A101" s="301" t="s">
        <v>25</v>
      </c>
      <c r="B101" s="299"/>
      <c r="C101" s="299">
        <f>+C99+G100</f>
        <v>344500</v>
      </c>
      <c r="D101" s="299">
        <f>+D99</f>
        <v>0</v>
      </c>
      <c r="E101" s="299">
        <f>E99+ROUND(G100*0.511,-1)</f>
        <v>176030</v>
      </c>
      <c r="F101" s="299">
        <f>F99+ROUND(G100*0.489,-1)</f>
        <v>168470</v>
      </c>
      <c r="G101" s="299"/>
      <c r="H101" s="299"/>
      <c r="I101" s="299"/>
      <c r="J101" s="299"/>
    </row>
    <row r="102" spans="1:10" ht="13.5" thickTop="1">
      <c r="A102" s="300" t="s">
        <v>4</v>
      </c>
      <c r="B102" s="174">
        <f>SUM(B87:B99)</f>
        <v>472100</v>
      </c>
      <c r="C102" s="174">
        <f>SUM(C87:C99)</f>
        <v>482860</v>
      </c>
      <c r="D102" s="174">
        <f>SUM(D87:D98,D101)</f>
        <v>22790</v>
      </c>
      <c r="E102" s="174">
        <f>SUM(E87:E98,E101)</f>
        <v>201890</v>
      </c>
      <c r="F102" s="174">
        <f>SUM(F87:F98,F101)</f>
        <v>258180</v>
      </c>
      <c r="G102" s="174">
        <f>+G101</f>
        <v>0</v>
      </c>
      <c r="H102" s="174">
        <f>SUM(H87:H99)</f>
        <v>30200</v>
      </c>
      <c r="I102" s="174">
        <f>SUM(I87:I99)</f>
        <v>57130</v>
      </c>
      <c r="J102" s="174">
        <f>SUM(J87:J99)</f>
        <v>252650</v>
      </c>
    </row>
  </sheetData>
  <mergeCells count="25">
    <mergeCell ref="A4:J4"/>
    <mergeCell ref="B5:B6"/>
    <mergeCell ref="C5:C6"/>
    <mergeCell ref="D5:G5"/>
    <mergeCell ref="H5:J5"/>
    <mergeCell ref="B45:B46"/>
    <mergeCell ref="C45:C46"/>
    <mergeCell ref="D45:G45"/>
    <mergeCell ref="H45:J45"/>
    <mergeCell ref="A24:J24"/>
    <mergeCell ref="B25:B26"/>
    <mergeCell ref="C25:C26"/>
    <mergeCell ref="D25:G25"/>
    <mergeCell ref="H25:J25"/>
    <mergeCell ref="A44:J44"/>
    <mergeCell ref="A64:J64"/>
    <mergeCell ref="B65:B66"/>
    <mergeCell ref="C65:C66"/>
    <mergeCell ref="D65:G65"/>
    <mergeCell ref="H65:J65"/>
    <mergeCell ref="A84:J84"/>
    <mergeCell ref="B85:B86"/>
    <mergeCell ref="C85:C86"/>
    <mergeCell ref="D85:G85"/>
    <mergeCell ref="H85:J85"/>
  </mergeCells>
  <phoneticPr fontId="0" type="noConversion"/>
  <pageMargins left="0.75" right="0.75" top="1" bottom="1" header="0.5" footer="0.5"/>
  <pageSetup paperSize="17"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J18"/>
  <sheetViews>
    <sheetView view="pageBreakPreview" zoomScaleNormal="100" zoomScaleSheetLayoutView="100" workbookViewId="0">
      <selection activeCell="L25" sqref="D23:L25"/>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39" t="s">
        <v>26</v>
      </c>
      <c r="B1" s="539"/>
      <c r="C1" s="539"/>
      <c r="D1" s="539"/>
      <c r="E1" s="539"/>
      <c r="F1" s="539"/>
      <c r="G1" s="539"/>
      <c r="H1" s="539"/>
      <c r="I1" s="539"/>
      <c r="J1" s="539"/>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0">
        <v>44700</v>
      </c>
      <c r="C3" s="170">
        <v>10000</v>
      </c>
      <c r="D3" s="23">
        <v>0.224</v>
      </c>
      <c r="E3" s="170"/>
      <c r="F3" s="23"/>
      <c r="G3" s="170">
        <v>11000</v>
      </c>
      <c r="H3" s="23">
        <v>0.246</v>
      </c>
      <c r="I3" s="170">
        <v>23700</v>
      </c>
      <c r="J3" s="23">
        <v>0.53</v>
      </c>
    </row>
    <row r="4" spans="1:10" ht="20.100000000000001" customHeight="1">
      <c r="A4" s="15" t="s">
        <v>15</v>
      </c>
      <c r="B4" s="170">
        <v>19610</v>
      </c>
      <c r="C4" s="170">
        <v>15400</v>
      </c>
      <c r="D4" s="23">
        <v>0.78500000000000003</v>
      </c>
      <c r="E4" s="170">
        <v>1000</v>
      </c>
      <c r="F4" s="23">
        <v>5.0999999999999997E-2</v>
      </c>
      <c r="G4" s="170">
        <v>3300</v>
      </c>
      <c r="H4" s="23">
        <v>0.16800000000000001</v>
      </c>
      <c r="I4" s="170">
        <v>-90</v>
      </c>
      <c r="J4" s="23">
        <v>-4.0000000000000001E-3</v>
      </c>
    </row>
    <row r="5" spans="1:10" ht="20.100000000000001" customHeight="1">
      <c r="A5" s="15" t="s">
        <v>16</v>
      </c>
      <c r="B5" s="170">
        <v>7890</v>
      </c>
      <c r="C5" s="170"/>
      <c r="D5" s="23"/>
      <c r="E5" s="170"/>
      <c r="F5" s="23"/>
      <c r="G5" s="170">
        <v>2600</v>
      </c>
      <c r="H5" s="23">
        <v>0.33</v>
      </c>
      <c r="I5" s="170">
        <v>5290</v>
      </c>
      <c r="J5" s="23">
        <v>0.67</v>
      </c>
    </row>
    <row r="6" spans="1:10" ht="20.100000000000001" customHeight="1">
      <c r="A6" s="15" t="s">
        <v>5</v>
      </c>
      <c r="B6" s="170">
        <v>11000</v>
      </c>
      <c r="C6" s="170"/>
      <c r="D6" s="23"/>
      <c r="E6" s="170"/>
      <c r="F6" s="23"/>
      <c r="G6" s="170">
        <v>4400</v>
      </c>
      <c r="H6" s="23">
        <v>0.4</v>
      </c>
      <c r="I6" s="170">
        <v>6600</v>
      </c>
      <c r="J6" s="23">
        <v>0.6</v>
      </c>
    </row>
    <row r="7" spans="1:10" ht="20.100000000000001" customHeight="1">
      <c r="A7" s="15" t="s">
        <v>17</v>
      </c>
      <c r="B7" s="170">
        <v>57200</v>
      </c>
      <c r="C7" s="170">
        <v>25400</v>
      </c>
      <c r="D7" s="23">
        <v>0.44400000000000001</v>
      </c>
      <c r="E7" s="170">
        <v>23000</v>
      </c>
      <c r="F7" s="23">
        <v>0.40200000000000002</v>
      </c>
      <c r="G7" s="170">
        <v>800</v>
      </c>
      <c r="H7" s="23">
        <v>1.4E-2</v>
      </c>
      <c r="I7" s="170">
        <v>8000</v>
      </c>
      <c r="J7" s="23">
        <v>0.14000000000000001</v>
      </c>
    </row>
    <row r="8" spans="1:10" ht="20.100000000000001" customHeight="1">
      <c r="A8" s="15" t="s">
        <v>18</v>
      </c>
      <c r="B8" s="170">
        <v>98500</v>
      </c>
      <c r="C8" s="170"/>
      <c r="D8" s="23"/>
      <c r="E8" s="170"/>
      <c r="F8" s="23"/>
      <c r="G8" s="170">
        <v>52800</v>
      </c>
      <c r="H8" s="23">
        <v>0.53600000000000003</v>
      </c>
      <c r="I8" s="170">
        <v>45700</v>
      </c>
      <c r="J8" s="23">
        <v>0.46400000000000002</v>
      </c>
    </row>
    <row r="9" spans="1:10" ht="20.100000000000001" customHeight="1">
      <c r="A9" s="15" t="s">
        <v>19</v>
      </c>
      <c r="B9" s="170">
        <v>7300</v>
      </c>
      <c r="C9" s="170"/>
      <c r="D9" s="23"/>
      <c r="E9" s="170">
        <v>500</v>
      </c>
      <c r="F9" s="23">
        <v>6.9000000000000006E-2</v>
      </c>
      <c r="G9" s="170">
        <v>1200</v>
      </c>
      <c r="H9" s="23">
        <v>0.16400000000000001</v>
      </c>
      <c r="I9" s="170">
        <v>5600</v>
      </c>
      <c r="J9" s="23">
        <v>0.76700000000000002</v>
      </c>
    </row>
    <row r="10" spans="1:10" ht="20.100000000000001" customHeight="1">
      <c r="A10" s="15" t="s">
        <v>20</v>
      </c>
      <c r="B10" s="170">
        <v>21900</v>
      </c>
      <c r="C10" s="170"/>
      <c r="D10" s="23"/>
      <c r="E10" s="170"/>
      <c r="F10" s="23"/>
      <c r="G10" s="170">
        <v>4200</v>
      </c>
      <c r="H10" s="23">
        <v>0.192</v>
      </c>
      <c r="I10" s="170">
        <v>17700</v>
      </c>
      <c r="J10" s="23">
        <v>0.80800000000000005</v>
      </c>
    </row>
    <row r="11" spans="1:10" ht="20.100000000000001" customHeight="1">
      <c r="A11" s="15" t="s">
        <v>21</v>
      </c>
      <c r="B11" s="170">
        <v>50800</v>
      </c>
      <c r="C11" s="170"/>
      <c r="D11" s="23"/>
      <c r="E11" s="170"/>
      <c r="F11" s="23"/>
      <c r="G11" s="170">
        <v>4600</v>
      </c>
      <c r="H11" s="23">
        <v>9.0999999999999998E-2</v>
      </c>
      <c r="I11" s="170">
        <v>46200</v>
      </c>
      <c r="J11" s="23">
        <v>0.90900000000000003</v>
      </c>
    </row>
    <row r="12" spans="1:10" ht="20.100000000000001" customHeight="1">
      <c r="A12" s="15" t="s">
        <v>22</v>
      </c>
      <c r="B12" s="170">
        <v>16500</v>
      </c>
      <c r="C12" s="170">
        <v>3300</v>
      </c>
      <c r="D12" s="23">
        <v>0.2</v>
      </c>
      <c r="E12" s="170">
        <v>6400</v>
      </c>
      <c r="F12" s="23">
        <v>0.38800000000000001</v>
      </c>
      <c r="G12" s="170">
        <v>6700</v>
      </c>
      <c r="H12" s="23">
        <v>0.40600000000000003</v>
      </c>
      <c r="I12" s="170">
        <v>100</v>
      </c>
      <c r="J12" s="23">
        <v>6.0000000000000001E-3</v>
      </c>
    </row>
    <row r="13" spans="1:10" ht="20.100000000000001" customHeight="1">
      <c r="A13" s="15" t="s">
        <v>23</v>
      </c>
      <c r="B13" s="170">
        <v>21400</v>
      </c>
      <c r="C13" s="170"/>
      <c r="D13" s="23"/>
      <c r="E13" s="170">
        <v>8800</v>
      </c>
      <c r="F13" s="23">
        <v>0.41099999999999998</v>
      </c>
      <c r="G13" s="170">
        <v>8800</v>
      </c>
      <c r="H13" s="23">
        <v>0.41099999999999998</v>
      </c>
      <c r="I13" s="170">
        <v>3800</v>
      </c>
      <c r="J13" s="23">
        <v>0.17799999999999999</v>
      </c>
    </row>
    <row r="14" spans="1:10" ht="20.100000000000001" customHeight="1">
      <c r="A14" s="15" t="s">
        <v>24</v>
      </c>
      <c r="B14" s="170">
        <v>27600</v>
      </c>
      <c r="C14" s="170"/>
      <c r="D14" s="23"/>
      <c r="E14" s="170">
        <v>12600</v>
      </c>
      <c r="F14" s="23">
        <v>0.45700000000000002</v>
      </c>
      <c r="G14" s="170">
        <v>2100</v>
      </c>
      <c r="H14" s="23">
        <v>7.5999999999999998E-2</v>
      </c>
      <c r="I14" s="170">
        <v>12900</v>
      </c>
      <c r="J14" s="23">
        <v>0.46700000000000003</v>
      </c>
    </row>
    <row r="15" spans="1:10" ht="30" customHeight="1">
      <c r="A15" s="19" t="s">
        <v>32</v>
      </c>
      <c r="B15" s="170">
        <v>384000</v>
      </c>
      <c r="C15" s="170"/>
      <c r="D15" s="23"/>
      <c r="E15" s="170"/>
      <c r="F15" s="23"/>
      <c r="G15" s="170"/>
      <c r="H15" s="23"/>
      <c r="I15" s="170">
        <v>175500</v>
      </c>
      <c r="J15" s="23"/>
    </row>
    <row r="16" spans="1:10" ht="20.100000000000001" customHeight="1">
      <c r="A16" s="15" t="s">
        <v>6</v>
      </c>
      <c r="B16" s="170">
        <v>94500</v>
      </c>
      <c r="C16" s="170"/>
      <c r="D16" s="23"/>
      <c r="E16" s="170"/>
      <c r="F16" s="23"/>
      <c r="G16" s="170"/>
      <c r="H16" s="23"/>
      <c r="I16" s="170"/>
      <c r="J16" s="23"/>
    </row>
    <row r="17" spans="1:10" ht="30" customHeight="1" thickBot="1">
      <c r="A17" s="17" t="s">
        <v>31</v>
      </c>
      <c r="B17" s="171">
        <v>270000</v>
      </c>
      <c r="C17" s="171"/>
      <c r="D17" s="24"/>
      <c r="E17" s="171">
        <v>138000</v>
      </c>
      <c r="F17" s="24">
        <v>0.51100000000000001</v>
      </c>
      <c r="G17" s="171">
        <v>132000</v>
      </c>
      <c r="H17" s="24">
        <v>0.48899999999999999</v>
      </c>
      <c r="I17" s="171"/>
      <c r="J17" s="24"/>
    </row>
    <row r="18" spans="1:10" ht="20.100000000000001" customHeight="1" thickTop="1">
      <c r="A18" s="16" t="s">
        <v>4</v>
      </c>
      <c r="B18" s="172">
        <v>478900</v>
      </c>
      <c r="C18" s="172">
        <v>54100</v>
      </c>
      <c r="D18" s="25"/>
      <c r="E18" s="172">
        <v>190300</v>
      </c>
      <c r="F18" s="25"/>
      <c r="G18" s="172">
        <v>234500</v>
      </c>
      <c r="H18" s="25"/>
      <c r="I18" s="172"/>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E36"/>
  <sheetViews>
    <sheetView zoomScale="90" zoomScaleNormal="90" workbookViewId="0">
      <selection activeCell="G17" sqref="G17"/>
    </sheetView>
  </sheetViews>
  <sheetFormatPr defaultColWidth="31.7109375" defaultRowHeight="40.5" customHeight="1"/>
  <cols>
    <col min="1" max="1" width="18.140625" style="329" customWidth="1"/>
    <col min="2" max="2" width="20.85546875" style="329" customWidth="1"/>
    <col min="3" max="4" width="21.5703125" style="329" customWidth="1"/>
    <col min="5" max="5" width="19.5703125" style="329" customWidth="1"/>
    <col min="6" max="9" width="12.28515625" style="30" customWidth="1"/>
    <col min="10" max="16384" width="31.7109375" style="30"/>
  </cols>
  <sheetData>
    <row r="1" spans="1:5" ht="12.75" customHeight="1">
      <c r="A1" s="540" t="s">
        <v>589</v>
      </c>
      <c r="B1" s="540"/>
      <c r="C1" s="540"/>
      <c r="D1" s="540"/>
      <c r="E1" s="540"/>
    </row>
    <row r="2" spans="1:5" ht="12.75">
      <c r="A2" s="349"/>
      <c r="B2" s="346" t="s">
        <v>581</v>
      </c>
      <c r="C2" s="346" t="s">
        <v>582</v>
      </c>
      <c r="D2" s="346" t="s">
        <v>583</v>
      </c>
      <c r="E2" s="346" t="s">
        <v>584</v>
      </c>
    </row>
    <row r="3" spans="1:5" ht="102">
      <c r="A3" s="84" t="s">
        <v>33</v>
      </c>
      <c r="B3" s="84" t="s">
        <v>34</v>
      </c>
      <c r="C3" s="84" t="s">
        <v>585</v>
      </c>
      <c r="D3" s="346" t="s">
        <v>586</v>
      </c>
      <c r="E3" s="346" t="s">
        <v>587</v>
      </c>
    </row>
    <row r="4" spans="1:5" ht="12.75">
      <c r="A4" s="310">
        <f>INPUT!$C$1</f>
        <v>2017</v>
      </c>
      <c r="B4" s="316">
        <f>'T1'!D22</f>
        <v>22960</v>
      </c>
      <c r="C4" s="316">
        <f>'T1'!H22</f>
        <v>31810</v>
      </c>
      <c r="D4" s="316">
        <f>RWS_CWSA!Y16</f>
        <v>11330</v>
      </c>
      <c r="E4" s="316">
        <f>+B4-C4+D4</f>
        <v>2480</v>
      </c>
    </row>
    <row r="5" spans="1:5" ht="12.75">
      <c r="A5" s="310">
        <f>INPUT!$D$1</f>
        <v>2018</v>
      </c>
      <c r="B5" s="316">
        <f>'T1'!D42</f>
        <v>25630</v>
      </c>
      <c r="C5" s="316">
        <f>'T1'!H42</f>
        <v>35130</v>
      </c>
      <c r="D5" s="316">
        <f>RWS_CWSA!Y17</f>
        <v>13578</v>
      </c>
      <c r="E5" s="316">
        <f>+B5-C5+D5</f>
        <v>4078</v>
      </c>
    </row>
    <row r="6" spans="1:5" ht="12.75">
      <c r="A6" s="310">
        <f>INPUT!$E$1</f>
        <v>2019</v>
      </c>
      <c r="B6" s="316">
        <f>'T1'!D62</f>
        <v>22710</v>
      </c>
      <c r="C6" s="316">
        <f>'T1'!H62</f>
        <v>32740</v>
      </c>
      <c r="D6" s="316">
        <f>RWS_CWSA!Y18</f>
        <v>8905</v>
      </c>
      <c r="E6" s="316">
        <f>+B6-C6+D6</f>
        <v>-1125</v>
      </c>
    </row>
    <row r="7" spans="1:5" ht="12.75">
      <c r="A7" s="310">
        <f>INPUT!$F$1</f>
        <v>2020</v>
      </c>
      <c r="B7" s="316">
        <f>'T1'!D82</f>
        <v>24200</v>
      </c>
      <c r="C7" s="316">
        <f>'T1'!H82</f>
        <v>26910</v>
      </c>
      <c r="D7" s="316">
        <f>RWS_CWSA!Y19</f>
        <v>6218</v>
      </c>
      <c r="E7" s="316">
        <f>+B7-C7+D7</f>
        <v>3508</v>
      </c>
    </row>
    <row r="8" spans="1:5" ht="13.5" thickBot="1">
      <c r="A8" s="311">
        <f>INPUT!$G$1</f>
        <v>2021</v>
      </c>
      <c r="B8" s="324">
        <f>'T1'!D102</f>
        <v>22790</v>
      </c>
      <c r="C8" s="324">
        <f>'T1'!H102</f>
        <v>30200</v>
      </c>
      <c r="D8" s="316">
        <f>RWS_CWSA!Y20</f>
        <v>9390</v>
      </c>
      <c r="E8" s="324">
        <f>+B8-C8+D8</f>
        <v>1980</v>
      </c>
    </row>
    <row r="9" spans="1:5" ht="13.5" thickTop="1">
      <c r="A9" s="436" t="s">
        <v>698</v>
      </c>
      <c r="B9" s="316">
        <f>ROUND(+AVERAGE(B4:B8),-1)</f>
        <v>23660</v>
      </c>
      <c r="C9" s="316">
        <f>ROUND(+AVERAGE(C4:C8),-1)</f>
        <v>31360</v>
      </c>
      <c r="D9" s="432">
        <f>ROUND(+AVERAGE(D4:D8),-1)</f>
        <v>9880</v>
      </c>
      <c r="E9" s="316">
        <f>ROUND(+AVERAGE(E4:E8),-1)</f>
        <v>2180</v>
      </c>
    </row>
    <row r="10" spans="1:5" ht="12.75">
      <c r="A10" s="325"/>
      <c r="B10" s="326"/>
      <c r="C10" s="326"/>
      <c r="D10" s="326"/>
      <c r="E10" s="327"/>
    </row>
    <row r="11" spans="1:5" ht="12.75" customHeight="1">
      <c r="A11" s="540" t="s">
        <v>590</v>
      </c>
      <c r="B11" s="540"/>
      <c r="C11" s="540"/>
      <c r="D11" s="540"/>
      <c r="E11" s="540"/>
    </row>
    <row r="12" spans="1:5" ht="12.75">
      <c r="A12" s="349"/>
      <c r="B12" s="346" t="s">
        <v>581</v>
      </c>
      <c r="C12" s="346" t="s">
        <v>582</v>
      </c>
      <c r="D12" s="346" t="s">
        <v>583</v>
      </c>
      <c r="E12" s="346" t="s">
        <v>584</v>
      </c>
    </row>
    <row r="13" spans="1:5" ht="89.25">
      <c r="A13" s="84" t="s">
        <v>33</v>
      </c>
      <c r="B13" s="84" t="s">
        <v>34</v>
      </c>
      <c r="C13" s="84" t="s">
        <v>585</v>
      </c>
      <c r="D13" s="346" t="s">
        <v>35</v>
      </c>
      <c r="E13" s="346" t="s">
        <v>588</v>
      </c>
    </row>
    <row r="14" spans="1:5" ht="12.75">
      <c r="A14" s="310">
        <f>INPUT!$C$1</f>
        <v>2017</v>
      </c>
      <c r="B14" s="316">
        <f>'T1'!E22</f>
        <v>177230</v>
      </c>
      <c r="C14" s="316">
        <f>'T1'!I22</f>
        <v>62040</v>
      </c>
      <c r="D14" s="316" t="s">
        <v>334</v>
      </c>
      <c r="E14" s="316">
        <f>+B14-C14</f>
        <v>115190</v>
      </c>
    </row>
    <row r="15" spans="1:5" ht="12.75">
      <c r="A15" s="310">
        <f>INPUT!$D$1</f>
        <v>2018</v>
      </c>
      <c r="B15" s="316">
        <f>'T1'!E42</f>
        <v>179780</v>
      </c>
      <c r="C15" s="316">
        <f>'T1'!I42</f>
        <v>51450</v>
      </c>
      <c r="D15" s="316" t="s">
        <v>334</v>
      </c>
      <c r="E15" s="316">
        <f>+B15-C15</f>
        <v>128330</v>
      </c>
    </row>
    <row r="16" spans="1:5" ht="12.75">
      <c r="A16" s="310">
        <f>INPUT!$E$1</f>
        <v>2019</v>
      </c>
      <c r="B16" s="316">
        <f>'T1'!E62</f>
        <v>333300</v>
      </c>
      <c r="C16" s="316">
        <f>'T1'!I62</f>
        <v>47910</v>
      </c>
      <c r="D16" s="316" t="s">
        <v>334</v>
      </c>
      <c r="E16" s="316">
        <f>+B16-C16</f>
        <v>285390</v>
      </c>
    </row>
    <row r="17" spans="1:5" ht="12.75">
      <c r="A17" s="310">
        <f>INPUT!$F$1</f>
        <v>2020</v>
      </c>
      <c r="B17" s="316">
        <f>'T1'!E82</f>
        <v>247750</v>
      </c>
      <c r="C17" s="316">
        <f>'T1'!I82</f>
        <v>53810</v>
      </c>
      <c r="D17" s="316" t="s">
        <v>334</v>
      </c>
      <c r="E17" s="316">
        <f>+B17-C17</f>
        <v>193940</v>
      </c>
    </row>
    <row r="18" spans="1:5" ht="13.5" thickBot="1">
      <c r="A18" s="311">
        <f>INPUT!$G$1</f>
        <v>2021</v>
      </c>
      <c r="B18" s="324">
        <f>'T1'!E102</f>
        <v>201890</v>
      </c>
      <c r="C18" s="324">
        <f>'T1'!I102</f>
        <v>57130</v>
      </c>
      <c r="D18" s="324" t="s">
        <v>334</v>
      </c>
      <c r="E18" s="324">
        <f>+B18-C18</f>
        <v>144760</v>
      </c>
    </row>
    <row r="19" spans="1:5" ht="13.5" thickTop="1">
      <c r="A19" s="436" t="s">
        <v>698</v>
      </c>
      <c r="B19" s="316">
        <f>ROUND(+AVERAGE(B14:B18),-1)</f>
        <v>227990</v>
      </c>
      <c r="C19" s="316">
        <f>ROUND(+AVERAGE(C14:C18),-1)</f>
        <v>54470</v>
      </c>
      <c r="D19" s="316" t="s">
        <v>334</v>
      </c>
      <c r="E19" s="316">
        <f>ROUND(+AVERAGE(E14:E18),-1)</f>
        <v>173520</v>
      </c>
    </row>
    <row r="20" spans="1:5" ht="12.75">
      <c r="A20" s="325"/>
      <c r="B20" s="326"/>
      <c r="C20" s="326"/>
      <c r="D20" s="326"/>
      <c r="E20" s="327"/>
    </row>
    <row r="21" spans="1:5" ht="12.75" customHeight="1">
      <c r="A21" s="540" t="s">
        <v>591</v>
      </c>
      <c r="B21" s="540"/>
      <c r="C21" s="540"/>
      <c r="D21" s="540"/>
      <c r="E21" s="540"/>
    </row>
    <row r="22" spans="1:5" ht="12.75">
      <c r="A22" s="349"/>
      <c r="B22" s="346" t="s">
        <v>581</v>
      </c>
      <c r="C22" s="346" t="s">
        <v>582</v>
      </c>
      <c r="D22" s="346" t="s">
        <v>583</v>
      </c>
      <c r="E22" s="346" t="s">
        <v>584</v>
      </c>
    </row>
    <row r="23" spans="1:5" ht="102">
      <c r="A23" s="84" t="s">
        <v>33</v>
      </c>
      <c r="B23" s="84" t="s">
        <v>34</v>
      </c>
      <c r="C23" s="84" t="s">
        <v>585</v>
      </c>
      <c r="D23" s="346" t="s">
        <v>592</v>
      </c>
      <c r="E23" s="346" t="s">
        <v>593</v>
      </c>
    </row>
    <row r="24" spans="1:5" ht="12.75">
      <c r="A24" s="310">
        <f>INPUT!$C$1</f>
        <v>2017</v>
      </c>
      <c r="B24" s="316">
        <f>'T1'!F22</f>
        <v>238540</v>
      </c>
      <c r="C24" s="316">
        <f>'T1'!J22</f>
        <v>242140</v>
      </c>
      <c r="D24" s="316">
        <f>GM_output!E31+RWS_CWSA!AB16</f>
        <v>39439</v>
      </c>
      <c r="E24" s="316">
        <f>+B24-(C24-D24)</f>
        <v>35839</v>
      </c>
    </row>
    <row r="25" spans="1:5" ht="12.75">
      <c r="A25" s="310">
        <f>INPUT!$D$1</f>
        <v>2018</v>
      </c>
      <c r="B25" s="316">
        <f>'T1'!F42</f>
        <v>241680</v>
      </c>
      <c r="C25" s="316">
        <f>'T1'!J42</f>
        <v>266080</v>
      </c>
      <c r="D25" s="316">
        <f>GM_output!K32+RWS_CWSA!AB17</f>
        <v>25943</v>
      </c>
      <c r="E25" s="316">
        <f>+B25-(C25-D25)</f>
        <v>1543</v>
      </c>
    </row>
    <row r="26" spans="1:5" ht="12.75">
      <c r="A26" s="310">
        <f>INPUT!$E$1</f>
        <v>2019</v>
      </c>
      <c r="B26" s="316">
        <f>'T1'!F62</f>
        <v>389300</v>
      </c>
      <c r="C26" s="316">
        <f>'T1'!J62</f>
        <v>262870</v>
      </c>
      <c r="D26" s="316">
        <f>GM_output!Q32+RWS_CWSA!AB18</f>
        <v>26541</v>
      </c>
      <c r="E26" s="316">
        <f>+B26-(C26-D26)</f>
        <v>152971</v>
      </c>
    </row>
    <row r="27" spans="1:5" ht="12.75">
      <c r="A27" s="310">
        <f>INPUT!$F$1</f>
        <v>2020</v>
      </c>
      <c r="B27" s="316">
        <f>'T1'!F82</f>
        <v>303070</v>
      </c>
      <c r="C27" s="316">
        <f>'T1'!J82</f>
        <v>252400</v>
      </c>
      <c r="D27" s="316">
        <f>GM_output!W32+RWS_CWSA!AB19</f>
        <v>18995</v>
      </c>
      <c r="E27" s="316">
        <f>+B27-(C27-D27)</f>
        <v>69665</v>
      </c>
    </row>
    <row r="28" spans="1:5" ht="13.5" thickBot="1">
      <c r="A28" s="311">
        <f>INPUT!$G$1</f>
        <v>2021</v>
      </c>
      <c r="B28" s="324">
        <f>'T1'!F102</f>
        <v>258180</v>
      </c>
      <c r="C28" s="324">
        <f>'T1'!J102</f>
        <v>252650</v>
      </c>
      <c r="D28" s="324">
        <f>GM_output!AC31+RWS_CWSA!AB20</f>
        <v>21456</v>
      </c>
      <c r="E28" s="324">
        <f>+B28-(C28-D28)</f>
        <v>26986</v>
      </c>
    </row>
    <row r="29" spans="1:5" ht="13.5" thickTop="1">
      <c r="A29" s="436" t="s">
        <v>698</v>
      </c>
      <c r="B29" s="316">
        <f>ROUND(+AVERAGE(B24:B28),-1)</f>
        <v>286150</v>
      </c>
      <c r="C29" s="316">
        <f>ROUND(+AVERAGE(C24:C28),-1)</f>
        <v>255230</v>
      </c>
      <c r="D29" s="316">
        <f>ROUND(+AVERAGE(D24:D28),-1)</f>
        <v>26470</v>
      </c>
      <c r="E29" s="316">
        <f>ROUND(+AVERAGE(E24:E28),-1)</f>
        <v>57400</v>
      </c>
    </row>
    <row r="30" spans="1:5" ht="12.75">
      <c r="A30" s="328"/>
      <c r="B30" s="326"/>
      <c r="C30" s="326"/>
      <c r="D30" s="326"/>
      <c r="E30" s="327"/>
    </row>
    <row r="31" spans="1:5" ht="12.75">
      <c r="A31" s="253"/>
      <c r="B31" s="326"/>
      <c r="C31" s="326"/>
      <c r="D31" s="326"/>
      <c r="E31" s="326"/>
    </row>
    <row r="32" spans="1:5" ht="12.75"/>
    <row r="33" ht="12.75"/>
    <row r="34" ht="12.75"/>
    <row r="35" ht="12.75"/>
    <row r="36" ht="12.75"/>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V318"/>
  <sheetViews>
    <sheetView topLeftCell="A28" zoomScaleNormal="100" workbookViewId="0">
      <selection activeCell="K42" sqref="K42"/>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41" t="s">
        <v>594</v>
      </c>
      <c r="B1" s="541"/>
      <c r="C1" s="541"/>
      <c r="D1" s="541"/>
      <c r="E1" s="541"/>
      <c r="F1" s="541"/>
      <c r="G1" s="541"/>
      <c r="K1" s="312"/>
      <c r="L1" s="312"/>
      <c r="M1" s="312"/>
      <c r="N1" s="312"/>
      <c r="O1" s="312"/>
      <c r="P1" s="312"/>
      <c r="Q1" s="312"/>
      <c r="R1" s="312"/>
      <c r="S1" s="312"/>
      <c r="T1" s="312"/>
      <c r="U1" s="312"/>
      <c r="V1" s="312"/>
    </row>
    <row r="2" spans="1:22" ht="16.5">
      <c r="A2" s="542" t="s">
        <v>647</v>
      </c>
      <c r="B2" s="542"/>
      <c r="C2" s="542"/>
      <c r="D2" s="542"/>
      <c r="E2" s="542"/>
      <c r="F2" s="542"/>
      <c r="G2" s="542"/>
      <c r="H2" s="380"/>
      <c r="I2" s="380"/>
      <c r="J2" s="380"/>
      <c r="K2" s="380"/>
      <c r="L2" s="380"/>
      <c r="M2" s="380"/>
      <c r="N2" s="380"/>
      <c r="O2" s="380"/>
      <c r="P2" s="380"/>
      <c r="Q2" s="380"/>
    </row>
    <row r="3" spans="1:22" s="312" customFormat="1" ht="16.5">
      <c r="A3" s="381"/>
      <c r="B3" s="381"/>
      <c r="C3" s="381"/>
      <c r="D3" s="381"/>
      <c r="E3" s="381"/>
      <c r="F3" s="381"/>
      <c r="G3" s="381"/>
      <c r="H3" s="380"/>
      <c r="I3" s="380"/>
      <c r="J3" s="380"/>
      <c r="K3" s="380"/>
      <c r="L3" s="380"/>
      <c r="M3" s="380"/>
      <c r="N3" s="380"/>
      <c r="O3" s="380"/>
      <c r="P3" s="380"/>
      <c r="Q3" s="380"/>
    </row>
    <row r="4" spans="1:22">
      <c r="A4" s="287">
        <v>2021</v>
      </c>
      <c r="B4" s="287"/>
      <c r="C4" s="287"/>
      <c r="D4" s="287"/>
      <c r="E4" s="287"/>
      <c r="F4" s="287"/>
      <c r="G4" s="287"/>
      <c r="K4" s="104" t="s">
        <v>455</v>
      </c>
    </row>
    <row r="5" spans="1:22">
      <c r="A5" s="7"/>
      <c r="B5" s="350" t="s">
        <v>336</v>
      </c>
      <c r="C5" s="350" t="s">
        <v>337</v>
      </c>
      <c r="D5" s="350" t="s">
        <v>338</v>
      </c>
      <c r="E5" s="350" t="s">
        <v>339</v>
      </c>
      <c r="F5" s="350" t="s">
        <v>340</v>
      </c>
      <c r="G5" s="350" t="s">
        <v>341</v>
      </c>
      <c r="H5" s="312"/>
    </row>
    <row r="6" spans="1:22" ht="102">
      <c r="A6" s="352" t="s">
        <v>480</v>
      </c>
      <c r="B6" s="352" t="s">
        <v>595</v>
      </c>
      <c r="C6" s="352" t="s">
        <v>620</v>
      </c>
      <c r="D6" s="352" t="s">
        <v>596</v>
      </c>
      <c r="E6" s="352" t="s">
        <v>645</v>
      </c>
      <c r="F6" s="352" t="s">
        <v>598</v>
      </c>
      <c r="G6" s="352" t="s">
        <v>646</v>
      </c>
      <c r="K6" s="103" t="s">
        <v>7</v>
      </c>
      <c r="L6" s="26" t="s">
        <v>34</v>
      </c>
      <c r="M6" s="26" t="s">
        <v>621</v>
      </c>
      <c r="N6" s="283" t="s">
        <v>619</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351"/>
      <c r="E8" s="106"/>
      <c r="F8" s="106"/>
      <c r="G8" s="106"/>
      <c r="K8" s="27">
        <v>2013</v>
      </c>
      <c r="L8" s="185"/>
      <c r="M8" s="185"/>
      <c r="N8" s="379"/>
      <c r="O8" s="202"/>
      <c r="P8" s="185"/>
      <c r="Q8" s="185"/>
      <c r="R8" s="21"/>
    </row>
    <row r="9" spans="1:22">
      <c r="A9" s="27" t="s">
        <v>17</v>
      </c>
      <c r="B9" s="106"/>
      <c r="C9" s="106"/>
      <c r="D9" s="351"/>
      <c r="E9" s="106"/>
      <c r="F9" s="106"/>
      <c r="G9" s="106"/>
      <c r="K9" s="27">
        <v>2014</v>
      </c>
      <c r="L9" s="185"/>
      <c r="M9" s="185"/>
      <c r="N9" s="379"/>
      <c r="O9" s="202"/>
      <c r="P9" s="185"/>
      <c r="Q9" s="185"/>
    </row>
    <row r="10" spans="1:22">
      <c r="A10" s="27" t="s">
        <v>22</v>
      </c>
      <c r="B10" s="106"/>
      <c r="C10" s="106"/>
      <c r="D10" s="351"/>
      <c r="E10" s="106"/>
      <c r="F10" s="106"/>
      <c r="G10" s="106"/>
      <c r="K10" s="27">
        <v>2015</v>
      </c>
      <c r="L10" s="185"/>
      <c r="M10" s="185"/>
      <c r="N10" s="379"/>
      <c r="O10" s="202"/>
      <c r="P10" s="185"/>
      <c r="Q10" s="185"/>
    </row>
    <row r="11" spans="1:22">
      <c r="K11" s="27">
        <v>2016</v>
      </c>
      <c r="L11" s="185"/>
      <c r="M11" s="185"/>
      <c r="N11" s="379"/>
      <c r="O11" s="202"/>
      <c r="P11" s="185"/>
      <c r="Q11" s="185"/>
    </row>
    <row r="12" spans="1:22">
      <c r="A12" s="541" t="s">
        <v>39</v>
      </c>
      <c r="B12" s="541"/>
      <c r="C12" s="541"/>
      <c r="D12" s="541"/>
      <c r="E12" s="541"/>
      <c r="F12" s="541"/>
      <c r="G12" s="541"/>
      <c r="K12" s="27">
        <v>2017</v>
      </c>
      <c r="L12" s="185"/>
      <c r="M12" s="185"/>
      <c r="N12" s="379"/>
      <c r="O12" s="202"/>
      <c r="P12" s="185"/>
      <c r="Q12" s="185"/>
    </row>
    <row r="13" spans="1:22">
      <c r="A13" s="306"/>
      <c r="B13" s="307"/>
      <c r="C13" s="307"/>
      <c r="D13" s="307"/>
      <c r="E13" s="308"/>
      <c r="F13" s="307"/>
      <c r="G13" s="307"/>
      <c r="H13" s="307"/>
      <c r="K13" s="302"/>
      <c r="L13" s="303"/>
      <c r="M13" s="303"/>
      <c r="N13" s="303"/>
      <c r="O13" s="303"/>
      <c r="P13" s="303"/>
      <c r="Q13" s="303"/>
    </row>
    <row r="14" spans="1:22">
      <c r="A14" s="291">
        <v>2021</v>
      </c>
      <c r="B14" s="291"/>
      <c r="C14" s="291"/>
      <c r="D14" s="291"/>
      <c r="E14" s="291"/>
      <c r="F14" s="291"/>
      <c r="G14" s="291"/>
      <c r="K14" s="304" t="s">
        <v>15</v>
      </c>
      <c r="L14" s="152"/>
      <c r="M14" s="152"/>
      <c r="N14" s="152"/>
      <c r="O14" s="152"/>
      <c r="P14" s="152"/>
      <c r="Q14" s="152"/>
    </row>
    <row r="15" spans="1:22">
      <c r="A15" s="7"/>
      <c r="B15" s="350" t="s">
        <v>336</v>
      </c>
      <c r="C15" s="350" t="s">
        <v>337</v>
      </c>
      <c r="D15" s="350" t="s">
        <v>338</v>
      </c>
      <c r="E15" s="350" t="s">
        <v>339</v>
      </c>
      <c r="F15" s="350" t="s">
        <v>340</v>
      </c>
      <c r="G15" s="350" t="s">
        <v>341</v>
      </c>
      <c r="H15" s="350" t="s">
        <v>342</v>
      </c>
      <c r="K15" s="313">
        <v>2013</v>
      </c>
      <c r="L15" s="185"/>
      <c r="M15" s="185"/>
      <c r="N15" s="179"/>
      <c r="O15" s="185"/>
      <c r="P15" s="185"/>
      <c r="Q15" s="185"/>
    </row>
    <row r="16" spans="1:22" ht="76.5">
      <c r="A16" s="352" t="s">
        <v>480</v>
      </c>
      <c r="B16" s="352" t="s">
        <v>599</v>
      </c>
      <c r="C16" s="352" t="s">
        <v>620</v>
      </c>
      <c r="D16" s="353" t="s">
        <v>642</v>
      </c>
      <c r="E16" s="352" t="s">
        <v>600</v>
      </c>
      <c r="F16" s="352" t="s">
        <v>602</v>
      </c>
      <c r="G16" s="352" t="s">
        <v>622</v>
      </c>
      <c r="H16" s="352" t="s">
        <v>601</v>
      </c>
      <c r="K16" s="313">
        <v>2014</v>
      </c>
      <c r="L16" s="185"/>
      <c r="M16" s="185"/>
      <c r="N16" s="179"/>
      <c r="O16" s="185"/>
      <c r="P16" s="185"/>
      <c r="Q16" s="185"/>
    </row>
    <row r="17" spans="1:18">
      <c r="A17" s="27" t="s">
        <v>15</v>
      </c>
      <c r="B17" s="106">
        <f>AVERAGE(L42:L46)</f>
        <v>172</v>
      </c>
      <c r="C17" s="106">
        <f>AVERAGE(M42:M46)</f>
        <v>-12</v>
      </c>
      <c r="D17" s="106">
        <f>AVERAGE(N42:N46)</f>
        <v>678</v>
      </c>
      <c r="E17" s="318" t="s">
        <v>597</v>
      </c>
      <c r="F17" s="106">
        <f>AVERAGE(P42:P46)</f>
        <v>838</v>
      </c>
      <c r="G17" s="106">
        <f>AVERAGE(Q42:Q46)</f>
        <v>142</v>
      </c>
      <c r="H17" s="106">
        <f>AVERAGE(R42:R46)</f>
        <v>696</v>
      </c>
      <c r="K17" s="313">
        <v>2015</v>
      </c>
      <c r="L17" s="185"/>
      <c r="M17" s="185"/>
      <c r="N17" s="179"/>
      <c r="O17" s="185"/>
      <c r="P17" s="185"/>
      <c r="Q17" s="185"/>
    </row>
    <row r="18" spans="1:18">
      <c r="A18" s="27" t="s">
        <v>17</v>
      </c>
      <c r="B18" s="106">
        <f>AVERAGE(L49:L53)</f>
        <v>8752</v>
      </c>
      <c r="C18" s="106">
        <f t="shared" ref="C18:H18" si="0">AVERAGE(M49:M53)</f>
        <v>3050</v>
      </c>
      <c r="D18" s="106">
        <f t="shared" si="0"/>
        <v>0</v>
      </c>
      <c r="E18" s="318" t="s">
        <v>597</v>
      </c>
      <c r="F18" s="106">
        <f t="shared" si="0"/>
        <v>11802</v>
      </c>
      <c r="G18" s="106">
        <f t="shared" si="0"/>
        <v>4780</v>
      </c>
      <c r="H18" s="106">
        <f t="shared" si="0"/>
        <v>7022</v>
      </c>
      <c r="K18" s="313">
        <v>2016</v>
      </c>
      <c r="L18" s="185"/>
      <c r="M18" s="185"/>
      <c r="N18" s="179"/>
      <c r="O18" s="185"/>
      <c r="P18" s="185"/>
      <c r="Q18" s="185"/>
    </row>
    <row r="19" spans="1:18">
      <c r="A19" s="27" t="s">
        <v>19</v>
      </c>
      <c r="B19" s="106">
        <f>AVERAGE(L56:L60)</f>
        <v>72</v>
      </c>
      <c r="C19" s="106">
        <f t="shared" ref="C19:H19" si="1">AVERAGE(M56:M60)</f>
        <v>810</v>
      </c>
      <c r="D19" s="106">
        <f t="shared" si="1"/>
        <v>0</v>
      </c>
      <c r="E19" s="318" t="s">
        <v>597</v>
      </c>
      <c r="F19" s="106">
        <f t="shared" si="1"/>
        <v>882</v>
      </c>
      <c r="G19" s="106">
        <f t="shared" si="1"/>
        <v>14</v>
      </c>
      <c r="H19" s="106">
        <f t="shared" si="1"/>
        <v>868</v>
      </c>
      <c r="K19" s="313">
        <v>2017</v>
      </c>
      <c r="L19" s="185"/>
      <c r="M19" s="185"/>
      <c r="N19" s="179"/>
      <c r="O19" s="185"/>
      <c r="P19" s="185"/>
      <c r="Q19" s="185"/>
    </row>
    <row r="20" spans="1:18">
      <c r="A20" s="27" t="s">
        <v>22</v>
      </c>
      <c r="B20" s="106">
        <f>AVERAGE(L63:L67)</f>
        <v>4492</v>
      </c>
      <c r="C20" s="106">
        <f t="shared" ref="C20:H20" si="2">AVERAGE(M63:M67)</f>
        <v>66</v>
      </c>
      <c r="D20" s="106">
        <f t="shared" si="2"/>
        <v>2316</v>
      </c>
      <c r="E20" s="318" t="s">
        <v>597</v>
      </c>
      <c r="F20" s="106">
        <f t="shared" si="2"/>
        <v>6874</v>
      </c>
      <c r="G20" s="106">
        <f t="shared" si="2"/>
        <v>6422</v>
      </c>
      <c r="H20" s="106">
        <f t="shared" si="2"/>
        <v>452</v>
      </c>
      <c r="K20" s="302"/>
      <c r="L20" s="303"/>
      <c r="M20" s="303"/>
      <c r="N20" s="303"/>
      <c r="O20" s="303"/>
      <c r="P20" s="303"/>
      <c r="Q20" s="303"/>
    </row>
    <row r="21" spans="1:18">
      <c r="A21" s="27" t="s">
        <v>23</v>
      </c>
      <c r="B21" s="106">
        <f>AVERAGE(L70:L74)</f>
        <v>7874</v>
      </c>
      <c r="C21" s="106">
        <f t="shared" ref="C21:H21" si="3">AVERAGE(M70:M74)</f>
        <v>3404</v>
      </c>
      <c r="D21" s="106">
        <f t="shared" si="3"/>
        <v>0</v>
      </c>
      <c r="E21" s="318" t="s">
        <v>597</v>
      </c>
      <c r="F21" s="106">
        <f t="shared" si="3"/>
        <v>11278</v>
      </c>
      <c r="G21" s="106">
        <f t="shared" si="3"/>
        <v>2556</v>
      </c>
      <c r="H21" s="106">
        <f t="shared" si="3"/>
        <v>8722</v>
      </c>
      <c r="K21" s="304" t="s">
        <v>17</v>
      </c>
      <c r="L21" s="152"/>
      <c r="M21" s="152"/>
      <c r="N21" s="152"/>
      <c r="O21" s="152"/>
      <c r="P21" s="152"/>
      <c r="Q21" s="152"/>
      <c r="R21" s="21"/>
    </row>
    <row r="22" spans="1:18">
      <c r="A22" s="27" t="s">
        <v>24</v>
      </c>
      <c r="B22" s="106">
        <f>AVERAGE(L77:L81)</f>
        <v>8388</v>
      </c>
      <c r="C22" s="106">
        <f t="shared" ref="C22:H22" si="4">AVERAGE(M77:M81)</f>
        <v>8570</v>
      </c>
      <c r="D22" s="106">
        <f t="shared" si="4"/>
        <v>0</v>
      </c>
      <c r="E22" s="318" t="s">
        <v>597</v>
      </c>
      <c r="F22" s="106">
        <f t="shared" si="4"/>
        <v>16958</v>
      </c>
      <c r="G22" s="106">
        <f t="shared" si="4"/>
        <v>10948</v>
      </c>
      <c r="H22" s="106">
        <f t="shared" si="4"/>
        <v>6010</v>
      </c>
      <c r="K22" s="313">
        <v>2013</v>
      </c>
      <c r="L22" s="185"/>
      <c r="M22" s="185"/>
      <c r="N22" s="320"/>
      <c r="O22" s="185"/>
      <c r="P22" s="185"/>
      <c r="Q22" s="185"/>
      <c r="R22" s="21"/>
    </row>
    <row r="23" spans="1:18">
      <c r="A23" s="306"/>
      <c r="B23" s="307"/>
      <c r="C23" s="307"/>
      <c r="D23" s="307"/>
      <c r="E23" s="308"/>
      <c r="F23" s="307"/>
      <c r="G23" s="307"/>
      <c r="H23" s="307"/>
      <c r="K23" s="313">
        <v>2014</v>
      </c>
      <c r="L23" s="185"/>
      <c r="M23" s="185"/>
      <c r="N23" s="320"/>
      <c r="O23" s="185"/>
      <c r="P23" s="185"/>
      <c r="Q23" s="185"/>
      <c r="R23" s="21"/>
    </row>
    <row r="24" spans="1:18">
      <c r="A24" s="306"/>
      <c r="B24" s="307"/>
      <c r="C24" s="307"/>
      <c r="D24" s="307"/>
      <c r="E24" s="308"/>
      <c r="F24" s="307"/>
      <c r="G24" s="307"/>
      <c r="H24" s="307"/>
      <c r="K24" s="313">
        <v>2015</v>
      </c>
      <c r="L24" s="185"/>
      <c r="M24" s="185"/>
      <c r="N24" s="320"/>
      <c r="O24" s="185"/>
      <c r="P24" s="185"/>
      <c r="Q24" s="185"/>
      <c r="R24" s="21"/>
    </row>
    <row r="25" spans="1:18">
      <c r="B25" s="102"/>
      <c r="C25" s="102"/>
      <c r="D25" s="102"/>
      <c r="E25" s="102"/>
      <c r="F25" s="102"/>
      <c r="G25" s="102"/>
      <c r="H25" s="102"/>
      <c r="K25" s="313">
        <v>2016</v>
      </c>
      <c r="L25" s="185"/>
      <c r="M25" s="185"/>
      <c r="N25" s="320"/>
      <c r="O25" s="185"/>
      <c r="P25" s="185"/>
      <c r="Q25" s="185"/>
      <c r="R25" s="21"/>
    </row>
    <row r="26" spans="1:18">
      <c r="B26" s="102"/>
      <c r="C26" s="102"/>
      <c r="D26" s="102"/>
      <c r="E26" s="102"/>
      <c r="F26" s="102"/>
      <c r="G26" s="102"/>
      <c r="H26" s="102"/>
      <c r="K26" s="313">
        <v>2017</v>
      </c>
      <c r="L26" s="185"/>
      <c r="M26" s="185"/>
      <c r="N26" s="320"/>
      <c r="O26" s="185"/>
      <c r="P26" s="185"/>
      <c r="Q26" s="185"/>
      <c r="R26" s="21"/>
    </row>
    <row r="27" spans="1:18">
      <c r="B27" s="102"/>
      <c r="C27" s="102"/>
      <c r="D27" s="102"/>
      <c r="E27" s="102"/>
      <c r="F27" s="102"/>
      <c r="G27" s="102"/>
      <c r="H27" s="102"/>
      <c r="L27" s="102"/>
      <c r="M27" s="102"/>
      <c r="N27" s="102"/>
      <c r="O27" s="102"/>
      <c r="P27" s="102"/>
      <c r="Q27" s="102"/>
    </row>
    <row r="28" spans="1:18">
      <c r="B28" s="102"/>
      <c r="C28" s="102"/>
      <c r="D28" s="102"/>
      <c r="E28" s="102"/>
      <c r="F28" s="102"/>
      <c r="G28" s="102"/>
      <c r="H28" s="102"/>
      <c r="K28" s="3" t="s">
        <v>22</v>
      </c>
      <c r="L28" s="102"/>
      <c r="M28" s="102"/>
      <c r="N28" s="102"/>
      <c r="O28" s="102"/>
      <c r="P28" s="102"/>
      <c r="Q28" s="102"/>
    </row>
    <row r="29" spans="1:18">
      <c r="B29" s="102"/>
      <c r="C29" s="102"/>
      <c r="D29" s="102"/>
      <c r="E29" s="102"/>
      <c r="F29" s="102"/>
      <c r="G29" s="102"/>
      <c r="H29" s="102"/>
      <c r="K29" s="313">
        <v>2013</v>
      </c>
      <c r="L29" s="185"/>
      <c r="M29" s="185"/>
      <c r="N29" s="320"/>
      <c r="O29" s="185"/>
      <c r="P29" s="185"/>
      <c r="Q29" s="185"/>
    </row>
    <row r="30" spans="1:18">
      <c r="B30" s="102"/>
      <c r="C30" s="102"/>
      <c r="D30" s="102"/>
      <c r="E30" s="102"/>
      <c r="F30" s="102"/>
      <c r="G30" s="102"/>
      <c r="H30" s="102"/>
      <c r="K30" s="313">
        <v>2014</v>
      </c>
      <c r="L30" s="185"/>
      <c r="M30" s="185"/>
      <c r="N30" s="363"/>
      <c r="O30" s="185"/>
      <c r="P30" s="185"/>
      <c r="Q30" s="185"/>
    </row>
    <row r="31" spans="1:18">
      <c r="K31" s="313">
        <v>2015</v>
      </c>
      <c r="L31" s="185"/>
      <c r="M31" s="185"/>
      <c r="N31" s="363"/>
      <c r="O31" s="185"/>
      <c r="P31" s="185"/>
      <c r="Q31" s="185"/>
    </row>
    <row r="32" spans="1:18">
      <c r="K32" s="313">
        <v>2016</v>
      </c>
      <c r="L32" s="185"/>
      <c r="M32" s="185"/>
      <c r="N32" s="320"/>
      <c r="O32" s="185"/>
      <c r="P32" s="185"/>
      <c r="Q32" s="185"/>
    </row>
    <row r="33" spans="11:18">
      <c r="K33" s="313">
        <v>2017</v>
      </c>
      <c r="L33" s="185"/>
      <c r="M33" s="185"/>
      <c r="N33" s="363"/>
      <c r="O33" s="185"/>
      <c r="P33" s="185"/>
      <c r="Q33" s="185"/>
    </row>
    <row r="34" spans="11:18">
      <c r="R34" s="21"/>
    </row>
    <row r="38" spans="11:18">
      <c r="K38" s="104" t="s">
        <v>456</v>
      </c>
    </row>
    <row r="39" spans="11:18" ht="63.75">
      <c r="K39" s="26" t="s">
        <v>7</v>
      </c>
      <c r="L39" s="26" t="s">
        <v>34</v>
      </c>
      <c r="M39" s="26" t="s">
        <v>621</v>
      </c>
      <c r="N39" s="96" t="s">
        <v>457</v>
      </c>
      <c r="O39" s="26" t="s">
        <v>35</v>
      </c>
      <c r="P39" s="26" t="s">
        <v>458</v>
      </c>
      <c r="Q39" s="26" t="s">
        <v>3</v>
      </c>
      <c r="R39" s="26" t="s">
        <v>38</v>
      </c>
    </row>
    <row r="41" spans="11:18">
      <c r="K41" s="305" t="s">
        <v>15</v>
      </c>
    </row>
    <row r="42" spans="11:18">
      <c r="K42" s="313">
        <v>2017</v>
      </c>
      <c r="L42" s="185">
        <f>'T1'!E8</f>
        <v>150</v>
      </c>
      <c r="M42" s="185">
        <f>'T1'!G8</f>
        <v>-10</v>
      </c>
      <c r="N42" s="185">
        <f>MAX(0,'T1'!D8-'T1'!H8)</f>
        <v>250</v>
      </c>
      <c r="O42" s="179" t="s">
        <v>597</v>
      </c>
      <c r="P42" s="185">
        <f>SUM(L42:N42)</f>
        <v>390</v>
      </c>
      <c r="Q42" s="185">
        <f>'T1'!I8</f>
        <v>170</v>
      </c>
      <c r="R42" s="185">
        <f>P42-Q42</f>
        <v>220</v>
      </c>
    </row>
    <row r="43" spans="11:18">
      <c r="K43" s="313">
        <f>K42+1</f>
        <v>2018</v>
      </c>
      <c r="L43" s="185">
        <f>'T1'!E28</f>
        <v>190</v>
      </c>
      <c r="M43" s="185">
        <f>'T1'!G28</f>
        <v>-10</v>
      </c>
      <c r="N43" s="185">
        <f>MAX(0,'T1'!D28-'T1'!H28)</f>
        <v>310</v>
      </c>
      <c r="O43" s="179" t="s">
        <v>597</v>
      </c>
      <c r="P43" s="185">
        <f>SUM(L43:N43)</f>
        <v>490</v>
      </c>
      <c r="Q43" s="185">
        <f>'T1'!I28</f>
        <v>190</v>
      </c>
      <c r="R43" s="185">
        <f>P43-Q43</f>
        <v>300</v>
      </c>
    </row>
    <row r="44" spans="11:18">
      <c r="K44" s="313">
        <f t="shared" ref="K44:K46" si="5">K43+1</f>
        <v>2019</v>
      </c>
      <c r="L44" s="185">
        <f>'T1'!E48</f>
        <v>170</v>
      </c>
      <c r="M44" s="185">
        <f>'T1'!G48</f>
        <v>-10</v>
      </c>
      <c r="N44" s="185">
        <f>MAX(0,'T1'!D48-'T1'!H48)</f>
        <v>580</v>
      </c>
      <c r="O44" s="179" t="s">
        <v>597</v>
      </c>
      <c r="P44" s="185">
        <f>SUM(L44:N44)</f>
        <v>740</v>
      </c>
      <c r="Q44" s="185">
        <f>'T1'!I48</f>
        <v>120</v>
      </c>
      <c r="R44" s="185">
        <f>P44-Q44</f>
        <v>620</v>
      </c>
    </row>
    <row r="45" spans="11:18">
      <c r="K45" s="313">
        <f t="shared" si="5"/>
        <v>2020</v>
      </c>
      <c r="L45" s="185">
        <f>'T1'!E68</f>
        <v>180</v>
      </c>
      <c r="M45" s="185">
        <f>'T1'!G68</f>
        <v>-10</v>
      </c>
      <c r="N45" s="185">
        <f>MAX(0,'T1'!D68-'T1'!H68)</f>
        <v>1080</v>
      </c>
      <c r="O45" s="179" t="s">
        <v>597</v>
      </c>
      <c r="P45" s="185">
        <f>SUM(L45:N45)</f>
        <v>1250</v>
      </c>
      <c r="Q45" s="185">
        <f>'T1'!I68</f>
        <v>100</v>
      </c>
      <c r="R45" s="185">
        <f>P45-Q45</f>
        <v>1150</v>
      </c>
    </row>
    <row r="46" spans="11:18">
      <c r="K46" s="313">
        <f t="shared" si="5"/>
        <v>2021</v>
      </c>
      <c r="L46" s="185">
        <f>'T1'!E88</f>
        <v>170</v>
      </c>
      <c r="M46" s="185">
        <f>'T1'!G88</f>
        <v>-20</v>
      </c>
      <c r="N46" s="185">
        <f>MAX(0,'T1'!D88-'T1'!H88)</f>
        <v>1170</v>
      </c>
      <c r="O46" s="179" t="s">
        <v>597</v>
      </c>
      <c r="P46" s="185">
        <f>SUM(L46:N46)</f>
        <v>1320</v>
      </c>
      <c r="Q46" s="185">
        <f>'T1'!I88</f>
        <v>130</v>
      </c>
      <c r="R46" s="185">
        <f>P46-Q46</f>
        <v>1190</v>
      </c>
    </row>
    <row r="47" spans="11:18">
      <c r="K47" s="28"/>
      <c r="L47" s="102"/>
      <c r="M47" s="102"/>
      <c r="N47" s="102"/>
      <c r="O47" s="102"/>
      <c r="P47" s="102"/>
      <c r="Q47" s="102"/>
      <c r="R47" s="102"/>
    </row>
    <row r="48" spans="11:18">
      <c r="K48" s="305" t="s">
        <v>17</v>
      </c>
      <c r="L48" s="102"/>
      <c r="M48" s="102"/>
      <c r="N48" s="102"/>
      <c r="O48" s="102"/>
      <c r="P48" s="102"/>
      <c r="Q48" s="102"/>
      <c r="R48" s="102"/>
    </row>
    <row r="49" spans="9:18">
      <c r="K49" s="313">
        <f>K42</f>
        <v>2017</v>
      </c>
      <c r="L49" s="185">
        <f>'T1'!E11</f>
        <v>8760</v>
      </c>
      <c r="M49" s="185">
        <f>'T1'!G11</f>
        <v>3050</v>
      </c>
      <c r="N49" s="185">
        <f>MAX(0,'T1'!D11-'T1'!H11)</f>
        <v>0</v>
      </c>
      <c r="O49" s="179" t="s">
        <v>597</v>
      </c>
      <c r="P49" s="185">
        <f>SUM(L49:N49)</f>
        <v>11810</v>
      </c>
      <c r="Q49" s="185">
        <f>'T1'!I11</f>
        <v>4730</v>
      </c>
      <c r="R49" s="185">
        <f>P49-Q49</f>
        <v>7080</v>
      </c>
    </row>
    <row r="50" spans="9:18">
      <c r="K50" s="313">
        <f t="shared" ref="K50:K53" si="6">K43</f>
        <v>2018</v>
      </c>
      <c r="L50" s="185">
        <f>'T1'!E31</f>
        <v>9910</v>
      </c>
      <c r="M50" s="185">
        <f>'T1'!G31</f>
        <v>3450</v>
      </c>
      <c r="N50" s="185">
        <f>MAX(0,'T1'!D31-'T1'!H31)</f>
        <v>0</v>
      </c>
      <c r="O50" s="179" t="s">
        <v>597</v>
      </c>
      <c r="P50" s="185">
        <f>SUM(L50:N50)</f>
        <v>13360</v>
      </c>
      <c r="Q50" s="185">
        <f>'T1'!I31</f>
        <v>6740</v>
      </c>
      <c r="R50" s="185">
        <f>P50-Q50</f>
        <v>6620</v>
      </c>
    </row>
    <row r="51" spans="9:18">
      <c r="K51" s="313">
        <f t="shared" si="6"/>
        <v>2019</v>
      </c>
      <c r="L51" s="185">
        <f>'T1'!E51</f>
        <v>7890</v>
      </c>
      <c r="M51" s="185">
        <f>'T1'!G51</f>
        <v>2750</v>
      </c>
      <c r="N51" s="185">
        <f>MAX(0,'T1'!D51-'T1'!H51)</f>
        <v>0</v>
      </c>
      <c r="O51" s="179" t="s">
        <v>597</v>
      </c>
      <c r="P51" s="185">
        <f>SUM(L51:N51)</f>
        <v>10640</v>
      </c>
      <c r="Q51" s="185">
        <f>'T1'!I51</f>
        <v>3470</v>
      </c>
      <c r="R51" s="185">
        <f>P51-Q51</f>
        <v>7170</v>
      </c>
    </row>
    <row r="52" spans="9:18">
      <c r="K52" s="313">
        <f t="shared" si="6"/>
        <v>2020</v>
      </c>
      <c r="L52" s="185">
        <f>'T1'!E71</f>
        <v>9100</v>
      </c>
      <c r="M52" s="185">
        <f>'T1'!G71</f>
        <v>3170</v>
      </c>
      <c r="N52" s="185">
        <f>MAX(0,'T1'!D71-'T1'!H71)</f>
        <v>0</v>
      </c>
      <c r="O52" s="179" t="s">
        <v>597</v>
      </c>
      <c r="P52" s="185">
        <f>SUM(L52:N52)</f>
        <v>12270</v>
      </c>
      <c r="Q52" s="185">
        <f>'T1'!I71</f>
        <v>3650</v>
      </c>
      <c r="R52" s="185">
        <f>P52-Q52</f>
        <v>8620</v>
      </c>
    </row>
    <row r="53" spans="9:18">
      <c r="K53" s="313">
        <f t="shared" si="6"/>
        <v>2021</v>
      </c>
      <c r="L53" s="185">
        <f>'T1'!E91</f>
        <v>8100</v>
      </c>
      <c r="M53" s="185">
        <f>'T1'!G91</f>
        <v>2830</v>
      </c>
      <c r="N53" s="185">
        <f>MAX(0,'T1'!D91-'T1'!H91)</f>
        <v>0</v>
      </c>
      <c r="O53" s="179" t="s">
        <v>597</v>
      </c>
      <c r="P53" s="185">
        <f>SUM(L53:N53)</f>
        <v>10930</v>
      </c>
      <c r="Q53" s="185">
        <f>'T1'!I91</f>
        <v>5310</v>
      </c>
      <c r="R53" s="185">
        <f>P53-Q53</f>
        <v>5620</v>
      </c>
    </row>
    <row r="54" spans="9:18">
      <c r="I54" s="312"/>
      <c r="K54" s="28"/>
      <c r="L54" s="102"/>
      <c r="M54" s="102"/>
      <c r="N54" s="102"/>
      <c r="O54" s="102"/>
      <c r="P54" s="102"/>
      <c r="Q54" s="102"/>
      <c r="R54" s="102"/>
    </row>
    <row r="55" spans="9:18">
      <c r="K55" s="305" t="s">
        <v>19</v>
      </c>
      <c r="L55" s="102"/>
      <c r="M55" s="102"/>
      <c r="N55" s="102"/>
      <c r="O55" s="102"/>
      <c r="P55" s="102"/>
      <c r="Q55" s="102"/>
      <c r="R55" s="102"/>
    </row>
    <row r="56" spans="9:18">
      <c r="K56" s="313">
        <f>K49</f>
        <v>2017</v>
      </c>
      <c r="L56" s="185">
        <f>'T1'!E13</f>
        <v>40</v>
      </c>
      <c r="M56" s="185">
        <f>'T1'!G13</f>
        <v>490</v>
      </c>
      <c r="N56" s="185">
        <f>MAX(0,'T1'!D13-'T1'!H13)</f>
        <v>0</v>
      </c>
      <c r="O56" s="179" t="s">
        <v>597</v>
      </c>
      <c r="P56" s="185">
        <f>SUM(L56:N56)</f>
        <v>530</v>
      </c>
      <c r="Q56" s="185">
        <f>'T1'!I13</f>
        <v>10</v>
      </c>
      <c r="R56" s="185">
        <f>P56-Q56</f>
        <v>520</v>
      </c>
    </row>
    <row r="57" spans="9:18">
      <c r="K57" s="313">
        <f t="shared" ref="K57:K60" si="7">K50</f>
        <v>2018</v>
      </c>
      <c r="L57" s="185">
        <f>'T1'!E33</f>
        <v>180</v>
      </c>
      <c r="M57" s="185">
        <f>'T1'!G33</f>
        <v>1940</v>
      </c>
      <c r="N57" s="185">
        <f>MAX(0,'T1'!D33-'T1'!H33)</f>
        <v>0</v>
      </c>
      <c r="O57" s="179" t="s">
        <v>597</v>
      </c>
      <c r="P57" s="185">
        <f>SUM(L57:N57)</f>
        <v>2120</v>
      </c>
      <c r="Q57" s="185">
        <f>'T1'!I33</f>
        <v>10</v>
      </c>
      <c r="R57" s="185">
        <f>P57-Q57</f>
        <v>2110</v>
      </c>
    </row>
    <row r="58" spans="9:18">
      <c r="K58" s="313">
        <f t="shared" si="7"/>
        <v>2019</v>
      </c>
      <c r="L58" s="185">
        <f>'T1'!E53</f>
        <v>100</v>
      </c>
      <c r="M58" s="185">
        <f>'T1'!G53</f>
        <v>1140</v>
      </c>
      <c r="N58" s="185">
        <f>MAX(0,'T1'!D53-'T1'!H53)</f>
        <v>0</v>
      </c>
      <c r="O58" s="179" t="s">
        <v>597</v>
      </c>
      <c r="P58" s="185">
        <f>SUM(L58:N58)</f>
        <v>1240</v>
      </c>
      <c r="Q58" s="185">
        <f>'T1'!I53</f>
        <v>10</v>
      </c>
      <c r="R58" s="185">
        <f>P58-Q58</f>
        <v>1230</v>
      </c>
    </row>
    <row r="59" spans="9:18">
      <c r="K59" s="313">
        <f t="shared" si="7"/>
        <v>2020</v>
      </c>
      <c r="L59" s="185">
        <f>'T1'!E73</f>
        <v>30</v>
      </c>
      <c r="M59" s="185">
        <f>'T1'!G73</f>
        <v>350</v>
      </c>
      <c r="N59" s="185">
        <f>MAX(0,'T1'!D73-'T1'!H73)</f>
        <v>0</v>
      </c>
      <c r="O59" s="179" t="s">
        <v>597</v>
      </c>
      <c r="P59" s="185">
        <f>SUM(L59:N59)</f>
        <v>380</v>
      </c>
      <c r="Q59" s="185">
        <f>'T1'!I73</f>
        <v>20</v>
      </c>
      <c r="R59" s="185">
        <f>P59-Q59</f>
        <v>360</v>
      </c>
    </row>
    <row r="60" spans="9:18">
      <c r="K60" s="313">
        <f t="shared" si="7"/>
        <v>2021</v>
      </c>
      <c r="L60" s="185">
        <f>'T1'!E93</f>
        <v>10</v>
      </c>
      <c r="M60" s="185">
        <f>'T1'!G93</f>
        <v>130</v>
      </c>
      <c r="N60" s="185">
        <f>MAX(0,'T1'!D93-'T1'!H93)</f>
        <v>0</v>
      </c>
      <c r="O60" s="179" t="s">
        <v>597</v>
      </c>
      <c r="P60" s="185">
        <f>SUM(L60:N60)</f>
        <v>140</v>
      </c>
      <c r="Q60" s="185">
        <f>'T1'!I93</f>
        <v>20</v>
      </c>
      <c r="R60" s="185">
        <f>P60-Q60</f>
        <v>120</v>
      </c>
    </row>
    <row r="61" spans="9:18">
      <c r="K61" s="28"/>
      <c r="L61" s="102"/>
      <c r="M61" s="102"/>
      <c r="N61" s="102"/>
      <c r="O61" s="102"/>
      <c r="P61" s="102"/>
      <c r="Q61" s="102"/>
      <c r="R61" s="102"/>
    </row>
    <row r="62" spans="9:18">
      <c r="K62" s="305" t="s">
        <v>22</v>
      </c>
      <c r="L62" s="102"/>
      <c r="M62" s="102"/>
      <c r="N62" s="102"/>
      <c r="O62" s="102"/>
      <c r="P62" s="102"/>
      <c r="Q62" s="102"/>
      <c r="R62" s="102"/>
    </row>
    <row r="63" spans="9:18">
      <c r="K63" s="313">
        <f>K56</f>
        <v>2017</v>
      </c>
      <c r="L63" s="185">
        <f>'T1'!E16</f>
        <v>4750</v>
      </c>
      <c r="M63" s="185">
        <f>'T1'!G16</f>
        <v>60</v>
      </c>
      <c r="N63" s="185">
        <f>MAX(0,'T1'!D16-'T1'!H16)</f>
        <v>2450</v>
      </c>
      <c r="O63" s="179" t="s">
        <v>597</v>
      </c>
      <c r="P63" s="185">
        <f>SUM(L63:N63)</f>
        <v>7260</v>
      </c>
      <c r="Q63" s="185">
        <f>'T1'!I16</f>
        <v>6610</v>
      </c>
      <c r="R63" s="185">
        <f>P63-Q63</f>
        <v>650</v>
      </c>
    </row>
    <row r="64" spans="9:18">
      <c r="K64" s="313">
        <f t="shared" ref="K64:K67" si="8">K57</f>
        <v>2018</v>
      </c>
      <c r="L64" s="185">
        <f>'T1'!E36</f>
        <v>4710</v>
      </c>
      <c r="M64" s="185">
        <f>'T1'!G36</f>
        <v>70</v>
      </c>
      <c r="N64" s="185">
        <f>MAX(0,'T1'!D36-'T1'!H36)</f>
        <v>2430</v>
      </c>
      <c r="O64" s="179" t="s">
        <v>597</v>
      </c>
      <c r="P64" s="185">
        <f>SUM(L64:N64)</f>
        <v>7210</v>
      </c>
      <c r="Q64" s="185">
        <f>'T1'!I36</f>
        <v>6760</v>
      </c>
      <c r="R64" s="185">
        <f>P64-Q64</f>
        <v>450</v>
      </c>
    </row>
    <row r="65" spans="9:18">
      <c r="K65" s="313">
        <f t="shared" si="8"/>
        <v>2019</v>
      </c>
      <c r="L65" s="185">
        <f>'T1'!E56</f>
        <v>4870</v>
      </c>
      <c r="M65" s="185">
        <f>'T1'!G56</f>
        <v>70</v>
      </c>
      <c r="N65" s="185">
        <f>MAX(0,'T1'!D56-'T1'!H56)</f>
        <v>2510</v>
      </c>
      <c r="O65" s="179" t="s">
        <v>597</v>
      </c>
      <c r="P65" s="185">
        <f>SUM(L65:N65)</f>
        <v>7450</v>
      </c>
      <c r="Q65" s="185">
        <f>'T1'!I56</f>
        <v>6760</v>
      </c>
      <c r="R65" s="185">
        <f>P65-Q65</f>
        <v>690</v>
      </c>
    </row>
    <row r="66" spans="9:18">
      <c r="K66" s="313">
        <f t="shared" si="8"/>
        <v>2020</v>
      </c>
      <c r="L66" s="185">
        <f>'T1'!E76</f>
        <v>4370</v>
      </c>
      <c r="M66" s="185">
        <f>'T1'!G76</f>
        <v>70</v>
      </c>
      <c r="N66" s="185">
        <f>MAX(0,'T1'!D76-'T1'!H76)</f>
        <v>2250</v>
      </c>
      <c r="O66" s="179" t="s">
        <v>597</v>
      </c>
      <c r="P66" s="185">
        <f>SUM(L66:N66)</f>
        <v>6690</v>
      </c>
      <c r="Q66" s="185">
        <f>'T1'!I76</f>
        <v>6430</v>
      </c>
      <c r="R66" s="185">
        <f>P66-Q66</f>
        <v>260</v>
      </c>
    </row>
    <row r="67" spans="9:18">
      <c r="K67" s="313">
        <f t="shared" si="8"/>
        <v>2021</v>
      </c>
      <c r="L67" s="185">
        <f>'T1'!E96</f>
        <v>3760</v>
      </c>
      <c r="M67" s="185">
        <f>'T1'!G96</f>
        <v>60</v>
      </c>
      <c r="N67" s="185">
        <f>MAX(0,'T1'!D96-'T1'!H56)</f>
        <v>1940</v>
      </c>
      <c r="O67" s="179" t="s">
        <v>597</v>
      </c>
      <c r="P67" s="185">
        <f>SUM(L67:N67)</f>
        <v>5760</v>
      </c>
      <c r="Q67" s="185">
        <f>'T1'!I96</f>
        <v>5550</v>
      </c>
      <c r="R67" s="185">
        <f>P67-Q67</f>
        <v>210</v>
      </c>
    </row>
    <row r="68" spans="9:18">
      <c r="K68" s="28"/>
      <c r="L68" s="102"/>
      <c r="M68" s="102"/>
      <c r="N68" s="102"/>
      <c r="O68" s="102"/>
      <c r="P68" s="102"/>
      <c r="Q68" s="102"/>
      <c r="R68" s="102"/>
    </row>
    <row r="69" spans="9:18">
      <c r="K69" s="305" t="s">
        <v>23</v>
      </c>
      <c r="L69" s="102"/>
      <c r="M69" s="102"/>
      <c r="N69" s="102"/>
      <c r="O69" s="102"/>
      <c r="P69" s="102"/>
      <c r="Q69" s="102"/>
      <c r="R69" s="102"/>
    </row>
    <row r="70" spans="9:18">
      <c r="I70" s="312"/>
      <c r="K70" s="313">
        <f>K63</f>
        <v>2017</v>
      </c>
      <c r="L70" s="185">
        <f>'T1'!E17</f>
        <v>4870</v>
      </c>
      <c r="M70" s="185">
        <f>'T1'!G17</f>
        <v>2100</v>
      </c>
      <c r="N70" s="185">
        <f>MAX(0,'T1'!D17-'T1'!H17)</f>
        <v>0</v>
      </c>
      <c r="O70" s="179" t="s">
        <v>597</v>
      </c>
      <c r="P70" s="185">
        <f>SUM(L70:N70)</f>
        <v>6970</v>
      </c>
      <c r="Q70" s="185">
        <f>'T1'!I17</f>
        <v>2530</v>
      </c>
      <c r="R70" s="185">
        <f>P70-Q70</f>
        <v>4440</v>
      </c>
    </row>
    <row r="71" spans="9:18">
      <c r="K71" s="313">
        <f t="shared" ref="K71:K74" si="9">K64</f>
        <v>2018</v>
      </c>
      <c r="L71" s="185">
        <f>'T1'!E37</f>
        <v>6920</v>
      </c>
      <c r="M71" s="185">
        <f>'T1'!G37</f>
        <v>2990</v>
      </c>
      <c r="N71" s="185">
        <f>MAX(0,'T1'!D37-'T1'!H37)</f>
        <v>0</v>
      </c>
      <c r="O71" s="179" t="s">
        <v>597</v>
      </c>
      <c r="P71" s="185">
        <f>SUM(L71:N71)</f>
        <v>9910</v>
      </c>
      <c r="Q71" s="185">
        <f>'T1'!I37</f>
        <v>3170</v>
      </c>
      <c r="R71" s="185">
        <f>P71-Q71</f>
        <v>6740</v>
      </c>
    </row>
    <row r="72" spans="9:18">
      <c r="K72" s="313">
        <f t="shared" si="9"/>
        <v>2019</v>
      </c>
      <c r="L72" s="185">
        <f>'T1'!E57</f>
        <v>12380</v>
      </c>
      <c r="M72" s="185">
        <f>'T1'!G57</f>
        <v>5350</v>
      </c>
      <c r="N72" s="185">
        <f>MAX(0,'T1'!D57-'T1'!H57)</f>
        <v>0</v>
      </c>
      <c r="O72" s="179" t="s">
        <v>597</v>
      </c>
      <c r="P72" s="185">
        <f>SUM(L72:N72)</f>
        <v>17730</v>
      </c>
      <c r="Q72" s="185">
        <f>'T1'!I57</f>
        <v>2950</v>
      </c>
      <c r="R72" s="185">
        <f>P72-Q72</f>
        <v>14780</v>
      </c>
    </row>
    <row r="73" spans="9:18">
      <c r="K73" s="313">
        <f t="shared" si="9"/>
        <v>2020</v>
      </c>
      <c r="L73" s="185">
        <f>'T1'!E77</f>
        <v>8070</v>
      </c>
      <c r="M73" s="185">
        <f>'T1'!G77</f>
        <v>3490</v>
      </c>
      <c r="N73" s="185">
        <f>MAX(0,'T1'!D77-'T1'!H77)</f>
        <v>0</v>
      </c>
      <c r="O73" s="179" t="s">
        <v>597</v>
      </c>
      <c r="P73" s="185">
        <f>SUM(L73:N73)</f>
        <v>11560</v>
      </c>
      <c r="Q73" s="185">
        <f>'T1'!I77</f>
        <v>2490</v>
      </c>
      <c r="R73" s="185">
        <f>P73-Q73</f>
        <v>9070</v>
      </c>
    </row>
    <row r="74" spans="9:18">
      <c r="K74" s="313">
        <f t="shared" si="9"/>
        <v>2021</v>
      </c>
      <c r="L74" s="185">
        <f>'T1'!E97</f>
        <v>7130</v>
      </c>
      <c r="M74" s="185">
        <f>'T1'!G97</f>
        <v>3090</v>
      </c>
      <c r="N74" s="185">
        <f>MAX(0,'T1'!D97-'T1'!H97)</f>
        <v>0</v>
      </c>
      <c r="O74" s="179" t="s">
        <v>597</v>
      </c>
      <c r="P74" s="185">
        <f>SUM(L74:N74)</f>
        <v>10220</v>
      </c>
      <c r="Q74" s="185">
        <f>'T1'!I97</f>
        <v>1640</v>
      </c>
      <c r="R74" s="185">
        <f>P74-Q74</f>
        <v>8580</v>
      </c>
    </row>
    <row r="75" spans="9:18">
      <c r="L75" s="102"/>
      <c r="M75" s="102"/>
      <c r="N75" s="102"/>
      <c r="O75" s="102"/>
      <c r="P75" s="102"/>
      <c r="Q75" s="102"/>
      <c r="R75" s="102"/>
    </row>
    <row r="76" spans="9:18">
      <c r="K76" s="305" t="s">
        <v>24</v>
      </c>
      <c r="L76" s="102"/>
      <c r="M76" s="102"/>
      <c r="N76" s="102"/>
      <c r="O76" s="102"/>
      <c r="P76" s="102"/>
      <c r="Q76" s="102"/>
      <c r="R76" s="102"/>
    </row>
    <row r="77" spans="9:18">
      <c r="K77" s="313">
        <f>K70</f>
        <v>2017</v>
      </c>
      <c r="L77" s="185">
        <f>'T1'!E18</f>
        <v>5920</v>
      </c>
      <c r="M77" s="185">
        <f>'T1'!G18</f>
        <v>6060</v>
      </c>
      <c r="N77" s="185">
        <f>MAX(0,'T1'!D18-'T1'!H18)</f>
        <v>0</v>
      </c>
      <c r="O77" s="179" t="s">
        <v>597</v>
      </c>
      <c r="P77" s="185">
        <f>SUM(L77:N77)</f>
        <v>11980</v>
      </c>
      <c r="Q77" s="185">
        <f>'T1'!I18</f>
        <v>10780</v>
      </c>
      <c r="R77" s="185">
        <f>P77-Q77</f>
        <v>1200</v>
      </c>
    </row>
    <row r="78" spans="9:18">
      <c r="K78" s="313">
        <f t="shared" ref="K78:K81" si="10">K71</f>
        <v>2018</v>
      </c>
      <c r="L78" s="185">
        <f>'T1'!E38</f>
        <v>7370</v>
      </c>
      <c r="M78" s="185">
        <f>'T1'!G38</f>
        <v>7520</v>
      </c>
      <c r="N78" s="185">
        <f>MAX(0,'T1'!D38-'T1'!H38)</f>
        <v>0</v>
      </c>
      <c r="O78" s="179" t="s">
        <v>597</v>
      </c>
      <c r="P78" s="185">
        <f>SUM(L78:N78)</f>
        <v>14890</v>
      </c>
      <c r="Q78" s="185">
        <f>'T1'!I38</f>
        <v>11910</v>
      </c>
      <c r="R78" s="185">
        <f>P78-Q78</f>
        <v>2980</v>
      </c>
    </row>
    <row r="79" spans="9:18">
      <c r="I79" s="312"/>
      <c r="K79" s="313">
        <f t="shared" si="10"/>
        <v>2019</v>
      </c>
      <c r="L79" s="185">
        <f>'T1'!E58</f>
        <v>13140</v>
      </c>
      <c r="M79" s="185">
        <f>'T1'!G58</f>
        <v>13430</v>
      </c>
      <c r="N79" s="185">
        <f>MAX(0,'T1'!D58-'T1'!H58)</f>
        <v>0</v>
      </c>
      <c r="O79" s="179" t="s">
        <v>597</v>
      </c>
      <c r="P79" s="185">
        <f>SUM(L79:N79)</f>
        <v>26570</v>
      </c>
      <c r="Q79" s="185">
        <f>'T1'!I58</f>
        <v>13040</v>
      </c>
      <c r="R79" s="185">
        <f>P79-Q79</f>
        <v>13530</v>
      </c>
    </row>
    <row r="80" spans="9:18">
      <c r="K80" s="313">
        <f t="shared" si="10"/>
        <v>2020</v>
      </c>
      <c r="L80" s="185">
        <f>'T1'!E78</f>
        <v>8820</v>
      </c>
      <c r="M80" s="185">
        <f>'T1'!G78</f>
        <v>9000</v>
      </c>
      <c r="N80" s="185">
        <f>MAX(0,'T1'!D78-'T1'!H78)</f>
        <v>0</v>
      </c>
      <c r="O80" s="179" t="s">
        <v>597</v>
      </c>
      <c r="P80" s="185">
        <f>SUM(L80:N80)</f>
        <v>17820</v>
      </c>
      <c r="Q80" s="185">
        <f>'T1'!I78</f>
        <v>11010</v>
      </c>
      <c r="R80" s="185">
        <f>P80-Q80</f>
        <v>6810</v>
      </c>
    </row>
    <row r="81" spans="11:18">
      <c r="K81" s="313">
        <f t="shared" si="10"/>
        <v>2021</v>
      </c>
      <c r="L81" s="185">
        <f>'T1'!E98</f>
        <v>6690</v>
      </c>
      <c r="M81" s="185">
        <f>'T1'!G98</f>
        <v>6840</v>
      </c>
      <c r="N81" s="185">
        <f>MAX(0,'T1'!D98-'T1'!H98)</f>
        <v>0</v>
      </c>
      <c r="O81" s="179" t="s">
        <v>597</v>
      </c>
      <c r="P81" s="185">
        <f>SUM(L81:N81)</f>
        <v>13530</v>
      </c>
      <c r="Q81" s="185">
        <f>'T1'!I98</f>
        <v>8000</v>
      </c>
      <c r="R81" s="185">
        <f>P81-Q81</f>
        <v>5530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Q28"/>
  <sheetViews>
    <sheetView zoomScaleNormal="100" zoomScaleSheetLayoutView="100" workbookViewId="0">
      <selection activeCell="J4" sqref="J4:Q9"/>
    </sheetView>
  </sheetViews>
  <sheetFormatPr defaultRowHeight="12.75"/>
  <cols>
    <col min="1" max="1" width="18.28515625" customWidth="1"/>
    <col min="2" max="4" width="18.28515625" style="312" customWidth="1"/>
    <col min="5" max="8" width="20.7109375" customWidth="1"/>
  </cols>
  <sheetData>
    <row r="1" spans="1:17">
      <c r="A1" s="543" t="s">
        <v>40</v>
      </c>
      <c r="B1" s="543"/>
      <c r="C1" s="543"/>
      <c r="D1" s="543"/>
      <c r="E1" s="543"/>
      <c r="F1" s="543"/>
      <c r="G1" s="543"/>
      <c r="H1" s="543"/>
    </row>
    <row r="2" spans="1:17" s="312" customFormat="1">
      <c r="A2" s="354"/>
      <c r="B2" s="345" t="s">
        <v>581</v>
      </c>
      <c r="C2" s="345" t="s">
        <v>582</v>
      </c>
      <c r="D2" s="345" t="s">
        <v>583</v>
      </c>
      <c r="E2" s="345" t="s">
        <v>584</v>
      </c>
      <c r="F2" s="345" t="s">
        <v>603</v>
      </c>
      <c r="G2" s="345" t="s">
        <v>604</v>
      </c>
      <c r="H2" s="345" t="s">
        <v>605</v>
      </c>
    </row>
    <row r="3" spans="1:17" ht="103.5" customHeight="1">
      <c r="A3" s="84" t="s">
        <v>33</v>
      </c>
      <c r="B3" s="346" t="s">
        <v>606</v>
      </c>
      <c r="C3" s="346" t="s">
        <v>607</v>
      </c>
      <c r="D3" s="346" t="s">
        <v>608</v>
      </c>
      <c r="E3" s="346" t="s">
        <v>609</v>
      </c>
      <c r="F3" s="346" t="s">
        <v>610</v>
      </c>
      <c r="G3" s="346" t="s">
        <v>611</v>
      </c>
      <c r="H3" s="346" t="s">
        <v>612</v>
      </c>
    </row>
    <row r="4" spans="1:17" ht="19.5" customHeight="1">
      <c r="A4" s="310">
        <f>INPUT!$C$1</f>
        <v>2017</v>
      </c>
      <c r="B4" s="355" t="s">
        <v>613</v>
      </c>
      <c r="C4" s="316">
        <f>'T1'!D22</f>
        <v>22960</v>
      </c>
      <c r="D4" s="175">
        <f>IF(ISNA(MATCH(A4,$A$17:$A$27,0)),0,LOOKUP(A4,$A$17:$A$27,$C$17:$C$27))</f>
        <v>0</v>
      </c>
      <c r="E4" s="314">
        <f>C4-D4</f>
        <v>22960</v>
      </c>
      <c r="F4" s="175">
        <f>'T1'!H22-'T1'!H16</f>
        <v>31810</v>
      </c>
      <c r="G4" s="309">
        <f>RWS_CWSA!Y16</f>
        <v>11330</v>
      </c>
      <c r="H4" s="175">
        <f>+E4-F4+G4</f>
        <v>2480</v>
      </c>
      <c r="J4" s="102"/>
      <c r="K4" s="102"/>
      <c r="L4" s="102"/>
      <c r="M4" s="102"/>
      <c r="N4" s="102"/>
      <c r="O4" s="102"/>
      <c r="P4" s="102"/>
      <c r="Q4" s="102"/>
    </row>
    <row r="5" spans="1:17" ht="19.5" customHeight="1">
      <c r="A5" s="310">
        <f>INPUT!$D$1</f>
        <v>2018</v>
      </c>
      <c r="B5" s="355" t="s">
        <v>614</v>
      </c>
      <c r="C5" s="316">
        <f>'T1'!D42</f>
        <v>25630</v>
      </c>
      <c r="D5" s="175">
        <f>IF(ISNA(MATCH(A5,$A$17:$A$27,0)),0,LOOKUP(A5,$A$17:$A$27,$C$17:$C$27))</f>
        <v>1852</v>
      </c>
      <c r="E5" s="314">
        <f>C5-D5</f>
        <v>23778</v>
      </c>
      <c r="F5" s="175">
        <f>'T1'!H42-'T1'!H36</f>
        <v>35130</v>
      </c>
      <c r="G5" s="309">
        <f>RWS_CWSA!Y17</f>
        <v>13578</v>
      </c>
      <c r="H5" s="175">
        <f>+E5-F5+G5</f>
        <v>2226</v>
      </c>
      <c r="J5" s="102"/>
      <c r="K5" s="102"/>
      <c r="L5" s="102"/>
      <c r="M5" s="102"/>
      <c r="N5" s="102"/>
      <c r="O5" s="102"/>
    </row>
    <row r="6" spans="1:17" ht="19.5" customHeight="1">
      <c r="A6" s="310">
        <f>INPUT!$E$1</f>
        <v>2019</v>
      </c>
      <c r="B6" s="355" t="s">
        <v>613</v>
      </c>
      <c r="C6" s="316">
        <f>'T1'!D62</f>
        <v>22710</v>
      </c>
      <c r="D6" s="175">
        <f>IF(ISNA(MATCH(A6,$A$17:$A$27,0)),0,LOOKUP(A6,$A$17:$A$27,$C$17:$C$27))</f>
        <v>0</v>
      </c>
      <c r="E6" s="314">
        <f>C6-D6</f>
        <v>22710</v>
      </c>
      <c r="F6" s="175">
        <f>'T1'!H62-'T1'!H56</f>
        <v>32740</v>
      </c>
      <c r="G6" s="309">
        <f>RWS_CWSA!Y18</f>
        <v>8905</v>
      </c>
      <c r="H6" s="175">
        <f>+E6-F6+G6</f>
        <v>-1125</v>
      </c>
      <c r="J6" s="102"/>
      <c r="K6" s="102"/>
      <c r="L6" s="102"/>
      <c r="M6" s="102"/>
      <c r="N6" s="102"/>
      <c r="O6" s="102"/>
    </row>
    <row r="7" spans="1:17" ht="19.5" customHeight="1" thickBot="1">
      <c r="A7" s="310">
        <f>INPUT!$F$1</f>
        <v>2020</v>
      </c>
      <c r="B7" s="356" t="s">
        <v>614</v>
      </c>
      <c r="C7" s="316">
        <f>'T1'!D82</f>
        <v>24200</v>
      </c>
      <c r="D7" s="175">
        <f>IF(ISNA(MATCH(A7,$A$17:$A$27,0)),0,LOOKUP(A7,$A$17:$A$27,$C$17:$C$27))</f>
        <v>0</v>
      </c>
      <c r="E7" s="314">
        <f>C7-D7</f>
        <v>24200</v>
      </c>
      <c r="F7" s="175">
        <f>'T1'!H82-'T1'!H76</f>
        <v>26910</v>
      </c>
      <c r="G7" s="309">
        <f>RWS_CWSA!Y19</f>
        <v>6218</v>
      </c>
      <c r="H7" s="175">
        <f>+E7-F7+G7</f>
        <v>3508</v>
      </c>
      <c r="J7" s="102"/>
      <c r="K7" s="102"/>
      <c r="L7" s="102"/>
      <c r="M7" s="102"/>
      <c r="N7" s="102"/>
      <c r="O7" s="102"/>
    </row>
    <row r="8" spans="1:17" ht="19.5" customHeight="1" thickTop="1" thickBot="1">
      <c r="A8" s="311">
        <f>INPUT!$G$1</f>
        <v>2021</v>
      </c>
      <c r="B8" s="356" t="s">
        <v>614</v>
      </c>
      <c r="C8" s="324">
        <f>'T1'!D102</f>
        <v>22790</v>
      </c>
      <c r="D8" s="324">
        <f>IF(ISNA(MATCH(A8,$A$17:$A$27,0)),0,LOOKUP(A8,$A$17:$A$27,$C$17:$C$27))</f>
        <v>0</v>
      </c>
      <c r="E8" s="348">
        <f>C8-D8</f>
        <v>22790</v>
      </c>
      <c r="F8" s="177">
        <f>'T1'!H102-'T1'!H96</f>
        <v>30200</v>
      </c>
      <c r="G8" s="309">
        <f>RWS_CWSA!Y20</f>
        <v>9390</v>
      </c>
      <c r="H8" s="177">
        <f>+E8-F8+G8</f>
        <v>1980</v>
      </c>
      <c r="J8" s="102"/>
      <c r="K8" s="102"/>
      <c r="L8" s="102"/>
      <c r="M8" s="102"/>
      <c r="N8" s="102"/>
      <c r="O8" s="102"/>
    </row>
    <row r="9" spans="1:17" s="30" customFormat="1" ht="19.5" customHeight="1" thickTop="1">
      <c r="A9" s="355" t="s">
        <v>698</v>
      </c>
      <c r="B9" s="355" t="s">
        <v>613</v>
      </c>
      <c r="C9" s="316">
        <f t="shared" ref="C9:H9" si="0">ROUND(+AVERAGE(C4:C8),-1)</f>
        <v>23660</v>
      </c>
      <c r="D9" s="316">
        <f t="shared" si="0"/>
        <v>370</v>
      </c>
      <c r="E9" s="316">
        <f t="shared" si="0"/>
        <v>23290</v>
      </c>
      <c r="F9" s="316">
        <f t="shared" si="0"/>
        <v>31360</v>
      </c>
      <c r="G9" s="432">
        <f t="shared" si="0"/>
        <v>9880</v>
      </c>
      <c r="H9" s="316">
        <f t="shared" si="0"/>
        <v>1810</v>
      </c>
      <c r="J9" s="102"/>
      <c r="K9" s="102"/>
      <c r="L9" s="102"/>
      <c r="M9" s="102"/>
      <c r="N9" s="102"/>
      <c r="O9" s="102"/>
    </row>
    <row r="10" spans="1:17">
      <c r="A10" s="306"/>
      <c r="B10" s="306"/>
      <c r="C10" s="306"/>
      <c r="D10" s="306"/>
    </row>
    <row r="14" spans="1:17">
      <c r="A14" s="3" t="s">
        <v>615</v>
      </c>
    </row>
    <row r="15" spans="1:17" ht="51">
      <c r="A15" s="357" t="s">
        <v>616</v>
      </c>
      <c r="B15" s="357" t="s">
        <v>617</v>
      </c>
      <c r="C15" s="357" t="s">
        <v>618</v>
      </c>
    </row>
    <row r="16" spans="1:17">
      <c r="A16" s="2"/>
      <c r="B16" s="46" t="s">
        <v>581</v>
      </c>
      <c r="C16" s="358" t="s">
        <v>582</v>
      </c>
    </row>
    <row r="17" spans="1:3" ht="18.75" customHeight="1">
      <c r="A17" s="288">
        <v>2002</v>
      </c>
      <c r="B17" s="359">
        <v>770</v>
      </c>
      <c r="C17" s="362" t="s">
        <v>597</v>
      </c>
    </row>
    <row r="18" spans="1:3" ht="18.75" customHeight="1">
      <c r="A18" s="288">
        <v>2003</v>
      </c>
      <c r="B18" s="179">
        <v>260</v>
      </c>
      <c r="C18" s="360" t="s">
        <v>597</v>
      </c>
    </row>
    <row r="19" spans="1:3" ht="18.75" customHeight="1">
      <c r="A19" s="288">
        <v>2004</v>
      </c>
      <c r="B19" s="179">
        <v>360</v>
      </c>
      <c r="C19" s="360" t="s">
        <v>597</v>
      </c>
    </row>
    <row r="20" spans="1:3" ht="18.75" customHeight="1">
      <c r="A20" s="288">
        <v>2005</v>
      </c>
      <c r="B20" s="179">
        <v>910</v>
      </c>
      <c r="C20" s="360" t="s">
        <v>597</v>
      </c>
    </row>
    <row r="21" spans="1:3" s="312" customFormat="1" ht="18.75" customHeight="1">
      <c r="A21" s="288">
        <v>2006</v>
      </c>
      <c r="B21" s="179">
        <v>1420</v>
      </c>
      <c r="C21" s="360" t="s">
        <v>597</v>
      </c>
    </row>
    <row r="22" spans="1:3" s="312" customFormat="1" ht="18.75" customHeight="1">
      <c r="A22" s="288">
        <v>2007</v>
      </c>
      <c r="B22" s="179">
        <v>2320</v>
      </c>
      <c r="C22" s="361">
        <f t="shared" ref="C22:C27" si="1">AVERAGE(B17:B21)</f>
        <v>744</v>
      </c>
    </row>
    <row r="23" spans="1:3" s="312" customFormat="1" ht="18.75" customHeight="1">
      <c r="A23" s="288">
        <v>2013</v>
      </c>
      <c r="B23" s="179">
        <v>1130</v>
      </c>
      <c r="C23" s="361">
        <f t="shared" si="1"/>
        <v>1054</v>
      </c>
    </row>
    <row r="24" spans="1:3" s="312" customFormat="1" ht="18.75" customHeight="1">
      <c r="A24" s="288">
        <v>2014</v>
      </c>
      <c r="B24" s="179">
        <v>1250</v>
      </c>
      <c r="C24" s="361">
        <f t="shared" si="1"/>
        <v>1228</v>
      </c>
    </row>
    <row r="25" spans="1:3" s="312" customFormat="1" ht="18.75" customHeight="1">
      <c r="A25" s="288">
        <v>2015</v>
      </c>
      <c r="B25" s="179">
        <v>2130</v>
      </c>
      <c r="C25" s="361">
        <f t="shared" si="1"/>
        <v>1406</v>
      </c>
    </row>
    <row r="26" spans="1:3" s="312" customFormat="1" ht="18.75" customHeight="1">
      <c r="A26" s="288">
        <v>2016</v>
      </c>
      <c r="B26" s="179">
        <v>2430</v>
      </c>
      <c r="C26" s="361">
        <f t="shared" si="1"/>
        <v>1650</v>
      </c>
    </row>
    <row r="27" spans="1:3" s="312" customFormat="1" ht="18.75" customHeight="1">
      <c r="A27" s="288">
        <v>2018</v>
      </c>
      <c r="B27" s="453">
        <f>'T1'!D76</f>
        <v>2250</v>
      </c>
      <c r="C27" s="453">
        <f t="shared" si="1"/>
        <v>1852</v>
      </c>
    </row>
    <row r="28" spans="1:3" s="312" customFormat="1" ht="18.75" customHeight="1">
      <c r="A28"/>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P16"/>
  <sheetViews>
    <sheetView topLeftCell="A4" zoomScale="90" zoomScaleNormal="90" workbookViewId="0">
      <selection activeCell="A17" sqref="A17"/>
    </sheetView>
  </sheetViews>
  <sheetFormatPr defaultRowHeight="12.75"/>
  <cols>
    <col min="1" max="1" width="15.7109375" style="319" customWidth="1"/>
    <col min="2" max="3" width="14.140625" style="319" customWidth="1"/>
    <col min="4" max="4" width="17.7109375" style="319" customWidth="1"/>
    <col min="5" max="5" width="14.140625" style="319" customWidth="1"/>
    <col min="6" max="7" width="11.5703125" style="319" customWidth="1"/>
    <col min="8" max="8" width="23.85546875" style="319" customWidth="1"/>
  </cols>
  <sheetData>
    <row r="1" spans="1:16">
      <c r="A1" s="543" t="s">
        <v>41</v>
      </c>
      <c r="B1" s="543"/>
      <c r="C1" s="543"/>
      <c r="D1" s="543"/>
      <c r="E1" s="543"/>
      <c r="F1" s="543"/>
      <c r="G1" s="543"/>
    </row>
    <row r="2" spans="1:16" s="312" customFormat="1">
      <c r="A2" s="342" t="s">
        <v>161</v>
      </c>
      <c r="B2" s="342"/>
      <c r="C2" s="342"/>
      <c r="D2" s="342"/>
      <c r="E2" s="342"/>
      <c r="F2" s="342"/>
      <c r="G2" s="342"/>
      <c r="H2" s="319"/>
    </row>
    <row r="3" spans="1:16" s="312" customFormat="1" ht="76.5">
      <c r="A3" s="345" t="s">
        <v>33</v>
      </c>
      <c r="B3" s="547" t="s">
        <v>34</v>
      </c>
      <c r="C3" s="548"/>
      <c r="D3" s="548"/>
      <c r="E3" s="549"/>
      <c r="F3" s="346" t="s">
        <v>3</v>
      </c>
      <c r="G3" s="346" t="s">
        <v>35</v>
      </c>
      <c r="H3" s="347" t="s">
        <v>570</v>
      </c>
    </row>
    <row r="4" spans="1:16" s="312" customFormat="1">
      <c r="A4" s="345" t="s">
        <v>571</v>
      </c>
      <c r="B4" s="345">
        <v>1</v>
      </c>
      <c r="C4" s="345">
        <v>2</v>
      </c>
      <c r="D4" s="345">
        <v>3</v>
      </c>
      <c r="E4" s="345">
        <v>4</v>
      </c>
      <c r="F4" s="345">
        <v>5</v>
      </c>
      <c r="G4" s="345">
        <v>6</v>
      </c>
      <c r="H4" s="345">
        <v>7</v>
      </c>
    </row>
    <row r="5" spans="1:16" s="312" customFormat="1" ht="38.25">
      <c r="A5" s="345"/>
      <c r="B5" s="346" t="s">
        <v>572</v>
      </c>
      <c r="C5" s="346" t="s">
        <v>623</v>
      </c>
      <c r="D5" s="346" t="s">
        <v>573</v>
      </c>
      <c r="E5" s="346" t="s">
        <v>574</v>
      </c>
      <c r="F5" s="346"/>
      <c r="G5" s="346"/>
      <c r="H5" s="346" t="s">
        <v>575</v>
      </c>
    </row>
    <row r="6" spans="1:16" ht="20.100000000000001" customHeight="1">
      <c r="A6" s="310">
        <f>INPUT!$F$1</f>
        <v>2020</v>
      </c>
      <c r="B6" s="175">
        <f>SUM('T1'!E67:E78)</f>
        <v>30570</v>
      </c>
      <c r="C6" s="175">
        <f>0.511*('T1'!G68+'T1'!G71+'T1'!G73+'T1'!G76+'T1'!G77+'T1'!G78)</f>
        <v>8211.77</v>
      </c>
      <c r="D6" s="175">
        <f>(MAX(0,'T1'!D68-'T1'!H68)+MAX(0,'T1'!D71-'T1'!H71)+MAX(0,'T1'!D76-'T1'!H76))*0.511</f>
        <v>1701.63</v>
      </c>
      <c r="E6" s="250">
        <f>B6+C6+D6</f>
        <v>40483.4</v>
      </c>
      <c r="F6" s="175">
        <f>SUM('T1'!I67:I78)</f>
        <v>23700</v>
      </c>
      <c r="G6" s="309" t="s">
        <v>597</v>
      </c>
      <c r="H6" s="175">
        <f>+E6-(F6)</f>
        <v>16783.400000000001</v>
      </c>
      <c r="J6" s="102"/>
      <c r="K6" s="102"/>
      <c r="L6" s="102"/>
      <c r="M6" s="102"/>
      <c r="N6" s="102"/>
      <c r="O6" s="102"/>
      <c r="P6" s="102"/>
    </row>
    <row r="7" spans="1:16" ht="20.100000000000001" customHeight="1" thickBot="1">
      <c r="A7" s="311">
        <f>INPUT!$G$1</f>
        <v>2021</v>
      </c>
      <c r="B7" s="177">
        <f>SUM('T1'!E87:E98)</f>
        <v>25860</v>
      </c>
      <c r="C7" s="177">
        <f>0.511*('T1'!G88+'T1'!G91+'T1'!G93+'T1'!G96+'T1'!G97+'T1'!G98)</f>
        <v>6607.2300000000005</v>
      </c>
      <c r="D7" s="177">
        <f>(MAX(0,'T1'!D88-'T1'!H88)+MAX(0,'T1'!D91-'T1'!H91)+MAX(0,'T1'!D96-'T1'!H96))*0.511</f>
        <v>1589.21</v>
      </c>
      <c r="E7" s="331">
        <f>B7+C7+D7</f>
        <v>34056.44</v>
      </c>
      <c r="F7" s="177">
        <f>SUM('T1'!I87:I98)</f>
        <v>20650</v>
      </c>
      <c r="G7" s="330" t="s">
        <v>597</v>
      </c>
      <c r="H7" s="177">
        <f>+E7-(F7)</f>
        <v>13406.440000000002</v>
      </c>
      <c r="J7" s="102"/>
      <c r="K7" s="102"/>
      <c r="L7" s="102"/>
      <c r="M7" s="102"/>
      <c r="N7" s="102"/>
      <c r="O7" s="102"/>
      <c r="P7" s="102"/>
    </row>
    <row r="8" spans="1:16" ht="20.100000000000001" customHeight="1" thickTop="1">
      <c r="A8" s="355" t="s">
        <v>695</v>
      </c>
      <c r="B8" s="175">
        <f>AVERAGE(B6:B7)</f>
        <v>28215</v>
      </c>
      <c r="C8" s="175">
        <f>AVERAGE(C6:C7)</f>
        <v>7409.5</v>
      </c>
      <c r="D8" s="175">
        <f>AVERAGE(D6:D7)</f>
        <v>1645.42</v>
      </c>
      <c r="E8" s="175">
        <f>AVERAGE(E6:E7)</f>
        <v>37269.919999999998</v>
      </c>
      <c r="F8" s="175">
        <f>AVERAGE(F6:F7)</f>
        <v>22175</v>
      </c>
      <c r="G8" s="175" t="s">
        <v>597</v>
      </c>
      <c r="H8" s="175">
        <f>AVERAGE(H6:H7)</f>
        <v>15094.920000000002</v>
      </c>
      <c r="J8" s="102"/>
      <c r="K8" s="102"/>
      <c r="L8" s="102"/>
      <c r="M8" s="102"/>
      <c r="N8" s="102"/>
      <c r="O8" s="102"/>
      <c r="P8" s="102"/>
    </row>
    <row r="9" spans="1:16">
      <c r="J9" s="102"/>
      <c r="K9" s="102"/>
      <c r="L9" s="102"/>
      <c r="M9" s="102"/>
      <c r="N9" s="102"/>
      <c r="O9" s="102"/>
      <c r="P9" s="102"/>
    </row>
    <row r="10" spans="1:16">
      <c r="A10" s="543" t="s">
        <v>430</v>
      </c>
      <c r="B10" s="543"/>
      <c r="C10" s="543"/>
      <c r="D10" s="543"/>
      <c r="E10" s="543"/>
      <c r="F10" s="543"/>
      <c r="G10" s="543"/>
      <c r="J10" s="102"/>
      <c r="K10" s="102"/>
      <c r="L10" s="102"/>
      <c r="M10" s="102"/>
      <c r="N10" s="102"/>
      <c r="O10" s="102"/>
      <c r="P10" s="102"/>
    </row>
    <row r="11" spans="1:16" ht="12.75" customHeight="1">
      <c r="A11" s="286"/>
      <c r="B11" s="544" t="s">
        <v>34</v>
      </c>
      <c r="C11" s="544"/>
      <c r="D11" s="544"/>
      <c r="E11" s="545" t="s">
        <v>3</v>
      </c>
      <c r="F11" s="546" t="s">
        <v>565</v>
      </c>
      <c r="G11" s="546" t="s">
        <v>566</v>
      </c>
      <c r="J11" s="102"/>
      <c r="K11" s="102"/>
      <c r="L11" s="102"/>
      <c r="M11" s="102"/>
      <c r="N11" s="102"/>
      <c r="O11" s="102"/>
      <c r="P11" s="102"/>
    </row>
    <row r="12" spans="1:16" ht="39.75" customHeight="1">
      <c r="A12" s="323" t="s">
        <v>33</v>
      </c>
      <c r="B12" s="323" t="s">
        <v>42</v>
      </c>
      <c r="C12" s="323" t="s">
        <v>624</v>
      </c>
      <c r="D12" s="323" t="s">
        <v>4</v>
      </c>
      <c r="E12" s="545"/>
      <c r="F12" s="545"/>
      <c r="G12" s="546"/>
      <c r="J12" s="102"/>
      <c r="K12" s="102"/>
      <c r="L12" s="102"/>
      <c r="M12" s="102"/>
      <c r="N12" s="102"/>
      <c r="O12" s="102"/>
      <c r="P12" s="102"/>
    </row>
    <row r="13" spans="1:16" ht="20.100000000000001" customHeight="1">
      <c r="A13" s="310">
        <f>INPUT!$E$1</f>
        <v>2019</v>
      </c>
      <c r="B13" s="175">
        <f>SUM('T1'!F47:F58)</f>
        <v>107230</v>
      </c>
      <c r="C13" s="175">
        <f>0.489*SUM('T1'!G47:G58)</f>
        <v>86685.03</v>
      </c>
      <c r="D13" s="175">
        <f>+B13+C13</f>
        <v>193915.03</v>
      </c>
      <c r="E13" s="175">
        <f>SUM('T1'!J47:J58)</f>
        <v>137820</v>
      </c>
      <c r="F13" s="175">
        <f>GM_output!Q28-GM_output!Q27+RWS_CWSA!AB18</f>
        <v>11441</v>
      </c>
      <c r="G13" s="175">
        <f>+D13-(E13-F13)</f>
        <v>67536.03</v>
      </c>
      <c r="J13" s="102"/>
      <c r="K13" s="102"/>
      <c r="L13" s="102"/>
      <c r="M13" s="102"/>
      <c r="N13" s="102"/>
      <c r="O13" s="102"/>
      <c r="P13" s="102"/>
    </row>
    <row r="14" spans="1:16" ht="20.100000000000001" customHeight="1">
      <c r="A14" s="310">
        <f>INPUT!$F$1</f>
        <v>2020</v>
      </c>
      <c r="B14" s="175">
        <f>SUM('T1'!F67:F78)</f>
        <v>95240</v>
      </c>
      <c r="C14" s="175">
        <f>0.489*SUM('T1'!G67:G78)</f>
        <v>78440.490000000005</v>
      </c>
      <c r="D14" s="175">
        <f>+B14+C14</f>
        <v>173680.49</v>
      </c>
      <c r="E14" s="175">
        <f>SUM('T1'!J67:J78)</f>
        <v>132980</v>
      </c>
      <c r="F14" s="175">
        <f>GM_output!W28-GM_output!W27+RWS_CWSA!AB19</f>
        <v>10716</v>
      </c>
      <c r="G14" s="175">
        <f>+D14-(E14-F14)</f>
        <v>51416.489999999991</v>
      </c>
      <c r="J14" s="102"/>
      <c r="K14" s="102"/>
      <c r="L14" s="102"/>
      <c r="M14" s="102"/>
      <c r="N14" s="102"/>
      <c r="O14" s="102"/>
      <c r="P14" s="102"/>
    </row>
    <row r="15" spans="1:16" ht="20.100000000000001" customHeight="1" thickBot="1">
      <c r="A15" s="311">
        <f>INPUT!$G$1</f>
        <v>2021</v>
      </c>
      <c r="B15" s="177">
        <f>SUM('T1'!F87:F98)</f>
        <v>89710</v>
      </c>
      <c r="C15" s="177">
        <f>0.489*SUM('T1'!G87:G98)</f>
        <v>68225.279999999999</v>
      </c>
      <c r="D15" s="177">
        <f>+B15+C15</f>
        <v>157935.28</v>
      </c>
      <c r="E15" s="177">
        <f>SUM('T1'!J87:J98)</f>
        <v>133520</v>
      </c>
      <c r="F15" s="177">
        <f>GM_output!AC28-GM_output!AC27+RWS_CWSA!AB20</f>
        <v>10822</v>
      </c>
      <c r="G15" s="177">
        <f>+D15-(E15-F15)</f>
        <v>35237.279999999999</v>
      </c>
      <c r="J15" s="102"/>
      <c r="K15" s="102"/>
      <c r="L15" s="102"/>
      <c r="M15" s="102"/>
      <c r="N15" s="102"/>
      <c r="O15" s="102"/>
      <c r="P15" s="102"/>
    </row>
    <row r="16" spans="1:16" ht="20.100000000000001" customHeight="1" thickTop="1">
      <c r="A16" s="355" t="s">
        <v>695</v>
      </c>
      <c r="B16" s="175">
        <f t="shared" ref="B16:G16" si="0">AVERAGE(B14:B15)</f>
        <v>92475</v>
      </c>
      <c r="C16" s="175">
        <f t="shared" si="0"/>
        <v>73332.885000000009</v>
      </c>
      <c r="D16" s="175">
        <f t="shared" si="0"/>
        <v>165807.88500000001</v>
      </c>
      <c r="E16" s="175">
        <f t="shared" si="0"/>
        <v>133250</v>
      </c>
      <c r="F16" s="175">
        <f t="shared" si="0"/>
        <v>10769</v>
      </c>
      <c r="G16" s="175">
        <f t="shared" si="0"/>
        <v>43326.884999999995</v>
      </c>
      <c r="J16" s="102"/>
      <c r="K16" s="102"/>
      <c r="L16" s="102"/>
      <c r="M16" s="102"/>
      <c r="N16" s="102"/>
      <c r="O16" s="102"/>
      <c r="P16" s="102"/>
    </row>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U20"/>
  <sheetViews>
    <sheetView zoomScale="80" zoomScaleNormal="80" workbookViewId="0">
      <selection activeCell="G30" sqref="G30"/>
    </sheetView>
  </sheetViews>
  <sheetFormatPr defaultRowHeight="12.75"/>
  <cols>
    <col min="1" max="1" width="14.7109375" style="319" customWidth="1"/>
    <col min="2" max="2" width="16.7109375" style="319" customWidth="1"/>
    <col min="3" max="3" width="18.140625" style="319" customWidth="1"/>
    <col min="4" max="5" width="14.42578125" style="319" customWidth="1"/>
    <col min="6" max="8" width="12.7109375" style="319" customWidth="1"/>
    <col min="9" max="9" width="15.7109375" style="319" customWidth="1"/>
    <col min="10" max="10" width="26" style="319" customWidth="1"/>
    <col min="11" max="11" width="16" style="319" customWidth="1"/>
  </cols>
  <sheetData>
    <row r="1" spans="1:21">
      <c r="A1" s="543" t="s">
        <v>49</v>
      </c>
      <c r="B1" s="543"/>
      <c r="C1" s="543"/>
      <c r="D1" s="543"/>
      <c r="E1" s="543"/>
      <c r="F1" s="543"/>
      <c r="G1" s="543"/>
      <c r="H1" s="543"/>
      <c r="I1" s="543"/>
      <c r="J1" s="543"/>
    </row>
    <row r="2" spans="1:21" ht="76.5">
      <c r="A2" s="343" t="s">
        <v>33</v>
      </c>
      <c r="B2" s="544" t="s">
        <v>34</v>
      </c>
      <c r="C2" s="544"/>
      <c r="D2" s="544"/>
      <c r="E2" s="544"/>
      <c r="F2" s="544" t="s">
        <v>3</v>
      </c>
      <c r="G2" s="544"/>
      <c r="H2" s="544"/>
      <c r="I2" s="347" t="s">
        <v>577</v>
      </c>
      <c r="J2" s="347" t="s">
        <v>578</v>
      </c>
    </row>
    <row r="3" spans="1:21">
      <c r="A3" s="48" t="s">
        <v>571</v>
      </c>
      <c r="B3" s="48" t="s">
        <v>336</v>
      </c>
      <c r="C3" s="48" t="s">
        <v>337</v>
      </c>
      <c r="D3" s="48" t="s">
        <v>338</v>
      </c>
      <c r="E3" s="48" t="s">
        <v>339</v>
      </c>
      <c r="F3" s="48" t="s">
        <v>340</v>
      </c>
      <c r="G3" s="48" t="s">
        <v>341</v>
      </c>
      <c r="H3" s="48" t="s">
        <v>342</v>
      </c>
      <c r="I3" s="48" t="s">
        <v>343</v>
      </c>
      <c r="J3" s="48" t="s">
        <v>344</v>
      </c>
    </row>
    <row r="4" spans="1:21" s="312" customFormat="1" ht="68.25" customHeight="1">
      <c r="A4" s="343"/>
      <c r="B4" s="343" t="s">
        <v>43</v>
      </c>
      <c r="C4" s="343" t="s">
        <v>44</v>
      </c>
      <c r="D4" s="344" t="s">
        <v>45</v>
      </c>
      <c r="E4" s="344" t="s">
        <v>576</v>
      </c>
      <c r="F4" s="343" t="s">
        <v>46</v>
      </c>
      <c r="G4" s="343" t="s">
        <v>47</v>
      </c>
      <c r="H4" s="343" t="s">
        <v>48</v>
      </c>
      <c r="I4" s="344" t="s">
        <v>579</v>
      </c>
      <c r="J4" s="344" t="s">
        <v>580</v>
      </c>
      <c r="K4" s="319"/>
    </row>
    <row r="5" spans="1:21" ht="20.100000000000001" customHeight="1">
      <c r="A5" s="310">
        <f>INPUT!$F$1</f>
        <v>2020</v>
      </c>
      <c r="B5" s="175">
        <f>'T1'!F82</f>
        <v>303070</v>
      </c>
      <c r="C5" s="175">
        <f>Attachment6!R7</f>
        <v>17776.852135898665</v>
      </c>
      <c r="D5" s="175">
        <f>+B5-C5</f>
        <v>285293.14786410134</v>
      </c>
      <c r="E5" s="175">
        <f>(MAX(0,'T1'!D67-'T1'!H67)+MAX(0,'T1'!D68-'T1'!H68)+MAX(0,'T1'!D71-'T1'!H71)+MAX(0,'T1'!D76-'T1'!H76))*0.489</f>
        <v>1628.37</v>
      </c>
      <c r="F5" s="175">
        <f>'T1'!J82</f>
        <v>252400</v>
      </c>
      <c r="G5" s="175">
        <f>Attachment6!J7</f>
        <v>2266.3791281943909</v>
      </c>
      <c r="H5" s="175">
        <f>+F5-G5</f>
        <v>250133.62087180562</v>
      </c>
      <c r="I5" s="175">
        <f>GM_output!W32+RWS_CWSA!AB19</f>
        <v>18995</v>
      </c>
      <c r="J5" s="175">
        <f>+D5+E5-(H5-I5)</f>
        <v>55782.896992295719</v>
      </c>
      <c r="L5" s="102"/>
      <c r="M5" s="102"/>
      <c r="N5" s="102"/>
      <c r="O5" s="102"/>
      <c r="P5" s="102"/>
      <c r="Q5" s="102"/>
      <c r="R5" s="102"/>
      <c r="S5" s="102"/>
      <c r="T5" s="102"/>
      <c r="U5" s="102"/>
    </row>
    <row r="6" spans="1:21" ht="20.100000000000001" customHeight="1" thickBot="1">
      <c r="A6" s="311">
        <f>INPUT!$G$1</f>
        <v>2021</v>
      </c>
      <c r="B6" s="177">
        <f>'T1'!F102</f>
        <v>258180</v>
      </c>
      <c r="C6" s="177">
        <f>Attachment6!R8</f>
        <v>6503.1599523120012</v>
      </c>
      <c r="D6" s="177">
        <f>+B6-C6</f>
        <v>251676.84004768799</v>
      </c>
      <c r="E6" s="177">
        <f>(MAX(0,'T1'!D87-'T1'!H87)+MAX(0,'T1'!D88-'T1'!H88)+MAX(0,'T1'!D91-'T1'!H91)+MAX(0,'T1'!D96-'T1'!H96))*0.489</f>
        <v>1520.79</v>
      </c>
      <c r="F6" s="177">
        <f>'T1'!J102</f>
        <v>252650</v>
      </c>
      <c r="G6" s="175">
        <f>Attachment6!J8</f>
        <v>3083.75</v>
      </c>
      <c r="H6" s="177">
        <f>+F6-G6</f>
        <v>249566.25</v>
      </c>
      <c r="I6" s="175">
        <f>GM_output!AC32+RWS_CWSA!AB20</f>
        <v>21485</v>
      </c>
      <c r="J6" s="177">
        <f>+D6+E6-(H6-I6)</f>
        <v>25116.380047687999</v>
      </c>
      <c r="L6" s="102"/>
      <c r="M6" s="102"/>
      <c r="N6" s="102"/>
      <c r="O6" s="102"/>
      <c r="P6" s="102"/>
      <c r="Q6" s="102"/>
      <c r="R6" s="102"/>
      <c r="S6" s="102"/>
      <c r="T6" s="102"/>
      <c r="U6" s="102"/>
    </row>
    <row r="7" spans="1:21" ht="20.100000000000001" customHeight="1" thickTop="1">
      <c r="A7" s="355" t="s">
        <v>695</v>
      </c>
      <c r="B7" s="175">
        <f t="shared" ref="B7:I7" si="0">ROUND(AVERAGE(B5:B6),-1)</f>
        <v>280630</v>
      </c>
      <c r="C7" s="175">
        <f t="shared" si="0"/>
        <v>12140</v>
      </c>
      <c r="D7" s="175">
        <f t="shared" si="0"/>
        <v>268480</v>
      </c>
      <c r="E7" s="175">
        <f t="shared" si="0"/>
        <v>1570</v>
      </c>
      <c r="F7" s="175">
        <f t="shared" si="0"/>
        <v>252530</v>
      </c>
      <c r="G7" s="175">
        <f t="shared" si="0"/>
        <v>2680</v>
      </c>
      <c r="H7" s="175">
        <f t="shared" si="0"/>
        <v>249850</v>
      </c>
      <c r="I7" s="175">
        <f t="shared" si="0"/>
        <v>20240</v>
      </c>
      <c r="J7" s="175">
        <f>ROUND(AVERAGE(J5:J6),-1)</f>
        <v>40450</v>
      </c>
      <c r="K7" s="262"/>
      <c r="L7" s="102"/>
      <c r="M7" s="102"/>
      <c r="N7" s="102"/>
      <c r="O7" s="102"/>
      <c r="P7" s="102"/>
      <c r="Q7" s="102"/>
      <c r="R7" s="102"/>
      <c r="S7" s="102"/>
      <c r="T7" s="102"/>
      <c r="U7" s="102"/>
    </row>
    <row r="8" spans="1:21">
      <c r="L8" s="102"/>
      <c r="M8" s="102"/>
      <c r="N8" s="102"/>
      <c r="O8" s="102"/>
      <c r="P8" s="102"/>
      <c r="Q8" s="102"/>
      <c r="R8" s="102"/>
      <c r="S8" s="102"/>
      <c r="T8" s="102"/>
      <c r="U8" s="102"/>
    </row>
    <row r="9" spans="1:21">
      <c r="A9" s="543" t="s">
        <v>431</v>
      </c>
      <c r="B9" s="543"/>
      <c r="C9" s="543"/>
      <c r="D9" s="543"/>
      <c r="E9" s="543"/>
      <c r="F9" s="543"/>
      <c r="G9" s="543"/>
      <c r="H9" s="543"/>
      <c r="I9" s="543"/>
      <c r="J9" s="543"/>
      <c r="L9" s="102"/>
      <c r="M9" s="102"/>
      <c r="N9" s="102"/>
      <c r="O9" s="102"/>
      <c r="P9" s="102"/>
      <c r="Q9" s="102"/>
      <c r="R9" s="102"/>
      <c r="S9" s="102"/>
      <c r="T9" s="102"/>
      <c r="U9" s="102"/>
    </row>
    <row r="10" spans="1:21" ht="12.75" customHeight="1">
      <c r="A10" s="343" t="s">
        <v>33</v>
      </c>
      <c r="B10" s="544" t="s">
        <v>34</v>
      </c>
      <c r="C10" s="544"/>
      <c r="D10" s="544"/>
      <c r="E10" s="544"/>
      <c r="F10" s="544" t="s">
        <v>3</v>
      </c>
      <c r="G10" s="544"/>
      <c r="H10" s="544"/>
      <c r="I10" s="347" t="s">
        <v>577</v>
      </c>
      <c r="J10" s="347" t="s">
        <v>578</v>
      </c>
      <c r="L10" s="102"/>
      <c r="M10" s="102"/>
      <c r="N10" s="102"/>
      <c r="O10" s="102"/>
      <c r="P10" s="102"/>
      <c r="Q10" s="102"/>
      <c r="R10" s="102"/>
      <c r="S10" s="102"/>
      <c r="T10" s="102"/>
      <c r="U10" s="102"/>
    </row>
    <row r="11" spans="1:21">
      <c r="A11" s="48" t="s">
        <v>571</v>
      </c>
      <c r="B11" s="48" t="s">
        <v>336</v>
      </c>
      <c r="C11" s="48" t="s">
        <v>337</v>
      </c>
      <c r="D11" s="48" t="s">
        <v>338</v>
      </c>
      <c r="E11" s="48" t="s">
        <v>339</v>
      </c>
      <c r="F11" s="48" t="s">
        <v>340</v>
      </c>
      <c r="G11" s="48" t="s">
        <v>341</v>
      </c>
      <c r="H11" s="48" t="s">
        <v>342</v>
      </c>
      <c r="I11" s="48" t="s">
        <v>343</v>
      </c>
      <c r="J11" s="48" t="s">
        <v>344</v>
      </c>
      <c r="L11" s="102"/>
      <c r="M11" s="102"/>
      <c r="N11" s="102"/>
      <c r="O11" s="102"/>
      <c r="P11" s="102"/>
      <c r="Q11" s="102"/>
      <c r="R11" s="102"/>
      <c r="S11" s="102"/>
      <c r="T11" s="102"/>
      <c r="U11" s="102"/>
    </row>
    <row r="12" spans="1:21" s="312" customFormat="1" ht="40.5" customHeight="1">
      <c r="A12" s="343"/>
      <c r="B12" s="343" t="s">
        <v>43</v>
      </c>
      <c r="C12" s="343" t="s">
        <v>44</v>
      </c>
      <c r="D12" s="344" t="s">
        <v>45</v>
      </c>
      <c r="E12" s="344" t="s">
        <v>576</v>
      </c>
      <c r="F12" s="343" t="s">
        <v>46</v>
      </c>
      <c r="G12" s="343" t="s">
        <v>47</v>
      </c>
      <c r="H12" s="343" t="s">
        <v>48</v>
      </c>
      <c r="I12" s="344" t="s">
        <v>579</v>
      </c>
      <c r="J12" s="344" t="s">
        <v>580</v>
      </c>
      <c r="K12" s="319"/>
      <c r="L12" s="102"/>
      <c r="M12" s="102"/>
      <c r="N12" s="102"/>
      <c r="O12" s="102"/>
      <c r="P12" s="102"/>
      <c r="Q12" s="102"/>
      <c r="R12" s="102"/>
      <c r="S12" s="102"/>
      <c r="T12" s="102"/>
      <c r="U12" s="102"/>
    </row>
    <row r="13" spans="1:21" ht="20.100000000000001" customHeight="1">
      <c r="A13" s="310">
        <f>INPUT!$E$1</f>
        <v>2019</v>
      </c>
      <c r="B13" s="175">
        <f>'T1'!F62</f>
        <v>389300</v>
      </c>
      <c r="C13" s="175">
        <f>Attachment6!R6</f>
        <v>56293.563539760005</v>
      </c>
      <c r="D13" s="175">
        <f>B13-C13</f>
        <v>333006.43646023999</v>
      </c>
      <c r="E13" s="175">
        <f>MAX(0,'T1'!D47-'T1'!H47)+(MAX(0,'T1'!D48-'T1'!H48)+MAX(0,'T1'!D51-'T1'!H51)+MAX(0,'T1'!D56-'T1'!H56))*0.489</f>
        <v>1511.01</v>
      </c>
      <c r="F13" s="175">
        <f>'T1'!J62</f>
        <v>262870</v>
      </c>
      <c r="G13" s="175">
        <f>Attachment6!J6</f>
        <v>1780</v>
      </c>
      <c r="H13" s="175">
        <f>F13-G13</f>
        <v>261090</v>
      </c>
      <c r="I13" s="175">
        <f>GM_output!Q32+RWS_CWSA!AB18</f>
        <v>26541</v>
      </c>
      <c r="J13" s="175">
        <f>+D13+E13-(H13-I13)</f>
        <v>99968.446460239997</v>
      </c>
      <c r="L13" s="102"/>
      <c r="M13" s="102"/>
      <c r="N13" s="102"/>
      <c r="O13" s="102"/>
      <c r="P13" s="102"/>
      <c r="Q13" s="102"/>
      <c r="R13" s="102"/>
      <c r="S13" s="102"/>
      <c r="T13" s="102"/>
      <c r="U13" s="102"/>
    </row>
    <row r="14" spans="1:21" ht="20.100000000000001" customHeight="1">
      <c r="A14" s="310">
        <f>INPUT!$F$1</f>
        <v>2020</v>
      </c>
      <c r="B14" s="175">
        <f>'T1'!F82</f>
        <v>303070</v>
      </c>
      <c r="C14" s="175">
        <f>Attachment6!R7</f>
        <v>17776.852135898665</v>
      </c>
      <c r="D14" s="175">
        <f>B14-C14</f>
        <v>285293.14786410134</v>
      </c>
      <c r="E14" s="175">
        <f>(MAX(0,'T1'!D67-'T1'!H67)+MAX(0,'T1'!D68-'T1'!H68)+MAX(0,'T1'!D71-'T1'!H71)+MAX(0,'T1'!D76-'T1'!H76))*0.489</f>
        <v>1628.37</v>
      </c>
      <c r="F14" s="175">
        <f>'T1'!J82</f>
        <v>252400</v>
      </c>
      <c r="G14" s="175">
        <f>Attachment6!J7</f>
        <v>2266.3791281943909</v>
      </c>
      <c r="H14" s="175">
        <f>F14-G14</f>
        <v>250133.62087180562</v>
      </c>
      <c r="I14" s="175">
        <f>GM_output!W32+RWS_CWSA!AB19</f>
        <v>18995</v>
      </c>
      <c r="J14" s="175">
        <f>+D14+E14-(H14-I14)</f>
        <v>55782.896992295719</v>
      </c>
      <c r="L14" s="102"/>
      <c r="M14" s="102"/>
      <c r="N14" s="102"/>
      <c r="O14" s="102"/>
      <c r="P14" s="102"/>
      <c r="Q14" s="102"/>
      <c r="R14" s="102"/>
      <c r="S14" s="102"/>
      <c r="T14" s="102"/>
      <c r="U14" s="102"/>
    </row>
    <row r="15" spans="1:21" ht="20.100000000000001" customHeight="1" thickBot="1">
      <c r="A15" s="311">
        <f>INPUT!$G$1</f>
        <v>2021</v>
      </c>
      <c r="B15" s="177">
        <f>'T1'!F102</f>
        <v>258180</v>
      </c>
      <c r="C15" s="177">
        <f>Attachment6!R8</f>
        <v>6503.1599523120012</v>
      </c>
      <c r="D15" s="175">
        <f>B15-C15</f>
        <v>251676.84004768799</v>
      </c>
      <c r="E15" s="177">
        <f>(MAX(0,'T1'!D87-'T1'!H87)+MAX(0,'T1'!D88-'T1'!H88)+MAX(0,'T1'!D91-'T1'!H91)+MAX(0,'T1'!D96-'T1'!H96))*0.489</f>
        <v>1520.79</v>
      </c>
      <c r="F15" s="177">
        <f>'T1'!J102</f>
        <v>252650</v>
      </c>
      <c r="G15" s="175">
        <f>Attachment6!J8</f>
        <v>3083.75</v>
      </c>
      <c r="H15" s="175">
        <f>F15-G15</f>
        <v>249566.25</v>
      </c>
      <c r="I15" s="177">
        <f>GM_output!AC32+RWS_CWSA!AB20</f>
        <v>21485</v>
      </c>
      <c r="J15" s="177">
        <f>+D15+E15-(H15-I15)</f>
        <v>25116.380047687999</v>
      </c>
      <c r="L15" s="102"/>
      <c r="M15" s="102"/>
      <c r="N15" s="102"/>
      <c r="O15" s="102"/>
      <c r="P15" s="102"/>
      <c r="Q15" s="102"/>
      <c r="R15" s="102"/>
      <c r="S15" s="102"/>
      <c r="T15" s="102"/>
      <c r="U15" s="102"/>
    </row>
    <row r="16" spans="1:21" ht="20.100000000000001" customHeight="1" thickTop="1">
      <c r="A16" s="355" t="s">
        <v>696</v>
      </c>
      <c r="B16" s="175">
        <f>ROUND(AVERAGE(B13:B15),-1)</f>
        <v>316850</v>
      </c>
      <c r="C16" s="175">
        <f t="shared" ref="C16:I16" si="1">ROUND(AVERAGE(C13:C15),-1)</f>
        <v>26860</v>
      </c>
      <c r="D16" s="175">
        <f t="shared" si="1"/>
        <v>289990</v>
      </c>
      <c r="E16" s="332">
        <f t="shared" si="1"/>
        <v>1550</v>
      </c>
      <c r="F16" s="175">
        <f t="shared" si="1"/>
        <v>255970</v>
      </c>
      <c r="G16" s="175">
        <f t="shared" si="1"/>
        <v>2380</v>
      </c>
      <c r="H16" s="175">
        <f t="shared" si="1"/>
        <v>253600</v>
      </c>
      <c r="I16" s="175">
        <f t="shared" si="1"/>
        <v>22340</v>
      </c>
      <c r="J16" s="175">
        <f>ROUND(AVERAGE(J13:J15),-1)</f>
        <v>60290</v>
      </c>
      <c r="L16" s="102"/>
      <c r="M16" s="102"/>
      <c r="N16" s="102"/>
      <c r="O16" s="102"/>
      <c r="P16" s="102"/>
      <c r="Q16" s="102"/>
      <c r="R16" s="102"/>
      <c r="S16" s="102"/>
      <c r="T16" s="102"/>
      <c r="U16" s="102"/>
    </row>
    <row r="17" spans="4:12">
      <c r="L17" s="102"/>
    </row>
    <row r="20" spans="4:12" ht="15">
      <c r="D20" s="333"/>
      <c r="E20" s="333"/>
    </row>
  </sheetData>
  <mergeCells count="6">
    <mergeCell ref="F10:H10"/>
    <mergeCell ref="A1:J1"/>
    <mergeCell ref="F2:H2"/>
    <mergeCell ref="A9:J9"/>
    <mergeCell ref="B2:E2"/>
    <mergeCell ref="B10:E10"/>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B20"/>
  <sheetViews>
    <sheetView view="pageBreakPreview" zoomScaleNormal="100" zoomScaleSheetLayoutView="100" workbookViewId="0">
      <selection activeCell="D51" sqref="D51"/>
    </sheetView>
  </sheetViews>
  <sheetFormatPr defaultRowHeight="12.75"/>
  <cols>
    <col min="1" max="1" width="28" customWidth="1"/>
    <col min="2" max="2" width="32.28515625" customWidth="1"/>
  </cols>
  <sheetData>
    <row r="1" spans="1:2">
      <c r="A1" t="s">
        <v>493</v>
      </c>
    </row>
    <row r="4" spans="1:2" ht="30.75" customHeight="1">
      <c r="A4" s="127" t="s">
        <v>480</v>
      </c>
      <c r="B4" s="128" t="s">
        <v>494</v>
      </c>
    </row>
    <row r="5" spans="1:2">
      <c r="A5" s="127" t="s">
        <v>469</v>
      </c>
      <c r="B5" s="129">
        <v>16400</v>
      </c>
    </row>
    <row r="6" spans="1:2">
      <c r="A6" s="127" t="s">
        <v>470</v>
      </c>
      <c r="B6" s="129">
        <v>33900</v>
      </c>
    </row>
    <row r="7" spans="1:2">
      <c r="A7" s="127" t="s">
        <v>471</v>
      </c>
      <c r="B7" s="129">
        <v>9800</v>
      </c>
    </row>
    <row r="8" spans="1:2">
      <c r="A8" s="127" t="s">
        <v>472</v>
      </c>
      <c r="B8" s="129">
        <v>9800</v>
      </c>
    </row>
    <row r="9" spans="1:2">
      <c r="A9" s="127" t="s">
        <v>473</v>
      </c>
      <c r="B9" s="129">
        <v>30400</v>
      </c>
    </row>
    <row r="10" spans="1:2">
      <c r="A10" s="127" t="s">
        <v>474</v>
      </c>
      <c r="B10" s="129">
        <v>51900</v>
      </c>
    </row>
    <row r="11" spans="1:2">
      <c r="A11" s="127" t="s">
        <v>475</v>
      </c>
      <c r="B11" s="129">
        <v>9400</v>
      </c>
    </row>
    <row r="12" spans="1:2">
      <c r="A12" s="127" t="s">
        <v>476</v>
      </c>
      <c r="B12" s="129">
        <v>15100</v>
      </c>
    </row>
    <row r="13" spans="1:2">
      <c r="A13" s="127" t="s">
        <v>477</v>
      </c>
      <c r="B13" s="129">
        <v>55100</v>
      </c>
    </row>
    <row r="14" spans="1:2">
      <c r="A14" s="127" t="s">
        <v>478</v>
      </c>
      <c r="B14" s="129">
        <v>13900</v>
      </c>
    </row>
    <row r="15" spans="1:2">
      <c r="A15" s="127" t="s">
        <v>479</v>
      </c>
      <c r="B15" s="129">
        <v>26900</v>
      </c>
    </row>
    <row r="16" spans="1:2">
      <c r="A16" s="127" t="s">
        <v>24</v>
      </c>
      <c r="B16" s="129">
        <v>15700</v>
      </c>
    </row>
    <row r="18" spans="1:1" ht="14.25">
      <c r="A18" s="130" t="s">
        <v>495</v>
      </c>
    </row>
    <row r="19" spans="1:1">
      <c r="A19" s="131" t="s">
        <v>496</v>
      </c>
    </row>
    <row r="20" spans="1:1">
      <c r="A20" s="131" t="s">
        <v>497</v>
      </c>
    </row>
  </sheetData>
  <phoneticPr fontId="43"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S42"/>
  <sheetViews>
    <sheetView zoomScaleNormal="100" workbookViewId="0">
      <selection activeCell="J28" sqref="J28"/>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310">
        <f>INPUT!$C$1</f>
        <v>2017</v>
      </c>
      <c r="B4" s="176">
        <f>MAINSTEM!B191</f>
        <v>155380</v>
      </c>
      <c r="C4" s="176">
        <f>INPUT!C197</f>
        <v>127121</v>
      </c>
      <c r="D4" s="176">
        <f>INPUT!C196</f>
        <v>94437</v>
      </c>
      <c r="E4" s="176">
        <f>INPUT!C262</f>
        <v>62438</v>
      </c>
      <c r="F4" s="250">
        <f>INPUT!C259</f>
        <v>7493</v>
      </c>
      <c r="G4" s="250">
        <f>J14+J15</f>
        <v>8574.1332239999992</v>
      </c>
      <c r="H4" s="250">
        <f>F4-J21</f>
        <v>4877.1679999999997</v>
      </c>
      <c r="I4" s="178">
        <f>G4+H4</f>
        <v>13451.301223999999</v>
      </c>
      <c r="J4" s="315">
        <f>J26+J27+J28-J29-J30+J31</f>
        <v>3585.33099167</v>
      </c>
      <c r="K4" s="250">
        <f>J36+J37+J38</f>
        <v>779.75</v>
      </c>
      <c r="L4" s="178">
        <f>J4+K4</f>
        <v>4365.08099167</v>
      </c>
      <c r="M4" s="178">
        <f>C4-D4-I4</f>
        <v>19232.698776000001</v>
      </c>
      <c r="N4" s="178">
        <f>L4+M4</f>
        <v>23597.779767669999</v>
      </c>
      <c r="O4" s="178">
        <f>B4-N4</f>
        <v>131782.22023233</v>
      </c>
      <c r="P4" s="178">
        <f>0.489*O4</f>
        <v>64441.505693609368</v>
      </c>
      <c r="Q4" s="178">
        <f>0.511*O4</f>
        <v>67340.714538720626</v>
      </c>
      <c r="R4" s="178">
        <f>0.489*N4</f>
        <v>11539.31430639063</v>
      </c>
      <c r="S4" s="178">
        <f>0.511*N4</f>
        <v>12058.465461279369</v>
      </c>
    </row>
    <row r="5" spans="1:19" s="30" customFormat="1">
      <c r="A5" s="310">
        <f>INPUT!$D$1</f>
        <v>2018</v>
      </c>
      <c r="B5" s="176">
        <f>MAINSTEM!C191</f>
        <v>147550</v>
      </c>
      <c r="C5" s="176">
        <f>INPUT!D197</f>
        <v>110861</v>
      </c>
      <c r="D5" s="176">
        <f>INPUT!D196</f>
        <v>63585</v>
      </c>
      <c r="E5" s="176">
        <f>INPUT!D262</f>
        <v>46704</v>
      </c>
      <c r="F5" s="250">
        <f>INPUT!D259</f>
        <v>8121</v>
      </c>
      <c r="G5" s="250">
        <f>K14+K15</f>
        <v>5314.7828719999998</v>
      </c>
      <c r="H5" s="250">
        <f>F5-K21</f>
        <v>5376.8783999999996</v>
      </c>
      <c r="I5" s="178">
        <f>G5+H5</f>
        <v>10691.661271999999</v>
      </c>
      <c r="J5" s="315">
        <f>K26+K27+K28-K29-K30+K31</f>
        <v>3313.9291000000003</v>
      </c>
      <c r="K5" s="250">
        <f>K36+K37+K38</f>
        <v>564.5</v>
      </c>
      <c r="L5" s="178">
        <f>J5+K5</f>
        <v>3878.4291000000003</v>
      </c>
      <c r="M5" s="178">
        <f>C5-D5-I5</f>
        <v>36584.338728000002</v>
      </c>
      <c r="N5" s="178">
        <f>L5+M5</f>
        <v>40462.767828000004</v>
      </c>
      <c r="O5" s="178">
        <f>B5-N5</f>
        <v>107087.23217199999</v>
      </c>
      <c r="P5" s="178">
        <f>0.489*O5</f>
        <v>52365.656532107991</v>
      </c>
      <c r="Q5" s="178">
        <f>0.511*O5</f>
        <v>54721.575639891998</v>
      </c>
      <c r="R5" s="178">
        <f>0.489*N5</f>
        <v>19786.293467892003</v>
      </c>
      <c r="S5" s="178">
        <f>0.511*N5</f>
        <v>20676.474360108001</v>
      </c>
    </row>
    <row r="6" spans="1:19" s="21" customFormat="1">
      <c r="A6" s="310">
        <f>INPUT!$E$1</f>
        <v>2019</v>
      </c>
      <c r="B6" s="178">
        <f>MAINSTEM!D191</f>
        <v>399550</v>
      </c>
      <c r="C6" s="178">
        <f>INPUT!E197</f>
        <v>626375</v>
      </c>
      <c r="D6" s="178">
        <f>INPUT!E196</f>
        <v>502644</v>
      </c>
      <c r="E6" s="178">
        <f>INPUT!E262</f>
        <v>55120</v>
      </c>
      <c r="F6" s="178">
        <f>INPUT!E259</f>
        <v>7741</v>
      </c>
      <c r="G6" s="178">
        <f>L14+L15</f>
        <v>4279.5809599999993</v>
      </c>
      <c r="H6" s="178">
        <f>F6-L21</f>
        <v>6308.4071999999996</v>
      </c>
      <c r="I6" s="178">
        <f>G6+H6</f>
        <v>10587.988159999999</v>
      </c>
      <c r="J6" s="321">
        <f>L26+L27+L28-L29-L30+L31</f>
        <v>1780</v>
      </c>
      <c r="K6" s="178">
        <f>L36+L37+L38</f>
        <v>196.75</v>
      </c>
      <c r="L6" s="178">
        <f>J6+K6</f>
        <v>1976.75</v>
      </c>
      <c r="M6" s="178">
        <f>C6-D6-I6</f>
        <v>113143.01184000001</v>
      </c>
      <c r="N6" s="178">
        <f>L6+M6</f>
        <v>115119.76184000001</v>
      </c>
      <c r="O6" s="178">
        <f>B6-N6</f>
        <v>284430.23816000001</v>
      </c>
      <c r="P6" s="178">
        <f>0.489*O6</f>
        <v>139086.38646024</v>
      </c>
      <c r="Q6" s="178">
        <f>0.511*O6</f>
        <v>145343.85169976001</v>
      </c>
      <c r="R6" s="178">
        <f>0.489*N6</f>
        <v>56293.563539760005</v>
      </c>
      <c r="S6" s="178">
        <f>0.511*N6</f>
        <v>58826.198300240001</v>
      </c>
    </row>
    <row r="7" spans="1:19" s="317" customFormat="1">
      <c r="A7" s="310">
        <f>INPUT!$F$1</f>
        <v>2020</v>
      </c>
      <c r="B7" s="178">
        <f>MAINSTEM!E191</f>
        <v>264600</v>
      </c>
      <c r="C7" s="178">
        <f>INPUT!F197</f>
        <v>251238.74380165289</v>
      </c>
      <c r="D7" s="178">
        <f>INPUT!F196</f>
        <v>202415.70247933877</v>
      </c>
      <c r="E7" s="178">
        <f>INPUT!F262</f>
        <v>44380</v>
      </c>
      <c r="F7" s="178">
        <f>INPUT!F259</f>
        <v>10070</v>
      </c>
      <c r="G7" s="178">
        <f>M14+M15</f>
        <v>7327.2684000000008</v>
      </c>
      <c r="H7" s="178">
        <f>F7-M21</f>
        <v>8024.4211999999998</v>
      </c>
      <c r="I7" s="178">
        <f>G7+H7</f>
        <v>15351.689600000002</v>
      </c>
      <c r="J7" s="321">
        <f>M26+M27+M28-M29-M30+M31</f>
        <v>2266.3791281943909</v>
      </c>
      <c r="K7" s="178">
        <f>M36+M37+M38</f>
        <v>615.75</v>
      </c>
      <c r="L7" s="178">
        <f>J7+K7</f>
        <v>2882.1291281943909</v>
      </c>
      <c r="M7" s="178">
        <f>C7-D7-I7</f>
        <v>33471.351722314124</v>
      </c>
      <c r="N7" s="178">
        <f>L7+M7</f>
        <v>36353.480850508517</v>
      </c>
      <c r="O7" s="178">
        <f>B7-N7</f>
        <v>228246.51914949148</v>
      </c>
      <c r="P7" s="178">
        <f>0.489*O7</f>
        <v>111612.54786410133</v>
      </c>
      <c r="Q7" s="178">
        <f>0.511*O7</f>
        <v>116633.97128539014</v>
      </c>
      <c r="R7" s="178">
        <f>0.489*N7</f>
        <v>17776.852135898665</v>
      </c>
      <c r="S7" s="178">
        <f>0.511*N7</f>
        <v>18576.628714609851</v>
      </c>
    </row>
    <row r="8" spans="1:19" s="317" customFormat="1" ht="13.5" thickBot="1">
      <c r="A8" s="311">
        <f>INPUT!$G$1</f>
        <v>2021</v>
      </c>
      <c r="B8" s="178">
        <f>MAINSTEM!F191</f>
        <v>204980</v>
      </c>
      <c r="C8" s="178">
        <f>INPUT!G197</f>
        <v>142152</v>
      </c>
      <c r="D8" s="178">
        <f>INPUT!G196</f>
        <v>115649</v>
      </c>
      <c r="E8" s="178">
        <f>INPUT!F262</f>
        <v>44380</v>
      </c>
      <c r="F8" s="178">
        <f>INPUT!G259</f>
        <v>9551</v>
      </c>
      <c r="G8" s="178">
        <f>N14+N15</f>
        <v>10536.337191999999</v>
      </c>
      <c r="H8" s="178">
        <f>F8-N21</f>
        <v>6474.5372000000007</v>
      </c>
      <c r="I8" s="178">
        <f>G8+H8</f>
        <v>17010.874391999998</v>
      </c>
      <c r="J8" s="321">
        <f>N26+N27+N28-N29-N30+N31</f>
        <v>3083.75</v>
      </c>
      <c r="K8" s="178">
        <f>N36+N37+N38</f>
        <v>723.02</v>
      </c>
      <c r="L8" s="178">
        <f>J8+K8</f>
        <v>3806.77</v>
      </c>
      <c r="M8" s="178">
        <f>C8-D8-I8</f>
        <v>9492.1256080000021</v>
      </c>
      <c r="N8" s="178">
        <f>L8+M8</f>
        <v>13298.895608000003</v>
      </c>
      <c r="O8" s="178">
        <f>B8-N8</f>
        <v>191681.10439200001</v>
      </c>
      <c r="P8" s="178">
        <f>0.489*O8</f>
        <v>93732.060047688006</v>
      </c>
      <c r="Q8" s="178">
        <f>0.511*O8</f>
        <v>97949.044344312002</v>
      </c>
      <c r="R8" s="178">
        <f>0.489*N8</f>
        <v>6503.1599523120012</v>
      </c>
      <c r="S8" s="178">
        <f>0.511*N8</f>
        <v>6795.7356556880013</v>
      </c>
    </row>
    <row r="9" spans="1:19" ht="13.5" thickTop="1">
      <c r="B9" s="14"/>
      <c r="C9" s="14"/>
      <c r="D9" s="14"/>
      <c r="E9" s="14"/>
      <c r="F9" s="319"/>
      <c r="G9" s="319"/>
      <c r="H9" s="319"/>
      <c r="I9" s="319"/>
      <c r="J9" s="319"/>
      <c r="K9" s="319"/>
      <c r="L9" s="319"/>
      <c r="M9" s="322"/>
      <c r="N9" s="319"/>
      <c r="O9" s="322"/>
      <c r="P9" s="322"/>
      <c r="Q9" s="285"/>
      <c r="R9" s="285"/>
      <c r="S9" s="285"/>
    </row>
    <row r="10" spans="1:19">
      <c r="J10" s="319"/>
      <c r="K10" s="319"/>
      <c r="M10" s="98"/>
      <c r="O10" s="98"/>
      <c r="P10" s="98"/>
      <c r="Q10" s="99"/>
      <c r="R10" s="99"/>
      <c r="S10" s="99"/>
    </row>
    <row r="11" spans="1:19">
      <c r="J11" s="319"/>
      <c r="K11" s="319"/>
      <c r="M11" s="98"/>
      <c r="O11" s="98"/>
      <c r="P11" s="98"/>
      <c r="Q11" s="99"/>
      <c r="R11" s="99"/>
      <c r="S11" s="99"/>
    </row>
    <row r="12" spans="1:19">
      <c r="B12" s="92" t="s">
        <v>64</v>
      </c>
      <c r="C12" s="93"/>
      <c r="D12" s="93"/>
      <c r="E12" s="93"/>
      <c r="F12" s="93"/>
      <c r="G12" s="93"/>
      <c r="H12" s="93"/>
      <c r="I12" s="93"/>
      <c r="J12" s="335"/>
      <c r="K12" s="335"/>
      <c r="L12" s="93"/>
      <c r="M12" s="93"/>
      <c r="N12" s="93"/>
      <c r="O12" s="98"/>
      <c r="P12" s="98"/>
      <c r="Q12" s="99"/>
      <c r="R12" s="99"/>
      <c r="S12" s="99"/>
    </row>
    <row r="13" spans="1:19">
      <c r="B13" s="87"/>
      <c r="C13" s="1"/>
      <c r="D13" s="1"/>
      <c r="E13" s="1"/>
      <c r="F13" s="1"/>
      <c r="G13" s="1"/>
      <c r="H13" s="1"/>
      <c r="I13" s="1"/>
      <c r="J13" s="109">
        <f>$A$4</f>
        <v>2017</v>
      </c>
      <c r="K13" s="109">
        <f>$A$5</f>
        <v>2018</v>
      </c>
      <c r="L13" s="109">
        <f>$A$6</f>
        <v>2019</v>
      </c>
      <c r="M13" s="109">
        <f>$A$7</f>
        <v>2020</v>
      </c>
      <c r="N13" s="109">
        <f>$A$8</f>
        <v>2021</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80">
        <f>MAINSTEM!B91</f>
        <v>788.98500000000001</v>
      </c>
      <c r="K14" s="180">
        <f>MAINSTEM!C91</f>
        <v>608.38499999999999</v>
      </c>
      <c r="L14" s="180">
        <f>MAINSTEM!D91</f>
        <v>760.81499999999994</v>
      </c>
      <c r="M14" s="180">
        <f>MAINSTEM!E91</f>
        <v>536.34</v>
      </c>
      <c r="N14" s="180">
        <f>MAINSTEM!F91</f>
        <v>911.64</v>
      </c>
      <c r="O14" s="98"/>
      <c r="P14" s="98"/>
      <c r="Q14" s="99"/>
      <c r="R14" s="99"/>
      <c r="S14" s="99"/>
    </row>
    <row r="15" spans="1:19">
      <c r="B15" s="89" t="s">
        <v>426</v>
      </c>
      <c r="C15" s="90"/>
      <c r="D15" s="90"/>
      <c r="E15" s="90"/>
      <c r="F15" s="90"/>
      <c r="G15" s="90"/>
      <c r="H15" s="90"/>
      <c r="I15" s="91"/>
      <c r="J15" s="181">
        <f>(J17-J18-J20)*0.82</f>
        <v>7785.1482239999987</v>
      </c>
      <c r="K15" s="181">
        <f>(K17-K18-K20)*0.82</f>
        <v>4706.3978719999996</v>
      </c>
      <c r="L15" s="181">
        <f>(L17-L18-L20)*0.82</f>
        <v>3518.7659599999997</v>
      </c>
      <c r="M15" s="181">
        <f>(M17-M18-M20)*0.82</f>
        <v>6790.9284000000007</v>
      </c>
      <c r="N15" s="181">
        <f>(N17-N18-N20)*0.82</f>
        <v>9624.6971919999996</v>
      </c>
      <c r="O15" s="98"/>
      <c r="P15" s="98"/>
      <c r="Q15" s="99"/>
      <c r="R15" s="99"/>
      <c r="S15" s="99"/>
    </row>
    <row r="16" spans="1:19">
      <c r="B16" s="87"/>
      <c r="C16" s="1"/>
      <c r="D16" s="1"/>
      <c r="E16" s="1"/>
      <c r="F16" s="1"/>
      <c r="G16" s="1"/>
      <c r="H16" s="1"/>
      <c r="I16" s="88"/>
      <c r="J16" s="182"/>
      <c r="K16" s="182"/>
      <c r="L16" s="182"/>
      <c r="M16" s="182"/>
      <c r="N16" s="182"/>
      <c r="O16" s="98"/>
      <c r="P16" s="98"/>
      <c r="Q16" s="99"/>
      <c r="R16" s="99"/>
      <c r="S16" s="99"/>
    </row>
    <row r="17" spans="2:19">
      <c r="B17" s="85" t="str">
        <f>MAINSTEM!A59</f>
        <v>Courtland Canal Diversions At Headgate</v>
      </c>
      <c r="C17" s="86"/>
      <c r="D17" s="86"/>
      <c r="E17" s="86"/>
      <c r="F17" s="86"/>
      <c r="G17" s="86"/>
      <c r="H17" s="86"/>
      <c r="I17" s="95"/>
      <c r="J17" s="183">
        <f>MAINSTEM!B59</f>
        <v>62438</v>
      </c>
      <c r="K17" s="183">
        <f>MAINSTEM!C59</f>
        <v>46704</v>
      </c>
      <c r="L17" s="183">
        <f>MAINSTEM!D59</f>
        <v>55120</v>
      </c>
      <c r="M17" s="183">
        <f>MAINSTEM!E59</f>
        <v>44380</v>
      </c>
      <c r="N17" s="183">
        <f>MAINSTEM!F59</f>
        <v>73224</v>
      </c>
      <c r="O17" s="98"/>
      <c r="P17" s="98"/>
      <c r="Q17" s="99"/>
      <c r="R17" s="99"/>
      <c r="S17" s="99"/>
    </row>
    <row r="18" spans="2:19">
      <c r="B18" s="92" t="str">
        <f>MAINSTEM!A63</f>
        <v>Courtland Canal At Kansas-Nebraska State Line</v>
      </c>
      <c r="C18" s="93"/>
      <c r="D18" s="93"/>
      <c r="E18" s="93"/>
      <c r="F18" s="93"/>
      <c r="G18" s="93"/>
      <c r="H18" s="93"/>
      <c r="I18" s="94"/>
      <c r="J18" s="180">
        <f>MAINSTEM!B63</f>
        <v>52599</v>
      </c>
      <c r="K18" s="180">
        <f>MAINSTEM!C63</f>
        <v>40559</v>
      </c>
      <c r="L18" s="180">
        <f>MAINSTEM!D63</f>
        <v>50721</v>
      </c>
      <c r="M18" s="180">
        <f>MAINSTEM!E63</f>
        <v>35756</v>
      </c>
      <c r="N18" s="180">
        <f>MAINSTEM!F63</f>
        <v>60776</v>
      </c>
      <c r="O18" s="98"/>
      <c r="P18" s="98"/>
      <c r="Q18" s="99"/>
      <c r="R18" s="99"/>
      <c r="S18" s="99"/>
    </row>
    <row r="19" spans="2:19">
      <c r="B19" s="87"/>
      <c r="C19" s="1"/>
      <c r="D19" s="1"/>
      <c r="E19" s="1"/>
      <c r="F19" s="1"/>
      <c r="G19" s="1"/>
      <c r="H19" s="1"/>
      <c r="I19" s="88"/>
      <c r="J19" s="182"/>
      <c r="K19" s="182"/>
      <c r="L19" s="182"/>
      <c r="M19" s="182"/>
      <c r="N19" s="182"/>
      <c r="O19" s="98"/>
      <c r="P19" s="98"/>
      <c r="Q19" s="99"/>
      <c r="R19" s="99"/>
      <c r="S19" s="99"/>
    </row>
    <row r="20" spans="2:19">
      <c r="B20" s="92" t="str">
        <f>MAINSTEM!A121</f>
        <v>NE Courtland Canal CBCU (includes transportation loss)</v>
      </c>
      <c r="C20" s="93"/>
      <c r="D20" s="93"/>
      <c r="E20" s="93"/>
      <c r="F20" s="93"/>
      <c r="G20" s="93"/>
      <c r="H20" s="93"/>
      <c r="I20" s="94"/>
      <c r="J20" s="180">
        <f>MAINSTEM!B121</f>
        <v>344.91680000000002</v>
      </c>
      <c r="K20" s="180">
        <f>MAINSTEM!C121</f>
        <v>405.49040000000002</v>
      </c>
      <c r="L20" s="180">
        <f>MAINSTEM!D121</f>
        <v>107.822</v>
      </c>
      <c r="M20" s="180">
        <f>MAINSTEM!E121</f>
        <v>342.38000000000005</v>
      </c>
      <c r="N20" s="180">
        <f>MAINSTEM!F121</f>
        <v>710.56439999999986</v>
      </c>
      <c r="O20" s="98"/>
      <c r="P20" s="98"/>
      <c r="Q20" s="99"/>
      <c r="R20" s="99"/>
      <c r="S20" s="99"/>
    </row>
    <row r="21" spans="2:19">
      <c r="B21" s="89" t="str">
        <f>MAINSTEM!A122</f>
        <v>Superior Canal CBCU</v>
      </c>
      <c r="C21" s="90"/>
      <c r="D21" s="90"/>
      <c r="E21" s="90"/>
      <c r="F21" s="90"/>
      <c r="G21" s="90"/>
      <c r="H21" s="90"/>
      <c r="I21" s="91"/>
      <c r="J21" s="181">
        <f>MAINSTEM!B122</f>
        <v>2615.8319999999999</v>
      </c>
      <c r="K21" s="181">
        <f>MAINSTEM!C122</f>
        <v>2744.1216000000004</v>
      </c>
      <c r="L21" s="181">
        <f>MAINSTEM!D122</f>
        <v>1432.5928000000004</v>
      </c>
      <c r="M21" s="181">
        <f>MAINSTEM!E122</f>
        <v>2045.5788000000002</v>
      </c>
      <c r="N21" s="181">
        <f>MAINSTEM!F122</f>
        <v>3076.4627999999998</v>
      </c>
      <c r="O21" s="98"/>
      <c r="P21" s="98"/>
      <c r="Q21" s="99"/>
      <c r="R21" s="99"/>
      <c r="S21" s="99"/>
    </row>
    <row r="22" spans="2:19">
      <c r="B22" s="1"/>
      <c r="C22" s="1"/>
      <c r="D22" s="1"/>
      <c r="E22" s="1"/>
      <c r="F22" s="1"/>
      <c r="G22" s="1"/>
      <c r="H22" s="1"/>
      <c r="I22" s="88"/>
      <c r="J22" s="336"/>
      <c r="K22" s="336"/>
      <c r="L22" s="88"/>
      <c r="M22" s="88"/>
      <c r="N22" s="88"/>
      <c r="O22" s="98"/>
      <c r="P22" s="98"/>
      <c r="Q22" s="99"/>
      <c r="R22" s="99"/>
      <c r="S22" s="99"/>
    </row>
    <row r="23" spans="2:19">
      <c r="I23" s="39"/>
      <c r="J23" s="337"/>
      <c r="K23" s="337"/>
      <c r="L23" s="39"/>
      <c r="M23" s="39"/>
      <c r="N23" s="39"/>
      <c r="O23" s="98"/>
      <c r="P23" s="98"/>
      <c r="Q23" s="99"/>
      <c r="R23" s="99"/>
      <c r="S23" s="99"/>
    </row>
    <row r="24" spans="2:19">
      <c r="B24" s="92" t="s">
        <v>292</v>
      </c>
      <c r="C24" s="93"/>
      <c r="D24" s="93"/>
      <c r="E24" s="93"/>
      <c r="F24" s="93"/>
      <c r="G24" s="93"/>
      <c r="H24" s="93"/>
      <c r="I24" s="94"/>
      <c r="J24" s="338"/>
      <c r="K24" s="338"/>
      <c r="L24" s="94"/>
      <c r="M24" s="94"/>
      <c r="N24" s="94"/>
      <c r="O24" s="98"/>
      <c r="P24" s="98"/>
      <c r="Q24" s="99"/>
      <c r="R24" s="99"/>
      <c r="S24" s="99"/>
    </row>
    <row r="25" spans="2:19">
      <c r="B25" s="89"/>
      <c r="C25" s="1"/>
      <c r="D25" s="1"/>
      <c r="E25" s="1"/>
      <c r="F25" s="1"/>
      <c r="G25" s="1"/>
      <c r="H25" s="1"/>
      <c r="I25" s="88"/>
      <c r="J25" s="109">
        <f>$A$4</f>
        <v>2017</v>
      </c>
      <c r="K25" s="109">
        <f>$A$5</f>
        <v>2018</v>
      </c>
      <c r="L25" s="109">
        <f>$A$6</f>
        <v>2019</v>
      </c>
      <c r="M25" s="109">
        <f>$A$7</f>
        <v>2020</v>
      </c>
      <c r="N25" s="109">
        <f>$A$8</f>
        <v>2021</v>
      </c>
      <c r="O25" s="98"/>
      <c r="P25" s="98"/>
      <c r="Q25" s="99"/>
      <c r="R25" s="99"/>
      <c r="S25" s="99"/>
    </row>
    <row r="26" spans="2:19">
      <c r="B26" s="92" t="str">
        <f>INPUT!B145</f>
        <v>SW Diversions - Irrigation - Small Pumps - Nebraska Below Guide Rock</v>
      </c>
      <c r="C26" s="93"/>
      <c r="D26" s="93"/>
      <c r="E26" s="93"/>
      <c r="F26" s="93"/>
      <c r="G26" s="93"/>
      <c r="H26" s="93"/>
      <c r="I26" s="94"/>
      <c r="J26" s="180">
        <f>INPUT!C145</f>
        <v>1261.3290999999999</v>
      </c>
      <c r="K26" s="180">
        <f>INPUT!D145</f>
        <v>1177</v>
      </c>
      <c r="L26" s="180">
        <f>INPUT!E145</f>
        <v>84</v>
      </c>
      <c r="M26" s="180">
        <f>INPUT!F145</f>
        <v>551.79057092585458</v>
      </c>
      <c r="N26" s="180">
        <f>INPUT!G145</f>
        <v>665</v>
      </c>
      <c r="O26" s="98"/>
      <c r="P26" s="98"/>
      <c r="Q26" s="99"/>
      <c r="R26" s="99"/>
      <c r="S26" s="99"/>
    </row>
    <row r="27" spans="2:19">
      <c r="B27" s="92" t="str">
        <f>INPUT!B146</f>
        <v>SW Diversions - M&amp;I - Nebraska - Below Guide Rock</v>
      </c>
      <c r="C27" s="93"/>
      <c r="D27" s="93"/>
      <c r="E27" s="93"/>
      <c r="F27" s="93"/>
      <c r="G27" s="93"/>
      <c r="H27" s="93"/>
      <c r="I27" s="94"/>
      <c r="J27" s="180">
        <f>INPUT!C146</f>
        <v>0</v>
      </c>
      <c r="K27" s="180">
        <f>INPUT!D146</f>
        <v>0</v>
      </c>
      <c r="L27" s="180">
        <f>INPUT!E146</f>
        <v>0</v>
      </c>
      <c r="M27" s="180">
        <f>INPUT!F146</f>
        <v>0</v>
      </c>
      <c r="N27" s="180">
        <f>INPUT!G146</f>
        <v>0</v>
      </c>
      <c r="O27" s="98"/>
      <c r="P27" s="98"/>
      <c r="Q27" s="99"/>
      <c r="R27" s="99"/>
      <c r="S27" s="99"/>
    </row>
    <row r="28" spans="2:19">
      <c r="B28" s="107" t="s">
        <v>464</v>
      </c>
      <c r="C28" s="93"/>
      <c r="D28" s="93"/>
      <c r="E28" s="93"/>
      <c r="F28" s="93"/>
      <c r="G28" s="93"/>
      <c r="H28" s="93"/>
      <c r="I28" s="94"/>
      <c r="J28" s="184">
        <f>INPUT!C181</f>
        <v>93.334166670000002</v>
      </c>
      <c r="K28" s="184">
        <f>INPUT!D181</f>
        <v>-8.8209000000000106</v>
      </c>
      <c r="L28" s="184">
        <f>INPUT!E181</f>
        <v>-6</v>
      </c>
      <c r="M28" s="184">
        <f>INPUT!F181</f>
        <v>83.536200000000008</v>
      </c>
      <c r="N28" s="184">
        <f>INPUT!G181</f>
        <v>51</v>
      </c>
      <c r="O28" s="98"/>
      <c r="P28" s="98"/>
      <c r="Q28" s="99"/>
      <c r="R28" s="99"/>
      <c r="S28" s="99"/>
    </row>
    <row r="29" spans="2:19">
      <c r="B29" s="92" t="s">
        <v>427</v>
      </c>
      <c r="C29" s="93"/>
      <c r="D29" s="93"/>
      <c r="E29" s="93"/>
      <c r="F29" s="93"/>
      <c r="G29" s="93"/>
      <c r="H29" s="93"/>
      <c r="I29" s="94"/>
      <c r="J29" s="180">
        <f>J26*(1-PumperCUPercent3)</f>
        <v>315.33227499999998</v>
      </c>
      <c r="K29" s="180">
        <f>K26*(1-PumperCUPercent4)</f>
        <v>294.25</v>
      </c>
      <c r="L29" s="180">
        <f>L26*(1-PumperCUPercent5)</f>
        <v>21</v>
      </c>
      <c r="M29" s="180">
        <f>M26*(1-PumperCUPercent3)</f>
        <v>137.94764273146365</v>
      </c>
      <c r="N29" s="180">
        <f>N26*(1-PumperCUPercent4)</f>
        <v>166.25</v>
      </c>
      <c r="O29" s="98"/>
      <c r="P29" s="98"/>
      <c r="Q29" s="99"/>
      <c r="R29" s="99"/>
      <c r="S29" s="99"/>
    </row>
    <row r="30" spans="2:19">
      <c r="B30" s="92" t="s">
        <v>428</v>
      </c>
      <c r="C30" s="93"/>
      <c r="D30" s="93"/>
      <c r="E30" s="93"/>
      <c r="F30" s="93"/>
      <c r="G30" s="93"/>
      <c r="H30" s="93"/>
      <c r="I30" s="94"/>
      <c r="J30" s="180">
        <f>J27*(1-MI_CUPercent3)</f>
        <v>0</v>
      </c>
      <c r="K30" s="180">
        <f>K27*(1-MI_CUPercent4)</f>
        <v>0</v>
      </c>
      <c r="L30" s="180">
        <f>L27*(1-MI_CUPercent5)</f>
        <v>0</v>
      </c>
      <c r="M30" s="180">
        <f>M27*(1-MI_CUPercent3)</f>
        <v>0</v>
      </c>
      <c r="N30" s="180">
        <f>N27*(1-MI_CUPercent4)</f>
        <v>0</v>
      </c>
      <c r="O30" s="98"/>
      <c r="P30" s="98"/>
      <c r="Q30" s="99"/>
      <c r="R30" s="99"/>
      <c r="S30" s="99"/>
    </row>
    <row r="31" spans="2:19">
      <c r="B31" s="89" t="str">
        <f>MAINSTEM!A10</f>
        <v>GW CBCU Nebraska Below Guide Rock</v>
      </c>
      <c r="C31" s="90"/>
      <c r="D31" s="90"/>
      <c r="E31" s="90"/>
      <c r="F31" s="90"/>
      <c r="G31" s="90"/>
      <c r="H31" s="90"/>
      <c r="I31" s="91"/>
      <c r="J31" s="181">
        <f>MAINSTEM!B10</f>
        <v>2546</v>
      </c>
      <c r="K31" s="181">
        <f>MAINSTEM!C10</f>
        <v>2440</v>
      </c>
      <c r="L31" s="181">
        <f>MAINSTEM!D10</f>
        <v>1723</v>
      </c>
      <c r="M31" s="181">
        <f>MAINSTEM!E10</f>
        <v>1769</v>
      </c>
      <c r="N31" s="181">
        <f>MAINSTEM!F10</f>
        <v>2534</v>
      </c>
      <c r="O31" s="98"/>
      <c r="P31" s="98"/>
      <c r="Q31" s="99"/>
      <c r="R31" s="99"/>
      <c r="S31" s="99"/>
    </row>
    <row r="32" spans="2:19">
      <c r="I32" s="39"/>
      <c r="J32" s="337"/>
      <c r="K32" s="337"/>
      <c r="L32" s="39"/>
      <c r="M32" s="39"/>
      <c r="N32" s="39"/>
      <c r="O32" s="98"/>
      <c r="P32" s="98"/>
      <c r="Q32" s="99"/>
      <c r="R32" s="99"/>
      <c r="S32" s="99"/>
    </row>
    <row r="33" spans="2:19">
      <c r="I33" s="39"/>
      <c r="J33" s="337"/>
      <c r="K33" s="337"/>
      <c r="L33" s="39"/>
      <c r="M33" s="39"/>
      <c r="N33" s="39"/>
      <c r="O33" s="98"/>
      <c r="P33" s="98"/>
      <c r="Q33" s="99"/>
      <c r="R33" s="99"/>
      <c r="S33" s="99"/>
    </row>
    <row r="34" spans="2:19">
      <c r="B34" s="92" t="s">
        <v>429</v>
      </c>
      <c r="C34" s="93"/>
      <c r="D34" s="93"/>
      <c r="E34" s="93"/>
      <c r="F34" s="93"/>
      <c r="G34" s="93"/>
      <c r="H34" s="93"/>
      <c r="I34" s="93"/>
      <c r="J34" s="335"/>
      <c r="K34" s="335"/>
      <c r="L34" s="93"/>
      <c r="M34" s="93"/>
      <c r="N34" s="93"/>
      <c r="O34" s="98"/>
      <c r="P34" s="98"/>
      <c r="Q34" s="99"/>
      <c r="R34" s="99"/>
      <c r="S34" s="99"/>
    </row>
    <row r="35" spans="2:19">
      <c r="B35" s="89"/>
      <c r="C35" s="1"/>
      <c r="D35" s="1"/>
      <c r="E35" s="1"/>
      <c r="F35" s="1"/>
      <c r="G35" s="1"/>
      <c r="H35" s="1"/>
      <c r="I35" s="1"/>
      <c r="J35" s="109">
        <f>$A$4</f>
        <v>2017</v>
      </c>
      <c r="K35" s="109">
        <f>$A$5</f>
        <v>2018</v>
      </c>
      <c r="L35" s="109">
        <f>$A$6</f>
        <v>2019</v>
      </c>
      <c r="M35" s="109">
        <f>$A$7</f>
        <v>2020</v>
      </c>
      <c r="N35" s="109">
        <f>$A$8</f>
        <v>2021</v>
      </c>
      <c r="O35" s="98"/>
      <c r="P35" s="98"/>
      <c r="Q35" s="99"/>
      <c r="R35" s="99"/>
      <c r="S35" s="99"/>
    </row>
    <row r="36" spans="2:19">
      <c r="B36" s="92" t="str">
        <f>MAINSTEM!A113</f>
        <v>SW CBCU - Irrigation - Small Pumps</v>
      </c>
      <c r="C36" s="93"/>
      <c r="D36" s="93"/>
      <c r="E36" s="93"/>
      <c r="F36" s="93"/>
      <c r="G36" s="93"/>
      <c r="H36" s="93"/>
      <c r="I36" s="93"/>
      <c r="J36" s="185">
        <f>MAINSTEM!B113</f>
        <v>726.75</v>
      </c>
      <c r="K36" s="185">
        <f>MAINSTEM!C113</f>
        <v>517.5</v>
      </c>
      <c r="L36" s="185">
        <f>MAINSTEM!D113</f>
        <v>147.75</v>
      </c>
      <c r="M36" s="185">
        <f>MAINSTEM!E113</f>
        <v>564.75</v>
      </c>
      <c r="N36" s="185">
        <f>MAINSTEM!F113</f>
        <v>667.02</v>
      </c>
      <c r="O36" s="98"/>
      <c r="P36" s="98"/>
      <c r="Q36" s="99"/>
      <c r="R36" s="99"/>
      <c r="S36" s="99"/>
    </row>
    <row r="37" spans="2:19">
      <c r="B37" s="92" t="str">
        <f>MAINSTEM!A114</f>
        <v>SW CBCU - M&amp;I</v>
      </c>
      <c r="C37" s="93"/>
      <c r="D37" s="93"/>
      <c r="E37" s="93"/>
      <c r="F37" s="93"/>
      <c r="G37" s="93"/>
      <c r="H37" s="93"/>
      <c r="I37" s="93"/>
      <c r="J37" s="185">
        <f>MAINSTEM!B114</f>
        <v>0</v>
      </c>
      <c r="K37" s="185">
        <f>MAINSTEM!C114</f>
        <v>0</v>
      </c>
      <c r="L37" s="185">
        <f>MAINSTEM!D114</f>
        <v>0</v>
      </c>
      <c r="M37" s="185">
        <f>MAINSTEM!E114</f>
        <v>0</v>
      </c>
      <c r="N37" s="185">
        <f>MAINSTEM!F114</f>
        <v>0</v>
      </c>
      <c r="O37" s="98"/>
      <c r="P37" s="98"/>
      <c r="Q37" s="99"/>
      <c r="R37" s="99"/>
      <c r="S37" s="99"/>
    </row>
    <row r="38" spans="2:19">
      <c r="B38" s="341" t="str">
        <f>MAINSTEM!A8</f>
        <v>GW CBCU Kansas Below Guide Rock</v>
      </c>
      <c r="C38" s="90"/>
      <c r="D38" s="90"/>
      <c r="E38" s="90"/>
      <c r="F38" s="90"/>
      <c r="G38" s="90"/>
      <c r="H38" s="90"/>
      <c r="I38" s="90"/>
      <c r="J38" s="202">
        <f>MAINSTEM!B8</f>
        <v>53</v>
      </c>
      <c r="K38" s="202">
        <f>MAINSTEM!C8</f>
        <v>47</v>
      </c>
      <c r="L38" s="202">
        <f>MAINSTEM!D8</f>
        <v>49</v>
      </c>
      <c r="M38" s="202">
        <f>MAINSTEM!E8</f>
        <v>51</v>
      </c>
      <c r="N38" s="202">
        <f>MAINSTEM!F8</f>
        <v>56</v>
      </c>
    </row>
    <row r="39" spans="2:19">
      <c r="J39" s="319"/>
      <c r="K39" s="319"/>
    </row>
    <row r="40" spans="2:19">
      <c r="J40" s="319"/>
      <c r="K40" s="319"/>
    </row>
    <row r="41" spans="2:19">
      <c r="J41" s="319"/>
      <c r="K41" s="319"/>
    </row>
    <row r="42" spans="2:19">
      <c r="J42" s="319"/>
      <c r="K42" s="319"/>
    </row>
  </sheetData>
  <phoneticPr fontId="0" type="noConversion"/>
  <pageMargins left="0.48" right="0.43" top="1" bottom="1" header="0.5" footer="0.5"/>
  <pageSetup scale="74"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L277"/>
  <sheetViews>
    <sheetView topLeftCell="A166" zoomScaleNormal="100" workbookViewId="0">
      <selection activeCell="G194" sqref="G194"/>
    </sheetView>
  </sheetViews>
  <sheetFormatPr defaultColWidth="8.85546875" defaultRowHeight="12.75"/>
  <cols>
    <col min="1" max="1" width="21.140625" style="319" customWidth="1"/>
    <col min="2" max="2" width="10" style="319" customWidth="1"/>
    <col min="3" max="3" width="12" style="319" customWidth="1"/>
    <col min="4" max="4" width="10.85546875" style="319" customWidth="1"/>
    <col min="5" max="5" width="11.140625" style="319" customWidth="1"/>
    <col min="6" max="6" width="15.85546875" style="319" customWidth="1"/>
    <col min="7" max="7" width="11.7109375" style="319" customWidth="1"/>
    <col min="8" max="8" width="10.7109375" style="319" customWidth="1"/>
    <col min="9" max="10" width="13.85546875" style="319" customWidth="1"/>
    <col min="11" max="11" width="12.85546875" style="319" customWidth="1"/>
    <col min="12" max="12" width="13.140625" style="319" customWidth="1"/>
    <col min="13" max="13" width="26.28515625" style="319" bestFit="1" customWidth="1"/>
    <col min="14" max="14" width="15.42578125" style="319" customWidth="1"/>
    <col min="15" max="16384" width="8.85546875" style="319"/>
  </cols>
  <sheetData>
    <row r="1" spans="1:12">
      <c r="A1" s="194" t="s">
        <v>335</v>
      </c>
    </row>
    <row r="2" spans="1:12">
      <c r="A2" s="192">
        <v>2017</v>
      </c>
    </row>
    <row r="3" spans="1:12">
      <c r="A3" s="334" t="s">
        <v>336</v>
      </c>
      <c r="B3" s="195" t="s">
        <v>337</v>
      </c>
      <c r="C3" s="195" t="s">
        <v>338</v>
      </c>
      <c r="D3" s="195" t="s">
        <v>339</v>
      </c>
      <c r="E3" s="195" t="s">
        <v>340</v>
      </c>
      <c r="F3" s="195" t="s">
        <v>341</v>
      </c>
      <c r="G3" s="195" t="s">
        <v>342</v>
      </c>
      <c r="H3" s="195" t="s">
        <v>343</v>
      </c>
      <c r="I3" s="195" t="s">
        <v>344</v>
      </c>
      <c r="J3" s="195" t="s">
        <v>345</v>
      </c>
      <c r="K3" s="196" t="s">
        <v>346</v>
      </c>
      <c r="L3" s="270" t="s">
        <v>554</v>
      </c>
    </row>
    <row r="4" spans="1:12">
      <c r="A4" s="197" t="s">
        <v>305</v>
      </c>
      <c r="B4" s="289" t="s">
        <v>347</v>
      </c>
      <c r="C4" s="289" t="s">
        <v>348</v>
      </c>
      <c r="D4" s="271" t="s">
        <v>555</v>
      </c>
      <c r="E4" s="289" t="s">
        <v>349</v>
      </c>
      <c r="F4" s="289" t="s">
        <v>350</v>
      </c>
      <c r="G4" s="289" t="s">
        <v>351</v>
      </c>
      <c r="H4" s="289" t="s">
        <v>352</v>
      </c>
      <c r="I4" s="289" t="s">
        <v>353</v>
      </c>
      <c r="J4" s="198" t="s">
        <v>359</v>
      </c>
      <c r="K4" s="289" t="s">
        <v>354</v>
      </c>
      <c r="L4" s="290" t="s">
        <v>355</v>
      </c>
    </row>
    <row r="5" spans="1:12">
      <c r="A5" s="199"/>
      <c r="B5" s="198" t="s">
        <v>321</v>
      </c>
      <c r="C5" s="198" t="s">
        <v>356</v>
      </c>
      <c r="D5" s="272" t="s">
        <v>321</v>
      </c>
      <c r="E5" s="198" t="s">
        <v>357</v>
      </c>
      <c r="F5" s="198"/>
      <c r="G5" s="198" t="s">
        <v>352</v>
      </c>
      <c r="H5" s="198"/>
      <c r="I5" s="198" t="s">
        <v>358</v>
      </c>
      <c r="J5" s="198" t="s">
        <v>363</v>
      </c>
      <c r="K5" s="198" t="s">
        <v>360</v>
      </c>
      <c r="L5" s="200" t="s">
        <v>361</v>
      </c>
    </row>
    <row r="6" spans="1:12">
      <c r="A6" s="199"/>
      <c r="B6" s="198"/>
      <c r="C6" s="198"/>
      <c r="D6" s="198"/>
      <c r="E6" s="198"/>
      <c r="F6" s="198"/>
      <c r="G6" s="198" t="s">
        <v>362</v>
      </c>
      <c r="H6" s="198"/>
      <c r="I6" s="198"/>
      <c r="J6" s="198" t="s">
        <v>365</v>
      </c>
      <c r="K6" s="198" t="s">
        <v>364</v>
      </c>
      <c r="L6" s="200" t="s">
        <v>305</v>
      </c>
    </row>
    <row r="7" spans="1:12">
      <c r="A7" s="199"/>
      <c r="B7" s="198"/>
      <c r="C7" s="198"/>
      <c r="D7" s="198"/>
      <c r="E7" s="198"/>
      <c r="F7" s="198"/>
      <c r="G7" s="198"/>
      <c r="H7" s="198"/>
      <c r="I7" s="198"/>
      <c r="J7" s="198" t="s">
        <v>367</v>
      </c>
      <c r="K7" s="198" t="s">
        <v>366</v>
      </c>
      <c r="L7" s="200" t="s">
        <v>321</v>
      </c>
    </row>
    <row r="8" spans="1:12">
      <c r="A8" s="199"/>
      <c r="B8" s="198"/>
      <c r="C8" s="198"/>
      <c r="D8" s="198"/>
      <c r="E8" s="198"/>
      <c r="F8" s="198"/>
      <c r="G8" s="198"/>
      <c r="H8" s="198"/>
      <c r="I8" s="198"/>
      <c r="J8" s="198" t="s">
        <v>368</v>
      </c>
      <c r="K8" s="198" t="s">
        <v>303</v>
      </c>
      <c r="L8" s="200"/>
    </row>
    <row r="9" spans="1:12">
      <c r="A9" s="197" t="s">
        <v>369</v>
      </c>
      <c r="B9" s="289" t="s">
        <v>370</v>
      </c>
      <c r="C9" s="289" t="s">
        <v>371</v>
      </c>
      <c r="D9" s="271" t="s">
        <v>556</v>
      </c>
      <c r="E9" s="289" t="s">
        <v>372</v>
      </c>
      <c r="F9" s="271" t="s">
        <v>557</v>
      </c>
      <c r="G9" s="289" t="s">
        <v>373</v>
      </c>
      <c r="H9" s="271" t="s">
        <v>558</v>
      </c>
      <c r="I9" s="271" t="s">
        <v>559</v>
      </c>
      <c r="J9" s="289" t="s">
        <v>374</v>
      </c>
      <c r="K9" s="271" t="s">
        <v>560</v>
      </c>
      <c r="L9" s="273" t="s">
        <v>562</v>
      </c>
    </row>
    <row r="10" spans="1:12">
      <c r="A10" s="199"/>
      <c r="B10" s="198" t="s">
        <v>321</v>
      </c>
      <c r="C10" s="198" t="s">
        <v>375</v>
      </c>
      <c r="D10" s="198"/>
      <c r="E10" s="198" t="s">
        <v>376</v>
      </c>
      <c r="F10" s="198"/>
      <c r="G10" s="198" t="s">
        <v>36</v>
      </c>
      <c r="H10" s="272" t="s">
        <v>342</v>
      </c>
      <c r="I10" s="272" t="s">
        <v>343</v>
      </c>
      <c r="J10" s="198" t="s">
        <v>377</v>
      </c>
      <c r="K10" s="272" t="s">
        <v>561</v>
      </c>
      <c r="L10" s="200"/>
    </row>
    <row r="11" spans="1:12">
      <c r="A11" s="199"/>
      <c r="B11" s="198"/>
      <c r="C11" s="198" t="s">
        <v>378</v>
      </c>
      <c r="D11" s="198"/>
      <c r="E11" s="198" t="s">
        <v>379</v>
      </c>
      <c r="F11" s="198"/>
      <c r="G11" s="198" t="s">
        <v>380</v>
      </c>
      <c r="H11" s="198"/>
      <c r="I11" s="198"/>
      <c r="J11" s="198"/>
      <c r="K11" s="272" t="s">
        <v>338</v>
      </c>
      <c r="L11" s="200"/>
    </row>
    <row r="12" spans="1:12">
      <c r="A12" s="199"/>
      <c r="B12" s="198"/>
      <c r="C12" s="198"/>
      <c r="D12" s="198"/>
      <c r="E12" s="198"/>
      <c r="F12" s="198"/>
      <c r="G12" s="198" t="s">
        <v>381</v>
      </c>
      <c r="H12" s="198"/>
      <c r="I12" s="198"/>
      <c r="J12" s="198"/>
      <c r="K12" s="198"/>
      <c r="L12" s="200"/>
    </row>
    <row r="13" spans="1:12">
      <c r="A13" s="364" t="s">
        <v>643</v>
      </c>
      <c r="B13" s="198"/>
      <c r="C13" s="198"/>
      <c r="D13" s="198"/>
      <c r="E13" s="198"/>
      <c r="F13" s="198"/>
      <c r="G13" s="198" t="s">
        <v>382</v>
      </c>
      <c r="H13" s="198"/>
      <c r="I13" s="198"/>
      <c r="J13" s="198"/>
      <c r="K13" s="198"/>
      <c r="L13" s="200"/>
    </row>
    <row r="14" spans="1:12">
      <c r="A14" s="365" t="s">
        <v>644</v>
      </c>
      <c r="B14" s="198"/>
      <c r="C14" s="198"/>
      <c r="D14" s="198"/>
      <c r="E14" s="198"/>
      <c r="F14" s="198"/>
      <c r="G14" s="198" t="s">
        <v>383</v>
      </c>
      <c r="H14" s="198"/>
      <c r="I14" s="198"/>
      <c r="J14" s="198"/>
      <c r="K14" s="198"/>
      <c r="L14" s="200"/>
    </row>
    <row r="15" spans="1:12">
      <c r="A15" s="550" t="s">
        <v>384</v>
      </c>
      <c r="B15" s="457">
        <v>0</v>
      </c>
      <c r="C15" s="458">
        <v>0</v>
      </c>
      <c r="D15" s="284">
        <f>B15-C15</f>
        <v>0</v>
      </c>
      <c r="E15" s="457">
        <v>0</v>
      </c>
      <c r="F15" s="202">
        <f>D15-E15</f>
        <v>0</v>
      </c>
      <c r="G15" s="203">
        <v>0.3</v>
      </c>
      <c r="H15" s="202">
        <f t="shared" ref="H15:H35" si="0">E15*G15</f>
        <v>0</v>
      </c>
      <c r="I15" s="202">
        <f t="shared" ref="I15:I35" si="1">F15+H15</f>
        <v>0</v>
      </c>
      <c r="J15" s="203">
        <v>0.82</v>
      </c>
      <c r="K15" s="202">
        <f>I15*J15 + C15</f>
        <v>0</v>
      </c>
      <c r="L15" s="267">
        <f t="shared" ref="L15:L38" si="2">IF(B15&gt;0, K15/B15, 1)</f>
        <v>1</v>
      </c>
    </row>
    <row r="16" spans="1:12">
      <c r="A16" s="551"/>
      <c r="B16" s="459">
        <v>0</v>
      </c>
      <c r="C16" s="459">
        <v>0</v>
      </c>
      <c r="D16" s="368">
        <f>B16-C16</f>
        <v>0</v>
      </c>
      <c r="E16" s="459">
        <v>0</v>
      </c>
      <c r="F16" s="369">
        <f>D16-E16</f>
        <v>0</v>
      </c>
      <c r="G16" s="370">
        <v>0.3</v>
      </c>
      <c r="H16" s="369">
        <f t="shared" si="0"/>
        <v>0</v>
      </c>
      <c r="I16" s="369">
        <f t="shared" si="1"/>
        <v>0</v>
      </c>
      <c r="J16" s="370">
        <v>0.92</v>
      </c>
      <c r="K16" s="369">
        <f>I16*J16 + C16</f>
        <v>0</v>
      </c>
      <c r="L16" s="371">
        <f t="shared" si="2"/>
        <v>1</v>
      </c>
    </row>
    <row r="17" spans="1:12">
      <c r="A17" s="550" t="s">
        <v>385</v>
      </c>
      <c r="B17" s="460">
        <v>0</v>
      </c>
      <c r="C17" s="460">
        <v>0</v>
      </c>
      <c r="D17" s="284">
        <f t="shared" ref="D17:D38" si="3">B17-C17</f>
        <v>0</v>
      </c>
      <c r="E17" s="457">
        <v>0</v>
      </c>
      <c r="F17" s="202">
        <f t="shared" ref="F17" si="4">D17-E17</f>
        <v>0</v>
      </c>
      <c r="G17" s="203">
        <v>0.3</v>
      </c>
      <c r="H17" s="202">
        <f t="shared" si="0"/>
        <v>0</v>
      </c>
      <c r="I17" s="202">
        <f t="shared" si="1"/>
        <v>0</v>
      </c>
      <c r="J17" s="203">
        <v>0.82</v>
      </c>
      <c r="K17" s="202">
        <f t="shared" ref="K17" si="5">I17*J17 + C17</f>
        <v>0</v>
      </c>
      <c r="L17" s="267">
        <f t="shared" si="2"/>
        <v>1</v>
      </c>
    </row>
    <row r="18" spans="1:12">
      <c r="A18" s="551"/>
      <c r="B18" s="459">
        <v>0</v>
      </c>
      <c r="C18" s="459">
        <v>0</v>
      </c>
      <c r="D18" s="368">
        <f t="shared" si="3"/>
        <v>0</v>
      </c>
      <c r="E18" s="459">
        <v>0</v>
      </c>
      <c r="F18" s="369">
        <f>D18-E18</f>
        <v>0</v>
      </c>
      <c r="G18" s="370">
        <v>0.3</v>
      </c>
      <c r="H18" s="369">
        <f t="shared" si="0"/>
        <v>0</v>
      </c>
      <c r="I18" s="369">
        <f t="shared" si="1"/>
        <v>0</v>
      </c>
      <c r="J18" s="370">
        <v>0.92</v>
      </c>
      <c r="K18" s="369">
        <f>I18*J18 + C18</f>
        <v>0</v>
      </c>
      <c r="L18" s="371">
        <f t="shared" si="2"/>
        <v>1</v>
      </c>
    </row>
    <row r="19" spans="1:12">
      <c r="A19" s="550" t="s">
        <v>386</v>
      </c>
      <c r="B19" s="460">
        <v>16692</v>
      </c>
      <c r="C19" s="460">
        <v>1585</v>
      </c>
      <c r="D19" s="284">
        <f t="shared" si="3"/>
        <v>15107</v>
      </c>
      <c r="E19" s="457">
        <v>5024</v>
      </c>
      <c r="F19" s="202">
        <f t="shared" ref="F19" si="6">D19-E19</f>
        <v>10083</v>
      </c>
      <c r="G19" s="203">
        <v>0.3</v>
      </c>
      <c r="H19" s="202">
        <f t="shared" si="0"/>
        <v>1507.2</v>
      </c>
      <c r="I19" s="202">
        <f t="shared" si="1"/>
        <v>11590.2</v>
      </c>
      <c r="J19" s="203">
        <v>0.82</v>
      </c>
      <c r="K19" s="202">
        <f t="shared" ref="K19" si="7">I19*J19 + C19</f>
        <v>11088.964</v>
      </c>
      <c r="L19" s="267">
        <f t="shared" si="2"/>
        <v>0.66432806134675293</v>
      </c>
    </row>
    <row r="20" spans="1:12">
      <c r="A20" s="551"/>
      <c r="B20" s="459">
        <v>0</v>
      </c>
      <c r="C20" s="459">
        <v>0</v>
      </c>
      <c r="D20" s="368">
        <f t="shared" si="3"/>
        <v>0</v>
      </c>
      <c r="E20" s="459">
        <v>0</v>
      </c>
      <c r="F20" s="369">
        <f>D20-E20</f>
        <v>0</v>
      </c>
      <c r="G20" s="370">
        <v>0.3</v>
      </c>
      <c r="H20" s="369">
        <f t="shared" si="0"/>
        <v>0</v>
      </c>
      <c r="I20" s="369">
        <f t="shared" si="1"/>
        <v>0</v>
      </c>
      <c r="J20" s="370">
        <v>0.92</v>
      </c>
      <c r="K20" s="369">
        <f>I20*J20 + C20</f>
        <v>0</v>
      </c>
      <c r="L20" s="371">
        <f t="shared" si="2"/>
        <v>1</v>
      </c>
    </row>
    <row r="21" spans="1:12">
      <c r="A21" s="550" t="s">
        <v>20</v>
      </c>
      <c r="B21" s="460">
        <v>0</v>
      </c>
      <c r="C21" s="460">
        <v>0</v>
      </c>
      <c r="D21" s="284">
        <f t="shared" si="3"/>
        <v>0</v>
      </c>
      <c r="E21" s="457">
        <v>0</v>
      </c>
      <c r="F21" s="202">
        <f t="shared" ref="F21" si="8">D21-E21</f>
        <v>0</v>
      </c>
      <c r="G21" s="203">
        <v>0.3</v>
      </c>
      <c r="H21" s="202">
        <f t="shared" si="0"/>
        <v>0</v>
      </c>
      <c r="I21" s="202">
        <f t="shared" si="1"/>
        <v>0</v>
      </c>
      <c r="J21" s="203">
        <v>0.82</v>
      </c>
      <c r="K21" s="202">
        <f t="shared" ref="K21" si="9">I21*J21 + C21</f>
        <v>0</v>
      </c>
      <c r="L21" s="267">
        <f t="shared" si="2"/>
        <v>1</v>
      </c>
    </row>
    <row r="22" spans="1:12">
      <c r="A22" s="551"/>
      <c r="B22" s="459">
        <v>0</v>
      </c>
      <c r="C22" s="459">
        <v>0</v>
      </c>
      <c r="D22" s="368">
        <f t="shared" si="3"/>
        <v>0</v>
      </c>
      <c r="E22" s="459">
        <v>0</v>
      </c>
      <c r="F22" s="369">
        <f>D22-E22</f>
        <v>0</v>
      </c>
      <c r="G22" s="370">
        <v>0.3</v>
      </c>
      <c r="H22" s="369">
        <f t="shared" si="0"/>
        <v>0</v>
      </c>
      <c r="I22" s="369">
        <f t="shared" si="1"/>
        <v>0</v>
      </c>
      <c r="J22" s="370">
        <v>0.92</v>
      </c>
      <c r="K22" s="369">
        <f>I22*J22 + C22</f>
        <v>0</v>
      </c>
      <c r="L22" s="371">
        <f t="shared" si="2"/>
        <v>1</v>
      </c>
    </row>
    <row r="23" spans="1:12">
      <c r="A23" s="550" t="s">
        <v>387</v>
      </c>
      <c r="B23" s="460">
        <v>7437</v>
      </c>
      <c r="C23" s="460">
        <v>509</v>
      </c>
      <c r="D23" s="284">
        <f t="shared" si="3"/>
        <v>6928</v>
      </c>
      <c r="E23" s="457">
        <v>2425</v>
      </c>
      <c r="F23" s="202">
        <f t="shared" ref="F23" si="10">D23-E23</f>
        <v>4503</v>
      </c>
      <c r="G23" s="203">
        <v>0.3</v>
      </c>
      <c r="H23" s="202">
        <f t="shared" si="0"/>
        <v>727.5</v>
      </c>
      <c r="I23" s="202">
        <f t="shared" si="1"/>
        <v>5230.5</v>
      </c>
      <c r="J23" s="203">
        <v>0.82</v>
      </c>
      <c r="K23" s="202">
        <f t="shared" ref="K23" si="11">I23*J23 + C23</f>
        <v>4798.0099999999993</v>
      </c>
      <c r="L23" s="267">
        <f t="shared" si="2"/>
        <v>0.64515395993007929</v>
      </c>
    </row>
    <row r="24" spans="1:12">
      <c r="A24" s="551"/>
      <c r="B24" s="459">
        <v>0</v>
      </c>
      <c r="C24" s="459">
        <v>0</v>
      </c>
      <c r="D24" s="368">
        <f t="shared" si="3"/>
        <v>0</v>
      </c>
      <c r="E24" s="459">
        <v>0</v>
      </c>
      <c r="F24" s="369">
        <f>D24-E24</f>
        <v>0</v>
      </c>
      <c r="G24" s="370">
        <v>0.3</v>
      </c>
      <c r="H24" s="369">
        <f t="shared" si="0"/>
        <v>0</v>
      </c>
      <c r="I24" s="369">
        <f t="shared" si="1"/>
        <v>0</v>
      </c>
      <c r="J24" s="370">
        <v>0.92</v>
      </c>
      <c r="K24" s="369">
        <f>I24*J24 + C24</f>
        <v>0</v>
      </c>
      <c r="L24" s="371">
        <f t="shared" si="2"/>
        <v>1</v>
      </c>
    </row>
    <row r="25" spans="1:12">
      <c r="A25" s="550" t="s">
        <v>388</v>
      </c>
      <c r="B25" s="460">
        <v>25406</v>
      </c>
      <c r="C25" s="460">
        <v>2561</v>
      </c>
      <c r="D25" s="284">
        <f t="shared" si="3"/>
        <v>22845</v>
      </c>
      <c r="E25" s="457">
        <v>9152</v>
      </c>
      <c r="F25" s="202">
        <f t="shared" ref="F25" si="12">D25-E25</f>
        <v>13693</v>
      </c>
      <c r="G25" s="203">
        <v>0.3</v>
      </c>
      <c r="H25" s="202">
        <f t="shared" si="0"/>
        <v>2745.6</v>
      </c>
      <c r="I25" s="202">
        <f t="shared" si="1"/>
        <v>16438.599999999999</v>
      </c>
      <c r="J25" s="203">
        <v>0.82</v>
      </c>
      <c r="K25" s="202">
        <f t="shared" ref="K25" si="13">I25*J25 + C25</f>
        <v>16040.651999999998</v>
      </c>
      <c r="L25" s="267">
        <f t="shared" si="2"/>
        <v>0.63137258915216876</v>
      </c>
    </row>
    <row r="26" spans="1:12">
      <c r="A26" s="551"/>
      <c r="B26" s="459">
        <v>0</v>
      </c>
      <c r="C26" s="459">
        <v>0</v>
      </c>
      <c r="D26" s="368">
        <f t="shared" si="3"/>
        <v>0</v>
      </c>
      <c r="E26" s="459">
        <v>0</v>
      </c>
      <c r="F26" s="369">
        <f>D26-E26</f>
        <v>0</v>
      </c>
      <c r="G26" s="370">
        <v>0.3</v>
      </c>
      <c r="H26" s="369">
        <f t="shared" si="0"/>
        <v>0</v>
      </c>
      <c r="I26" s="369">
        <f t="shared" si="1"/>
        <v>0</v>
      </c>
      <c r="J26" s="370">
        <v>0.92</v>
      </c>
      <c r="K26" s="369">
        <f>I26*J26 + C26</f>
        <v>0</v>
      </c>
      <c r="L26" s="371">
        <f t="shared" si="2"/>
        <v>1</v>
      </c>
    </row>
    <row r="27" spans="1:12">
      <c r="A27" s="550" t="s">
        <v>389</v>
      </c>
      <c r="B27" s="460">
        <v>954</v>
      </c>
      <c r="C27" s="460">
        <v>118</v>
      </c>
      <c r="D27" s="284">
        <f t="shared" si="3"/>
        <v>836</v>
      </c>
      <c r="E27" s="457">
        <v>287</v>
      </c>
      <c r="F27" s="202">
        <f t="shared" ref="F27" si="14">D27-E27</f>
        <v>549</v>
      </c>
      <c r="G27" s="203">
        <v>0.35</v>
      </c>
      <c r="H27" s="202">
        <f t="shared" si="0"/>
        <v>100.44999999999999</v>
      </c>
      <c r="I27" s="202">
        <f t="shared" si="1"/>
        <v>649.45000000000005</v>
      </c>
      <c r="J27" s="203">
        <v>0.82</v>
      </c>
      <c r="K27" s="202">
        <f t="shared" ref="K27" si="15">I27*J27 + C27</f>
        <v>650.54899999999998</v>
      </c>
      <c r="L27" s="267">
        <f t="shared" si="2"/>
        <v>0.68191719077568136</v>
      </c>
    </row>
    <row r="28" spans="1:12">
      <c r="A28" s="551"/>
      <c r="B28" s="459">
        <v>0</v>
      </c>
      <c r="C28" s="459">
        <v>0</v>
      </c>
      <c r="D28" s="368">
        <f t="shared" si="3"/>
        <v>0</v>
      </c>
      <c r="E28" s="459">
        <v>0</v>
      </c>
      <c r="F28" s="369">
        <f>D28-E28</f>
        <v>0</v>
      </c>
      <c r="G28" s="370">
        <v>0.35</v>
      </c>
      <c r="H28" s="369">
        <f t="shared" si="0"/>
        <v>0</v>
      </c>
      <c r="I28" s="369">
        <f t="shared" si="1"/>
        <v>0</v>
      </c>
      <c r="J28" s="370">
        <v>0.92</v>
      </c>
      <c r="K28" s="369">
        <f>I28*J28 + C28</f>
        <v>0</v>
      </c>
      <c r="L28" s="371">
        <f t="shared" si="2"/>
        <v>1</v>
      </c>
    </row>
    <row r="29" spans="1:12">
      <c r="A29" s="550" t="s">
        <v>390</v>
      </c>
      <c r="B29" s="460">
        <v>17134</v>
      </c>
      <c r="C29" s="460">
        <v>1182</v>
      </c>
      <c r="D29" s="284">
        <f t="shared" si="3"/>
        <v>15952</v>
      </c>
      <c r="E29" s="457">
        <v>6244</v>
      </c>
      <c r="F29" s="202">
        <f t="shared" ref="F29" si="16">D29-E29</f>
        <v>9708</v>
      </c>
      <c r="G29" s="203">
        <v>0.35</v>
      </c>
      <c r="H29" s="202">
        <f t="shared" si="0"/>
        <v>2185.3999999999996</v>
      </c>
      <c r="I29" s="202">
        <f t="shared" si="1"/>
        <v>11893.4</v>
      </c>
      <c r="J29" s="203">
        <v>0.82</v>
      </c>
      <c r="K29" s="202">
        <f t="shared" ref="K29" si="17">I29*J29 + C29</f>
        <v>10934.588</v>
      </c>
      <c r="L29" s="267">
        <f t="shared" si="2"/>
        <v>0.63818069335823502</v>
      </c>
    </row>
    <row r="30" spans="1:12">
      <c r="A30" s="551"/>
      <c r="B30" s="459">
        <v>0</v>
      </c>
      <c r="C30" s="459">
        <v>0</v>
      </c>
      <c r="D30" s="368">
        <f t="shared" si="3"/>
        <v>0</v>
      </c>
      <c r="E30" s="459">
        <v>0</v>
      </c>
      <c r="F30" s="369">
        <f>D30-E30</f>
        <v>0</v>
      </c>
      <c r="G30" s="370">
        <v>0.35</v>
      </c>
      <c r="H30" s="369">
        <f t="shared" si="0"/>
        <v>0</v>
      </c>
      <c r="I30" s="369">
        <f t="shared" si="1"/>
        <v>0</v>
      </c>
      <c r="J30" s="370">
        <v>0.92</v>
      </c>
      <c r="K30" s="369">
        <f>I30*J30 + C30</f>
        <v>0</v>
      </c>
      <c r="L30" s="371">
        <f t="shared" si="2"/>
        <v>1</v>
      </c>
    </row>
    <row r="31" spans="1:12">
      <c r="A31" s="550" t="s">
        <v>391</v>
      </c>
      <c r="B31" s="460">
        <v>798</v>
      </c>
      <c r="C31" s="460">
        <v>44</v>
      </c>
      <c r="D31" s="284">
        <f t="shared" si="3"/>
        <v>754</v>
      </c>
      <c r="E31" s="457">
        <v>462</v>
      </c>
      <c r="F31" s="202">
        <f t="shared" ref="F31" si="18">D31-E31</f>
        <v>292</v>
      </c>
      <c r="G31" s="203">
        <v>0.35</v>
      </c>
      <c r="H31" s="202">
        <f t="shared" si="0"/>
        <v>161.69999999999999</v>
      </c>
      <c r="I31" s="202">
        <f t="shared" si="1"/>
        <v>453.7</v>
      </c>
      <c r="J31" s="203">
        <v>0.82</v>
      </c>
      <c r="K31" s="202">
        <f t="shared" ref="K31" si="19">I31*J31 + C31</f>
        <v>416.03399999999999</v>
      </c>
      <c r="L31" s="267">
        <f t="shared" si="2"/>
        <v>0.52134586466165411</v>
      </c>
    </row>
    <row r="32" spans="1:12">
      <c r="A32" s="551"/>
      <c r="B32" s="459">
        <v>0</v>
      </c>
      <c r="C32" s="459">
        <v>0</v>
      </c>
      <c r="D32" s="368">
        <f t="shared" si="3"/>
        <v>0</v>
      </c>
      <c r="E32" s="459">
        <v>0</v>
      </c>
      <c r="F32" s="369">
        <f>D32-E32</f>
        <v>0</v>
      </c>
      <c r="G32" s="370">
        <v>0.35</v>
      </c>
      <c r="H32" s="369">
        <f t="shared" si="0"/>
        <v>0</v>
      </c>
      <c r="I32" s="369">
        <f t="shared" si="1"/>
        <v>0</v>
      </c>
      <c r="J32" s="370">
        <v>0.92</v>
      </c>
      <c r="K32" s="369">
        <f>I32*J32 + C32</f>
        <v>0</v>
      </c>
      <c r="L32" s="371">
        <f t="shared" si="2"/>
        <v>1</v>
      </c>
    </row>
    <row r="33" spans="1:12">
      <c r="A33" s="204" t="s">
        <v>392</v>
      </c>
      <c r="B33" s="460">
        <v>771</v>
      </c>
      <c r="C33" s="460">
        <v>0</v>
      </c>
      <c r="D33" s="284">
        <f t="shared" si="3"/>
        <v>771</v>
      </c>
      <c r="E33" s="457">
        <v>288</v>
      </c>
      <c r="F33" s="202">
        <f t="shared" ref="F33:F34" si="20">D33-E33</f>
        <v>483</v>
      </c>
      <c r="G33" s="140">
        <v>0.3</v>
      </c>
      <c r="H33" s="186">
        <f t="shared" si="0"/>
        <v>86.399999999999991</v>
      </c>
      <c r="I33" s="186">
        <f t="shared" si="1"/>
        <v>569.4</v>
      </c>
      <c r="J33" s="140">
        <v>0.82</v>
      </c>
      <c r="K33" s="202">
        <f t="shared" ref="K33:K34" si="21">I33*J33 + C33</f>
        <v>466.90799999999996</v>
      </c>
      <c r="L33" s="268">
        <f t="shared" si="2"/>
        <v>0.60558754863813224</v>
      </c>
    </row>
    <row r="34" spans="1:12">
      <c r="A34" s="550" t="s">
        <v>393</v>
      </c>
      <c r="B34" s="460">
        <v>7493</v>
      </c>
      <c r="C34" s="460">
        <v>316</v>
      </c>
      <c r="D34" s="284">
        <f t="shared" si="3"/>
        <v>7177</v>
      </c>
      <c r="E34" s="457">
        <v>2340</v>
      </c>
      <c r="F34" s="202">
        <f t="shared" si="20"/>
        <v>4837</v>
      </c>
      <c r="G34" s="203">
        <v>0.31</v>
      </c>
      <c r="H34" s="202">
        <f t="shared" si="0"/>
        <v>725.4</v>
      </c>
      <c r="I34" s="202">
        <f t="shared" si="1"/>
        <v>5562.4</v>
      </c>
      <c r="J34" s="203">
        <v>0.82</v>
      </c>
      <c r="K34" s="202">
        <f t="shared" si="21"/>
        <v>4877.1679999999997</v>
      </c>
      <c r="L34" s="267">
        <f t="shared" si="2"/>
        <v>0.65089657013212332</v>
      </c>
    </row>
    <row r="35" spans="1:12">
      <c r="A35" s="551"/>
      <c r="B35" s="459">
        <v>0</v>
      </c>
      <c r="C35" s="459">
        <v>0</v>
      </c>
      <c r="D35" s="368">
        <f t="shared" si="3"/>
        <v>0</v>
      </c>
      <c r="E35" s="459">
        <v>0</v>
      </c>
      <c r="F35" s="369">
        <f>D35-E35</f>
        <v>0</v>
      </c>
      <c r="G35" s="370">
        <v>0.31</v>
      </c>
      <c r="H35" s="369">
        <f t="shared" si="0"/>
        <v>0</v>
      </c>
      <c r="I35" s="369">
        <f t="shared" si="1"/>
        <v>0</v>
      </c>
      <c r="J35" s="370">
        <v>0.92</v>
      </c>
      <c r="K35" s="369">
        <f>I35*J35 + C35</f>
        <v>0</v>
      </c>
      <c r="L35" s="371">
        <f t="shared" si="2"/>
        <v>1</v>
      </c>
    </row>
    <row r="36" spans="1:12">
      <c r="A36" s="201" t="s">
        <v>412</v>
      </c>
      <c r="B36" s="460">
        <v>471</v>
      </c>
      <c r="C36" s="460">
        <v>0</v>
      </c>
      <c r="D36" s="284">
        <f t="shared" si="3"/>
        <v>471</v>
      </c>
      <c r="E36" s="457">
        <v>412</v>
      </c>
      <c r="F36" s="202">
        <f t="shared" ref="F36:F38" si="22">D36-E36</f>
        <v>59</v>
      </c>
      <c r="G36" s="203">
        <v>0.23</v>
      </c>
      <c r="H36" s="202">
        <f>E36*G36</f>
        <v>94.76</v>
      </c>
      <c r="I36" s="202">
        <f>F36+H36</f>
        <v>153.76</v>
      </c>
      <c r="J36" s="203">
        <v>0.82</v>
      </c>
      <c r="K36" s="202">
        <f t="shared" ref="K36:K38" si="23">I36*J36 + C36</f>
        <v>126.08319999999999</v>
      </c>
      <c r="L36" s="267">
        <f t="shared" si="2"/>
        <v>0.26769256900212313</v>
      </c>
    </row>
    <row r="37" spans="1:12" ht="25.5">
      <c r="A37" s="201" t="s">
        <v>413</v>
      </c>
      <c r="B37" s="460">
        <v>24097</v>
      </c>
      <c r="C37" s="460">
        <v>1787</v>
      </c>
      <c r="D37" s="284">
        <f t="shared" si="3"/>
        <v>22310</v>
      </c>
      <c r="E37" s="457">
        <v>9530</v>
      </c>
      <c r="F37" s="202">
        <f t="shared" si="22"/>
        <v>12780</v>
      </c>
      <c r="G37" s="203">
        <v>0.23</v>
      </c>
      <c r="H37" s="202">
        <f>E37*G37</f>
        <v>2191.9</v>
      </c>
      <c r="I37" s="202">
        <f>F37+H37</f>
        <v>14971.9</v>
      </c>
      <c r="J37" s="203">
        <v>0.82</v>
      </c>
      <c r="K37" s="202">
        <f t="shared" si="23"/>
        <v>14063.957999999999</v>
      </c>
      <c r="L37" s="267">
        <f t="shared" si="2"/>
        <v>0.58363937419595791</v>
      </c>
    </row>
    <row r="38" spans="1:12" ht="25.5">
      <c r="A38" s="201" t="s">
        <v>394</v>
      </c>
      <c r="B38" s="460">
        <v>38000</v>
      </c>
      <c r="C38" s="458">
        <v>3147</v>
      </c>
      <c r="D38" s="284">
        <f t="shared" si="3"/>
        <v>34853</v>
      </c>
      <c r="E38" s="461">
        <v>24996</v>
      </c>
      <c r="F38" s="202">
        <f t="shared" si="22"/>
        <v>9857</v>
      </c>
      <c r="G38" s="203">
        <v>0.23</v>
      </c>
      <c r="H38" s="202">
        <f>E38*G38</f>
        <v>5749.08</v>
      </c>
      <c r="I38" s="202">
        <f>F38+H38</f>
        <v>15606.08</v>
      </c>
      <c r="J38" s="203">
        <v>0.82</v>
      </c>
      <c r="K38" s="202">
        <f t="shared" si="23"/>
        <v>15943.9856</v>
      </c>
      <c r="L38" s="267">
        <f t="shared" si="2"/>
        <v>0.41957856842105262</v>
      </c>
    </row>
    <row r="39" spans="1:12" ht="40.5" customHeight="1">
      <c r="A39" s="190"/>
      <c r="B39" s="191"/>
      <c r="C39" s="191"/>
      <c r="D39" s="191"/>
      <c r="E39" s="110"/>
      <c r="F39" s="112"/>
      <c r="G39" s="110"/>
      <c r="H39" s="110"/>
      <c r="I39" s="112"/>
      <c r="J39" s="110"/>
      <c r="K39" s="112"/>
    </row>
    <row r="40" spans="1:12">
      <c r="B40" s="193"/>
    </row>
    <row r="41" spans="1:12">
      <c r="A41" s="194" t="s">
        <v>335</v>
      </c>
    </row>
    <row r="42" spans="1:12">
      <c r="A42" s="192">
        <v>2018</v>
      </c>
    </row>
    <row r="43" spans="1:12">
      <c r="A43" s="334" t="s">
        <v>336</v>
      </c>
      <c r="B43" s="195" t="s">
        <v>337</v>
      </c>
      <c r="C43" s="195" t="s">
        <v>338</v>
      </c>
      <c r="D43" s="195" t="s">
        <v>339</v>
      </c>
      <c r="E43" s="195" t="s">
        <v>339</v>
      </c>
      <c r="F43" s="195" t="s">
        <v>341</v>
      </c>
      <c r="G43" s="195" t="s">
        <v>342</v>
      </c>
      <c r="H43" s="195" t="s">
        <v>343</v>
      </c>
      <c r="I43" s="195" t="s">
        <v>344</v>
      </c>
      <c r="J43" s="195" t="s">
        <v>345</v>
      </c>
      <c r="K43" s="196" t="s">
        <v>346</v>
      </c>
      <c r="L43" s="270" t="s">
        <v>554</v>
      </c>
    </row>
    <row r="44" spans="1:12">
      <c r="A44" s="197" t="s">
        <v>305</v>
      </c>
      <c r="B44" s="289" t="s">
        <v>347</v>
      </c>
      <c r="C44" s="289" t="s">
        <v>348</v>
      </c>
      <c r="D44" s="271" t="s">
        <v>555</v>
      </c>
      <c r="E44" s="289" t="s">
        <v>349</v>
      </c>
      <c r="F44" s="289" t="s">
        <v>350</v>
      </c>
      <c r="G44" s="289" t="s">
        <v>351</v>
      </c>
      <c r="H44" s="289" t="s">
        <v>352</v>
      </c>
      <c r="I44" s="289" t="s">
        <v>353</v>
      </c>
      <c r="J44" s="198" t="s">
        <v>359</v>
      </c>
      <c r="K44" s="289" t="s">
        <v>354</v>
      </c>
      <c r="L44" s="290" t="s">
        <v>355</v>
      </c>
    </row>
    <row r="45" spans="1:12">
      <c r="A45" s="199"/>
      <c r="B45" s="198" t="s">
        <v>321</v>
      </c>
      <c r="C45" s="198" t="s">
        <v>356</v>
      </c>
      <c r="D45" s="272" t="s">
        <v>321</v>
      </c>
      <c r="E45" s="198" t="s">
        <v>357</v>
      </c>
      <c r="F45" s="198"/>
      <c r="G45" s="198" t="s">
        <v>352</v>
      </c>
      <c r="H45" s="198"/>
      <c r="I45" s="198" t="s">
        <v>358</v>
      </c>
      <c r="J45" s="198" t="s">
        <v>363</v>
      </c>
      <c r="K45" s="198" t="s">
        <v>360</v>
      </c>
      <c r="L45" s="200" t="s">
        <v>361</v>
      </c>
    </row>
    <row r="46" spans="1:12">
      <c r="A46" s="199"/>
      <c r="B46" s="198"/>
      <c r="C46" s="198"/>
      <c r="D46" s="198"/>
      <c r="E46" s="198"/>
      <c r="F46" s="198"/>
      <c r="G46" s="198" t="s">
        <v>362</v>
      </c>
      <c r="H46" s="198"/>
      <c r="I46" s="198"/>
      <c r="J46" s="198" t="s">
        <v>365</v>
      </c>
      <c r="K46" s="198" t="s">
        <v>364</v>
      </c>
      <c r="L46" s="200" t="s">
        <v>305</v>
      </c>
    </row>
    <row r="47" spans="1:12">
      <c r="A47" s="199"/>
      <c r="B47" s="198"/>
      <c r="C47" s="198"/>
      <c r="D47" s="198"/>
      <c r="E47" s="198"/>
      <c r="F47" s="198"/>
      <c r="G47" s="198"/>
      <c r="H47" s="198"/>
      <c r="I47" s="198"/>
      <c r="J47" s="198" t="s">
        <v>367</v>
      </c>
      <c r="K47" s="198" t="s">
        <v>366</v>
      </c>
      <c r="L47" s="200" t="s">
        <v>321</v>
      </c>
    </row>
    <row r="48" spans="1:12">
      <c r="A48" s="199"/>
      <c r="B48" s="198"/>
      <c r="C48" s="198"/>
      <c r="D48" s="198"/>
      <c r="E48" s="198"/>
      <c r="F48" s="198"/>
      <c r="G48" s="198"/>
      <c r="H48" s="198"/>
      <c r="I48" s="198"/>
      <c r="J48" s="198" t="s">
        <v>368</v>
      </c>
      <c r="K48" s="198" t="s">
        <v>303</v>
      </c>
      <c r="L48" s="200"/>
    </row>
    <row r="49" spans="1:12">
      <c r="A49" s="197" t="s">
        <v>369</v>
      </c>
      <c r="B49" s="289" t="s">
        <v>370</v>
      </c>
      <c r="C49" s="289" t="s">
        <v>371</v>
      </c>
      <c r="D49" s="271" t="s">
        <v>556</v>
      </c>
      <c r="E49" s="289" t="s">
        <v>372</v>
      </c>
      <c r="F49" s="271" t="s">
        <v>557</v>
      </c>
      <c r="G49" s="289" t="s">
        <v>373</v>
      </c>
      <c r="H49" s="271" t="s">
        <v>558</v>
      </c>
      <c r="I49" s="271" t="s">
        <v>559</v>
      </c>
      <c r="J49" s="289" t="s">
        <v>374</v>
      </c>
      <c r="K49" s="271" t="s">
        <v>560</v>
      </c>
      <c r="L49" s="273" t="s">
        <v>562</v>
      </c>
    </row>
    <row r="50" spans="1:12">
      <c r="A50" s="199"/>
      <c r="B50" s="198" t="s">
        <v>321</v>
      </c>
      <c r="C50" s="198" t="s">
        <v>375</v>
      </c>
      <c r="D50" s="198"/>
      <c r="E50" s="198" t="s">
        <v>376</v>
      </c>
      <c r="F50" s="198"/>
      <c r="G50" s="198" t="s">
        <v>36</v>
      </c>
      <c r="H50" s="272" t="s">
        <v>342</v>
      </c>
      <c r="I50" s="272" t="s">
        <v>343</v>
      </c>
      <c r="J50" s="198" t="s">
        <v>377</v>
      </c>
      <c r="K50" s="272" t="s">
        <v>561</v>
      </c>
      <c r="L50" s="200"/>
    </row>
    <row r="51" spans="1:12">
      <c r="A51" s="199"/>
      <c r="B51" s="198"/>
      <c r="C51" s="198" t="s">
        <v>378</v>
      </c>
      <c r="D51" s="198"/>
      <c r="E51" s="198" t="s">
        <v>379</v>
      </c>
      <c r="F51" s="198"/>
      <c r="G51" s="198" t="s">
        <v>380</v>
      </c>
      <c r="H51" s="198"/>
      <c r="I51" s="198"/>
      <c r="J51" s="198"/>
      <c r="K51" s="272" t="s">
        <v>338</v>
      </c>
      <c r="L51" s="200"/>
    </row>
    <row r="52" spans="1:12">
      <c r="A52" s="199"/>
      <c r="B52" s="198"/>
      <c r="C52" s="198"/>
      <c r="D52" s="198"/>
      <c r="E52" s="198"/>
      <c r="F52" s="198"/>
      <c r="G52" s="198" t="s">
        <v>381</v>
      </c>
      <c r="H52" s="198"/>
      <c r="I52" s="198"/>
      <c r="J52" s="198"/>
      <c r="K52" s="198"/>
      <c r="L52" s="200"/>
    </row>
    <row r="53" spans="1:12">
      <c r="A53" s="364" t="s">
        <v>643</v>
      </c>
      <c r="B53" s="198"/>
      <c r="C53" s="198"/>
      <c r="D53" s="198"/>
      <c r="E53" s="198"/>
      <c r="F53" s="198"/>
      <c r="G53" s="198" t="s">
        <v>382</v>
      </c>
      <c r="H53" s="198"/>
      <c r="I53" s="198"/>
      <c r="J53" s="198"/>
      <c r="K53" s="198"/>
      <c r="L53" s="200"/>
    </row>
    <row r="54" spans="1:12">
      <c r="A54" s="365" t="s">
        <v>644</v>
      </c>
      <c r="B54" s="198"/>
      <c r="C54" s="198"/>
      <c r="D54" s="198"/>
      <c r="E54" s="198"/>
      <c r="F54" s="198"/>
      <c r="G54" s="198" t="s">
        <v>383</v>
      </c>
      <c r="H54" s="198"/>
      <c r="I54" s="198"/>
      <c r="J54" s="198"/>
      <c r="K54" s="198"/>
      <c r="L54" s="200"/>
    </row>
    <row r="55" spans="1:12">
      <c r="A55" s="550" t="s">
        <v>384</v>
      </c>
      <c r="B55" s="461">
        <v>7426</v>
      </c>
      <c r="C55" s="458">
        <v>194</v>
      </c>
      <c r="D55" s="284">
        <f t="shared" ref="D55:D78" si="24">B55-C55</f>
        <v>7232</v>
      </c>
      <c r="E55" s="461">
        <v>319</v>
      </c>
      <c r="F55" s="202">
        <f>D55-E55</f>
        <v>6913</v>
      </c>
      <c r="G55" s="203">
        <v>0.3</v>
      </c>
      <c r="H55" s="202">
        <f t="shared" ref="H55:H75" si="25">E55*G55</f>
        <v>95.7</v>
      </c>
      <c r="I55" s="202">
        <f t="shared" ref="I55:I75" si="26">F55+H55</f>
        <v>7008.7</v>
      </c>
      <c r="J55" s="203">
        <v>0.82</v>
      </c>
      <c r="K55" s="202">
        <f>I55*J55 + C55</f>
        <v>5941.1339999999991</v>
      </c>
      <c r="L55" s="267">
        <f t="shared" ref="L55:L78" si="27">IF(B55&gt;0, K55/B55, 1)</f>
        <v>0.80004497710746014</v>
      </c>
    </row>
    <row r="56" spans="1:12">
      <c r="A56" s="551"/>
      <c r="B56" s="366">
        <v>0</v>
      </c>
      <c r="C56" s="367">
        <v>0</v>
      </c>
      <c r="D56" s="368">
        <f t="shared" si="24"/>
        <v>0</v>
      </c>
      <c r="E56" s="366">
        <v>0</v>
      </c>
      <c r="F56" s="369">
        <f>D56-E56</f>
        <v>0</v>
      </c>
      <c r="G56" s="370">
        <v>0.3</v>
      </c>
      <c r="H56" s="369">
        <f t="shared" si="25"/>
        <v>0</v>
      </c>
      <c r="I56" s="369">
        <f t="shared" si="26"/>
        <v>0</v>
      </c>
      <c r="J56" s="370">
        <v>0.92</v>
      </c>
      <c r="K56" s="369">
        <f>I56*J56 + C56</f>
        <v>0</v>
      </c>
      <c r="L56" s="371">
        <f t="shared" si="27"/>
        <v>1</v>
      </c>
    </row>
    <row r="57" spans="1:12">
      <c r="A57" s="550" t="s">
        <v>385</v>
      </c>
      <c r="B57" s="458">
        <v>0</v>
      </c>
      <c r="C57" s="458">
        <v>0</v>
      </c>
      <c r="D57" s="284">
        <f t="shared" si="24"/>
        <v>0</v>
      </c>
      <c r="E57" s="461">
        <v>0</v>
      </c>
      <c r="F57" s="202">
        <f t="shared" ref="F57" si="28">D57-E57</f>
        <v>0</v>
      </c>
      <c r="G57" s="203">
        <v>0.3</v>
      </c>
      <c r="H57" s="202">
        <f t="shared" si="25"/>
        <v>0</v>
      </c>
      <c r="I57" s="202">
        <f t="shared" si="26"/>
        <v>0</v>
      </c>
      <c r="J57" s="203">
        <v>0.82</v>
      </c>
      <c r="K57" s="202">
        <f t="shared" ref="K57" si="29">I57*J57 + C57</f>
        <v>0</v>
      </c>
      <c r="L57" s="267">
        <f t="shared" si="27"/>
        <v>1</v>
      </c>
    </row>
    <row r="58" spans="1:12">
      <c r="A58" s="551"/>
      <c r="B58" s="366">
        <v>0</v>
      </c>
      <c r="C58" s="367">
        <v>0</v>
      </c>
      <c r="D58" s="368">
        <f t="shared" si="24"/>
        <v>0</v>
      </c>
      <c r="E58" s="366">
        <v>0</v>
      </c>
      <c r="F58" s="369">
        <f>D58-E58</f>
        <v>0</v>
      </c>
      <c r="G58" s="370">
        <v>0.3</v>
      </c>
      <c r="H58" s="369">
        <f t="shared" si="25"/>
        <v>0</v>
      </c>
      <c r="I58" s="369">
        <f t="shared" si="26"/>
        <v>0</v>
      </c>
      <c r="J58" s="370">
        <v>0.92</v>
      </c>
      <c r="K58" s="369">
        <f>I58*J58 + C58</f>
        <v>0</v>
      </c>
      <c r="L58" s="371">
        <f t="shared" si="27"/>
        <v>1</v>
      </c>
    </row>
    <row r="59" spans="1:12">
      <c r="A59" s="550" t="s">
        <v>386</v>
      </c>
      <c r="B59" s="458">
        <v>14295</v>
      </c>
      <c r="C59" s="458">
        <v>617</v>
      </c>
      <c r="D59" s="284">
        <f t="shared" si="24"/>
        <v>13678</v>
      </c>
      <c r="E59" s="461">
        <v>4264</v>
      </c>
      <c r="F59" s="202">
        <f t="shared" ref="F59" si="30">D59-E59</f>
        <v>9414</v>
      </c>
      <c r="G59" s="203">
        <v>0.3</v>
      </c>
      <c r="H59" s="202">
        <f t="shared" si="25"/>
        <v>1279.2</v>
      </c>
      <c r="I59" s="202">
        <f t="shared" si="26"/>
        <v>10693.2</v>
      </c>
      <c r="J59" s="203">
        <v>0.82</v>
      </c>
      <c r="K59" s="202">
        <f t="shared" ref="K59" si="31">I59*J59 + C59</f>
        <v>9385.4240000000009</v>
      </c>
      <c r="L59" s="267">
        <f t="shared" si="27"/>
        <v>0.65655292060160897</v>
      </c>
    </row>
    <row r="60" spans="1:12">
      <c r="A60" s="551"/>
      <c r="B60" s="366">
        <v>0</v>
      </c>
      <c r="C60" s="367">
        <v>0</v>
      </c>
      <c r="D60" s="368">
        <f t="shared" si="24"/>
        <v>0</v>
      </c>
      <c r="E60" s="366">
        <v>0</v>
      </c>
      <c r="F60" s="369">
        <f>D60-E60</f>
        <v>0</v>
      </c>
      <c r="G60" s="370">
        <v>0.3</v>
      </c>
      <c r="H60" s="369">
        <f t="shared" si="25"/>
        <v>0</v>
      </c>
      <c r="I60" s="369">
        <f t="shared" si="26"/>
        <v>0</v>
      </c>
      <c r="J60" s="370">
        <v>0.92</v>
      </c>
      <c r="K60" s="369">
        <f>I60*J60 + C60</f>
        <v>0</v>
      </c>
      <c r="L60" s="371">
        <f t="shared" si="27"/>
        <v>1</v>
      </c>
    </row>
    <row r="61" spans="1:12">
      <c r="A61" s="550" t="s">
        <v>20</v>
      </c>
      <c r="B61" s="458">
        <v>0</v>
      </c>
      <c r="C61" s="458">
        <v>0</v>
      </c>
      <c r="D61" s="284">
        <f t="shared" si="24"/>
        <v>0</v>
      </c>
      <c r="E61" s="461">
        <v>0</v>
      </c>
      <c r="F61" s="202">
        <f t="shared" ref="F61" si="32">D61-E61</f>
        <v>0</v>
      </c>
      <c r="G61" s="203">
        <v>0.3</v>
      </c>
      <c r="H61" s="202">
        <f t="shared" si="25"/>
        <v>0</v>
      </c>
      <c r="I61" s="202">
        <f t="shared" si="26"/>
        <v>0</v>
      </c>
      <c r="J61" s="203">
        <v>0.82</v>
      </c>
      <c r="K61" s="202">
        <f t="shared" ref="K61" si="33">I61*J61 + C61</f>
        <v>0</v>
      </c>
      <c r="L61" s="267">
        <f t="shared" si="27"/>
        <v>1</v>
      </c>
    </row>
    <row r="62" spans="1:12">
      <c r="A62" s="551"/>
      <c r="B62" s="366">
        <v>0</v>
      </c>
      <c r="C62" s="367">
        <v>0</v>
      </c>
      <c r="D62" s="368">
        <f t="shared" si="24"/>
        <v>0</v>
      </c>
      <c r="E62" s="366">
        <v>0</v>
      </c>
      <c r="F62" s="369">
        <f>D62-E62</f>
        <v>0</v>
      </c>
      <c r="G62" s="370">
        <v>0.3</v>
      </c>
      <c r="H62" s="369">
        <f t="shared" si="25"/>
        <v>0</v>
      </c>
      <c r="I62" s="369">
        <f t="shared" si="26"/>
        <v>0</v>
      </c>
      <c r="J62" s="370">
        <v>0.92</v>
      </c>
      <c r="K62" s="369">
        <f>I62*J62 + C62</f>
        <v>0</v>
      </c>
      <c r="L62" s="371">
        <f t="shared" si="27"/>
        <v>1</v>
      </c>
    </row>
    <row r="63" spans="1:12">
      <c r="A63" s="550" t="s">
        <v>387</v>
      </c>
      <c r="B63" s="458">
        <v>9172</v>
      </c>
      <c r="C63" s="458">
        <v>2477</v>
      </c>
      <c r="D63" s="284">
        <f t="shared" si="24"/>
        <v>6695</v>
      </c>
      <c r="E63" s="461">
        <v>1733</v>
      </c>
      <c r="F63" s="202">
        <f t="shared" ref="F63" si="34">D63-E63</f>
        <v>4962</v>
      </c>
      <c r="G63" s="203">
        <v>0.3</v>
      </c>
      <c r="H63" s="202">
        <f t="shared" si="25"/>
        <v>519.9</v>
      </c>
      <c r="I63" s="202">
        <f t="shared" si="26"/>
        <v>5481.9</v>
      </c>
      <c r="J63" s="203">
        <v>0.82</v>
      </c>
      <c r="K63" s="202">
        <f t="shared" ref="K63" si="35">I63*J63 + C63</f>
        <v>6972.1579999999994</v>
      </c>
      <c r="L63" s="267">
        <f t="shared" si="27"/>
        <v>0.76015678150894017</v>
      </c>
    </row>
    <row r="64" spans="1:12">
      <c r="A64" s="551"/>
      <c r="B64" s="366">
        <v>0</v>
      </c>
      <c r="C64" s="367">
        <v>0</v>
      </c>
      <c r="D64" s="368">
        <f t="shared" si="24"/>
        <v>0</v>
      </c>
      <c r="E64" s="366">
        <v>0</v>
      </c>
      <c r="F64" s="369">
        <f>D64-E64</f>
        <v>0</v>
      </c>
      <c r="G64" s="370">
        <v>0.3</v>
      </c>
      <c r="H64" s="369">
        <f t="shared" si="25"/>
        <v>0</v>
      </c>
      <c r="I64" s="369">
        <f t="shared" si="26"/>
        <v>0</v>
      </c>
      <c r="J64" s="370">
        <v>0.92</v>
      </c>
      <c r="K64" s="369">
        <f>I64*J64 + C64</f>
        <v>0</v>
      </c>
      <c r="L64" s="371">
        <f t="shared" si="27"/>
        <v>1</v>
      </c>
    </row>
    <row r="65" spans="1:12">
      <c r="A65" s="550" t="s">
        <v>388</v>
      </c>
      <c r="B65" s="458">
        <v>21005</v>
      </c>
      <c r="C65" s="458">
        <v>2307</v>
      </c>
      <c r="D65" s="284">
        <f t="shared" si="24"/>
        <v>18698</v>
      </c>
      <c r="E65" s="461">
        <v>7235</v>
      </c>
      <c r="F65" s="202">
        <f t="shared" ref="F65" si="36">D65-E65</f>
        <v>11463</v>
      </c>
      <c r="G65" s="203">
        <v>0.3</v>
      </c>
      <c r="H65" s="202">
        <f t="shared" si="25"/>
        <v>2170.5</v>
      </c>
      <c r="I65" s="202">
        <f t="shared" si="26"/>
        <v>13633.5</v>
      </c>
      <c r="J65" s="203">
        <v>0.82</v>
      </c>
      <c r="K65" s="202">
        <f t="shared" ref="K65" si="37">I65*J65 + C65</f>
        <v>13486.47</v>
      </c>
      <c r="L65" s="267">
        <f t="shared" si="27"/>
        <v>0.64205998571768619</v>
      </c>
    </row>
    <row r="66" spans="1:12">
      <c r="A66" s="551"/>
      <c r="B66" s="366">
        <v>0</v>
      </c>
      <c r="C66" s="367">
        <v>0</v>
      </c>
      <c r="D66" s="368">
        <f t="shared" si="24"/>
        <v>0</v>
      </c>
      <c r="E66" s="366">
        <v>0</v>
      </c>
      <c r="F66" s="369">
        <f>D66-E66</f>
        <v>0</v>
      </c>
      <c r="G66" s="370">
        <v>0.3</v>
      </c>
      <c r="H66" s="369">
        <f t="shared" si="25"/>
        <v>0</v>
      </c>
      <c r="I66" s="369">
        <f t="shared" si="26"/>
        <v>0</v>
      </c>
      <c r="J66" s="370">
        <v>0.92</v>
      </c>
      <c r="K66" s="369">
        <f>I66*J66 + C66</f>
        <v>0</v>
      </c>
      <c r="L66" s="371">
        <f t="shared" si="27"/>
        <v>1</v>
      </c>
    </row>
    <row r="67" spans="1:12">
      <c r="A67" s="550" t="s">
        <v>389</v>
      </c>
      <c r="B67" s="458">
        <v>660</v>
      </c>
      <c r="C67" s="458">
        <v>88</v>
      </c>
      <c r="D67" s="284">
        <f t="shared" si="24"/>
        <v>572</v>
      </c>
      <c r="E67" s="461">
        <v>212</v>
      </c>
      <c r="F67" s="202">
        <f t="shared" ref="F67" si="38">D67-E67</f>
        <v>360</v>
      </c>
      <c r="G67" s="203">
        <v>0.35</v>
      </c>
      <c r="H67" s="202">
        <f t="shared" si="25"/>
        <v>74.199999999999989</v>
      </c>
      <c r="I67" s="202">
        <f t="shared" si="26"/>
        <v>434.2</v>
      </c>
      <c r="J67" s="203">
        <v>0.82</v>
      </c>
      <c r="K67" s="202">
        <f t="shared" ref="K67" si="39">I67*J67 + C67</f>
        <v>444.04399999999998</v>
      </c>
      <c r="L67" s="267">
        <f t="shared" si="27"/>
        <v>0.67279393939393939</v>
      </c>
    </row>
    <row r="68" spans="1:12">
      <c r="A68" s="551"/>
      <c r="B68" s="366">
        <v>0</v>
      </c>
      <c r="C68" s="367">
        <v>0</v>
      </c>
      <c r="D68" s="368">
        <f t="shared" si="24"/>
        <v>0</v>
      </c>
      <c r="E68" s="366">
        <v>0</v>
      </c>
      <c r="F68" s="369">
        <f>D68-E68</f>
        <v>0</v>
      </c>
      <c r="G68" s="370">
        <v>0.35</v>
      </c>
      <c r="H68" s="369">
        <f t="shared" si="25"/>
        <v>0</v>
      </c>
      <c r="I68" s="369">
        <f t="shared" si="26"/>
        <v>0</v>
      </c>
      <c r="J68" s="370">
        <v>0.92</v>
      </c>
      <c r="K68" s="369">
        <f>I68*J68 + C68</f>
        <v>0</v>
      </c>
      <c r="L68" s="371">
        <f t="shared" si="27"/>
        <v>1</v>
      </c>
    </row>
    <row r="69" spans="1:12">
      <c r="A69" s="550" t="s">
        <v>390</v>
      </c>
      <c r="B69" s="458">
        <v>15780</v>
      </c>
      <c r="C69" s="458">
        <v>2064</v>
      </c>
      <c r="D69" s="284">
        <f t="shared" si="24"/>
        <v>13716</v>
      </c>
      <c r="E69" s="461">
        <v>4614</v>
      </c>
      <c r="F69" s="202">
        <f t="shared" ref="F69" si="40">D69-E69</f>
        <v>9102</v>
      </c>
      <c r="G69" s="203">
        <v>0.35</v>
      </c>
      <c r="H69" s="202">
        <f t="shared" si="25"/>
        <v>1614.8999999999999</v>
      </c>
      <c r="I69" s="202">
        <f t="shared" si="26"/>
        <v>10716.9</v>
      </c>
      <c r="J69" s="203">
        <v>0.82</v>
      </c>
      <c r="K69" s="202">
        <f t="shared" ref="K69" si="41">I69*J69 + C69</f>
        <v>10851.857999999998</v>
      </c>
      <c r="L69" s="267">
        <f t="shared" si="27"/>
        <v>0.68769695817490484</v>
      </c>
    </row>
    <row r="70" spans="1:12">
      <c r="A70" s="551"/>
      <c r="B70" s="366">
        <v>0</v>
      </c>
      <c r="C70" s="367">
        <v>0</v>
      </c>
      <c r="D70" s="368">
        <f t="shared" si="24"/>
        <v>0</v>
      </c>
      <c r="E70" s="366">
        <v>0</v>
      </c>
      <c r="F70" s="369">
        <f>D70-E70</f>
        <v>0</v>
      </c>
      <c r="G70" s="370">
        <v>0.35</v>
      </c>
      <c r="H70" s="369">
        <f t="shared" si="25"/>
        <v>0</v>
      </c>
      <c r="I70" s="369">
        <f t="shared" si="26"/>
        <v>0</v>
      </c>
      <c r="J70" s="370">
        <v>0.92</v>
      </c>
      <c r="K70" s="369">
        <f>I70*J70 + C70</f>
        <v>0</v>
      </c>
      <c r="L70" s="371">
        <f t="shared" si="27"/>
        <v>1</v>
      </c>
    </row>
    <row r="71" spans="1:12">
      <c r="A71" s="550" t="s">
        <v>391</v>
      </c>
      <c r="B71" s="458">
        <v>813</v>
      </c>
      <c r="C71" s="458">
        <v>5</v>
      </c>
      <c r="D71" s="284">
        <f t="shared" si="24"/>
        <v>808</v>
      </c>
      <c r="E71" s="461">
        <v>406</v>
      </c>
      <c r="F71" s="202">
        <f t="shared" ref="F71" si="42">D71-E71</f>
        <v>402</v>
      </c>
      <c r="G71" s="203">
        <v>0.35</v>
      </c>
      <c r="H71" s="202">
        <f t="shared" si="25"/>
        <v>142.1</v>
      </c>
      <c r="I71" s="202">
        <f t="shared" si="26"/>
        <v>544.1</v>
      </c>
      <c r="J71" s="203">
        <v>0.82</v>
      </c>
      <c r="K71" s="202">
        <f t="shared" ref="K71" si="43">I71*J71 + C71</f>
        <v>451.16199999999998</v>
      </c>
      <c r="L71" s="267">
        <f t="shared" si="27"/>
        <v>0.55493480934809347</v>
      </c>
    </row>
    <row r="72" spans="1:12">
      <c r="A72" s="551"/>
      <c r="B72" s="366">
        <v>0</v>
      </c>
      <c r="C72" s="367">
        <v>0</v>
      </c>
      <c r="D72" s="368">
        <f t="shared" si="24"/>
        <v>0</v>
      </c>
      <c r="E72" s="366">
        <v>0</v>
      </c>
      <c r="F72" s="369">
        <f>D72-E72</f>
        <v>0</v>
      </c>
      <c r="G72" s="370">
        <v>0.35</v>
      </c>
      <c r="H72" s="369">
        <f t="shared" si="25"/>
        <v>0</v>
      </c>
      <c r="I72" s="369">
        <f t="shared" si="26"/>
        <v>0</v>
      </c>
      <c r="J72" s="370">
        <v>0.92</v>
      </c>
      <c r="K72" s="369">
        <f>I72*J72 + C72</f>
        <v>0</v>
      </c>
      <c r="L72" s="371">
        <f t="shared" si="27"/>
        <v>1</v>
      </c>
    </row>
    <row r="73" spans="1:12">
      <c r="A73" s="204" t="s">
        <v>392</v>
      </c>
      <c r="B73" s="458">
        <v>0</v>
      </c>
      <c r="C73" s="458">
        <v>0</v>
      </c>
      <c r="D73" s="284">
        <f t="shared" si="24"/>
        <v>0</v>
      </c>
      <c r="E73" s="461">
        <v>0</v>
      </c>
      <c r="F73" s="202">
        <f t="shared" ref="F73:F74" si="44">D73-E73</f>
        <v>0</v>
      </c>
      <c r="G73" s="140">
        <v>0.3</v>
      </c>
      <c r="H73" s="186">
        <f t="shared" si="25"/>
        <v>0</v>
      </c>
      <c r="I73" s="186">
        <f t="shared" si="26"/>
        <v>0</v>
      </c>
      <c r="J73" s="140">
        <v>0.82</v>
      </c>
      <c r="K73" s="202">
        <f t="shared" ref="K73:K74" si="45">I73*J73 + C73</f>
        <v>0</v>
      </c>
      <c r="L73" s="268">
        <f t="shared" si="27"/>
        <v>1</v>
      </c>
    </row>
    <row r="74" spans="1:12">
      <c r="A74" s="550" t="s">
        <v>393</v>
      </c>
      <c r="B74" s="458">
        <v>8121</v>
      </c>
      <c r="C74" s="458">
        <v>269</v>
      </c>
      <c r="D74" s="284">
        <f t="shared" si="24"/>
        <v>7852</v>
      </c>
      <c r="E74" s="461">
        <v>2352</v>
      </c>
      <c r="F74" s="202">
        <f t="shared" si="44"/>
        <v>5500</v>
      </c>
      <c r="G74" s="203">
        <v>0.31</v>
      </c>
      <c r="H74" s="202">
        <f t="shared" si="25"/>
        <v>729.12</v>
      </c>
      <c r="I74" s="202">
        <f t="shared" si="26"/>
        <v>6229.12</v>
      </c>
      <c r="J74" s="203">
        <v>0.82</v>
      </c>
      <c r="K74" s="202">
        <f t="shared" si="45"/>
        <v>5376.8783999999996</v>
      </c>
      <c r="L74" s="267">
        <f t="shared" si="27"/>
        <v>0.66209560398965639</v>
      </c>
    </row>
    <row r="75" spans="1:12">
      <c r="A75" s="551"/>
      <c r="B75" s="366">
        <v>0</v>
      </c>
      <c r="C75" s="367">
        <v>0</v>
      </c>
      <c r="D75" s="368">
        <f t="shared" si="24"/>
        <v>0</v>
      </c>
      <c r="E75" s="366">
        <v>0</v>
      </c>
      <c r="F75" s="369">
        <f>D75-E75</f>
        <v>0</v>
      </c>
      <c r="G75" s="370">
        <v>0.31</v>
      </c>
      <c r="H75" s="369">
        <f t="shared" si="25"/>
        <v>0</v>
      </c>
      <c r="I75" s="369">
        <f t="shared" si="26"/>
        <v>0</v>
      </c>
      <c r="J75" s="370">
        <v>0.92</v>
      </c>
      <c r="K75" s="369">
        <f>I75*J75 + C75</f>
        <v>0</v>
      </c>
      <c r="L75" s="371">
        <f t="shared" si="27"/>
        <v>1</v>
      </c>
    </row>
    <row r="76" spans="1:12">
      <c r="A76" s="201" t="s">
        <v>412</v>
      </c>
      <c r="B76" s="458">
        <v>539</v>
      </c>
      <c r="C76" s="458">
        <v>0</v>
      </c>
      <c r="D76" s="284">
        <f t="shared" si="24"/>
        <v>539</v>
      </c>
      <c r="E76" s="461">
        <v>497</v>
      </c>
      <c r="F76" s="202">
        <f t="shared" ref="F76:F78" si="46">D76-E76</f>
        <v>42</v>
      </c>
      <c r="G76" s="203">
        <v>0.23</v>
      </c>
      <c r="H76" s="202">
        <f>E76*G76</f>
        <v>114.31</v>
      </c>
      <c r="I76" s="202">
        <f>F76+H76</f>
        <v>156.31</v>
      </c>
      <c r="J76" s="203">
        <v>0.82</v>
      </c>
      <c r="K76" s="202">
        <f t="shared" ref="K76:K78" si="47">I76*J76 + C76</f>
        <v>128.17419999999998</v>
      </c>
      <c r="L76" s="267">
        <f t="shared" si="27"/>
        <v>0.23779999999999998</v>
      </c>
    </row>
    <row r="77" spans="1:12" ht="25.5">
      <c r="A77" s="201" t="s">
        <v>413</v>
      </c>
      <c r="B77" s="458">
        <v>17007</v>
      </c>
      <c r="C77" s="458">
        <v>1026</v>
      </c>
      <c r="D77" s="284">
        <f t="shared" si="24"/>
        <v>15981</v>
      </c>
      <c r="E77" s="461">
        <v>7928</v>
      </c>
      <c r="F77" s="202">
        <f t="shared" si="46"/>
        <v>8053</v>
      </c>
      <c r="G77" s="203">
        <v>0.23</v>
      </c>
      <c r="H77" s="202">
        <f t="shared" ref="H77:H78" si="48">E77*G77</f>
        <v>1823.44</v>
      </c>
      <c r="I77" s="202">
        <f t="shared" ref="I77:I78" si="49">F77+H77</f>
        <v>9876.44</v>
      </c>
      <c r="J77" s="203">
        <v>0.82</v>
      </c>
      <c r="K77" s="202">
        <f t="shared" si="47"/>
        <v>9124.6808000000001</v>
      </c>
      <c r="L77" s="267">
        <f t="shared" si="27"/>
        <v>0.53652500734991471</v>
      </c>
    </row>
    <row r="78" spans="1:12" ht="25.5">
      <c r="A78" s="201" t="s">
        <v>394</v>
      </c>
      <c r="B78" s="458">
        <v>30608</v>
      </c>
      <c r="C78" s="458">
        <v>2648</v>
      </c>
      <c r="D78" s="284">
        <f t="shared" si="24"/>
        <v>27960</v>
      </c>
      <c r="E78" s="461">
        <v>16558</v>
      </c>
      <c r="F78" s="202">
        <f t="shared" si="46"/>
        <v>11402</v>
      </c>
      <c r="G78" s="203">
        <v>0.23</v>
      </c>
      <c r="H78" s="202">
        <f t="shared" si="48"/>
        <v>3808.34</v>
      </c>
      <c r="I78" s="202">
        <f t="shared" si="49"/>
        <v>15210.34</v>
      </c>
      <c r="J78" s="203">
        <v>0.82</v>
      </c>
      <c r="K78" s="202">
        <f t="shared" si="47"/>
        <v>15120.478799999999</v>
      </c>
      <c r="L78" s="267">
        <f t="shared" si="27"/>
        <v>0.49400414270778881</v>
      </c>
    </row>
    <row r="79" spans="1:12" ht="40.5" customHeight="1">
      <c r="A79" s="190"/>
      <c r="D79" s="191"/>
      <c r="F79" s="112"/>
      <c r="G79" s="110"/>
      <c r="H79" s="110"/>
      <c r="I79" s="112"/>
      <c r="J79" s="110"/>
      <c r="K79" s="112"/>
    </row>
    <row r="80" spans="1:12">
      <c r="B80" s="143"/>
    </row>
    <row r="81" spans="1:12">
      <c r="A81" s="192">
        <v>2019</v>
      </c>
      <c r="B81" s="193"/>
    </row>
    <row r="82" spans="1:12">
      <c r="A82" s="194" t="s">
        <v>335</v>
      </c>
    </row>
    <row r="83" spans="1:12">
      <c r="A83" s="334" t="s">
        <v>336</v>
      </c>
      <c r="B83" s="195" t="s">
        <v>337</v>
      </c>
      <c r="C83" s="195" t="s">
        <v>338</v>
      </c>
      <c r="D83" s="195" t="s">
        <v>339</v>
      </c>
      <c r="E83" s="195" t="s">
        <v>340</v>
      </c>
      <c r="F83" s="195" t="s">
        <v>341</v>
      </c>
      <c r="G83" s="195" t="s">
        <v>342</v>
      </c>
      <c r="H83" s="195" t="s">
        <v>343</v>
      </c>
      <c r="I83" s="195" t="s">
        <v>344</v>
      </c>
      <c r="J83" s="195" t="s">
        <v>345</v>
      </c>
      <c r="K83" s="196" t="s">
        <v>346</v>
      </c>
      <c r="L83" s="270" t="s">
        <v>554</v>
      </c>
    </row>
    <row r="84" spans="1:12">
      <c r="A84" s="197" t="s">
        <v>305</v>
      </c>
      <c r="B84" s="289" t="s">
        <v>347</v>
      </c>
      <c r="C84" s="289" t="s">
        <v>348</v>
      </c>
      <c r="D84" s="271" t="s">
        <v>555</v>
      </c>
      <c r="E84" s="289" t="s">
        <v>349</v>
      </c>
      <c r="F84" s="289" t="s">
        <v>350</v>
      </c>
      <c r="G84" s="289" t="s">
        <v>351</v>
      </c>
      <c r="H84" s="289" t="s">
        <v>352</v>
      </c>
      <c r="I84" s="289" t="s">
        <v>353</v>
      </c>
      <c r="J84" s="198" t="s">
        <v>359</v>
      </c>
      <c r="K84" s="289" t="s">
        <v>354</v>
      </c>
      <c r="L84" s="290" t="s">
        <v>355</v>
      </c>
    </row>
    <row r="85" spans="1:12">
      <c r="A85" s="199"/>
      <c r="B85" s="198" t="s">
        <v>321</v>
      </c>
      <c r="C85" s="198" t="s">
        <v>356</v>
      </c>
      <c r="D85" s="272" t="s">
        <v>321</v>
      </c>
      <c r="E85" s="198" t="s">
        <v>357</v>
      </c>
      <c r="F85" s="198"/>
      <c r="G85" s="198" t="s">
        <v>352</v>
      </c>
      <c r="H85" s="198"/>
      <c r="I85" s="198" t="s">
        <v>358</v>
      </c>
      <c r="J85" s="198" t="s">
        <v>363</v>
      </c>
      <c r="K85" s="198" t="s">
        <v>360</v>
      </c>
      <c r="L85" s="200" t="s">
        <v>361</v>
      </c>
    </row>
    <row r="86" spans="1:12">
      <c r="A86" s="199"/>
      <c r="B86" s="198"/>
      <c r="C86" s="198"/>
      <c r="D86" s="198"/>
      <c r="E86" s="198"/>
      <c r="F86" s="198"/>
      <c r="G86" s="198" t="s">
        <v>362</v>
      </c>
      <c r="H86" s="198"/>
      <c r="I86" s="198"/>
      <c r="J86" s="198" t="s">
        <v>365</v>
      </c>
      <c r="K86" s="198" t="s">
        <v>364</v>
      </c>
      <c r="L86" s="200" t="s">
        <v>305</v>
      </c>
    </row>
    <row r="87" spans="1:12">
      <c r="A87" s="199"/>
      <c r="B87" s="198"/>
      <c r="C87" s="198"/>
      <c r="D87" s="198"/>
      <c r="E87" s="198"/>
      <c r="F87" s="198"/>
      <c r="G87" s="198"/>
      <c r="H87" s="198"/>
      <c r="I87" s="198"/>
      <c r="J87" s="198" t="s">
        <v>367</v>
      </c>
      <c r="K87" s="198" t="s">
        <v>366</v>
      </c>
      <c r="L87" s="200" t="s">
        <v>321</v>
      </c>
    </row>
    <row r="88" spans="1:12">
      <c r="A88" s="199"/>
      <c r="B88" s="198"/>
      <c r="C88" s="198"/>
      <c r="D88" s="198"/>
      <c r="E88" s="198"/>
      <c r="F88" s="198"/>
      <c r="G88" s="198"/>
      <c r="H88" s="198"/>
      <c r="I88" s="198"/>
      <c r="J88" s="198" t="s">
        <v>368</v>
      </c>
      <c r="K88" s="198" t="s">
        <v>303</v>
      </c>
      <c r="L88" s="200"/>
    </row>
    <row r="89" spans="1:12">
      <c r="A89" s="197" t="s">
        <v>369</v>
      </c>
      <c r="B89" s="289" t="s">
        <v>370</v>
      </c>
      <c r="C89" s="289" t="s">
        <v>371</v>
      </c>
      <c r="D89" s="271" t="s">
        <v>556</v>
      </c>
      <c r="E89" s="289" t="s">
        <v>372</v>
      </c>
      <c r="F89" s="271" t="s">
        <v>557</v>
      </c>
      <c r="G89" s="289" t="s">
        <v>373</v>
      </c>
      <c r="H89" s="271" t="s">
        <v>558</v>
      </c>
      <c r="I89" s="271" t="s">
        <v>559</v>
      </c>
      <c r="J89" s="289" t="s">
        <v>374</v>
      </c>
      <c r="K89" s="271" t="s">
        <v>560</v>
      </c>
      <c r="L89" s="273" t="s">
        <v>562</v>
      </c>
    </row>
    <row r="90" spans="1:12">
      <c r="A90" s="199"/>
      <c r="B90" s="198" t="s">
        <v>321</v>
      </c>
      <c r="C90" s="198" t="s">
        <v>375</v>
      </c>
      <c r="D90" s="198"/>
      <c r="E90" s="198" t="s">
        <v>376</v>
      </c>
      <c r="F90" s="198"/>
      <c r="G90" s="198" t="s">
        <v>36</v>
      </c>
      <c r="H90" s="272" t="s">
        <v>342</v>
      </c>
      <c r="I90" s="272" t="s">
        <v>343</v>
      </c>
      <c r="J90" s="198" t="s">
        <v>377</v>
      </c>
      <c r="K90" s="272" t="s">
        <v>561</v>
      </c>
      <c r="L90" s="200"/>
    </row>
    <row r="91" spans="1:12">
      <c r="A91" s="199"/>
      <c r="B91" s="198"/>
      <c r="C91" s="198" t="s">
        <v>378</v>
      </c>
      <c r="D91" s="198"/>
      <c r="E91" s="198" t="s">
        <v>379</v>
      </c>
      <c r="F91" s="198"/>
      <c r="G91" s="198" t="s">
        <v>380</v>
      </c>
      <c r="H91" s="198"/>
      <c r="I91" s="198"/>
      <c r="J91" s="198"/>
      <c r="K91" s="272" t="s">
        <v>338</v>
      </c>
      <c r="L91" s="200"/>
    </row>
    <row r="92" spans="1:12">
      <c r="A92" s="199"/>
      <c r="B92" s="198"/>
      <c r="C92" s="198"/>
      <c r="D92" s="198"/>
      <c r="E92" s="198"/>
      <c r="F92" s="198"/>
      <c r="G92" s="198" t="s">
        <v>381</v>
      </c>
      <c r="H92" s="198"/>
      <c r="I92" s="198"/>
      <c r="J92" s="198"/>
      <c r="K92" s="198"/>
      <c r="L92" s="200"/>
    </row>
    <row r="93" spans="1:12">
      <c r="A93" s="364" t="s">
        <v>643</v>
      </c>
      <c r="B93" s="198"/>
      <c r="C93" s="198"/>
      <c r="D93" s="198"/>
      <c r="E93" s="198"/>
      <c r="F93" s="198"/>
      <c r="G93" s="198" t="s">
        <v>382</v>
      </c>
      <c r="H93" s="198"/>
      <c r="I93" s="198"/>
      <c r="J93" s="198"/>
      <c r="K93" s="198"/>
      <c r="L93" s="200"/>
    </row>
    <row r="94" spans="1:12">
      <c r="A94" s="365" t="s">
        <v>644</v>
      </c>
      <c r="B94" s="198"/>
      <c r="C94" s="198"/>
      <c r="D94" s="198"/>
      <c r="E94" s="198"/>
      <c r="F94" s="198"/>
      <c r="G94" s="198" t="s">
        <v>383</v>
      </c>
      <c r="H94" s="198"/>
      <c r="I94" s="198"/>
      <c r="J94" s="198"/>
      <c r="K94" s="198"/>
      <c r="L94" s="200"/>
    </row>
    <row r="95" spans="1:12">
      <c r="A95" s="550" t="s">
        <v>384</v>
      </c>
      <c r="B95" s="467">
        <v>9734</v>
      </c>
      <c r="C95" s="468">
        <v>601</v>
      </c>
      <c r="D95" s="284">
        <f t="shared" ref="D95:D118" si="50">B95-C95</f>
        <v>9133</v>
      </c>
      <c r="E95" s="467">
        <v>279</v>
      </c>
      <c r="F95" s="202">
        <f>D95-E95</f>
        <v>8854</v>
      </c>
      <c r="G95" s="203">
        <v>0.3</v>
      </c>
      <c r="H95" s="202">
        <f t="shared" ref="H95:H115" si="51">E95*G95</f>
        <v>83.7</v>
      </c>
      <c r="I95" s="202">
        <f t="shared" ref="I95:I115" si="52">F95+H95</f>
        <v>8937.7000000000007</v>
      </c>
      <c r="J95" s="203">
        <v>0.82</v>
      </c>
      <c r="K95" s="202">
        <f>I95*J95 + C95</f>
        <v>7929.9139999999998</v>
      </c>
      <c r="L95" s="203">
        <f t="shared" ref="L95:L118" si="53">IF(B95&gt;0, K95/B95, 1)</f>
        <v>0.81466139305527019</v>
      </c>
    </row>
    <row r="96" spans="1:12">
      <c r="A96" s="551"/>
      <c r="B96" s="366">
        <v>1864</v>
      </c>
      <c r="C96" s="367">
        <v>267</v>
      </c>
      <c r="D96" s="368">
        <f t="shared" si="50"/>
        <v>1597</v>
      </c>
      <c r="E96" s="366">
        <v>0</v>
      </c>
      <c r="F96" s="369">
        <f>D96-E96</f>
        <v>1597</v>
      </c>
      <c r="G96" s="370">
        <v>0.3</v>
      </c>
      <c r="H96" s="369">
        <f t="shared" si="51"/>
        <v>0</v>
      </c>
      <c r="I96" s="369">
        <f t="shared" si="52"/>
        <v>1597</v>
      </c>
      <c r="J96" s="370">
        <v>0.92</v>
      </c>
      <c r="K96" s="369">
        <f>I96*J96 + C96</f>
        <v>1736.24</v>
      </c>
      <c r="L96" s="371">
        <f t="shared" si="53"/>
        <v>0.93145922746781118</v>
      </c>
    </row>
    <row r="97" spans="1:12">
      <c r="A97" s="550" t="s">
        <v>385</v>
      </c>
      <c r="B97" s="468">
        <v>0</v>
      </c>
      <c r="C97" s="468">
        <v>0</v>
      </c>
      <c r="D97" s="284">
        <f t="shared" si="50"/>
        <v>0</v>
      </c>
      <c r="E97" s="467">
        <v>0</v>
      </c>
      <c r="F97" s="202">
        <f t="shared" ref="F97" si="54">D97-E97</f>
        <v>0</v>
      </c>
      <c r="G97" s="203">
        <v>0.3</v>
      </c>
      <c r="H97" s="202">
        <f t="shared" si="51"/>
        <v>0</v>
      </c>
      <c r="I97" s="202">
        <f t="shared" si="52"/>
        <v>0</v>
      </c>
      <c r="J97" s="203">
        <v>0.82</v>
      </c>
      <c r="K97" s="202">
        <f t="shared" ref="K97" si="55">I97*J97 + C97</f>
        <v>0</v>
      </c>
      <c r="L97" s="203">
        <f t="shared" si="53"/>
        <v>1</v>
      </c>
    </row>
    <row r="98" spans="1:12">
      <c r="A98" s="551"/>
      <c r="B98" s="366">
        <v>0</v>
      </c>
      <c r="C98" s="367">
        <v>0</v>
      </c>
      <c r="D98" s="368">
        <f t="shared" si="50"/>
        <v>0</v>
      </c>
      <c r="E98" s="366">
        <v>0</v>
      </c>
      <c r="F98" s="369">
        <f>D98-E98</f>
        <v>0</v>
      </c>
      <c r="G98" s="370">
        <v>0.3</v>
      </c>
      <c r="H98" s="369">
        <f t="shared" si="51"/>
        <v>0</v>
      </c>
      <c r="I98" s="369">
        <f t="shared" si="52"/>
        <v>0</v>
      </c>
      <c r="J98" s="370">
        <v>0.92</v>
      </c>
      <c r="K98" s="369">
        <f>I98*J98 + C98</f>
        <v>0</v>
      </c>
      <c r="L98" s="371">
        <f t="shared" si="53"/>
        <v>1</v>
      </c>
    </row>
    <row r="99" spans="1:12">
      <c r="A99" s="550" t="s">
        <v>386</v>
      </c>
      <c r="B99" s="468">
        <v>16468</v>
      </c>
      <c r="C99" s="468">
        <v>655</v>
      </c>
      <c r="D99" s="284">
        <f t="shared" si="50"/>
        <v>15813</v>
      </c>
      <c r="E99" s="467">
        <v>4511</v>
      </c>
      <c r="F99" s="202">
        <f t="shared" ref="F99" si="56">D99-E99</f>
        <v>11302</v>
      </c>
      <c r="G99" s="203">
        <v>0.3</v>
      </c>
      <c r="H99" s="202">
        <f t="shared" si="51"/>
        <v>1353.3</v>
      </c>
      <c r="I99" s="202">
        <f t="shared" si="52"/>
        <v>12655.3</v>
      </c>
      <c r="J99" s="203">
        <v>0.82</v>
      </c>
      <c r="K99" s="202">
        <f t="shared" ref="K99" si="57">I99*J99 + C99</f>
        <v>11032.346</v>
      </c>
      <c r="L99" s="267">
        <f t="shared" si="53"/>
        <v>0.66992628127277143</v>
      </c>
    </row>
    <row r="100" spans="1:12">
      <c r="A100" s="551"/>
      <c r="B100" s="366">
        <v>0</v>
      </c>
      <c r="C100" s="367">
        <v>0</v>
      </c>
      <c r="D100" s="368">
        <f t="shared" si="50"/>
        <v>0</v>
      </c>
      <c r="E100" s="366">
        <v>0</v>
      </c>
      <c r="F100" s="369">
        <f>D100-E100</f>
        <v>0</v>
      </c>
      <c r="G100" s="370">
        <v>0.3</v>
      </c>
      <c r="H100" s="369">
        <f t="shared" si="51"/>
        <v>0</v>
      </c>
      <c r="I100" s="369">
        <f t="shared" si="52"/>
        <v>0</v>
      </c>
      <c r="J100" s="370">
        <v>0.92</v>
      </c>
      <c r="K100" s="369">
        <f>I100*J100 + C100</f>
        <v>0</v>
      </c>
      <c r="L100" s="371">
        <f t="shared" si="53"/>
        <v>1</v>
      </c>
    </row>
    <row r="101" spans="1:12">
      <c r="A101" s="550" t="s">
        <v>20</v>
      </c>
      <c r="B101" s="468">
        <v>5728</v>
      </c>
      <c r="C101" s="468">
        <v>0</v>
      </c>
      <c r="D101" s="284">
        <f t="shared" si="50"/>
        <v>5728</v>
      </c>
      <c r="E101" s="467">
        <v>1094</v>
      </c>
      <c r="F101" s="202">
        <f t="shared" ref="F101" si="58">D101-E101</f>
        <v>4634</v>
      </c>
      <c r="G101" s="203">
        <v>0.3</v>
      </c>
      <c r="H101" s="202">
        <f t="shared" si="51"/>
        <v>328.2</v>
      </c>
      <c r="I101" s="202">
        <f t="shared" si="52"/>
        <v>4962.2</v>
      </c>
      <c r="J101" s="203">
        <v>0.82</v>
      </c>
      <c r="K101" s="202">
        <f t="shared" ref="K101" si="59">I101*J101 + C101</f>
        <v>4069.0039999999995</v>
      </c>
      <c r="L101" s="267">
        <f t="shared" si="53"/>
        <v>0.71037081005586578</v>
      </c>
    </row>
    <row r="102" spans="1:12">
      <c r="A102" s="551"/>
      <c r="B102" s="366">
        <v>44</v>
      </c>
      <c r="C102" s="367">
        <v>0</v>
      </c>
      <c r="D102" s="368">
        <f t="shared" si="50"/>
        <v>44</v>
      </c>
      <c r="E102" s="366">
        <v>0</v>
      </c>
      <c r="F102" s="369">
        <f>D102-E102</f>
        <v>44</v>
      </c>
      <c r="G102" s="370">
        <v>0.3</v>
      </c>
      <c r="H102" s="369">
        <f t="shared" si="51"/>
        <v>0</v>
      </c>
      <c r="I102" s="369">
        <f t="shared" si="52"/>
        <v>44</v>
      </c>
      <c r="J102" s="370">
        <v>0.92</v>
      </c>
      <c r="K102" s="369">
        <f>I102*J102 + C102</f>
        <v>40.480000000000004</v>
      </c>
      <c r="L102" s="371">
        <f t="shared" si="53"/>
        <v>0.92</v>
      </c>
    </row>
    <row r="103" spans="1:12">
      <c r="A103" s="550" t="s">
        <v>387</v>
      </c>
      <c r="B103" s="468">
        <v>8186</v>
      </c>
      <c r="C103" s="468">
        <v>4279</v>
      </c>
      <c r="D103" s="284">
        <f t="shared" si="50"/>
        <v>3907</v>
      </c>
      <c r="E103" s="467">
        <v>1913</v>
      </c>
      <c r="F103" s="202">
        <f t="shared" ref="F103" si="60">D103-E103</f>
        <v>1994</v>
      </c>
      <c r="G103" s="203">
        <v>0.3</v>
      </c>
      <c r="H103" s="202">
        <f t="shared" si="51"/>
        <v>573.9</v>
      </c>
      <c r="I103" s="202">
        <f t="shared" si="52"/>
        <v>2567.9</v>
      </c>
      <c r="J103" s="203">
        <v>0.82</v>
      </c>
      <c r="K103" s="202">
        <f t="shared" ref="K103" si="61">I103*J103 + C103</f>
        <v>6384.6779999999999</v>
      </c>
      <c r="L103" s="267">
        <f t="shared" si="53"/>
        <v>0.77995089176643051</v>
      </c>
    </row>
    <row r="104" spans="1:12">
      <c r="A104" s="551"/>
      <c r="B104" s="366">
        <v>2353</v>
      </c>
      <c r="C104" s="367">
        <v>0</v>
      </c>
      <c r="D104" s="368">
        <f t="shared" si="50"/>
        <v>2353</v>
      </c>
      <c r="E104" s="366">
        <v>0</v>
      </c>
      <c r="F104" s="369">
        <f>D104-E104</f>
        <v>2353</v>
      </c>
      <c r="G104" s="370">
        <v>0.3</v>
      </c>
      <c r="H104" s="369">
        <f t="shared" si="51"/>
        <v>0</v>
      </c>
      <c r="I104" s="369">
        <f t="shared" si="52"/>
        <v>2353</v>
      </c>
      <c r="J104" s="370">
        <v>0.92</v>
      </c>
      <c r="K104" s="369">
        <f>I104*J104 + C104</f>
        <v>2164.7600000000002</v>
      </c>
      <c r="L104" s="371">
        <f t="shared" si="53"/>
        <v>0.92</v>
      </c>
    </row>
    <row r="105" spans="1:12">
      <c r="A105" s="550" t="s">
        <v>388</v>
      </c>
      <c r="B105" s="468">
        <v>24399</v>
      </c>
      <c r="C105" s="468">
        <v>2276</v>
      </c>
      <c r="D105" s="284">
        <f t="shared" si="50"/>
        <v>22123</v>
      </c>
      <c r="E105" s="467">
        <v>8157</v>
      </c>
      <c r="F105" s="202">
        <f t="shared" ref="F105" si="62">D105-E105</f>
        <v>13966</v>
      </c>
      <c r="G105" s="203">
        <v>0.3</v>
      </c>
      <c r="H105" s="202">
        <f t="shared" si="51"/>
        <v>2447.1</v>
      </c>
      <c r="I105" s="202">
        <f t="shared" si="52"/>
        <v>16413.099999999999</v>
      </c>
      <c r="J105" s="203">
        <v>0.82</v>
      </c>
      <c r="K105" s="202">
        <f t="shared" ref="K105" si="63">I105*J105 + C105</f>
        <v>15734.741999999998</v>
      </c>
      <c r="L105" s="267">
        <f t="shared" si="53"/>
        <v>0.64489290544694444</v>
      </c>
    </row>
    <row r="106" spans="1:12">
      <c r="A106" s="551"/>
      <c r="B106" s="366">
        <v>0</v>
      </c>
      <c r="C106" s="367">
        <v>0</v>
      </c>
      <c r="D106" s="368">
        <f t="shared" si="50"/>
        <v>0</v>
      </c>
      <c r="E106" s="366">
        <v>0</v>
      </c>
      <c r="F106" s="369">
        <f>D106-E106</f>
        <v>0</v>
      </c>
      <c r="G106" s="370">
        <v>0.3</v>
      </c>
      <c r="H106" s="369">
        <f t="shared" si="51"/>
        <v>0</v>
      </c>
      <c r="I106" s="369">
        <f t="shared" si="52"/>
        <v>0</v>
      </c>
      <c r="J106" s="370">
        <v>0.92</v>
      </c>
      <c r="K106" s="369">
        <f>I106*J106 + C106</f>
        <v>0</v>
      </c>
      <c r="L106" s="371">
        <f t="shared" si="53"/>
        <v>1</v>
      </c>
    </row>
    <row r="107" spans="1:12">
      <c r="A107" s="550" t="s">
        <v>389</v>
      </c>
      <c r="B107" s="468">
        <v>2399</v>
      </c>
      <c r="C107" s="468">
        <v>1602</v>
      </c>
      <c r="D107" s="284">
        <f t="shared" si="50"/>
        <v>797</v>
      </c>
      <c r="E107" s="467">
        <v>236</v>
      </c>
      <c r="F107" s="202">
        <f t="shared" ref="F107" si="64">D107-E107</f>
        <v>561</v>
      </c>
      <c r="G107" s="203">
        <v>0.35</v>
      </c>
      <c r="H107" s="202">
        <f t="shared" si="51"/>
        <v>82.6</v>
      </c>
      <c r="I107" s="202">
        <f t="shared" si="52"/>
        <v>643.6</v>
      </c>
      <c r="J107" s="203">
        <v>0.82</v>
      </c>
      <c r="K107" s="202">
        <f t="shared" ref="K107" si="65">I107*J107 + C107</f>
        <v>2129.752</v>
      </c>
      <c r="L107" s="267">
        <f t="shared" si="53"/>
        <v>0.88776656940391829</v>
      </c>
    </row>
    <row r="108" spans="1:12">
      <c r="A108" s="551"/>
      <c r="B108" s="366">
        <v>168</v>
      </c>
      <c r="C108" s="367">
        <v>103</v>
      </c>
      <c r="D108" s="368">
        <f t="shared" si="50"/>
        <v>65</v>
      </c>
      <c r="E108" s="366">
        <v>0</v>
      </c>
      <c r="F108" s="369">
        <f>D108-E108</f>
        <v>65</v>
      </c>
      <c r="G108" s="370">
        <v>0.35</v>
      </c>
      <c r="H108" s="369">
        <f t="shared" si="51"/>
        <v>0</v>
      </c>
      <c r="I108" s="369">
        <f t="shared" si="52"/>
        <v>65</v>
      </c>
      <c r="J108" s="370">
        <v>0.92</v>
      </c>
      <c r="K108" s="369">
        <f>I108*J108 + C108</f>
        <v>162.80000000000001</v>
      </c>
      <c r="L108" s="371">
        <f t="shared" si="53"/>
        <v>0.96904761904761916</v>
      </c>
    </row>
    <row r="109" spans="1:12">
      <c r="A109" s="550" t="s">
        <v>390</v>
      </c>
      <c r="B109" s="468">
        <v>28473</v>
      </c>
      <c r="C109" s="468">
        <v>18636</v>
      </c>
      <c r="D109" s="284">
        <f t="shared" si="50"/>
        <v>9837</v>
      </c>
      <c r="E109" s="467">
        <v>2352</v>
      </c>
      <c r="F109" s="202">
        <f t="shared" ref="F109" si="66">D109-E109</f>
        <v>7485</v>
      </c>
      <c r="G109" s="203">
        <v>0.35</v>
      </c>
      <c r="H109" s="202">
        <f t="shared" si="51"/>
        <v>823.19999999999993</v>
      </c>
      <c r="I109" s="202">
        <f t="shared" si="52"/>
        <v>8308.2000000000007</v>
      </c>
      <c r="J109" s="203">
        <v>0.82</v>
      </c>
      <c r="K109" s="202">
        <f t="shared" ref="K109" si="67">I109*J109 + C109</f>
        <v>25448.724000000002</v>
      </c>
      <c r="L109" s="267">
        <f t="shared" si="53"/>
        <v>0.89378442735222852</v>
      </c>
    </row>
    <row r="110" spans="1:12">
      <c r="A110" s="551"/>
      <c r="B110" s="366">
        <v>0</v>
      </c>
      <c r="C110" s="367">
        <v>0</v>
      </c>
      <c r="D110" s="368">
        <f t="shared" si="50"/>
        <v>0</v>
      </c>
      <c r="E110" s="366">
        <v>0</v>
      </c>
      <c r="F110" s="369">
        <f>D110-E110</f>
        <v>0</v>
      </c>
      <c r="G110" s="370">
        <v>0.35</v>
      </c>
      <c r="H110" s="369">
        <f t="shared" si="51"/>
        <v>0</v>
      </c>
      <c r="I110" s="369">
        <f t="shared" si="52"/>
        <v>0</v>
      </c>
      <c r="J110" s="370">
        <v>0.92</v>
      </c>
      <c r="K110" s="369">
        <f>I110*J110 + C110</f>
        <v>0</v>
      </c>
      <c r="L110" s="371">
        <f t="shared" si="53"/>
        <v>1</v>
      </c>
    </row>
    <row r="111" spans="1:12">
      <c r="A111" s="550" t="s">
        <v>391</v>
      </c>
      <c r="B111" s="468">
        <v>584</v>
      </c>
      <c r="C111" s="468">
        <v>97</v>
      </c>
      <c r="D111" s="284">
        <f t="shared" si="50"/>
        <v>487</v>
      </c>
      <c r="E111" s="467">
        <v>160</v>
      </c>
      <c r="F111" s="202">
        <f t="shared" ref="F111" si="68">D111-E111</f>
        <v>327</v>
      </c>
      <c r="G111" s="203">
        <v>0.35</v>
      </c>
      <c r="H111" s="202">
        <f t="shared" si="51"/>
        <v>56</v>
      </c>
      <c r="I111" s="202">
        <f t="shared" si="52"/>
        <v>383</v>
      </c>
      <c r="J111" s="203">
        <v>0.82</v>
      </c>
      <c r="K111" s="202">
        <f t="shared" ref="K111" si="69">I111*J111 + C111</f>
        <v>411.06</v>
      </c>
      <c r="L111" s="267">
        <f t="shared" si="53"/>
        <v>0.70386986301369858</v>
      </c>
    </row>
    <row r="112" spans="1:12">
      <c r="A112" s="551"/>
      <c r="B112" s="366">
        <v>0</v>
      </c>
      <c r="C112" s="367">
        <v>0</v>
      </c>
      <c r="D112" s="368">
        <f t="shared" si="50"/>
        <v>0</v>
      </c>
      <c r="E112" s="366">
        <v>0</v>
      </c>
      <c r="F112" s="369">
        <f>D112-E112</f>
        <v>0</v>
      </c>
      <c r="G112" s="370">
        <v>0.35</v>
      </c>
      <c r="H112" s="369">
        <f t="shared" si="51"/>
        <v>0</v>
      </c>
      <c r="I112" s="369">
        <f t="shared" si="52"/>
        <v>0</v>
      </c>
      <c r="J112" s="370">
        <v>0.92</v>
      </c>
      <c r="K112" s="369">
        <f>I112*J112 + C112</f>
        <v>0</v>
      </c>
      <c r="L112" s="371">
        <f t="shared" si="53"/>
        <v>1</v>
      </c>
    </row>
    <row r="113" spans="1:12">
      <c r="A113" s="204" t="s">
        <v>392</v>
      </c>
      <c r="B113" s="468">
        <v>1320</v>
      </c>
      <c r="C113" s="468">
        <v>0</v>
      </c>
      <c r="D113" s="284">
        <f t="shared" si="50"/>
        <v>1320</v>
      </c>
      <c r="E113" s="467">
        <v>584</v>
      </c>
      <c r="F113" s="202">
        <f t="shared" ref="F113:F114" si="70">D113-E113</f>
        <v>736</v>
      </c>
      <c r="G113" s="140">
        <v>0.3</v>
      </c>
      <c r="H113" s="186">
        <f t="shared" si="51"/>
        <v>175.2</v>
      </c>
      <c r="I113" s="186">
        <f t="shared" si="52"/>
        <v>911.2</v>
      </c>
      <c r="J113" s="140">
        <v>0.82</v>
      </c>
      <c r="K113" s="202">
        <f t="shared" ref="K113:K114" si="71">I113*J113 + C113</f>
        <v>747.18399999999997</v>
      </c>
      <c r="L113" s="268">
        <f t="shared" si="53"/>
        <v>0.5660484848484848</v>
      </c>
    </row>
    <row r="114" spans="1:12">
      <c r="A114" s="550" t="s">
        <v>393</v>
      </c>
      <c r="B114" s="468">
        <v>6708</v>
      </c>
      <c r="C114" s="468">
        <v>2795</v>
      </c>
      <c r="D114" s="284">
        <f t="shared" si="50"/>
        <v>3913</v>
      </c>
      <c r="E114" s="467">
        <v>1216</v>
      </c>
      <c r="F114" s="202">
        <f t="shared" si="70"/>
        <v>2697</v>
      </c>
      <c r="G114" s="203">
        <v>0.31</v>
      </c>
      <c r="H114" s="202">
        <f t="shared" si="51"/>
        <v>376.96</v>
      </c>
      <c r="I114" s="202">
        <f t="shared" si="52"/>
        <v>3073.96</v>
      </c>
      <c r="J114" s="203">
        <v>0.82</v>
      </c>
      <c r="K114" s="202">
        <f t="shared" si="71"/>
        <v>5315.6471999999994</v>
      </c>
      <c r="L114" s="267">
        <f t="shared" si="53"/>
        <v>0.79243398926654729</v>
      </c>
    </row>
    <row r="115" spans="1:12">
      <c r="A115" s="551"/>
      <c r="B115" s="366">
        <v>1033</v>
      </c>
      <c r="C115" s="367">
        <v>530</v>
      </c>
      <c r="D115" s="368">
        <f t="shared" si="50"/>
        <v>503</v>
      </c>
      <c r="E115" s="366">
        <v>0</v>
      </c>
      <c r="F115" s="369">
        <f>D115-E115</f>
        <v>503</v>
      </c>
      <c r="G115" s="370">
        <v>0.31</v>
      </c>
      <c r="H115" s="369">
        <f t="shared" si="51"/>
        <v>0</v>
      </c>
      <c r="I115" s="369">
        <f t="shared" si="52"/>
        <v>503</v>
      </c>
      <c r="J115" s="370">
        <v>0.92</v>
      </c>
      <c r="K115" s="369">
        <f>I115*J115 + C115</f>
        <v>992.76</v>
      </c>
      <c r="L115" s="371">
        <f t="shared" si="53"/>
        <v>0.96104549854791865</v>
      </c>
    </row>
    <row r="116" spans="1:12">
      <c r="A116" s="201" t="s">
        <v>412</v>
      </c>
      <c r="B116" s="468">
        <v>143</v>
      </c>
      <c r="C116" s="468">
        <v>0</v>
      </c>
      <c r="D116" s="284">
        <f t="shared" si="50"/>
        <v>143</v>
      </c>
      <c r="E116" s="467">
        <v>130</v>
      </c>
      <c r="F116" s="202">
        <f t="shared" ref="F116:F118" si="72">D116-E116</f>
        <v>13</v>
      </c>
      <c r="G116" s="203">
        <v>0.23</v>
      </c>
      <c r="H116" s="202">
        <f>E116*G116</f>
        <v>29.900000000000002</v>
      </c>
      <c r="I116" s="202">
        <f>F116+H116</f>
        <v>42.900000000000006</v>
      </c>
      <c r="J116" s="203">
        <v>0.82</v>
      </c>
      <c r="K116" s="202">
        <f t="shared" ref="K116:K118" si="73">I116*J116 + C116</f>
        <v>35.178000000000004</v>
      </c>
      <c r="L116" s="267">
        <f t="shared" si="53"/>
        <v>0.24600000000000002</v>
      </c>
    </row>
    <row r="117" spans="1:12" ht="25.5">
      <c r="A117" s="201" t="s">
        <v>413</v>
      </c>
      <c r="B117" s="464">
        <v>13664</v>
      </c>
      <c r="C117" s="468">
        <v>577</v>
      </c>
      <c r="D117" s="284">
        <f t="shared" si="50"/>
        <v>13087</v>
      </c>
      <c r="E117" s="467">
        <v>3813</v>
      </c>
      <c r="F117" s="202">
        <f t="shared" si="72"/>
        <v>9274</v>
      </c>
      <c r="G117" s="203">
        <v>0.23</v>
      </c>
      <c r="H117" s="202">
        <f>E117*G117</f>
        <v>876.99</v>
      </c>
      <c r="I117" s="202">
        <f>F117+H117</f>
        <v>10150.99</v>
      </c>
      <c r="J117" s="203">
        <v>0.82</v>
      </c>
      <c r="K117" s="202">
        <f t="shared" si="73"/>
        <v>8900.8117999999995</v>
      </c>
      <c r="L117" s="267">
        <f t="shared" si="53"/>
        <v>0.65140601580796254</v>
      </c>
    </row>
    <row r="118" spans="1:12" ht="25.5">
      <c r="A118" s="201" t="s">
        <v>394</v>
      </c>
      <c r="B118" s="468">
        <v>19275</v>
      </c>
      <c r="C118" s="468">
        <v>2427</v>
      </c>
      <c r="D118" s="284">
        <f t="shared" si="50"/>
        <v>16848</v>
      </c>
      <c r="E118" s="467">
        <v>8613</v>
      </c>
      <c r="F118" s="202">
        <f t="shared" si="72"/>
        <v>8235</v>
      </c>
      <c r="G118" s="203">
        <v>0.23</v>
      </c>
      <c r="H118" s="202">
        <f>E118*G118</f>
        <v>1980.99</v>
      </c>
      <c r="I118" s="202">
        <f>F118+H118</f>
        <v>10215.99</v>
      </c>
      <c r="J118" s="203">
        <v>0.82</v>
      </c>
      <c r="K118" s="202">
        <f t="shared" si="73"/>
        <v>10804.111799999999</v>
      </c>
      <c r="L118" s="267">
        <f t="shared" si="53"/>
        <v>0.56052460700389095</v>
      </c>
    </row>
    <row r="119" spans="1:12">
      <c r="B119" s="428"/>
      <c r="C119" s="428"/>
      <c r="E119" s="428"/>
    </row>
    <row r="120" spans="1:12">
      <c r="B120" s="427"/>
      <c r="C120" s="427"/>
      <c r="E120" s="110"/>
    </row>
    <row r="121" spans="1:12">
      <c r="A121" s="192">
        <v>2020</v>
      </c>
      <c r="B121" s="193"/>
    </row>
    <row r="122" spans="1:12">
      <c r="A122" s="194" t="s">
        <v>335</v>
      </c>
    </row>
    <row r="123" spans="1:12">
      <c r="A123" s="334" t="s">
        <v>336</v>
      </c>
      <c r="B123" s="195" t="s">
        <v>337</v>
      </c>
      <c r="C123" s="195" t="s">
        <v>338</v>
      </c>
      <c r="D123" s="195" t="s">
        <v>339</v>
      </c>
      <c r="E123" s="195" t="s">
        <v>340</v>
      </c>
      <c r="F123" s="195" t="s">
        <v>341</v>
      </c>
      <c r="G123" s="195" t="s">
        <v>342</v>
      </c>
      <c r="H123" s="195" t="s">
        <v>343</v>
      </c>
      <c r="I123" s="195" t="s">
        <v>344</v>
      </c>
      <c r="J123" s="195" t="s">
        <v>345</v>
      </c>
      <c r="K123" s="196" t="s">
        <v>346</v>
      </c>
      <c r="L123" s="270" t="s">
        <v>554</v>
      </c>
    </row>
    <row r="124" spans="1:12">
      <c r="A124" s="197" t="s">
        <v>305</v>
      </c>
      <c r="B124" s="289" t="s">
        <v>347</v>
      </c>
      <c r="C124" s="289" t="s">
        <v>348</v>
      </c>
      <c r="D124" s="271" t="s">
        <v>555</v>
      </c>
      <c r="E124" s="289" t="s">
        <v>349</v>
      </c>
      <c r="F124" s="289" t="s">
        <v>350</v>
      </c>
      <c r="G124" s="289" t="s">
        <v>351</v>
      </c>
      <c r="H124" s="289" t="s">
        <v>352</v>
      </c>
      <c r="I124" s="289" t="s">
        <v>353</v>
      </c>
      <c r="J124" s="198" t="s">
        <v>359</v>
      </c>
      <c r="K124" s="289" t="s">
        <v>354</v>
      </c>
      <c r="L124" s="290" t="s">
        <v>355</v>
      </c>
    </row>
    <row r="125" spans="1:12" ht="25.9" customHeight="1">
      <c r="A125" s="199"/>
      <c r="B125" s="198" t="s">
        <v>321</v>
      </c>
      <c r="C125" s="198" t="s">
        <v>356</v>
      </c>
      <c r="D125" s="272" t="s">
        <v>321</v>
      </c>
      <c r="E125" s="198" t="s">
        <v>357</v>
      </c>
      <c r="F125" s="198"/>
      <c r="G125" s="198" t="s">
        <v>352</v>
      </c>
      <c r="H125" s="198"/>
      <c r="I125" s="198" t="s">
        <v>358</v>
      </c>
      <c r="J125" s="198" t="s">
        <v>363</v>
      </c>
      <c r="K125" s="198" t="s">
        <v>360</v>
      </c>
      <c r="L125" s="200" t="s">
        <v>361</v>
      </c>
    </row>
    <row r="126" spans="1:12">
      <c r="A126" s="199"/>
      <c r="B126" s="198"/>
      <c r="C126" s="198"/>
      <c r="D126" s="198"/>
      <c r="E126" s="198"/>
      <c r="F126" s="198"/>
      <c r="G126" s="198" t="s">
        <v>362</v>
      </c>
      <c r="H126" s="198"/>
      <c r="I126" s="198"/>
      <c r="J126" s="198" t="s">
        <v>365</v>
      </c>
      <c r="K126" s="198" t="s">
        <v>364</v>
      </c>
      <c r="L126" s="200" t="s">
        <v>305</v>
      </c>
    </row>
    <row r="127" spans="1:12">
      <c r="A127" s="199"/>
      <c r="B127" s="198"/>
      <c r="C127" s="198"/>
      <c r="D127" s="198"/>
      <c r="E127" s="198"/>
      <c r="F127" s="198"/>
      <c r="G127" s="198"/>
      <c r="H127" s="198"/>
      <c r="I127" s="198"/>
      <c r="J127" s="198" t="s">
        <v>367</v>
      </c>
      <c r="K127" s="198" t="s">
        <v>366</v>
      </c>
      <c r="L127" s="200" t="s">
        <v>321</v>
      </c>
    </row>
    <row r="128" spans="1:12">
      <c r="A128" s="199"/>
      <c r="B128" s="198"/>
      <c r="C128" s="198"/>
      <c r="D128" s="198"/>
      <c r="E128" s="198"/>
      <c r="F128" s="198"/>
      <c r="G128" s="198"/>
      <c r="H128" s="198"/>
      <c r="I128" s="198"/>
      <c r="J128" s="198" t="s">
        <v>368</v>
      </c>
      <c r="K128" s="198" t="s">
        <v>303</v>
      </c>
      <c r="L128" s="200"/>
    </row>
    <row r="129" spans="1:12">
      <c r="A129" s="197" t="s">
        <v>369</v>
      </c>
      <c r="B129" s="289" t="s">
        <v>370</v>
      </c>
      <c r="C129" s="289" t="s">
        <v>371</v>
      </c>
      <c r="D129" s="271" t="s">
        <v>556</v>
      </c>
      <c r="E129" s="289" t="s">
        <v>372</v>
      </c>
      <c r="F129" s="271" t="s">
        <v>557</v>
      </c>
      <c r="G129" s="289" t="s">
        <v>373</v>
      </c>
      <c r="H129" s="271" t="s">
        <v>558</v>
      </c>
      <c r="I129" s="271" t="s">
        <v>559</v>
      </c>
      <c r="J129" s="289" t="s">
        <v>374</v>
      </c>
      <c r="K129" s="271" t="s">
        <v>560</v>
      </c>
      <c r="L129" s="273" t="s">
        <v>562</v>
      </c>
    </row>
    <row r="130" spans="1:12">
      <c r="A130" s="199"/>
      <c r="B130" s="198" t="s">
        <v>321</v>
      </c>
      <c r="C130" s="198" t="s">
        <v>375</v>
      </c>
      <c r="D130" s="198"/>
      <c r="E130" s="198" t="s">
        <v>376</v>
      </c>
      <c r="F130" s="198"/>
      <c r="G130" s="198" t="s">
        <v>36</v>
      </c>
      <c r="H130" s="272" t="s">
        <v>342</v>
      </c>
      <c r="I130" s="272" t="s">
        <v>343</v>
      </c>
      <c r="J130" s="198" t="s">
        <v>377</v>
      </c>
      <c r="K130" s="272" t="s">
        <v>561</v>
      </c>
      <c r="L130" s="200"/>
    </row>
    <row r="131" spans="1:12">
      <c r="A131" s="199"/>
      <c r="B131" s="198"/>
      <c r="C131" s="198" t="s">
        <v>378</v>
      </c>
      <c r="D131" s="198"/>
      <c r="E131" s="198" t="s">
        <v>379</v>
      </c>
      <c r="F131" s="198"/>
      <c r="G131" s="198" t="s">
        <v>380</v>
      </c>
      <c r="H131" s="198"/>
      <c r="I131" s="198"/>
      <c r="J131" s="198"/>
      <c r="K131" s="272" t="s">
        <v>338</v>
      </c>
      <c r="L131" s="200"/>
    </row>
    <row r="132" spans="1:12">
      <c r="A132" s="199"/>
      <c r="B132" s="198"/>
      <c r="C132" s="198"/>
      <c r="D132" s="198"/>
      <c r="E132" s="198"/>
      <c r="F132" s="198"/>
      <c r="G132" s="198" t="s">
        <v>381</v>
      </c>
      <c r="H132" s="198"/>
      <c r="I132" s="198"/>
      <c r="J132" s="198"/>
      <c r="K132" s="198"/>
      <c r="L132" s="200"/>
    </row>
    <row r="133" spans="1:12">
      <c r="A133" s="364" t="s">
        <v>643</v>
      </c>
      <c r="B133" s="198"/>
      <c r="C133" s="198"/>
      <c r="D133" s="198"/>
      <c r="E133" s="198"/>
      <c r="F133" s="198"/>
      <c r="G133" s="198" t="s">
        <v>382</v>
      </c>
      <c r="H133" s="198"/>
      <c r="I133" s="198"/>
      <c r="J133" s="198"/>
      <c r="K133" s="198"/>
      <c r="L133" s="200"/>
    </row>
    <row r="134" spans="1:12">
      <c r="A134" s="365" t="s">
        <v>644</v>
      </c>
      <c r="B134" s="198"/>
      <c r="C134" s="198"/>
      <c r="D134" s="198"/>
      <c r="E134" s="198"/>
      <c r="F134" s="198"/>
      <c r="G134" s="198" t="s">
        <v>383</v>
      </c>
      <c r="H134" s="198"/>
      <c r="I134" s="198"/>
      <c r="J134" s="198"/>
      <c r="K134" s="198"/>
      <c r="L134" s="200"/>
    </row>
    <row r="135" spans="1:12">
      <c r="A135" s="550" t="s">
        <v>384</v>
      </c>
      <c r="B135" s="467">
        <v>5380</v>
      </c>
      <c r="C135" s="468">
        <v>89</v>
      </c>
      <c r="D135" s="284">
        <f t="shared" ref="D135:D158" si="74">B135-C135</f>
        <v>5291</v>
      </c>
      <c r="E135" s="467">
        <v>257</v>
      </c>
      <c r="F135" s="202">
        <f>D135-E135</f>
        <v>5034</v>
      </c>
      <c r="G135" s="203">
        <v>0.3</v>
      </c>
      <c r="H135" s="202">
        <f t="shared" ref="H135:H155" si="75">E135*G135</f>
        <v>77.099999999999994</v>
      </c>
      <c r="I135" s="202">
        <f t="shared" ref="I135:I155" si="76">F135+H135</f>
        <v>5111.1000000000004</v>
      </c>
      <c r="J135" s="203">
        <v>0.82</v>
      </c>
      <c r="K135" s="202">
        <f>I135*J135 + C135</f>
        <v>4280.1019999999999</v>
      </c>
      <c r="L135" s="203">
        <f t="shared" ref="L135:L158" si="77">IF(B135&gt;0, K135/B135, 1)</f>
        <v>0.79555799256505577</v>
      </c>
    </row>
    <row r="136" spans="1:12">
      <c r="A136" s="551"/>
      <c r="B136" s="366">
        <v>1342</v>
      </c>
      <c r="C136" s="367">
        <v>0</v>
      </c>
      <c r="D136" s="368">
        <f t="shared" si="74"/>
        <v>1342</v>
      </c>
      <c r="E136" s="366">
        <v>0</v>
      </c>
      <c r="F136" s="369">
        <f>D136-E136</f>
        <v>1342</v>
      </c>
      <c r="G136" s="370">
        <v>0.3</v>
      </c>
      <c r="H136" s="369">
        <f t="shared" si="75"/>
        <v>0</v>
      </c>
      <c r="I136" s="369">
        <f t="shared" si="76"/>
        <v>1342</v>
      </c>
      <c r="J136" s="370">
        <v>0.92</v>
      </c>
      <c r="K136" s="369">
        <f>I136*J136 + C136</f>
        <v>1234.6400000000001</v>
      </c>
      <c r="L136" s="371">
        <f t="shared" si="77"/>
        <v>0.92</v>
      </c>
    </row>
    <row r="137" spans="1:12">
      <c r="A137" s="550" t="s">
        <v>385</v>
      </c>
      <c r="B137" s="468">
        <v>0</v>
      </c>
      <c r="C137" s="468">
        <v>0</v>
      </c>
      <c r="D137" s="284">
        <f t="shared" si="74"/>
        <v>0</v>
      </c>
      <c r="E137" s="467">
        <v>0</v>
      </c>
      <c r="F137" s="202">
        <f t="shared" ref="F137" si="78">D137-E137</f>
        <v>0</v>
      </c>
      <c r="G137" s="203">
        <v>0.3</v>
      </c>
      <c r="H137" s="202">
        <f t="shared" si="75"/>
        <v>0</v>
      </c>
      <c r="I137" s="202">
        <f t="shared" si="76"/>
        <v>0</v>
      </c>
      <c r="J137" s="203">
        <v>0.82</v>
      </c>
      <c r="K137" s="202">
        <f t="shared" ref="K137" si="79">I137*J137 + C137</f>
        <v>0</v>
      </c>
      <c r="L137" s="203">
        <f t="shared" si="77"/>
        <v>1</v>
      </c>
    </row>
    <row r="138" spans="1:12">
      <c r="A138" s="551"/>
      <c r="B138" s="366">
        <v>0</v>
      </c>
      <c r="C138" s="367">
        <v>0</v>
      </c>
      <c r="D138" s="368">
        <f t="shared" si="74"/>
        <v>0</v>
      </c>
      <c r="E138" s="366">
        <v>0</v>
      </c>
      <c r="F138" s="369">
        <f>D138-E138</f>
        <v>0</v>
      </c>
      <c r="G138" s="370">
        <v>0.3</v>
      </c>
      <c r="H138" s="369">
        <f t="shared" si="75"/>
        <v>0</v>
      </c>
      <c r="I138" s="369">
        <f t="shared" si="76"/>
        <v>0</v>
      </c>
      <c r="J138" s="370">
        <v>0.92</v>
      </c>
      <c r="K138" s="369">
        <f>I138*J138 + C138</f>
        <v>0</v>
      </c>
      <c r="L138" s="371">
        <f t="shared" si="77"/>
        <v>1</v>
      </c>
    </row>
    <row r="139" spans="1:12" ht="12.6" customHeight="1">
      <c r="A139" s="550" t="s">
        <v>386</v>
      </c>
      <c r="B139" s="468">
        <v>19398</v>
      </c>
      <c r="C139" s="468">
        <v>1817</v>
      </c>
      <c r="D139" s="284">
        <f t="shared" si="74"/>
        <v>17581</v>
      </c>
      <c r="E139" s="467">
        <v>7463</v>
      </c>
      <c r="F139" s="202">
        <f t="shared" ref="F139" si="80">D139-E139</f>
        <v>10118</v>
      </c>
      <c r="G139" s="203">
        <v>0.3</v>
      </c>
      <c r="H139" s="202">
        <f t="shared" si="75"/>
        <v>2238.9</v>
      </c>
      <c r="I139" s="202">
        <f t="shared" si="76"/>
        <v>12356.9</v>
      </c>
      <c r="J139" s="203">
        <v>0.82</v>
      </c>
      <c r="K139" s="202">
        <f t="shared" ref="K139" si="81">I139*J139 + C139</f>
        <v>11949.657999999999</v>
      </c>
      <c r="L139" s="267">
        <f t="shared" si="77"/>
        <v>0.61602526033611704</v>
      </c>
    </row>
    <row r="140" spans="1:12" ht="12.6" customHeight="1">
      <c r="A140" s="551"/>
      <c r="B140" s="366">
        <v>0</v>
      </c>
      <c r="C140" s="367">
        <v>0</v>
      </c>
      <c r="D140" s="368">
        <f t="shared" si="74"/>
        <v>0</v>
      </c>
      <c r="E140" s="366">
        <v>0</v>
      </c>
      <c r="F140" s="369">
        <f>D140-E140</f>
        <v>0</v>
      </c>
      <c r="G140" s="370">
        <v>0.3</v>
      </c>
      <c r="H140" s="369">
        <f t="shared" si="75"/>
        <v>0</v>
      </c>
      <c r="I140" s="369">
        <f t="shared" si="76"/>
        <v>0</v>
      </c>
      <c r="J140" s="370">
        <v>0.92</v>
      </c>
      <c r="K140" s="369">
        <f>I140*J140 + C140</f>
        <v>0</v>
      </c>
      <c r="L140" s="371">
        <f t="shared" si="77"/>
        <v>1</v>
      </c>
    </row>
    <row r="141" spans="1:12">
      <c r="A141" s="550" t="s">
        <v>20</v>
      </c>
      <c r="B141" s="468">
        <v>5226</v>
      </c>
      <c r="C141" s="468">
        <v>0</v>
      </c>
      <c r="D141" s="284">
        <f t="shared" si="74"/>
        <v>5226</v>
      </c>
      <c r="E141" s="467">
        <v>1423</v>
      </c>
      <c r="F141" s="202">
        <f t="shared" ref="F141" si="82">D141-E141</f>
        <v>3803</v>
      </c>
      <c r="G141" s="203">
        <v>0.3</v>
      </c>
      <c r="H141" s="202">
        <f t="shared" si="75"/>
        <v>426.9</v>
      </c>
      <c r="I141" s="202">
        <f t="shared" si="76"/>
        <v>4229.8999999999996</v>
      </c>
      <c r="J141" s="203">
        <v>0.82</v>
      </c>
      <c r="K141" s="202">
        <f t="shared" ref="K141" si="83">I141*J141 + C141</f>
        <v>3468.5179999999996</v>
      </c>
      <c r="L141" s="267">
        <f t="shared" si="77"/>
        <v>0.66370417145044003</v>
      </c>
    </row>
    <row r="142" spans="1:12">
      <c r="A142" s="551"/>
      <c r="B142" s="366">
        <v>0</v>
      </c>
      <c r="C142" s="367">
        <v>0</v>
      </c>
      <c r="D142" s="368">
        <f t="shared" si="74"/>
        <v>0</v>
      </c>
      <c r="E142" s="366">
        <v>0</v>
      </c>
      <c r="F142" s="369">
        <f>D142-E142</f>
        <v>0</v>
      </c>
      <c r="G142" s="370">
        <v>0.3</v>
      </c>
      <c r="H142" s="369">
        <f t="shared" si="75"/>
        <v>0</v>
      </c>
      <c r="I142" s="369">
        <f t="shared" si="76"/>
        <v>0</v>
      </c>
      <c r="J142" s="370">
        <v>0.92</v>
      </c>
      <c r="K142" s="369">
        <f>I142*J142 + C142</f>
        <v>0</v>
      </c>
      <c r="L142" s="371">
        <f t="shared" si="77"/>
        <v>1</v>
      </c>
    </row>
    <row r="143" spans="1:12">
      <c r="A143" s="550" t="s">
        <v>387</v>
      </c>
      <c r="B143" s="468">
        <v>7388</v>
      </c>
      <c r="C143" s="468">
        <v>1397</v>
      </c>
      <c r="D143" s="284">
        <f t="shared" si="74"/>
        <v>5991</v>
      </c>
      <c r="E143" s="467">
        <v>2487</v>
      </c>
      <c r="F143" s="202">
        <f t="shared" ref="F143" si="84">D143-E143</f>
        <v>3504</v>
      </c>
      <c r="G143" s="203">
        <v>0.3</v>
      </c>
      <c r="H143" s="202">
        <f t="shared" si="75"/>
        <v>746.1</v>
      </c>
      <c r="I143" s="202">
        <f t="shared" si="76"/>
        <v>4250.1000000000004</v>
      </c>
      <c r="J143" s="203">
        <v>0.82</v>
      </c>
      <c r="K143" s="202">
        <f t="shared" ref="K143" si="85">I143*J143 + C143</f>
        <v>4882.0820000000003</v>
      </c>
      <c r="L143" s="267">
        <f t="shared" si="77"/>
        <v>0.66081239848402817</v>
      </c>
    </row>
    <row r="144" spans="1:12">
      <c r="A144" s="551"/>
      <c r="B144" s="366">
        <v>0</v>
      </c>
      <c r="C144" s="367">
        <v>0</v>
      </c>
      <c r="D144" s="368">
        <f t="shared" si="74"/>
        <v>0</v>
      </c>
      <c r="E144" s="366">
        <v>0</v>
      </c>
      <c r="F144" s="369">
        <f>D144-E144</f>
        <v>0</v>
      </c>
      <c r="G144" s="370">
        <v>0.3</v>
      </c>
      <c r="H144" s="369">
        <f t="shared" si="75"/>
        <v>0</v>
      </c>
      <c r="I144" s="369">
        <f t="shared" si="76"/>
        <v>0</v>
      </c>
      <c r="J144" s="370">
        <v>0.92</v>
      </c>
      <c r="K144" s="369">
        <f>I144*J144 + C144</f>
        <v>0</v>
      </c>
      <c r="L144" s="371">
        <f t="shared" si="77"/>
        <v>1</v>
      </c>
    </row>
    <row r="145" spans="1:12">
      <c r="A145" s="550" t="s">
        <v>388</v>
      </c>
      <c r="B145" s="468">
        <v>26599</v>
      </c>
      <c r="C145" s="468">
        <v>1175</v>
      </c>
      <c r="D145" s="284">
        <f t="shared" si="74"/>
        <v>25424</v>
      </c>
      <c r="E145" s="467">
        <v>11107</v>
      </c>
      <c r="F145" s="202">
        <f t="shared" ref="F145" si="86">D145-E145</f>
        <v>14317</v>
      </c>
      <c r="G145" s="203">
        <v>0.3</v>
      </c>
      <c r="H145" s="202">
        <f t="shared" si="75"/>
        <v>3332.1</v>
      </c>
      <c r="I145" s="202">
        <f t="shared" si="76"/>
        <v>17649.099999999999</v>
      </c>
      <c r="J145" s="203">
        <v>0.82</v>
      </c>
      <c r="K145" s="202">
        <f t="shared" ref="K145" si="87">I145*J145 + C145</f>
        <v>15647.261999999999</v>
      </c>
      <c r="L145" s="267">
        <f t="shared" si="77"/>
        <v>0.58826504755817888</v>
      </c>
    </row>
    <row r="146" spans="1:12">
      <c r="A146" s="551"/>
      <c r="B146" s="366">
        <v>115</v>
      </c>
      <c r="C146" s="367">
        <v>18</v>
      </c>
      <c r="D146" s="368">
        <f t="shared" si="74"/>
        <v>97</v>
      </c>
      <c r="E146" s="366">
        <v>0</v>
      </c>
      <c r="F146" s="369">
        <f>D146-E146</f>
        <v>97</v>
      </c>
      <c r="G146" s="370">
        <v>0.3</v>
      </c>
      <c r="H146" s="369">
        <f t="shared" si="75"/>
        <v>0</v>
      </c>
      <c r="I146" s="369">
        <f t="shared" si="76"/>
        <v>97</v>
      </c>
      <c r="J146" s="370">
        <v>0.92</v>
      </c>
      <c r="K146" s="369">
        <f>I146*J146 + C146</f>
        <v>107.24000000000001</v>
      </c>
      <c r="L146" s="371">
        <f t="shared" si="77"/>
        <v>0.9325217391304349</v>
      </c>
    </row>
    <row r="147" spans="1:12">
      <c r="A147" s="550" t="s">
        <v>389</v>
      </c>
      <c r="B147" s="468">
        <v>1593</v>
      </c>
      <c r="C147" s="468">
        <v>342</v>
      </c>
      <c r="D147" s="284">
        <f t="shared" si="74"/>
        <v>1251</v>
      </c>
      <c r="E147" s="467">
        <v>356</v>
      </c>
      <c r="F147" s="202">
        <f t="shared" ref="F147" si="88">D147-E147</f>
        <v>895</v>
      </c>
      <c r="G147" s="203">
        <v>0.35</v>
      </c>
      <c r="H147" s="202">
        <f t="shared" si="75"/>
        <v>124.6</v>
      </c>
      <c r="I147" s="202">
        <f t="shared" si="76"/>
        <v>1019.6</v>
      </c>
      <c r="J147" s="203">
        <v>0.82</v>
      </c>
      <c r="K147" s="202">
        <f t="shared" ref="K147" si="89">I147*J147 + C147</f>
        <v>1178.0720000000001</v>
      </c>
      <c r="L147" s="267">
        <f t="shared" si="77"/>
        <v>0.73953044569993731</v>
      </c>
    </row>
    <row r="148" spans="1:12">
      <c r="A148" s="551"/>
      <c r="B148" s="366">
        <v>0</v>
      </c>
      <c r="C148" s="367">
        <v>0</v>
      </c>
      <c r="D148" s="368">
        <f t="shared" si="74"/>
        <v>0</v>
      </c>
      <c r="E148" s="366">
        <v>0</v>
      </c>
      <c r="F148" s="369">
        <f>D148-E148</f>
        <v>0</v>
      </c>
      <c r="G148" s="370">
        <v>0.35</v>
      </c>
      <c r="H148" s="369">
        <f t="shared" si="75"/>
        <v>0</v>
      </c>
      <c r="I148" s="369">
        <f t="shared" si="76"/>
        <v>0</v>
      </c>
      <c r="J148" s="370">
        <v>0.92</v>
      </c>
      <c r="K148" s="369">
        <f>I148*J148 + C148</f>
        <v>0</v>
      </c>
      <c r="L148" s="371">
        <f t="shared" si="77"/>
        <v>1</v>
      </c>
    </row>
    <row r="149" spans="1:12">
      <c r="A149" s="550" t="s">
        <v>390</v>
      </c>
      <c r="B149" s="468">
        <v>22053</v>
      </c>
      <c r="C149" s="468">
        <v>3211</v>
      </c>
      <c r="D149" s="284">
        <f t="shared" si="74"/>
        <v>18842</v>
      </c>
      <c r="E149" s="467">
        <v>5770</v>
      </c>
      <c r="F149" s="202">
        <f t="shared" ref="F149" si="90">D149-E149</f>
        <v>13072</v>
      </c>
      <c r="G149" s="203">
        <v>0.35</v>
      </c>
      <c r="H149" s="202">
        <f t="shared" si="75"/>
        <v>2019.4999999999998</v>
      </c>
      <c r="I149" s="202">
        <f t="shared" si="76"/>
        <v>15091.5</v>
      </c>
      <c r="J149" s="203">
        <v>0.82</v>
      </c>
      <c r="K149" s="202">
        <f t="shared" ref="K149" si="91">I149*J149 + C149</f>
        <v>15586.029999999999</v>
      </c>
      <c r="L149" s="267">
        <f t="shared" si="77"/>
        <v>0.70675327619824957</v>
      </c>
    </row>
    <row r="150" spans="1:12">
      <c r="A150" s="551"/>
      <c r="B150" s="366">
        <v>0</v>
      </c>
      <c r="C150" s="367">
        <v>0</v>
      </c>
      <c r="D150" s="368">
        <f t="shared" si="74"/>
        <v>0</v>
      </c>
      <c r="E150" s="366">
        <v>0</v>
      </c>
      <c r="F150" s="369">
        <f>D150-E150</f>
        <v>0</v>
      </c>
      <c r="G150" s="370">
        <v>0.35</v>
      </c>
      <c r="H150" s="369">
        <f t="shared" si="75"/>
        <v>0</v>
      </c>
      <c r="I150" s="369">
        <f t="shared" si="76"/>
        <v>0</v>
      </c>
      <c r="J150" s="370">
        <v>0.92</v>
      </c>
      <c r="K150" s="369">
        <f>I150*J150 + C150</f>
        <v>0</v>
      </c>
      <c r="L150" s="371">
        <f t="shared" si="77"/>
        <v>1</v>
      </c>
    </row>
    <row r="151" spans="1:12">
      <c r="A151" s="550" t="s">
        <v>391</v>
      </c>
      <c r="B151" s="468">
        <v>1190</v>
      </c>
      <c r="C151" s="468">
        <v>111</v>
      </c>
      <c r="D151" s="284">
        <f t="shared" si="74"/>
        <v>1079</v>
      </c>
      <c r="E151" s="467">
        <v>452</v>
      </c>
      <c r="F151" s="202">
        <f t="shared" ref="F151" si="92">D151-E151</f>
        <v>627</v>
      </c>
      <c r="G151" s="203">
        <v>0.35</v>
      </c>
      <c r="H151" s="202">
        <f t="shared" si="75"/>
        <v>158.19999999999999</v>
      </c>
      <c r="I151" s="202">
        <f t="shared" si="76"/>
        <v>785.2</v>
      </c>
      <c r="J151" s="203">
        <v>0.82</v>
      </c>
      <c r="K151" s="202">
        <f t="shared" ref="K151" si="93">I151*J151 + C151</f>
        <v>754.86400000000003</v>
      </c>
      <c r="L151" s="267">
        <f t="shared" si="77"/>
        <v>0.63433949579831939</v>
      </c>
    </row>
    <row r="152" spans="1:12">
      <c r="A152" s="551"/>
      <c r="B152" s="366">
        <v>0</v>
      </c>
      <c r="C152" s="367">
        <v>0</v>
      </c>
      <c r="D152" s="368">
        <f t="shared" si="74"/>
        <v>0</v>
      </c>
      <c r="E152" s="366">
        <v>0</v>
      </c>
      <c r="F152" s="369">
        <f>D152-E152</f>
        <v>0</v>
      </c>
      <c r="G152" s="370">
        <v>0.35</v>
      </c>
      <c r="H152" s="369">
        <f t="shared" si="75"/>
        <v>0</v>
      </c>
      <c r="I152" s="369">
        <f t="shared" si="76"/>
        <v>0</v>
      </c>
      <c r="J152" s="370">
        <v>0.92</v>
      </c>
      <c r="K152" s="369">
        <f>I152*J152 + C152</f>
        <v>0</v>
      </c>
      <c r="L152" s="371">
        <f t="shared" si="77"/>
        <v>1</v>
      </c>
    </row>
    <row r="153" spans="1:12">
      <c r="A153" s="204" t="s">
        <v>392</v>
      </c>
      <c r="B153" s="468">
        <v>3076</v>
      </c>
      <c r="C153" s="468">
        <v>0</v>
      </c>
      <c r="D153" s="284">
        <f t="shared" si="74"/>
        <v>3076</v>
      </c>
      <c r="E153" s="467">
        <v>1109</v>
      </c>
      <c r="F153" s="202">
        <f t="shared" ref="F153:F154" si="94">D153-E153</f>
        <v>1967</v>
      </c>
      <c r="G153" s="140">
        <v>0.3</v>
      </c>
      <c r="H153" s="186">
        <f t="shared" si="75"/>
        <v>332.7</v>
      </c>
      <c r="I153" s="186">
        <f t="shared" si="76"/>
        <v>2299.6999999999998</v>
      </c>
      <c r="J153" s="140">
        <v>0.82</v>
      </c>
      <c r="K153" s="202">
        <f t="shared" ref="K153:K154" si="95">I153*J153 + C153</f>
        <v>1885.7539999999997</v>
      </c>
      <c r="L153" s="268">
        <f t="shared" si="77"/>
        <v>0.61305396618985686</v>
      </c>
    </row>
    <row r="154" spans="1:12">
      <c r="A154" s="550" t="s">
        <v>393</v>
      </c>
      <c r="B154" s="468">
        <v>10070</v>
      </c>
      <c r="C154" s="468">
        <v>3691</v>
      </c>
      <c r="D154" s="284">
        <f t="shared" si="74"/>
        <v>6379</v>
      </c>
      <c r="E154" s="467">
        <v>1586</v>
      </c>
      <c r="F154" s="202">
        <f t="shared" si="94"/>
        <v>4793</v>
      </c>
      <c r="G154" s="203">
        <v>0.31</v>
      </c>
      <c r="H154" s="202">
        <f t="shared" si="75"/>
        <v>491.65999999999997</v>
      </c>
      <c r="I154" s="202">
        <f t="shared" si="76"/>
        <v>5284.66</v>
      </c>
      <c r="J154" s="203">
        <v>0.82</v>
      </c>
      <c r="K154" s="202">
        <f t="shared" si="95"/>
        <v>8024.4211999999998</v>
      </c>
      <c r="L154" s="267">
        <f t="shared" si="77"/>
        <v>0.79686407149950345</v>
      </c>
    </row>
    <row r="155" spans="1:12">
      <c r="A155" s="551"/>
      <c r="B155" s="366">
        <v>0</v>
      </c>
      <c r="C155" s="367">
        <v>0</v>
      </c>
      <c r="D155" s="368">
        <f t="shared" si="74"/>
        <v>0</v>
      </c>
      <c r="E155" s="366">
        <v>0</v>
      </c>
      <c r="F155" s="369">
        <f>D155-E155</f>
        <v>0</v>
      </c>
      <c r="G155" s="370">
        <v>0.31</v>
      </c>
      <c r="H155" s="369">
        <f t="shared" si="75"/>
        <v>0</v>
      </c>
      <c r="I155" s="369">
        <f t="shared" si="76"/>
        <v>0</v>
      </c>
      <c r="J155" s="370">
        <v>0.92</v>
      </c>
      <c r="K155" s="369">
        <f>I155*J155 + C155</f>
        <v>0</v>
      </c>
      <c r="L155" s="371">
        <f t="shared" si="77"/>
        <v>1</v>
      </c>
    </row>
    <row r="156" spans="1:12">
      <c r="A156" s="201" t="s">
        <v>412</v>
      </c>
      <c r="B156" s="468">
        <v>499</v>
      </c>
      <c r="C156" s="468">
        <v>0</v>
      </c>
      <c r="D156" s="284">
        <f t="shared" si="74"/>
        <v>499</v>
      </c>
      <c r="E156" s="467">
        <v>400</v>
      </c>
      <c r="F156" s="202">
        <f t="shared" ref="F156:F158" si="96">D156-E156</f>
        <v>99</v>
      </c>
      <c r="G156" s="203">
        <v>0.23</v>
      </c>
      <c r="H156" s="202">
        <f>E156*G156</f>
        <v>92</v>
      </c>
      <c r="I156" s="202">
        <f>F156+H156</f>
        <v>191</v>
      </c>
      <c r="J156" s="203">
        <v>0.82</v>
      </c>
      <c r="K156" s="202">
        <f t="shared" ref="K156:K158" si="97">I156*J156 + C156</f>
        <v>156.62</v>
      </c>
      <c r="L156" s="267">
        <f t="shared" si="77"/>
        <v>0.31386773547094188</v>
      </c>
    </row>
    <row r="157" spans="1:12" ht="25.5">
      <c r="A157" s="201" t="s">
        <v>413</v>
      </c>
      <c r="B157" s="468">
        <v>18181</v>
      </c>
      <c r="C157" s="468">
        <v>1532</v>
      </c>
      <c r="D157" s="284">
        <f t="shared" si="74"/>
        <v>16649</v>
      </c>
      <c r="E157" s="467">
        <v>6568</v>
      </c>
      <c r="F157" s="202">
        <f t="shared" si="96"/>
        <v>10081</v>
      </c>
      <c r="G157" s="203">
        <v>0.23</v>
      </c>
      <c r="H157" s="202">
        <f t="shared" ref="H157:H158" si="98">E157*G157</f>
        <v>1510.64</v>
      </c>
      <c r="I157" s="202">
        <f t="shared" ref="I157:I158" si="99">F157+H157</f>
        <v>11591.64</v>
      </c>
      <c r="J157" s="203">
        <v>0.82</v>
      </c>
      <c r="K157" s="202">
        <f t="shared" si="97"/>
        <v>11037.144799999998</v>
      </c>
      <c r="L157" s="267">
        <f t="shared" si="77"/>
        <v>0.60707028216269721</v>
      </c>
    </row>
    <row r="158" spans="1:12" ht="25.5">
      <c r="A158" s="201" t="s">
        <v>394</v>
      </c>
      <c r="B158" s="468">
        <v>24486</v>
      </c>
      <c r="C158" s="468">
        <v>2899</v>
      </c>
      <c r="D158" s="284">
        <f t="shared" si="74"/>
        <v>21587</v>
      </c>
      <c r="E158" s="467">
        <v>12764</v>
      </c>
      <c r="F158" s="202">
        <f t="shared" si="96"/>
        <v>8823</v>
      </c>
      <c r="G158" s="203">
        <v>0.23</v>
      </c>
      <c r="H158" s="202">
        <f t="shared" si="98"/>
        <v>2935.7200000000003</v>
      </c>
      <c r="I158" s="202">
        <f t="shared" si="99"/>
        <v>11758.720000000001</v>
      </c>
      <c r="J158" s="203">
        <v>0.82</v>
      </c>
      <c r="K158" s="202">
        <f t="shared" si="97"/>
        <v>12541.1504</v>
      </c>
      <c r="L158" s="267">
        <f t="shared" si="77"/>
        <v>0.51217636200277716</v>
      </c>
    </row>
    <row r="159" spans="1:12">
      <c r="A159" s="190"/>
      <c r="B159" s="428"/>
      <c r="C159" s="428"/>
      <c r="D159" s="164"/>
      <c r="E159" s="428"/>
      <c r="F159" s="145"/>
      <c r="G159" s="112"/>
      <c r="H159" s="145"/>
      <c r="I159" s="145"/>
      <c r="J159" s="112"/>
      <c r="K159" s="145"/>
      <c r="L159" s="266"/>
    </row>
    <row r="160" spans="1:12">
      <c r="A160" s="190"/>
      <c r="B160" s="427"/>
      <c r="C160" s="427"/>
      <c r="D160" s="427"/>
      <c r="E160" s="110"/>
      <c r="F160" s="112"/>
      <c r="G160" s="110"/>
      <c r="H160" s="110"/>
      <c r="I160" s="112"/>
      <c r="J160" s="110"/>
      <c r="K160" s="112"/>
    </row>
    <row r="161" spans="1:12">
      <c r="A161" s="192">
        <v>2021</v>
      </c>
      <c r="B161" s="193"/>
    </row>
    <row r="162" spans="1:12">
      <c r="A162" s="194" t="s">
        <v>335</v>
      </c>
    </row>
    <row r="163" spans="1:12">
      <c r="A163" s="334" t="s">
        <v>336</v>
      </c>
      <c r="B163" s="195" t="s">
        <v>337</v>
      </c>
      <c r="C163" s="195" t="s">
        <v>338</v>
      </c>
      <c r="D163" s="195" t="s">
        <v>339</v>
      </c>
      <c r="E163" s="195" t="s">
        <v>340</v>
      </c>
      <c r="F163" s="195" t="s">
        <v>341</v>
      </c>
      <c r="G163" s="195" t="s">
        <v>342</v>
      </c>
      <c r="H163" s="195" t="s">
        <v>343</v>
      </c>
      <c r="I163" s="195" t="s">
        <v>344</v>
      </c>
      <c r="J163" s="195" t="s">
        <v>345</v>
      </c>
      <c r="K163" s="196" t="s">
        <v>346</v>
      </c>
      <c r="L163" s="270" t="s">
        <v>554</v>
      </c>
    </row>
    <row r="164" spans="1:12">
      <c r="A164" s="197" t="s">
        <v>305</v>
      </c>
      <c r="B164" s="289" t="s">
        <v>347</v>
      </c>
      <c r="C164" s="289" t="s">
        <v>348</v>
      </c>
      <c r="D164" s="271" t="s">
        <v>555</v>
      </c>
      <c r="E164" s="289" t="s">
        <v>349</v>
      </c>
      <c r="F164" s="289" t="s">
        <v>350</v>
      </c>
      <c r="G164" s="289" t="s">
        <v>351</v>
      </c>
      <c r="H164" s="289" t="s">
        <v>352</v>
      </c>
      <c r="I164" s="289" t="s">
        <v>353</v>
      </c>
      <c r="J164" s="198" t="s">
        <v>359</v>
      </c>
      <c r="K164" s="289" t="s">
        <v>354</v>
      </c>
      <c r="L164" s="290" t="s">
        <v>355</v>
      </c>
    </row>
    <row r="165" spans="1:12">
      <c r="A165" s="199"/>
      <c r="B165" s="198" t="s">
        <v>321</v>
      </c>
      <c r="C165" s="198" t="s">
        <v>356</v>
      </c>
      <c r="D165" s="272" t="s">
        <v>321</v>
      </c>
      <c r="E165" s="198" t="s">
        <v>357</v>
      </c>
      <c r="F165" s="198"/>
      <c r="G165" s="198" t="s">
        <v>352</v>
      </c>
      <c r="H165" s="198"/>
      <c r="I165" s="198" t="s">
        <v>358</v>
      </c>
      <c r="J165" s="198" t="s">
        <v>363</v>
      </c>
      <c r="K165" s="198" t="s">
        <v>360</v>
      </c>
      <c r="L165" s="200" t="s">
        <v>361</v>
      </c>
    </row>
    <row r="166" spans="1:12">
      <c r="A166" s="199"/>
      <c r="B166" s="198"/>
      <c r="C166" s="198"/>
      <c r="D166" s="198"/>
      <c r="E166" s="198"/>
      <c r="F166" s="198"/>
      <c r="G166" s="198" t="s">
        <v>362</v>
      </c>
      <c r="H166" s="198"/>
      <c r="I166" s="198"/>
      <c r="J166" s="198" t="s">
        <v>365</v>
      </c>
      <c r="K166" s="198" t="s">
        <v>364</v>
      </c>
      <c r="L166" s="200" t="s">
        <v>305</v>
      </c>
    </row>
    <row r="167" spans="1:12">
      <c r="A167" s="199"/>
      <c r="B167" s="198"/>
      <c r="C167" s="198"/>
      <c r="D167" s="198"/>
      <c r="E167" s="198"/>
      <c r="F167" s="198"/>
      <c r="G167" s="198"/>
      <c r="H167" s="198"/>
      <c r="I167" s="198"/>
      <c r="J167" s="198" t="s">
        <v>367</v>
      </c>
      <c r="K167" s="198" t="s">
        <v>366</v>
      </c>
      <c r="L167" s="200" t="s">
        <v>321</v>
      </c>
    </row>
    <row r="168" spans="1:12">
      <c r="A168" s="199"/>
      <c r="B168" s="198"/>
      <c r="C168" s="198"/>
      <c r="D168" s="198"/>
      <c r="E168" s="198"/>
      <c r="F168" s="198"/>
      <c r="G168" s="198"/>
      <c r="H168" s="198"/>
      <c r="I168" s="198"/>
      <c r="J168" s="198" t="s">
        <v>368</v>
      </c>
      <c r="K168" s="198" t="s">
        <v>303</v>
      </c>
      <c r="L168" s="200"/>
    </row>
    <row r="169" spans="1:12">
      <c r="A169" s="197" t="s">
        <v>369</v>
      </c>
      <c r="B169" s="289" t="s">
        <v>370</v>
      </c>
      <c r="C169" s="289" t="s">
        <v>371</v>
      </c>
      <c r="D169" s="271" t="s">
        <v>556</v>
      </c>
      <c r="E169" s="289" t="s">
        <v>372</v>
      </c>
      <c r="F169" s="271" t="s">
        <v>557</v>
      </c>
      <c r="G169" s="289" t="s">
        <v>373</v>
      </c>
      <c r="H169" s="271" t="s">
        <v>558</v>
      </c>
      <c r="I169" s="271" t="s">
        <v>559</v>
      </c>
      <c r="J169" s="289" t="s">
        <v>374</v>
      </c>
      <c r="K169" s="271" t="s">
        <v>560</v>
      </c>
      <c r="L169" s="273" t="s">
        <v>562</v>
      </c>
    </row>
    <row r="170" spans="1:12">
      <c r="A170" s="199"/>
      <c r="B170" s="198" t="s">
        <v>321</v>
      </c>
      <c r="C170" s="198" t="s">
        <v>375</v>
      </c>
      <c r="D170" s="198"/>
      <c r="E170" s="198" t="s">
        <v>376</v>
      </c>
      <c r="F170" s="198"/>
      <c r="G170" s="198" t="s">
        <v>36</v>
      </c>
      <c r="H170" s="272" t="s">
        <v>342</v>
      </c>
      <c r="I170" s="272" t="s">
        <v>343</v>
      </c>
      <c r="J170" s="198" t="s">
        <v>377</v>
      </c>
      <c r="K170" s="272" t="s">
        <v>561</v>
      </c>
      <c r="L170" s="200"/>
    </row>
    <row r="171" spans="1:12">
      <c r="A171" s="199"/>
      <c r="B171" s="198"/>
      <c r="C171" s="198" t="s">
        <v>378</v>
      </c>
      <c r="D171" s="198"/>
      <c r="E171" s="198" t="s">
        <v>379</v>
      </c>
      <c r="F171" s="198"/>
      <c r="G171" s="198" t="s">
        <v>380</v>
      </c>
      <c r="H171" s="198"/>
      <c r="I171" s="198"/>
      <c r="J171" s="198"/>
      <c r="K171" s="272" t="s">
        <v>338</v>
      </c>
      <c r="L171" s="200"/>
    </row>
    <row r="172" spans="1:12">
      <c r="A172" s="199"/>
      <c r="B172" s="198"/>
      <c r="C172" s="198"/>
      <c r="D172" s="198"/>
      <c r="E172" s="198"/>
      <c r="F172" s="198"/>
      <c r="G172" s="198" t="s">
        <v>381</v>
      </c>
      <c r="H172" s="198"/>
      <c r="I172" s="198"/>
      <c r="J172" s="198"/>
      <c r="K172" s="198"/>
      <c r="L172" s="200"/>
    </row>
    <row r="173" spans="1:12">
      <c r="A173" s="364" t="s">
        <v>643</v>
      </c>
      <c r="B173" s="198"/>
      <c r="C173" s="198"/>
      <c r="D173" s="198"/>
      <c r="E173" s="198"/>
      <c r="F173" s="198"/>
      <c r="G173" s="198" t="s">
        <v>382</v>
      </c>
      <c r="H173" s="198"/>
      <c r="I173" s="198"/>
      <c r="J173" s="198"/>
      <c r="K173" s="198"/>
      <c r="L173" s="200"/>
    </row>
    <row r="174" spans="1:12">
      <c r="A174" s="365" t="s">
        <v>644</v>
      </c>
      <c r="B174" s="198"/>
      <c r="C174" s="198"/>
      <c r="D174" s="198"/>
      <c r="E174" s="198"/>
      <c r="F174" s="198"/>
      <c r="G174" s="198" t="s">
        <v>383</v>
      </c>
      <c r="H174" s="198"/>
      <c r="I174" s="198"/>
      <c r="J174" s="198"/>
      <c r="K174" s="198"/>
      <c r="L174" s="200"/>
    </row>
    <row r="175" spans="1:12">
      <c r="A175" s="550" t="s">
        <v>384</v>
      </c>
      <c r="B175" s="467">
        <v>5111</v>
      </c>
      <c r="C175" s="468">
        <v>44</v>
      </c>
      <c r="D175" s="284">
        <f t="shared" ref="D175:D198" si="100">B175-C175</f>
        <v>5067</v>
      </c>
      <c r="E175" s="467">
        <v>176</v>
      </c>
      <c r="F175" s="202">
        <f>D175-E175</f>
        <v>4891</v>
      </c>
      <c r="G175" s="203">
        <v>0.3</v>
      </c>
      <c r="H175" s="202">
        <f t="shared" ref="H175:H198" si="101">E175*G175</f>
        <v>52.8</v>
      </c>
      <c r="I175" s="202">
        <f t="shared" ref="I175:I198" si="102">F175+H175</f>
        <v>4943.8</v>
      </c>
      <c r="J175" s="203">
        <v>0.82</v>
      </c>
      <c r="K175" s="202">
        <f>I175*J175 + C175</f>
        <v>4097.9159999999993</v>
      </c>
      <c r="L175" s="203">
        <f t="shared" ref="L175:L198" si="103">IF(B175&gt;0, K175/B175, 1)</f>
        <v>0.80178360399139093</v>
      </c>
    </row>
    <row r="176" spans="1:12">
      <c r="A176" s="551"/>
      <c r="B176" s="366">
        <v>877</v>
      </c>
      <c r="C176" s="367">
        <v>0</v>
      </c>
      <c r="D176" s="368">
        <f t="shared" si="100"/>
        <v>877</v>
      </c>
      <c r="E176" s="366">
        <v>0</v>
      </c>
      <c r="F176" s="369">
        <f>D176-E176</f>
        <v>877</v>
      </c>
      <c r="G176" s="370">
        <v>0.3</v>
      </c>
      <c r="H176" s="369">
        <f t="shared" si="101"/>
        <v>0</v>
      </c>
      <c r="I176" s="369">
        <f t="shared" si="102"/>
        <v>877</v>
      </c>
      <c r="J176" s="370">
        <v>0.92</v>
      </c>
      <c r="K176" s="369">
        <f>I176*J176 + C176</f>
        <v>806.84</v>
      </c>
      <c r="L176" s="371">
        <f t="shared" si="103"/>
        <v>0.92</v>
      </c>
    </row>
    <row r="177" spans="1:12">
      <c r="A177" s="550" t="s">
        <v>385</v>
      </c>
      <c r="B177" s="468">
        <v>0</v>
      </c>
      <c r="C177" s="468">
        <v>0</v>
      </c>
      <c r="D177" s="284">
        <f t="shared" si="100"/>
        <v>0</v>
      </c>
      <c r="E177" s="467">
        <v>0</v>
      </c>
      <c r="F177" s="202">
        <f t="shared" ref="F177:F198" si="104">D177-E177</f>
        <v>0</v>
      </c>
      <c r="G177" s="203">
        <v>0.3</v>
      </c>
      <c r="H177" s="202">
        <f t="shared" si="101"/>
        <v>0</v>
      </c>
      <c r="I177" s="202">
        <f t="shared" si="102"/>
        <v>0</v>
      </c>
      <c r="J177" s="203">
        <v>0.82</v>
      </c>
      <c r="K177" s="202">
        <f t="shared" ref="K177:K198" si="105">I177*J177 + C177</f>
        <v>0</v>
      </c>
      <c r="L177" s="203">
        <f t="shared" si="103"/>
        <v>1</v>
      </c>
    </row>
    <row r="178" spans="1:12">
      <c r="A178" s="551"/>
      <c r="B178" s="366">
        <v>0</v>
      </c>
      <c r="C178" s="367">
        <v>0</v>
      </c>
      <c r="D178" s="368">
        <f t="shared" si="100"/>
        <v>0</v>
      </c>
      <c r="E178" s="366">
        <v>0</v>
      </c>
      <c r="F178" s="369">
        <f>D178-E178</f>
        <v>0</v>
      </c>
      <c r="G178" s="370">
        <v>0.3</v>
      </c>
      <c r="H178" s="369">
        <f t="shared" si="101"/>
        <v>0</v>
      </c>
      <c r="I178" s="369">
        <f t="shared" si="102"/>
        <v>0</v>
      </c>
      <c r="J178" s="370">
        <v>0.92</v>
      </c>
      <c r="K178" s="369">
        <f>I178*J178 + C178</f>
        <v>0</v>
      </c>
      <c r="L178" s="371">
        <f t="shared" si="103"/>
        <v>1</v>
      </c>
    </row>
    <row r="179" spans="1:12">
      <c r="A179" s="550" t="s">
        <v>386</v>
      </c>
      <c r="B179" s="468">
        <v>18654</v>
      </c>
      <c r="C179" s="468">
        <v>1823</v>
      </c>
      <c r="D179" s="284">
        <f t="shared" si="100"/>
        <v>16831</v>
      </c>
      <c r="E179" s="467">
        <v>7769</v>
      </c>
      <c r="F179" s="202">
        <f t="shared" si="104"/>
        <v>9062</v>
      </c>
      <c r="G179" s="203">
        <v>0.3</v>
      </c>
      <c r="H179" s="202">
        <f t="shared" si="101"/>
        <v>2330.6999999999998</v>
      </c>
      <c r="I179" s="202">
        <f t="shared" si="102"/>
        <v>11392.7</v>
      </c>
      <c r="J179" s="203">
        <v>0.82</v>
      </c>
      <c r="K179" s="202">
        <f t="shared" si="105"/>
        <v>11165.013999999999</v>
      </c>
      <c r="L179" s="267">
        <f t="shared" si="103"/>
        <v>0.5985318966441513</v>
      </c>
    </row>
    <row r="180" spans="1:12">
      <c r="A180" s="551"/>
      <c r="B180" s="366">
        <v>0</v>
      </c>
      <c r="C180" s="367">
        <v>0</v>
      </c>
      <c r="D180" s="368">
        <f t="shared" si="100"/>
        <v>0</v>
      </c>
      <c r="E180" s="366">
        <v>0</v>
      </c>
      <c r="F180" s="369">
        <f>D180-E180</f>
        <v>0</v>
      </c>
      <c r="G180" s="370">
        <v>0.3</v>
      </c>
      <c r="H180" s="369">
        <f t="shared" si="101"/>
        <v>0</v>
      </c>
      <c r="I180" s="369">
        <f t="shared" si="102"/>
        <v>0</v>
      </c>
      <c r="J180" s="370">
        <v>0.92</v>
      </c>
      <c r="K180" s="369">
        <f>I180*J180 + C180</f>
        <v>0</v>
      </c>
      <c r="L180" s="371">
        <f t="shared" si="103"/>
        <v>1</v>
      </c>
    </row>
    <row r="181" spans="1:12">
      <c r="A181" s="550" t="s">
        <v>20</v>
      </c>
      <c r="B181" s="468">
        <v>5161</v>
      </c>
      <c r="C181" s="468">
        <v>145</v>
      </c>
      <c r="D181" s="284">
        <f t="shared" si="100"/>
        <v>5016</v>
      </c>
      <c r="E181" s="467">
        <v>1741</v>
      </c>
      <c r="F181" s="202">
        <f t="shared" si="104"/>
        <v>3275</v>
      </c>
      <c r="G181" s="203">
        <v>0.3</v>
      </c>
      <c r="H181" s="202">
        <f t="shared" si="101"/>
        <v>522.29999999999995</v>
      </c>
      <c r="I181" s="202">
        <f t="shared" si="102"/>
        <v>3797.3</v>
      </c>
      <c r="J181" s="203">
        <v>0.82</v>
      </c>
      <c r="K181" s="202">
        <f t="shared" si="105"/>
        <v>3258.7860000000001</v>
      </c>
      <c r="L181" s="267">
        <f t="shared" si="103"/>
        <v>0.631425305173416</v>
      </c>
    </row>
    <row r="182" spans="1:12">
      <c r="A182" s="551"/>
      <c r="B182" s="366">
        <v>0</v>
      </c>
      <c r="C182" s="367">
        <v>0</v>
      </c>
      <c r="D182" s="368">
        <f t="shared" si="100"/>
        <v>0</v>
      </c>
      <c r="E182" s="366">
        <v>0</v>
      </c>
      <c r="F182" s="369">
        <f>D182-E182</f>
        <v>0</v>
      </c>
      <c r="G182" s="370">
        <v>0.3</v>
      </c>
      <c r="H182" s="369">
        <f t="shared" si="101"/>
        <v>0</v>
      </c>
      <c r="I182" s="369">
        <f t="shared" si="102"/>
        <v>0</v>
      </c>
      <c r="J182" s="370">
        <v>0.92</v>
      </c>
      <c r="K182" s="369">
        <f>I182*J182 + C182</f>
        <v>0</v>
      </c>
      <c r="L182" s="371">
        <f t="shared" si="103"/>
        <v>1</v>
      </c>
    </row>
    <row r="183" spans="1:12">
      <c r="A183" s="550" t="s">
        <v>387</v>
      </c>
      <c r="B183" s="468">
        <v>7703</v>
      </c>
      <c r="C183" s="468">
        <v>949</v>
      </c>
      <c r="D183" s="284">
        <f t="shared" si="100"/>
        <v>6754</v>
      </c>
      <c r="E183" s="467">
        <v>2716</v>
      </c>
      <c r="F183" s="202">
        <f t="shared" si="104"/>
        <v>4038</v>
      </c>
      <c r="G183" s="203">
        <v>0.3</v>
      </c>
      <c r="H183" s="202">
        <f t="shared" si="101"/>
        <v>814.8</v>
      </c>
      <c r="I183" s="202">
        <f t="shared" si="102"/>
        <v>4852.8</v>
      </c>
      <c r="J183" s="203">
        <v>0.82</v>
      </c>
      <c r="K183" s="202">
        <f t="shared" si="105"/>
        <v>4928.2960000000003</v>
      </c>
      <c r="L183" s="267">
        <f t="shared" si="103"/>
        <v>0.63978917304946126</v>
      </c>
    </row>
    <row r="184" spans="1:12">
      <c r="A184" s="551"/>
      <c r="B184" s="366">
        <v>765</v>
      </c>
      <c r="C184" s="367">
        <v>12</v>
      </c>
      <c r="D184" s="368">
        <f t="shared" si="100"/>
        <v>753</v>
      </c>
      <c r="E184" s="366">
        <v>0</v>
      </c>
      <c r="F184" s="369">
        <f>D184-E184</f>
        <v>753</v>
      </c>
      <c r="G184" s="370">
        <v>0.3</v>
      </c>
      <c r="H184" s="369">
        <f t="shared" si="101"/>
        <v>0</v>
      </c>
      <c r="I184" s="369">
        <f t="shared" si="102"/>
        <v>753</v>
      </c>
      <c r="J184" s="370">
        <v>0.92</v>
      </c>
      <c r="K184" s="369">
        <f>I184*J184 + C184</f>
        <v>704.76</v>
      </c>
      <c r="L184" s="371">
        <f t="shared" si="103"/>
        <v>0.9212549019607843</v>
      </c>
    </row>
    <row r="185" spans="1:12">
      <c r="A185" s="550" t="s">
        <v>388</v>
      </c>
      <c r="B185" s="468">
        <v>25971</v>
      </c>
      <c r="C185" s="468">
        <v>1193</v>
      </c>
      <c r="D185" s="284">
        <f t="shared" si="100"/>
        <v>24778</v>
      </c>
      <c r="E185" s="467">
        <v>10707</v>
      </c>
      <c r="F185" s="202">
        <f t="shared" si="104"/>
        <v>14071</v>
      </c>
      <c r="G185" s="203">
        <v>0.3</v>
      </c>
      <c r="H185" s="202">
        <f t="shared" si="101"/>
        <v>3212.1</v>
      </c>
      <c r="I185" s="202">
        <f t="shared" si="102"/>
        <v>17283.099999999999</v>
      </c>
      <c r="J185" s="203">
        <v>0.82</v>
      </c>
      <c r="K185" s="202">
        <f t="shared" si="105"/>
        <v>15365.141999999998</v>
      </c>
      <c r="L185" s="267">
        <f t="shared" si="103"/>
        <v>0.59162689153286352</v>
      </c>
    </row>
    <row r="186" spans="1:12">
      <c r="A186" s="551"/>
      <c r="B186" s="366">
        <v>0</v>
      </c>
      <c r="C186" s="367">
        <v>0</v>
      </c>
      <c r="D186" s="368">
        <f t="shared" si="100"/>
        <v>0</v>
      </c>
      <c r="E186" s="366">
        <v>0</v>
      </c>
      <c r="F186" s="369">
        <f>D186-E186</f>
        <v>0</v>
      </c>
      <c r="G186" s="370">
        <v>0.3</v>
      </c>
      <c r="H186" s="369">
        <f t="shared" si="101"/>
        <v>0</v>
      </c>
      <c r="I186" s="369">
        <f t="shared" si="102"/>
        <v>0</v>
      </c>
      <c r="J186" s="370">
        <v>0.92</v>
      </c>
      <c r="K186" s="369">
        <f>I186*J186 + C186</f>
        <v>0</v>
      </c>
      <c r="L186" s="371">
        <f t="shared" si="103"/>
        <v>1</v>
      </c>
    </row>
    <row r="187" spans="1:12">
      <c r="A187" s="550" t="s">
        <v>389</v>
      </c>
      <c r="B187" s="468">
        <v>1381</v>
      </c>
      <c r="C187" s="468">
        <v>247</v>
      </c>
      <c r="D187" s="284">
        <f t="shared" si="100"/>
        <v>1134</v>
      </c>
      <c r="E187" s="467">
        <v>322</v>
      </c>
      <c r="F187" s="202">
        <f t="shared" si="104"/>
        <v>812</v>
      </c>
      <c r="G187" s="203">
        <v>0.35</v>
      </c>
      <c r="H187" s="202">
        <f t="shared" si="101"/>
        <v>112.69999999999999</v>
      </c>
      <c r="I187" s="202">
        <f t="shared" si="102"/>
        <v>924.7</v>
      </c>
      <c r="J187" s="203">
        <v>0.82</v>
      </c>
      <c r="K187" s="202">
        <f t="shared" si="105"/>
        <v>1005.254</v>
      </c>
      <c r="L187" s="267">
        <f t="shared" si="103"/>
        <v>0.72791745112237516</v>
      </c>
    </row>
    <row r="188" spans="1:12">
      <c r="A188" s="551"/>
      <c r="B188" s="366">
        <v>0</v>
      </c>
      <c r="C188" s="367">
        <v>0</v>
      </c>
      <c r="D188" s="368">
        <f t="shared" si="100"/>
        <v>0</v>
      </c>
      <c r="E188" s="366">
        <v>0</v>
      </c>
      <c r="F188" s="369">
        <f>D188-E188</f>
        <v>0</v>
      </c>
      <c r="G188" s="370">
        <v>0.35</v>
      </c>
      <c r="H188" s="369">
        <f t="shared" si="101"/>
        <v>0</v>
      </c>
      <c r="I188" s="369">
        <f t="shared" si="102"/>
        <v>0</v>
      </c>
      <c r="J188" s="370">
        <v>0.92</v>
      </c>
      <c r="K188" s="369">
        <f>I188*J188 + C188</f>
        <v>0</v>
      </c>
      <c r="L188" s="371">
        <f t="shared" si="103"/>
        <v>1</v>
      </c>
    </row>
    <row r="189" spans="1:12">
      <c r="A189" s="550" t="s">
        <v>390</v>
      </c>
      <c r="B189" s="468">
        <v>20907</v>
      </c>
      <c r="C189" s="468">
        <v>3189</v>
      </c>
      <c r="D189" s="284">
        <f t="shared" si="100"/>
        <v>17718</v>
      </c>
      <c r="E189" s="467">
        <v>4492</v>
      </c>
      <c r="F189" s="202">
        <f t="shared" si="104"/>
        <v>13226</v>
      </c>
      <c r="G189" s="203">
        <v>0.35</v>
      </c>
      <c r="H189" s="202">
        <f t="shared" si="101"/>
        <v>1572.1999999999998</v>
      </c>
      <c r="I189" s="202">
        <f t="shared" si="102"/>
        <v>14798.2</v>
      </c>
      <c r="J189" s="203">
        <v>0.82</v>
      </c>
      <c r="K189" s="202">
        <f t="shared" si="105"/>
        <v>15323.523999999999</v>
      </c>
      <c r="L189" s="267">
        <f t="shared" si="103"/>
        <v>0.73293748505285305</v>
      </c>
    </row>
    <row r="190" spans="1:12">
      <c r="A190" s="551"/>
      <c r="B190" s="366">
        <v>0</v>
      </c>
      <c r="C190" s="367">
        <v>0</v>
      </c>
      <c r="D190" s="368">
        <f t="shared" si="100"/>
        <v>0</v>
      </c>
      <c r="E190" s="366">
        <v>0</v>
      </c>
      <c r="F190" s="369">
        <f>D190-E190</f>
        <v>0</v>
      </c>
      <c r="G190" s="370">
        <v>0.35</v>
      </c>
      <c r="H190" s="369">
        <f t="shared" si="101"/>
        <v>0</v>
      </c>
      <c r="I190" s="369">
        <f t="shared" si="102"/>
        <v>0</v>
      </c>
      <c r="J190" s="370">
        <v>0.92</v>
      </c>
      <c r="K190" s="369">
        <f>I190*J190 + C190</f>
        <v>0</v>
      </c>
      <c r="L190" s="371">
        <f t="shared" si="103"/>
        <v>1</v>
      </c>
    </row>
    <row r="191" spans="1:12">
      <c r="A191" s="550" t="s">
        <v>391</v>
      </c>
      <c r="B191" s="468">
        <v>904</v>
      </c>
      <c r="C191" s="468">
        <v>117</v>
      </c>
      <c r="D191" s="284">
        <f t="shared" si="100"/>
        <v>787</v>
      </c>
      <c r="E191" s="467">
        <v>300</v>
      </c>
      <c r="F191" s="202">
        <f t="shared" si="104"/>
        <v>487</v>
      </c>
      <c r="G191" s="203">
        <v>0.35</v>
      </c>
      <c r="H191" s="202">
        <f t="shared" si="101"/>
        <v>105</v>
      </c>
      <c r="I191" s="202">
        <f t="shared" si="102"/>
        <v>592</v>
      </c>
      <c r="J191" s="203">
        <v>0.82</v>
      </c>
      <c r="K191" s="202">
        <f t="shared" si="105"/>
        <v>602.44000000000005</v>
      </c>
      <c r="L191" s="267">
        <f t="shared" si="103"/>
        <v>0.66641592920353987</v>
      </c>
    </row>
    <row r="192" spans="1:12">
      <c r="A192" s="551"/>
      <c r="B192" s="366">
        <v>0</v>
      </c>
      <c r="C192" s="367">
        <v>0</v>
      </c>
      <c r="D192" s="368">
        <f t="shared" si="100"/>
        <v>0</v>
      </c>
      <c r="E192" s="366">
        <v>0</v>
      </c>
      <c r="F192" s="369">
        <f>D192-E192</f>
        <v>0</v>
      </c>
      <c r="G192" s="370">
        <v>0.35</v>
      </c>
      <c r="H192" s="369">
        <f t="shared" si="101"/>
        <v>0</v>
      </c>
      <c r="I192" s="369">
        <f t="shared" si="102"/>
        <v>0</v>
      </c>
      <c r="J192" s="370">
        <v>0.92</v>
      </c>
      <c r="K192" s="369">
        <f>I192*J192 + C192</f>
        <v>0</v>
      </c>
      <c r="L192" s="371">
        <f t="shared" si="103"/>
        <v>1</v>
      </c>
    </row>
    <row r="193" spans="1:12">
      <c r="A193" s="204" t="s">
        <v>392</v>
      </c>
      <c r="B193" s="468">
        <v>2593</v>
      </c>
      <c r="C193" s="468">
        <v>0</v>
      </c>
      <c r="D193" s="284">
        <f t="shared" si="100"/>
        <v>2593</v>
      </c>
      <c r="E193" s="467">
        <v>1085</v>
      </c>
      <c r="F193" s="202">
        <f t="shared" si="104"/>
        <v>1508</v>
      </c>
      <c r="G193" s="140">
        <v>0.3</v>
      </c>
      <c r="H193" s="186">
        <f t="shared" si="101"/>
        <v>325.5</v>
      </c>
      <c r="I193" s="186">
        <f t="shared" si="102"/>
        <v>1833.5</v>
      </c>
      <c r="J193" s="140">
        <v>0.82</v>
      </c>
      <c r="K193" s="202">
        <f t="shared" si="105"/>
        <v>1503.4699999999998</v>
      </c>
      <c r="L193" s="268">
        <f t="shared" si="103"/>
        <v>0.57981874276899337</v>
      </c>
    </row>
    <row r="194" spans="1:12">
      <c r="A194" s="550" t="s">
        <v>393</v>
      </c>
      <c r="B194" s="468">
        <v>9551</v>
      </c>
      <c r="C194" s="468">
        <v>2097</v>
      </c>
      <c r="D194" s="284">
        <f t="shared" si="100"/>
        <v>7454</v>
      </c>
      <c r="E194" s="467">
        <v>3066</v>
      </c>
      <c r="F194" s="202">
        <f t="shared" si="104"/>
        <v>4388</v>
      </c>
      <c r="G194" s="203">
        <v>0.31</v>
      </c>
      <c r="H194" s="202">
        <f t="shared" si="101"/>
        <v>950.46</v>
      </c>
      <c r="I194" s="202">
        <f t="shared" si="102"/>
        <v>5338.46</v>
      </c>
      <c r="J194" s="203">
        <v>0.82</v>
      </c>
      <c r="K194" s="202">
        <f t="shared" si="105"/>
        <v>6474.5371999999998</v>
      </c>
      <c r="L194" s="267">
        <f t="shared" si="103"/>
        <v>0.67789102711757931</v>
      </c>
    </row>
    <row r="195" spans="1:12">
      <c r="A195" s="551"/>
      <c r="B195" s="366">
        <v>0</v>
      </c>
      <c r="C195" s="367">
        <v>0</v>
      </c>
      <c r="D195" s="368">
        <f t="shared" si="100"/>
        <v>0</v>
      </c>
      <c r="E195" s="366">
        <v>0</v>
      </c>
      <c r="F195" s="369">
        <f>D195-E195</f>
        <v>0</v>
      </c>
      <c r="G195" s="370">
        <v>0.31</v>
      </c>
      <c r="H195" s="369">
        <f t="shared" si="101"/>
        <v>0</v>
      </c>
      <c r="I195" s="369">
        <f t="shared" si="102"/>
        <v>0</v>
      </c>
      <c r="J195" s="370">
        <v>0.92</v>
      </c>
      <c r="K195" s="369">
        <f>I195*J195 + C195</f>
        <v>0</v>
      </c>
      <c r="L195" s="371">
        <f t="shared" si="103"/>
        <v>1</v>
      </c>
    </row>
    <row r="196" spans="1:12">
      <c r="A196" s="201" t="s">
        <v>412</v>
      </c>
      <c r="B196" s="468">
        <v>980</v>
      </c>
      <c r="C196" s="468">
        <v>0</v>
      </c>
      <c r="D196" s="284">
        <f t="shared" si="100"/>
        <v>980</v>
      </c>
      <c r="E196" s="467">
        <v>846</v>
      </c>
      <c r="F196" s="202">
        <f t="shared" si="104"/>
        <v>134</v>
      </c>
      <c r="G196" s="203">
        <v>0.23</v>
      </c>
      <c r="H196" s="202">
        <f>E196*G196</f>
        <v>194.58</v>
      </c>
      <c r="I196" s="202">
        <f>F196+H196</f>
        <v>328.58000000000004</v>
      </c>
      <c r="J196" s="203">
        <v>0.82</v>
      </c>
      <c r="K196" s="202">
        <f t="shared" si="105"/>
        <v>269.43560000000002</v>
      </c>
      <c r="L196" s="267">
        <f t="shared" si="103"/>
        <v>0.27493428571428574</v>
      </c>
    </row>
    <row r="197" spans="1:12" ht="25.5">
      <c r="A197" s="201" t="s">
        <v>413</v>
      </c>
      <c r="B197" s="468">
        <v>24977</v>
      </c>
      <c r="C197" s="468">
        <v>2286</v>
      </c>
      <c r="D197" s="284">
        <f t="shared" si="100"/>
        <v>22691</v>
      </c>
      <c r="E197" s="467">
        <v>9903</v>
      </c>
      <c r="F197" s="202">
        <f t="shared" si="104"/>
        <v>12788</v>
      </c>
      <c r="G197" s="203">
        <v>0.23</v>
      </c>
      <c r="H197" s="202">
        <f t="shared" si="101"/>
        <v>2277.69</v>
      </c>
      <c r="I197" s="202">
        <f t="shared" si="102"/>
        <v>15065.69</v>
      </c>
      <c r="J197" s="203">
        <v>0.82</v>
      </c>
      <c r="K197" s="202">
        <f t="shared" si="105"/>
        <v>14639.8658</v>
      </c>
      <c r="L197" s="267">
        <f t="shared" si="103"/>
        <v>0.58613387516515192</v>
      </c>
    </row>
    <row r="198" spans="1:12" ht="25.5">
      <c r="A198" s="201" t="s">
        <v>394</v>
      </c>
      <c r="B198" s="468">
        <v>38977</v>
      </c>
      <c r="C198" s="468">
        <v>3703</v>
      </c>
      <c r="D198" s="284">
        <f t="shared" si="100"/>
        <v>35274</v>
      </c>
      <c r="E198" s="467">
        <v>25502</v>
      </c>
      <c r="F198" s="202">
        <f t="shared" si="104"/>
        <v>9772</v>
      </c>
      <c r="G198" s="203">
        <v>0.23</v>
      </c>
      <c r="H198" s="202">
        <f t="shared" si="101"/>
        <v>5865.46</v>
      </c>
      <c r="I198" s="202">
        <f t="shared" si="102"/>
        <v>15637.46</v>
      </c>
      <c r="J198" s="203">
        <v>0.82</v>
      </c>
      <c r="K198" s="202">
        <f t="shared" si="105"/>
        <v>16525.717199999999</v>
      </c>
      <c r="L198" s="267">
        <f t="shared" si="103"/>
        <v>0.42398638171229186</v>
      </c>
    </row>
    <row r="199" spans="1:12">
      <c r="B199" s="143"/>
    </row>
    <row r="200" spans="1:12">
      <c r="B200" s="143"/>
    </row>
    <row r="201" spans="1:12">
      <c r="B201" s="143"/>
    </row>
    <row r="202" spans="1:12">
      <c r="B202" s="143"/>
    </row>
    <row r="203" spans="1:12">
      <c r="B203" s="143"/>
    </row>
    <row r="204" spans="1:12">
      <c r="B204" s="143"/>
    </row>
    <row r="205" spans="1:12">
      <c r="B205" s="143"/>
    </row>
    <row r="206" spans="1:12">
      <c r="B206" s="143"/>
    </row>
    <row r="207" spans="1:12">
      <c r="B207" s="143"/>
    </row>
    <row r="208" spans="1:1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sheetData>
  <mergeCells count="50">
    <mergeCell ref="A185:A186"/>
    <mergeCell ref="A187:A188"/>
    <mergeCell ref="A189:A190"/>
    <mergeCell ref="A191:A192"/>
    <mergeCell ref="A194:A195"/>
    <mergeCell ref="A175:A176"/>
    <mergeCell ref="A177:A178"/>
    <mergeCell ref="A179:A180"/>
    <mergeCell ref="A181:A182"/>
    <mergeCell ref="A183:A184"/>
    <mergeCell ref="A145:A146"/>
    <mergeCell ref="A147:A148"/>
    <mergeCell ref="A149:A150"/>
    <mergeCell ref="A151:A152"/>
    <mergeCell ref="A154:A155"/>
    <mergeCell ref="A135:A136"/>
    <mergeCell ref="A137:A138"/>
    <mergeCell ref="A139:A140"/>
    <mergeCell ref="A141:A142"/>
    <mergeCell ref="A143:A144"/>
    <mergeCell ref="A25:A26"/>
    <mergeCell ref="A15:A16"/>
    <mergeCell ref="A17:A18"/>
    <mergeCell ref="A19:A20"/>
    <mergeCell ref="A21:A22"/>
    <mergeCell ref="A23:A24"/>
    <mergeCell ref="A69:A70"/>
    <mergeCell ref="A27:A28"/>
    <mergeCell ref="A29:A30"/>
    <mergeCell ref="A31:A32"/>
    <mergeCell ref="A34:A35"/>
    <mergeCell ref="A55:A56"/>
    <mergeCell ref="A57:A58"/>
    <mergeCell ref="A59:A60"/>
    <mergeCell ref="A61:A62"/>
    <mergeCell ref="A63:A64"/>
    <mergeCell ref="A65:A66"/>
    <mergeCell ref="A67:A68"/>
    <mergeCell ref="A114:A115"/>
    <mergeCell ref="A71:A72"/>
    <mergeCell ref="A74:A75"/>
    <mergeCell ref="A95:A96"/>
    <mergeCell ref="A97:A98"/>
    <mergeCell ref="A99:A100"/>
    <mergeCell ref="A101:A102"/>
    <mergeCell ref="A103:A104"/>
    <mergeCell ref="A105:A106"/>
    <mergeCell ref="A107:A108"/>
    <mergeCell ref="A109:A110"/>
    <mergeCell ref="A111:A112"/>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69"/>
  <sheetViews>
    <sheetView topLeftCell="A44" workbookViewId="0">
      <selection activeCell="N42" sqref="N42"/>
    </sheetView>
  </sheetViews>
  <sheetFormatPr defaultRowHeight="12.75"/>
  <cols>
    <col min="1" max="1" width="23.5703125" customWidth="1"/>
    <col min="8" max="8" width="13.7109375" customWidth="1"/>
  </cols>
  <sheetData>
    <row r="1" spans="1:17">
      <c r="A1" t="s">
        <v>531</v>
      </c>
    </row>
    <row r="5" spans="1:17">
      <c r="A5" s="552" t="s">
        <v>532</v>
      </c>
      <c r="B5" s="553"/>
      <c r="C5" s="553"/>
      <c r="D5" s="553"/>
      <c r="E5" s="553"/>
      <c r="F5" s="554"/>
      <c r="G5" s="387"/>
      <c r="H5" s="552" t="s">
        <v>529</v>
      </c>
      <c r="I5" s="553"/>
      <c r="J5" s="553"/>
      <c r="K5" s="553"/>
      <c r="L5" s="553"/>
      <c r="M5" s="554"/>
      <c r="N5" s="388"/>
      <c r="O5" s="388"/>
      <c r="P5" s="388"/>
      <c r="Q5" s="388"/>
    </row>
    <row r="6" spans="1:17">
      <c r="A6" s="109"/>
      <c r="B6" s="386">
        <f>INPUT!C1</f>
        <v>2017</v>
      </c>
      <c r="C6" s="386">
        <f>INPUT!D1</f>
        <v>2018</v>
      </c>
      <c r="D6" s="386">
        <f>INPUT!E1</f>
        <v>2019</v>
      </c>
      <c r="E6" s="386">
        <f>INPUT!F1</f>
        <v>2020</v>
      </c>
      <c r="F6" s="386">
        <f>INPUT!G1</f>
        <v>2021</v>
      </c>
      <c r="G6" s="312"/>
      <c r="H6" s="109"/>
      <c r="I6" s="386">
        <f>INPUT!C1</f>
        <v>2017</v>
      </c>
      <c r="J6" s="386">
        <f>INPUT!D1</f>
        <v>2018</v>
      </c>
      <c r="K6" s="386">
        <f>INPUT!E1</f>
        <v>2019</v>
      </c>
      <c r="L6" s="386">
        <f>INPUT!F1</f>
        <v>2020</v>
      </c>
      <c r="M6" s="386">
        <f>INPUT!G1</f>
        <v>2021</v>
      </c>
    </row>
    <row r="7" spans="1:17">
      <c r="A7" s="2" t="s">
        <v>481</v>
      </c>
      <c r="B7" s="185">
        <f>INPUT!C200</f>
        <v>11314.512396694214</v>
      </c>
      <c r="C7" s="185">
        <f>INPUT!D200</f>
        <v>4619.1074380165282</v>
      </c>
      <c r="D7" s="185">
        <f>INPUT!E200</f>
        <v>13289</v>
      </c>
      <c r="E7" s="185">
        <f>INPUT!F200</f>
        <v>55338.842975206615</v>
      </c>
      <c r="F7" s="185">
        <f>INPUT!G200</f>
        <v>7475</v>
      </c>
      <c r="G7" s="312"/>
      <c r="H7" s="2" t="s">
        <v>14</v>
      </c>
      <c r="I7" s="185">
        <f>MAX(INPUT!C184-'NORTH FORK'!B9-Attachment1!$B6,0)</f>
        <v>0</v>
      </c>
      <c r="J7" s="185">
        <f>MAX(INPUT!D184-'NORTH FORK'!C9-Attachment1!$B6,0)</f>
        <v>0</v>
      </c>
      <c r="K7" s="185">
        <f>MAX(INPUT!E184-'NORTH FORK'!D9-Attachment1!$B6,0)</f>
        <v>0</v>
      </c>
      <c r="L7" s="185">
        <f>MAX(INPUT!F184-'NORTH FORK'!E9-Attachment1!$B6,0)</f>
        <v>0</v>
      </c>
      <c r="M7" s="185">
        <f>MAX(INPUT!G184-'NORTH FORK'!F9-Attachment1!$B6,0)</f>
        <v>0</v>
      </c>
      <c r="N7" s="462" t="s">
        <v>690</v>
      </c>
    </row>
    <row r="8" spans="1:17">
      <c r="A8" s="2" t="s">
        <v>482</v>
      </c>
      <c r="B8" s="185">
        <f>INPUT!C201</f>
        <v>6368.9256198347111</v>
      </c>
      <c r="C8" s="185">
        <f>INPUT!D201</f>
        <v>5520.7933884297527</v>
      </c>
      <c r="D8" s="185">
        <f>INPUT!E201</f>
        <v>6875</v>
      </c>
      <c r="E8" s="185">
        <f>INPUT!F201</f>
        <v>33332.231404958678</v>
      </c>
      <c r="F8" s="185">
        <f>INPUT!G201</f>
        <v>7332</v>
      </c>
      <c r="G8" s="312"/>
      <c r="H8" s="2" t="s">
        <v>515</v>
      </c>
      <c r="I8" s="185">
        <f>MAX(INPUT!C185-Attachment1!$B5,0)</f>
        <v>0</v>
      </c>
      <c r="J8" s="185">
        <f>MAX(INPUT!D185-Attachment1!$B5,0)</f>
        <v>0</v>
      </c>
      <c r="K8" s="185">
        <f>MAX(INPUT!E185-Attachment1!$B5,0)</f>
        <v>0</v>
      </c>
      <c r="L8" s="185">
        <f>MAX(INPUT!F185-Attachment1!$B5,0)</f>
        <v>0</v>
      </c>
      <c r="M8" s="185">
        <f>MAX(INPUT!G185-Attachment1!$B5,0)</f>
        <v>0</v>
      </c>
    </row>
    <row r="9" spans="1:17">
      <c r="A9" s="2" t="s">
        <v>483</v>
      </c>
      <c r="B9" s="185">
        <f>INPUT!C202</f>
        <v>6420.0991735537173</v>
      </c>
      <c r="C9" s="185">
        <f>INPUT!D202</f>
        <v>7386.4462809917322</v>
      </c>
      <c r="D9" s="185">
        <f>INPUT!E202</f>
        <v>61131</v>
      </c>
      <c r="E9" s="185">
        <f>INPUT!F202</f>
        <v>33774.545454545456</v>
      </c>
      <c r="F9" s="185">
        <f>INPUT!G202</f>
        <v>28746</v>
      </c>
      <c r="G9" s="312"/>
      <c r="H9" s="2" t="s">
        <v>516</v>
      </c>
      <c r="I9" s="185">
        <f>MAX(INPUT!C186-Attachment1!$B7,0)</f>
        <v>0</v>
      </c>
      <c r="J9" s="185">
        <f>MAX(INPUT!D186-Attachment1!$B7,0)</f>
        <v>0</v>
      </c>
      <c r="K9" s="185">
        <f>MAX(INPUT!E186-Attachment1!$B7,0)</f>
        <v>0</v>
      </c>
      <c r="L9" s="185">
        <f>MAX(INPUT!F186-Attachment1!$B7,0)</f>
        <v>0</v>
      </c>
      <c r="M9" s="185">
        <f>MAX(INPUT!G186-Attachment1!$B7,0)</f>
        <v>0</v>
      </c>
    </row>
    <row r="10" spans="1:17">
      <c r="A10" s="2" t="s">
        <v>484</v>
      </c>
      <c r="B10" s="185">
        <f>INPUT!C203</f>
        <v>6932.8264462809911</v>
      </c>
      <c r="C10" s="185">
        <f>INPUT!D203</f>
        <v>3658.1157024793401</v>
      </c>
      <c r="D10" s="185">
        <f>INPUT!E203</f>
        <v>21669</v>
      </c>
      <c r="E10" s="185">
        <f>INPUT!F203</f>
        <v>23420.826446280997</v>
      </c>
      <c r="F10" s="185">
        <f>INPUT!G203</f>
        <v>20400</v>
      </c>
      <c r="G10" s="312"/>
      <c r="H10" s="2" t="s">
        <v>517</v>
      </c>
      <c r="I10" s="185">
        <f>MAX(INPUT!C187-ROCK!B9-Attachment1!$B8,0)</f>
        <v>0</v>
      </c>
      <c r="J10" s="185">
        <f>MAX(INPUT!D187-ROCK!C9-Attachment1!$B8,0)</f>
        <v>0</v>
      </c>
      <c r="K10" s="185">
        <f>MAX(INPUT!E187-ROCK!D9-Attachment1!$B8,0)</f>
        <v>0</v>
      </c>
      <c r="L10" s="185">
        <f>MAX(INPUT!F187-ROCK!E9-Attachment1!$B8,0)</f>
        <v>0</v>
      </c>
      <c r="M10" s="185">
        <f>MAX(INPUT!G187-ROCK!F9-Attachment1!$B8,0)</f>
        <v>0</v>
      </c>
      <c r="N10" s="462" t="s">
        <v>690</v>
      </c>
    </row>
    <row r="11" spans="1:17">
      <c r="A11" s="2" t="s">
        <v>485</v>
      </c>
      <c r="B11" s="185">
        <f>INPUT!C204</f>
        <v>33285.818181818177</v>
      </c>
      <c r="C11" s="185">
        <f>INPUT!D204</f>
        <v>2309.3553719008264</v>
      </c>
      <c r="D11" s="185">
        <f>INPUT!E204</f>
        <v>66000</v>
      </c>
      <c r="E11" s="185">
        <f>INPUT!F204</f>
        <v>31731.570247933883</v>
      </c>
      <c r="F11" s="185">
        <f>INPUT!G204</f>
        <v>25198</v>
      </c>
      <c r="G11" s="312"/>
      <c r="H11" s="2" t="s">
        <v>525</v>
      </c>
      <c r="I11" s="185">
        <f>MAX(INPUT!C188-Attachment1!$B9,0)</f>
        <v>0</v>
      </c>
      <c r="J11" s="185">
        <f>MAX(INPUT!D188-Attachment1!$B9,0)</f>
        <v>0</v>
      </c>
      <c r="K11" s="185">
        <f>MAX(INPUT!E188-Attachment1!$B9,0)</f>
        <v>0</v>
      </c>
      <c r="L11" s="185">
        <f>MAX(INPUT!F188-Attachment1!$B9,0)</f>
        <v>0</v>
      </c>
      <c r="M11" s="185">
        <f>MAX(INPUT!G188-Attachment1!$B9,0)</f>
        <v>0</v>
      </c>
    </row>
    <row r="12" spans="1:17">
      <c r="A12" s="2" t="s">
        <v>486</v>
      </c>
      <c r="B12" s="185">
        <f>INPUT!C205</f>
        <v>11955.966942148762</v>
      </c>
      <c r="C12" s="185">
        <f>INPUT!D205</f>
        <v>7600.6611570247942</v>
      </c>
      <c r="D12" s="185">
        <f>INPUT!E205</f>
        <v>69761</v>
      </c>
      <c r="E12" s="185">
        <f>INPUT!F205</f>
        <v>10809.917355371901</v>
      </c>
      <c r="F12" s="185">
        <f>INPUT!G205</f>
        <v>14672</v>
      </c>
      <c r="G12" s="312"/>
      <c r="H12" s="2" t="s">
        <v>518</v>
      </c>
      <c r="I12" s="185">
        <f>MAX(INPUT!C189-Attachment1!$B10,0)</f>
        <v>0</v>
      </c>
      <c r="J12" s="185">
        <f>MAX(INPUT!D189-Attachment1!$B10,0)</f>
        <v>0</v>
      </c>
      <c r="K12" s="185">
        <f>MAX(INPUT!E189-Attachment1!$B10,0)</f>
        <v>0</v>
      </c>
      <c r="L12" s="185">
        <f>MAX(INPUT!F189-Attachment1!$B10,0)</f>
        <v>0</v>
      </c>
      <c r="M12" s="185">
        <f>MAX(INPUT!G189-Attachment1!$B10,0)</f>
        <v>0</v>
      </c>
    </row>
    <row r="13" spans="1:17">
      <c r="A13" s="2" t="s">
        <v>487</v>
      </c>
      <c r="B13" s="185">
        <f>INPUT!C206</f>
        <v>24711.867768595039</v>
      </c>
      <c r="C13" s="185">
        <f>INPUT!D206</f>
        <v>3805.0909090909095</v>
      </c>
      <c r="D13" s="185">
        <f>INPUT!E206</f>
        <v>118015</v>
      </c>
      <c r="E13" s="185">
        <f>INPUT!F206</f>
        <v>30810.644628099173</v>
      </c>
      <c r="F13" s="185">
        <f>INPUT!G206</f>
        <v>8141</v>
      </c>
      <c r="G13" s="312"/>
      <c r="H13" s="2" t="s">
        <v>519</v>
      </c>
      <c r="I13" s="185">
        <f>MAX(INPUT!C190-Attachment1!$B11,0)</f>
        <v>0</v>
      </c>
      <c r="J13" s="185">
        <f>MAX(INPUT!D190-Attachment1!$B11,0)</f>
        <v>0</v>
      </c>
      <c r="K13" s="185">
        <f>MAX(INPUT!E190-Attachment1!$B11,0)</f>
        <v>0</v>
      </c>
      <c r="L13" s="185">
        <f>MAX(INPUT!F190-Attachment1!$B11,0)</f>
        <v>0</v>
      </c>
      <c r="M13" s="185">
        <f>MAX(INPUT!G190-Attachment1!$B11,0)</f>
        <v>0</v>
      </c>
    </row>
    <row r="14" spans="1:17">
      <c r="A14" s="2" t="s">
        <v>488</v>
      </c>
      <c r="B14" s="185">
        <f>INPUT!C207</f>
        <v>5873.8512396694214</v>
      </c>
      <c r="C14" s="185">
        <f>INPUT!D207</f>
        <v>5064.7933884297527</v>
      </c>
      <c r="D14" s="185">
        <f>INPUT!E207</f>
        <v>82834</v>
      </c>
      <c r="E14" s="185">
        <f>INPUT!F207</f>
        <v>8336.9256198347102</v>
      </c>
      <c r="F14" s="185">
        <f>INPUT!G207</f>
        <v>8550</v>
      </c>
      <c r="G14" s="312"/>
      <c r="H14" s="2" t="s">
        <v>520</v>
      </c>
      <c r="I14" s="185">
        <f>MAX(INPUT!C191-Attachment1!$B12,0)</f>
        <v>0</v>
      </c>
      <c r="J14" s="185">
        <f>MAX(INPUT!D191-Attachment1!$B12,0)</f>
        <v>0</v>
      </c>
      <c r="K14" s="185">
        <f>MAX(INPUT!E191-Attachment1!$B12,0)</f>
        <v>0</v>
      </c>
      <c r="L14" s="185">
        <f>MAX(INPUT!F191-Attachment1!$B12,0)</f>
        <v>0</v>
      </c>
      <c r="M14" s="185">
        <f>MAX(INPUT!G191-Attachment1!$B12,0)</f>
        <v>0</v>
      </c>
    </row>
    <row r="15" spans="1:17">
      <c r="A15" s="2" t="s">
        <v>489</v>
      </c>
      <c r="B15" s="185">
        <f>INPUT!C208</f>
        <v>3531.768595041322</v>
      </c>
      <c r="C15" s="185">
        <f>INPUT!D208</f>
        <v>23847.669421487601</v>
      </c>
      <c r="D15" s="185">
        <f>INPUT!E208</f>
        <v>30188</v>
      </c>
      <c r="E15" s="185">
        <f>INPUT!F208</f>
        <v>3488.1322314049585</v>
      </c>
      <c r="F15" s="185">
        <f>INPUT!G208</f>
        <v>3034</v>
      </c>
      <c r="G15" s="312"/>
      <c r="H15" s="2" t="s">
        <v>521</v>
      </c>
      <c r="I15" s="185">
        <f>MAX(INPUT!C192-'MEDICINE CREEK'!B9-Attachment1!$B13,0)</f>
        <v>0</v>
      </c>
      <c r="J15" s="185">
        <f>MAX(INPUT!D192-'MEDICINE CREEK'!C9-Attachment1!$B13,0)</f>
        <v>0</v>
      </c>
      <c r="K15" s="185">
        <f>MAX(INPUT!E192-'MEDICINE CREEK'!D9-Attachment1!$B13,0)</f>
        <v>0</v>
      </c>
      <c r="L15" s="185">
        <f>MAX(INPUT!F192-'MEDICINE CREEK'!E9-Attachment1!$B13,0)</f>
        <v>0</v>
      </c>
      <c r="M15" s="185">
        <f>MAX(INPUT!G192-'MEDICINE CREEK'!F9-Attachment1!$B13,0)</f>
        <v>0</v>
      </c>
      <c r="N15" s="462" t="s">
        <v>690</v>
      </c>
    </row>
    <row r="16" spans="1:17">
      <c r="A16" s="2" t="s">
        <v>490</v>
      </c>
      <c r="B16" s="185">
        <f>INPUT!C209</f>
        <v>8751.6694214876024</v>
      </c>
      <c r="C16" s="185">
        <f>INPUT!D209</f>
        <v>17603.305785123968</v>
      </c>
      <c r="D16" s="185">
        <f>INPUT!E209</f>
        <v>21527</v>
      </c>
      <c r="E16" s="185">
        <f>INPUT!F209</f>
        <v>4297.5867768595044</v>
      </c>
      <c r="F16" s="185">
        <f>INPUT!G209</f>
        <v>2535</v>
      </c>
      <c r="G16" s="312"/>
      <c r="H16" s="2" t="s">
        <v>522</v>
      </c>
      <c r="I16" s="185">
        <f>MAX(INPUT!C193-Attachment1!$B14,0)</f>
        <v>0</v>
      </c>
      <c r="J16" s="185">
        <f>MAX(INPUT!D193-Attachment1!$B14,0)</f>
        <v>0</v>
      </c>
      <c r="K16" s="185">
        <f>MAX(INPUT!E193-Attachment1!$B14,0)</f>
        <v>0</v>
      </c>
      <c r="L16" s="185">
        <f>MAX(INPUT!F193-Attachment1!$B14,0)</f>
        <v>0</v>
      </c>
      <c r="M16" s="185">
        <f>MAX(INPUT!G193-Attachment1!$B14,0)</f>
        <v>0</v>
      </c>
    </row>
    <row r="17" spans="1:18">
      <c r="A17" s="2" t="s">
        <v>491</v>
      </c>
      <c r="B17" s="185">
        <f>INPUT!C210</f>
        <v>2399.2066115702482</v>
      </c>
      <c r="C17" s="185">
        <f>INPUT!D210</f>
        <v>9231.0743801652898</v>
      </c>
      <c r="D17" s="185">
        <f>INPUT!E210</f>
        <v>59330</v>
      </c>
      <c r="E17" s="185">
        <f>INPUT!F210</f>
        <v>7632.3966942148763</v>
      </c>
      <c r="F17" s="185">
        <f>INPUT!G210</f>
        <v>7470</v>
      </c>
      <c r="G17" s="312"/>
      <c r="H17" s="2" t="s">
        <v>523</v>
      </c>
      <c r="I17" s="185">
        <f>MAX(INPUT!C194-Attachment1!$B15,0)</f>
        <v>0</v>
      </c>
      <c r="J17" s="185">
        <f>MAX(INPUT!D194-Attachment1!$B15,0)</f>
        <v>0</v>
      </c>
      <c r="K17" s="185">
        <f>MAX(INPUT!E194-Attachment1!$B15,0)</f>
        <v>15988</v>
      </c>
      <c r="L17" s="185">
        <f>MAX(INPUT!F194-Attachment1!$B15,0)</f>
        <v>0</v>
      </c>
      <c r="M17" s="185">
        <f>MAX(INPUT!G194-Attachment1!$B15,0)</f>
        <v>0</v>
      </c>
    </row>
    <row r="18" spans="1:18" ht="13.5" thickBot="1">
      <c r="A18" s="374" t="s">
        <v>492</v>
      </c>
      <c r="B18" s="375">
        <f>INPUT!C211</f>
        <v>5575.1404958677695</v>
      </c>
      <c r="C18" s="375">
        <f>INPUT!D211</f>
        <v>20215.537190082636</v>
      </c>
      <c r="D18" s="375">
        <f>INPUT!E211</f>
        <v>75757</v>
      </c>
      <c r="E18" s="375">
        <f>INPUT!F211</f>
        <v>8265.1239669421484</v>
      </c>
      <c r="F18" s="375">
        <f>INPUT!G211</f>
        <v>8600</v>
      </c>
      <c r="G18" s="312"/>
      <c r="H18" s="374" t="s">
        <v>524</v>
      </c>
      <c r="I18" s="375">
        <f>MAX(INPUT!C195-Attachment1!$B16,0)</f>
        <v>0</v>
      </c>
      <c r="J18" s="375">
        <f>MAX(INPUT!D195-Attachment1!$B16,0)</f>
        <v>0</v>
      </c>
      <c r="K18" s="375">
        <f>MAX(INPUT!E195-Attachment1!$B16,0)</f>
        <v>25260</v>
      </c>
      <c r="L18" s="375">
        <f>MAX(INPUT!F195-Attachment1!$B16,0)</f>
        <v>0</v>
      </c>
      <c r="M18" s="375">
        <f>MAX(INPUT!G195-Attachment1!$B16,0)</f>
        <v>0</v>
      </c>
    </row>
    <row r="19" spans="1:18" ht="13.5" thickTop="1">
      <c r="A19" s="372" t="s">
        <v>528</v>
      </c>
      <c r="B19" s="373">
        <f>SUM(B7:B18)</f>
        <v>127121.65289256199</v>
      </c>
      <c r="C19" s="373">
        <f>SUM(C7:C18)</f>
        <v>110861.95041322312</v>
      </c>
      <c r="D19" s="373">
        <f>SUM(D7:D18)</f>
        <v>626376</v>
      </c>
      <c r="E19" s="373">
        <f>SUM(E7:E18)</f>
        <v>251238.74380165286</v>
      </c>
      <c r="F19" s="373">
        <f>SUM(F7:F18)</f>
        <v>142153</v>
      </c>
      <c r="G19" s="312"/>
      <c r="H19" s="109" t="s">
        <v>526</v>
      </c>
      <c r="I19" s="376">
        <f>SUM(I7:I18)</f>
        <v>0</v>
      </c>
      <c r="J19" s="376">
        <f>SUM(J7:J18)</f>
        <v>0</v>
      </c>
      <c r="K19" s="376">
        <f>SUM(K7:K18)</f>
        <v>41248</v>
      </c>
      <c r="L19" s="376">
        <f>SUM(L7:L18)</f>
        <v>0</v>
      </c>
      <c r="M19" s="376">
        <f>SUM(M7:M18)</f>
        <v>0</v>
      </c>
    </row>
    <row r="20" spans="1:18">
      <c r="A20" s="2" t="s">
        <v>527</v>
      </c>
      <c r="B20" s="202">
        <f>MAX(0,B19-400000)</f>
        <v>0</v>
      </c>
      <c r="C20" s="202">
        <f>MAX(0,C19-400000)</f>
        <v>0</v>
      </c>
      <c r="D20" s="202">
        <f>MAX(0,D19-400000)</f>
        <v>226376</v>
      </c>
      <c r="E20" s="202">
        <f>MAX(0,E19-400000)</f>
        <v>0</v>
      </c>
      <c r="F20" s="202">
        <f>MAX(0,F19-400000)</f>
        <v>0</v>
      </c>
      <c r="G20" s="21"/>
      <c r="H20" s="21"/>
      <c r="I20" s="21"/>
      <c r="J20" s="21"/>
      <c r="K20" s="21"/>
    </row>
    <row r="22" spans="1:18">
      <c r="A22" s="552" t="s">
        <v>533</v>
      </c>
      <c r="B22" s="553"/>
      <c r="C22" s="553"/>
      <c r="D22" s="553"/>
      <c r="E22" s="553"/>
      <c r="F22" s="554"/>
      <c r="G22" s="387"/>
      <c r="H22" s="552" t="s">
        <v>512</v>
      </c>
      <c r="I22" s="553"/>
      <c r="J22" s="553"/>
      <c r="K22" s="553"/>
      <c r="L22" s="553"/>
      <c r="M22" s="554"/>
      <c r="N22" s="431"/>
      <c r="O22" s="431"/>
      <c r="P22" s="431"/>
      <c r="Q22" s="431"/>
      <c r="R22" s="319"/>
    </row>
    <row r="23" spans="1:18">
      <c r="A23" s="2"/>
      <c r="B23" s="4">
        <f>INPUT!C1</f>
        <v>2017</v>
      </c>
      <c r="C23" s="4">
        <f>INPUT!D1</f>
        <v>2018</v>
      </c>
      <c r="D23" s="4">
        <f>INPUT!E1</f>
        <v>2019</v>
      </c>
      <c r="E23" s="4">
        <f>INPUT!F1</f>
        <v>2020</v>
      </c>
      <c r="F23" s="4">
        <f>INPUT!G1</f>
        <v>2021</v>
      </c>
      <c r="G23" s="12"/>
      <c r="H23" s="2"/>
      <c r="I23" s="4">
        <f>INPUT!C1</f>
        <v>2017</v>
      </c>
      <c r="J23" s="4">
        <f>INPUT!D1</f>
        <v>2018</v>
      </c>
      <c r="K23" s="4">
        <f>INPUT!E1</f>
        <v>2019</v>
      </c>
      <c r="L23" s="4">
        <f>INPUT!F1</f>
        <v>2020</v>
      </c>
      <c r="M23" s="4">
        <f>INPUT!G1</f>
        <v>2021</v>
      </c>
    </row>
    <row r="24" spans="1:18">
      <c r="A24" s="2" t="s">
        <v>535</v>
      </c>
      <c r="B24" s="185">
        <f>SUM(B7:B11)</f>
        <v>64322.181818181809</v>
      </c>
      <c r="C24" s="185">
        <f t="shared" ref="B24:D31" si="0">SUM(C7:C11)</f>
        <v>23493.81818181818</v>
      </c>
      <c r="D24" s="185">
        <f t="shared" si="0"/>
        <v>168964</v>
      </c>
      <c r="E24" s="185">
        <f t="shared" ref="E24:F31" si="1">SUM(E7:E11)</f>
        <v>177598.01652892563</v>
      </c>
      <c r="F24" s="185">
        <f t="shared" si="1"/>
        <v>89151</v>
      </c>
      <c r="G24" s="389"/>
      <c r="H24" s="2" t="s">
        <v>535</v>
      </c>
      <c r="I24" s="185">
        <f t="shared" ref="I24:K31" si="2">IF(B24&gt;325000,1,0)</f>
        <v>0</v>
      </c>
      <c r="J24" s="185">
        <f t="shared" si="2"/>
        <v>0</v>
      </c>
      <c r="K24" s="185">
        <f t="shared" si="2"/>
        <v>0</v>
      </c>
      <c r="L24" s="185">
        <f t="shared" ref="L24:L31" si="3">IF(E24&gt;325000,1,0)</f>
        <v>0</v>
      </c>
      <c r="M24" s="185">
        <f t="shared" ref="M24:M31" si="4">IF(F24&gt;325000,1,0)</f>
        <v>0</v>
      </c>
    </row>
    <row r="25" spans="1:18">
      <c r="A25" s="2" t="s">
        <v>536</v>
      </c>
      <c r="B25" s="185">
        <f t="shared" si="0"/>
        <v>64963.63636363636</v>
      </c>
      <c r="C25" s="185">
        <f t="shared" si="0"/>
        <v>26475.371900826445</v>
      </c>
      <c r="D25" s="185">
        <f t="shared" si="0"/>
        <v>225436</v>
      </c>
      <c r="E25" s="185">
        <f t="shared" si="1"/>
        <v>133069.09090909091</v>
      </c>
      <c r="F25" s="185">
        <f t="shared" si="1"/>
        <v>96348</v>
      </c>
      <c r="G25" s="389"/>
      <c r="H25" s="2" t="s">
        <v>536</v>
      </c>
      <c r="I25" s="185">
        <f t="shared" si="2"/>
        <v>0</v>
      </c>
      <c r="J25" s="185">
        <f t="shared" si="2"/>
        <v>0</v>
      </c>
      <c r="K25" s="185">
        <f t="shared" si="2"/>
        <v>0</v>
      </c>
      <c r="L25" s="185">
        <f t="shared" si="3"/>
        <v>0</v>
      </c>
      <c r="M25" s="185">
        <f t="shared" si="4"/>
        <v>0</v>
      </c>
    </row>
    <row r="26" spans="1:18">
      <c r="A26" s="2" t="s">
        <v>537</v>
      </c>
      <c r="B26" s="185">
        <f t="shared" si="0"/>
        <v>83306.578512396693</v>
      </c>
      <c r="C26" s="185">
        <f t="shared" si="0"/>
        <v>24759.669421487601</v>
      </c>
      <c r="D26" s="185">
        <f t="shared" si="0"/>
        <v>336576</v>
      </c>
      <c r="E26" s="185">
        <f t="shared" si="1"/>
        <v>130547.50413223141</v>
      </c>
      <c r="F26" s="185">
        <f t="shared" si="1"/>
        <v>97157</v>
      </c>
      <c r="G26" s="389"/>
      <c r="H26" s="2" t="s">
        <v>537</v>
      </c>
      <c r="I26" s="185">
        <f t="shared" si="2"/>
        <v>0</v>
      </c>
      <c r="J26" s="185">
        <f t="shared" si="2"/>
        <v>0</v>
      </c>
      <c r="K26" s="185">
        <f t="shared" si="2"/>
        <v>1</v>
      </c>
      <c r="L26" s="185">
        <f t="shared" si="3"/>
        <v>0</v>
      </c>
      <c r="M26" s="185">
        <f t="shared" si="4"/>
        <v>0</v>
      </c>
    </row>
    <row r="27" spans="1:18">
      <c r="A27" s="2" t="s">
        <v>538</v>
      </c>
      <c r="B27" s="185">
        <f t="shared" si="0"/>
        <v>82760.330578512396</v>
      </c>
      <c r="C27" s="185">
        <f t="shared" si="0"/>
        <v>22438.016528925622</v>
      </c>
      <c r="D27" s="185">
        <f t="shared" si="0"/>
        <v>358279</v>
      </c>
      <c r="E27" s="185">
        <f t="shared" si="1"/>
        <v>105109.88429752068</v>
      </c>
      <c r="F27" s="185">
        <f t="shared" si="1"/>
        <v>76961</v>
      </c>
      <c r="G27" s="389"/>
      <c r="H27" s="2" t="s">
        <v>538</v>
      </c>
      <c r="I27" s="185">
        <f t="shared" si="2"/>
        <v>0</v>
      </c>
      <c r="J27" s="185">
        <f t="shared" si="2"/>
        <v>0</v>
      </c>
      <c r="K27" s="185">
        <f t="shared" si="2"/>
        <v>1</v>
      </c>
      <c r="L27" s="185">
        <f t="shared" si="3"/>
        <v>0</v>
      </c>
      <c r="M27" s="185">
        <f t="shared" si="4"/>
        <v>0</v>
      </c>
    </row>
    <row r="28" spans="1:18">
      <c r="A28" s="2" t="s">
        <v>539</v>
      </c>
      <c r="B28" s="185">
        <f t="shared" si="0"/>
        <v>79359.272727272735</v>
      </c>
      <c r="C28" s="185">
        <f t="shared" si="0"/>
        <v>42627.57024793388</v>
      </c>
      <c r="D28" s="185">
        <f t="shared" si="0"/>
        <v>366798</v>
      </c>
      <c r="E28" s="185">
        <f t="shared" si="1"/>
        <v>85177.190082644622</v>
      </c>
      <c r="F28" s="185">
        <f t="shared" si="1"/>
        <v>59595</v>
      </c>
      <c r="G28" s="389"/>
      <c r="H28" s="2" t="s">
        <v>539</v>
      </c>
      <c r="I28" s="185">
        <f t="shared" si="2"/>
        <v>0</v>
      </c>
      <c r="J28" s="185">
        <f t="shared" si="2"/>
        <v>0</v>
      </c>
      <c r="K28" s="185">
        <f t="shared" si="2"/>
        <v>1</v>
      </c>
      <c r="L28" s="185">
        <f t="shared" si="3"/>
        <v>0</v>
      </c>
      <c r="M28" s="185">
        <f t="shared" si="4"/>
        <v>0</v>
      </c>
    </row>
    <row r="29" spans="1:18">
      <c r="A29" s="2" t="s">
        <v>540</v>
      </c>
      <c r="B29" s="185">
        <f t="shared" si="0"/>
        <v>54825.123966942148</v>
      </c>
      <c r="C29" s="185">
        <f t="shared" si="0"/>
        <v>57921.520661157032</v>
      </c>
      <c r="D29" s="185">
        <f t="shared" si="0"/>
        <v>322325</v>
      </c>
      <c r="E29" s="185">
        <f t="shared" si="1"/>
        <v>57743.206611570247</v>
      </c>
      <c r="F29" s="185">
        <f t="shared" si="1"/>
        <v>36932</v>
      </c>
      <c r="G29" s="389"/>
      <c r="H29" s="2" t="s">
        <v>540</v>
      </c>
      <c r="I29" s="185">
        <f t="shared" si="2"/>
        <v>0</v>
      </c>
      <c r="J29" s="185">
        <f t="shared" si="2"/>
        <v>0</v>
      </c>
      <c r="K29" s="185">
        <f t="shared" si="2"/>
        <v>0</v>
      </c>
      <c r="L29" s="185">
        <f t="shared" si="3"/>
        <v>0</v>
      </c>
      <c r="M29" s="185">
        <f t="shared" si="4"/>
        <v>0</v>
      </c>
    </row>
    <row r="30" spans="1:18">
      <c r="A30" s="2" t="s">
        <v>541</v>
      </c>
      <c r="B30" s="185">
        <f t="shared" si="0"/>
        <v>45268.363636363632</v>
      </c>
      <c r="C30" s="185">
        <f t="shared" si="0"/>
        <v>59551.933884297512</v>
      </c>
      <c r="D30" s="185">
        <f t="shared" si="0"/>
        <v>311894</v>
      </c>
      <c r="E30" s="185">
        <f t="shared" si="1"/>
        <v>54565.685950413223</v>
      </c>
      <c r="F30" s="185">
        <f t="shared" si="1"/>
        <v>29730</v>
      </c>
      <c r="G30" s="389"/>
      <c r="H30" s="2" t="s">
        <v>541</v>
      </c>
      <c r="I30" s="185">
        <f t="shared" si="2"/>
        <v>0</v>
      </c>
      <c r="J30" s="185">
        <f t="shared" si="2"/>
        <v>0</v>
      </c>
      <c r="K30" s="185">
        <f t="shared" si="2"/>
        <v>0</v>
      </c>
      <c r="L30" s="185">
        <f t="shared" si="3"/>
        <v>0</v>
      </c>
      <c r="M30" s="185">
        <f t="shared" si="4"/>
        <v>0</v>
      </c>
    </row>
    <row r="31" spans="1:18" ht="13.5" thickBot="1">
      <c r="A31" s="8" t="s">
        <v>542</v>
      </c>
      <c r="B31" s="185">
        <f t="shared" si="0"/>
        <v>26131.636363636364</v>
      </c>
      <c r="C31" s="185">
        <f t="shared" si="0"/>
        <v>75962.380165289243</v>
      </c>
      <c r="D31" s="185">
        <f t="shared" si="0"/>
        <v>269636</v>
      </c>
      <c r="E31" s="185">
        <f t="shared" si="1"/>
        <v>32020.165289256198</v>
      </c>
      <c r="F31" s="185">
        <f t="shared" si="1"/>
        <v>30189</v>
      </c>
      <c r="G31" s="389"/>
      <c r="H31" s="377" t="s">
        <v>542</v>
      </c>
      <c r="I31" s="375">
        <f t="shared" si="2"/>
        <v>0</v>
      </c>
      <c r="J31" s="375">
        <f t="shared" si="2"/>
        <v>0</v>
      </c>
      <c r="K31" s="375">
        <f t="shared" si="2"/>
        <v>0</v>
      </c>
      <c r="L31" s="375">
        <f t="shared" si="3"/>
        <v>0</v>
      </c>
      <c r="M31" s="375">
        <f t="shared" si="4"/>
        <v>0</v>
      </c>
    </row>
    <row r="32" spans="1:18" ht="13.5" thickTop="1">
      <c r="C32" s="312"/>
      <c r="D32" s="312"/>
      <c r="E32" s="312"/>
      <c r="F32" s="312"/>
      <c r="H32" s="109" t="s">
        <v>282</v>
      </c>
      <c r="I32" s="376">
        <f>SUM(I24:I31)</f>
        <v>0</v>
      </c>
      <c r="J32" s="376">
        <f>SUM(J24:J31)</f>
        <v>0</v>
      </c>
      <c r="K32" s="376">
        <f>SUM(K24:K31)</f>
        <v>3</v>
      </c>
      <c r="L32" s="376">
        <f>SUM(L24:L31)</f>
        <v>0</v>
      </c>
      <c r="M32" s="376">
        <f>SUM(M24:M31)</f>
        <v>0</v>
      </c>
    </row>
    <row r="34" spans="1:17">
      <c r="A34" s="552" t="s">
        <v>534</v>
      </c>
      <c r="B34" s="553"/>
      <c r="C34" s="553"/>
      <c r="D34" s="553"/>
      <c r="E34" s="553"/>
      <c r="F34" s="554"/>
      <c r="G34" s="387"/>
      <c r="H34" s="552" t="s">
        <v>514</v>
      </c>
      <c r="I34" s="553"/>
      <c r="J34" s="553"/>
      <c r="K34" s="553"/>
      <c r="L34" s="553"/>
      <c r="M34" s="554"/>
      <c r="N34" s="430"/>
      <c r="O34" s="430"/>
      <c r="P34" s="430"/>
      <c r="Q34" s="430"/>
    </row>
    <row r="35" spans="1:17">
      <c r="A35" s="2"/>
      <c r="B35" s="4">
        <f>INPUT!C1</f>
        <v>2017</v>
      </c>
      <c r="C35" s="4">
        <f>INPUT!D1</f>
        <v>2018</v>
      </c>
      <c r="D35" s="4">
        <f>INPUT!E1</f>
        <v>2019</v>
      </c>
      <c r="E35" s="4">
        <f>INPUT!F1</f>
        <v>2020</v>
      </c>
      <c r="F35" s="4">
        <f>INPUT!G1</f>
        <v>2021</v>
      </c>
      <c r="G35" s="12"/>
      <c r="H35" s="2"/>
      <c r="I35" s="4">
        <f>INPUT!C1</f>
        <v>2017</v>
      </c>
      <c r="J35" s="4">
        <f>INPUT!D1</f>
        <v>2018</v>
      </c>
      <c r="K35" s="4">
        <f>INPUT!E1</f>
        <v>2019</v>
      </c>
      <c r="L35" s="4">
        <f>INPUT!F1</f>
        <v>2020</v>
      </c>
      <c r="M35" s="4">
        <f>INPUT!G1</f>
        <v>2021</v>
      </c>
      <c r="N35" s="319"/>
      <c r="O35" s="319"/>
      <c r="P35" s="319"/>
      <c r="Q35" s="319"/>
    </row>
    <row r="36" spans="1:17">
      <c r="A36" s="2" t="s">
        <v>501</v>
      </c>
      <c r="B36" s="185">
        <f>SUM(B7:B8)</f>
        <v>17683.438016528926</v>
      </c>
      <c r="C36" s="185">
        <f t="shared" ref="B36:D46" si="5">SUM(C7:C8)</f>
        <v>10139.900826446281</v>
      </c>
      <c r="D36" s="185">
        <f t="shared" si="5"/>
        <v>20164</v>
      </c>
      <c r="E36" s="185">
        <f t="shared" ref="E36:F46" si="6">SUM(E7:E8)</f>
        <v>88671.074380165286</v>
      </c>
      <c r="F36" s="185">
        <f t="shared" si="6"/>
        <v>14807</v>
      </c>
      <c r="G36" s="389"/>
      <c r="H36" s="2" t="s">
        <v>501</v>
      </c>
      <c r="I36" s="185">
        <f t="shared" ref="I36:I46" si="7">IF(B36&gt;200000,1,0)</f>
        <v>0</v>
      </c>
      <c r="J36" s="185">
        <f t="shared" ref="J36:J46" si="8">IF(C36&gt;200000,1,0)</f>
        <v>0</v>
      </c>
      <c r="K36" s="185">
        <f t="shared" ref="K36:K46" si="9">IF(D36&gt;200000,1,0)</f>
        <v>0</v>
      </c>
      <c r="L36" s="185">
        <f t="shared" ref="L36:L46" si="10">IF(E36&gt;200000,1,0)</f>
        <v>0</v>
      </c>
      <c r="M36" s="185">
        <f t="shared" ref="M36:M46" si="11">IF(F36&gt;200000,1,0)</f>
        <v>0</v>
      </c>
      <c r="N36" s="319"/>
      <c r="O36" s="319"/>
      <c r="P36" s="319"/>
      <c r="Q36" s="319"/>
    </row>
    <row r="37" spans="1:17">
      <c r="A37" s="2" t="s">
        <v>502</v>
      </c>
      <c r="B37" s="185">
        <f t="shared" si="5"/>
        <v>12789.024793388427</v>
      </c>
      <c r="C37" s="185">
        <f t="shared" si="5"/>
        <v>12907.239669421484</v>
      </c>
      <c r="D37" s="185">
        <f t="shared" si="5"/>
        <v>68006</v>
      </c>
      <c r="E37" s="185">
        <f t="shared" si="6"/>
        <v>67106.776859504142</v>
      </c>
      <c r="F37" s="185">
        <f t="shared" si="6"/>
        <v>36078</v>
      </c>
      <c r="G37" s="389"/>
      <c r="H37" s="2" t="s">
        <v>502</v>
      </c>
      <c r="I37" s="185">
        <f t="shared" si="7"/>
        <v>0</v>
      </c>
      <c r="J37" s="185">
        <f t="shared" si="8"/>
        <v>0</v>
      </c>
      <c r="K37" s="185">
        <f t="shared" si="9"/>
        <v>0</v>
      </c>
      <c r="L37" s="185">
        <f t="shared" si="10"/>
        <v>0</v>
      </c>
      <c r="M37" s="185">
        <f t="shared" si="11"/>
        <v>0</v>
      </c>
      <c r="N37" s="319"/>
      <c r="O37" s="319"/>
      <c r="P37" s="319"/>
      <c r="Q37" s="319"/>
    </row>
    <row r="38" spans="1:17">
      <c r="A38" s="2" t="s">
        <v>503</v>
      </c>
      <c r="B38" s="185">
        <f t="shared" si="5"/>
        <v>13352.925619834708</v>
      </c>
      <c r="C38" s="185">
        <f t="shared" si="5"/>
        <v>11044.561983471072</v>
      </c>
      <c r="D38" s="185">
        <f t="shared" si="5"/>
        <v>82800</v>
      </c>
      <c r="E38" s="185">
        <f t="shared" si="6"/>
        <v>57195.371900826452</v>
      </c>
      <c r="F38" s="185">
        <f t="shared" si="6"/>
        <v>49146</v>
      </c>
      <c r="G38" s="389"/>
      <c r="H38" s="2" t="s">
        <v>503</v>
      </c>
      <c r="I38" s="185">
        <f t="shared" si="7"/>
        <v>0</v>
      </c>
      <c r="J38" s="185">
        <f t="shared" si="8"/>
        <v>0</v>
      </c>
      <c r="K38" s="185">
        <f t="shared" si="9"/>
        <v>0</v>
      </c>
      <c r="L38" s="185">
        <f t="shared" si="10"/>
        <v>0</v>
      </c>
      <c r="M38" s="185">
        <f t="shared" si="11"/>
        <v>0</v>
      </c>
      <c r="N38" s="319"/>
      <c r="O38" s="319"/>
      <c r="P38" s="319"/>
      <c r="Q38" s="319"/>
    </row>
    <row r="39" spans="1:17">
      <c r="A39" s="2" t="s">
        <v>504</v>
      </c>
      <c r="B39" s="185">
        <f t="shared" si="5"/>
        <v>40218.644628099166</v>
      </c>
      <c r="C39" s="185">
        <f t="shared" si="5"/>
        <v>5967.4710743801661</v>
      </c>
      <c r="D39" s="185">
        <f t="shared" si="5"/>
        <v>87669</v>
      </c>
      <c r="E39" s="185">
        <f t="shared" si="6"/>
        <v>55152.396694214884</v>
      </c>
      <c r="F39" s="185">
        <f t="shared" si="6"/>
        <v>45598</v>
      </c>
      <c r="G39" s="389"/>
      <c r="H39" s="2" t="s">
        <v>504</v>
      </c>
      <c r="I39" s="185">
        <f t="shared" si="7"/>
        <v>0</v>
      </c>
      <c r="J39" s="185">
        <f t="shared" si="8"/>
        <v>0</v>
      </c>
      <c r="K39" s="185">
        <f t="shared" si="9"/>
        <v>0</v>
      </c>
      <c r="L39" s="185">
        <f t="shared" si="10"/>
        <v>0</v>
      </c>
      <c r="M39" s="185">
        <f t="shared" si="11"/>
        <v>0</v>
      </c>
      <c r="N39" s="319"/>
      <c r="O39" s="319"/>
      <c r="P39" s="319"/>
      <c r="Q39" s="319"/>
    </row>
    <row r="40" spans="1:17">
      <c r="A40" s="2" t="s">
        <v>505</v>
      </c>
      <c r="B40" s="185">
        <f t="shared" si="5"/>
        <v>45241.78512396694</v>
      </c>
      <c r="C40" s="185">
        <f t="shared" si="5"/>
        <v>9910.0165289256202</v>
      </c>
      <c r="D40" s="185">
        <f t="shared" si="5"/>
        <v>135761</v>
      </c>
      <c r="E40" s="185">
        <f t="shared" si="6"/>
        <v>42541.487603305781</v>
      </c>
      <c r="F40" s="185">
        <f t="shared" si="6"/>
        <v>39870</v>
      </c>
      <c r="G40" s="389"/>
      <c r="H40" s="2" t="s">
        <v>505</v>
      </c>
      <c r="I40" s="185">
        <f t="shared" si="7"/>
        <v>0</v>
      </c>
      <c r="J40" s="185">
        <f t="shared" si="8"/>
        <v>0</v>
      </c>
      <c r="K40" s="185">
        <f t="shared" si="9"/>
        <v>0</v>
      </c>
      <c r="L40" s="185">
        <f t="shared" si="10"/>
        <v>0</v>
      </c>
      <c r="M40" s="185">
        <f t="shared" si="11"/>
        <v>0</v>
      </c>
      <c r="N40" s="319"/>
      <c r="O40" s="319"/>
      <c r="P40" s="319"/>
      <c r="Q40" s="319"/>
    </row>
    <row r="41" spans="1:17">
      <c r="A41" s="2" t="s">
        <v>506</v>
      </c>
      <c r="B41" s="185">
        <f t="shared" si="5"/>
        <v>36667.834710743802</v>
      </c>
      <c r="C41" s="185">
        <f t="shared" si="5"/>
        <v>11405.752066115703</v>
      </c>
      <c r="D41" s="185">
        <f t="shared" si="5"/>
        <v>187776</v>
      </c>
      <c r="E41" s="185">
        <f t="shared" si="6"/>
        <v>41620.561983471074</v>
      </c>
      <c r="F41" s="185">
        <f t="shared" si="6"/>
        <v>22813</v>
      </c>
      <c r="G41" s="389"/>
      <c r="H41" s="2" t="s">
        <v>506</v>
      </c>
      <c r="I41" s="185">
        <f t="shared" si="7"/>
        <v>0</v>
      </c>
      <c r="J41" s="185">
        <f t="shared" si="8"/>
        <v>0</v>
      </c>
      <c r="K41" s="185">
        <f t="shared" si="9"/>
        <v>0</v>
      </c>
      <c r="L41" s="185">
        <f t="shared" si="10"/>
        <v>0</v>
      </c>
      <c r="M41" s="185">
        <f t="shared" si="11"/>
        <v>0</v>
      </c>
      <c r="N41" s="319"/>
      <c r="O41" s="319"/>
      <c r="P41" s="319"/>
      <c r="Q41" s="319"/>
    </row>
    <row r="42" spans="1:17">
      <c r="A42" s="2" t="s">
        <v>507</v>
      </c>
      <c r="B42" s="185">
        <f t="shared" si="5"/>
        <v>30585.719008264459</v>
      </c>
      <c r="C42" s="185">
        <f t="shared" si="5"/>
        <v>8869.8842975206626</v>
      </c>
      <c r="D42" s="185">
        <f t="shared" si="5"/>
        <v>200849</v>
      </c>
      <c r="E42" s="185">
        <f t="shared" si="6"/>
        <v>39147.57024793388</v>
      </c>
      <c r="F42" s="185">
        <f t="shared" si="6"/>
        <v>16691</v>
      </c>
      <c r="G42" s="389"/>
      <c r="H42" s="2" t="s">
        <v>507</v>
      </c>
      <c r="I42" s="185">
        <f t="shared" si="7"/>
        <v>0</v>
      </c>
      <c r="J42" s="185">
        <f t="shared" si="8"/>
        <v>0</v>
      </c>
      <c r="K42" s="185">
        <f t="shared" si="9"/>
        <v>1</v>
      </c>
      <c r="L42" s="185">
        <f t="shared" si="10"/>
        <v>0</v>
      </c>
      <c r="M42" s="185">
        <f t="shared" si="11"/>
        <v>0</v>
      </c>
      <c r="N42" s="319"/>
      <c r="O42" s="319"/>
      <c r="P42" s="319"/>
      <c r="Q42" s="319"/>
    </row>
    <row r="43" spans="1:17">
      <c r="A43" s="2" t="s">
        <v>508</v>
      </c>
      <c r="B43" s="185">
        <f t="shared" si="5"/>
        <v>9405.6198347107438</v>
      </c>
      <c r="C43" s="185">
        <f t="shared" si="5"/>
        <v>28912.462809917353</v>
      </c>
      <c r="D43" s="185">
        <f t="shared" si="5"/>
        <v>113022</v>
      </c>
      <c r="E43" s="185">
        <f t="shared" si="6"/>
        <v>11825.057851239668</v>
      </c>
      <c r="F43" s="185">
        <f t="shared" si="6"/>
        <v>11584</v>
      </c>
      <c r="G43" s="389"/>
      <c r="H43" s="2" t="s">
        <v>508</v>
      </c>
      <c r="I43" s="185">
        <f t="shared" si="7"/>
        <v>0</v>
      </c>
      <c r="J43" s="185">
        <f t="shared" si="8"/>
        <v>0</v>
      </c>
      <c r="K43" s="185">
        <f t="shared" si="9"/>
        <v>0</v>
      </c>
      <c r="L43" s="185">
        <f t="shared" si="10"/>
        <v>0</v>
      </c>
      <c r="M43" s="185">
        <f t="shared" si="11"/>
        <v>0</v>
      </c>
      <c r="N43" s="319"/>
      <c r="O43" s="319"/>
      <c r="P43" s="319"/>
      <c r="Q43" s="319"/>
    </row>
    <row r="44" spans="1:17">
      <c r="A44" s="2" t="s">
        <v>509</v>
      </c>
      <c r="B44" s="185">
        <f t="shared" si="5"/>
        <v>12283.438016528924</v>
      </c>
      <c r="C44" s="185">
        <f t="shared" si="5"/>
        <v>41450.975206611569</v>
      </c>
      <c r="D44" s="185">
        <f t="shared" si="5"/>
        <v>51715</v>
      </c>
      <c r="E44" s="185">
        <f t="shared" si="6"/>
        <v>7785.7190082644629</v>
      </c>
      <c r="F44" s="185">
        <f t="shared" si="6"/>
        <v>5569</v>
      </c>
      <c r="G44" s="389"/>
      <c r="H44" s="2" t="s">
        <v>509</v>
      </c>
      <c r="I44" s="185">
        <f t="shared" si="7"/>
        <v>0</v>
      </c>
      <c r="J44" s="185">
        <f t="shared" si="8"/>
        <v>0</v>
      </c>
      <c r="K44" s="185">
        <f t="shared" si="9"/>
        <v>0</v>
      </c>
      <c r="L44" s="185">
        <f t="shared" si="10"/>
        <v>0</v>
      </c>
      <c r="M44" s="185">
        <f t="shared" si="11"/>
        <v>0</v>
      </c>
      <c r="N44" s="319"/>
      <c r="O44" s="319"/>
      <c r="P44" s="319"/>
      <c r="Q44" s="319"/>
    </row>
    <row r="45" spans="1:17">
      <c r="A45" s="2" t="s">
        <v>510</v>
      </c>
      <c r="B45" s="185">
        <f t="shared" si="5"/>
        <v>11150.876033057852</v>
      </c>
      <c r="C45" s="185">
        <f t="shared" si="5"/>
        <v>26834.380165289258</v>
      </c>
      <c r="D45" s="185">
        <f t="shared" si="5"/>
        <v>80857</v>
      </c>
      <c r="E45" s="185">
        <f t="shared" si="6"/>
        <v>11929.983471074382</v>
      </c>
      <c r="F45" s="185">
        <f t="shared" si="6"/>
        <v>10005</v>
      </c>
      <c r="G45" s="389"/>
      <c r="H45" s="2" t="s">
        <v>510</v>
      </c>
      <c r="I45" s="185">
        <f t="shared" si="7"/>
        <v>0</v>
      </c>
      <c r="J45" s="185">
        <f t="shared" si="8"/>
        <v>0</v>
      </c>
      <c r="K45" s="185">
        <f t="shared" si="9"/>
        <v>0</v>
      </c>
      <c r="L45" s="185">
        <f t="shared" si="10"/>
        <v>0</v>
      </c>
      <c r="M45" s="185">
        <f t="shared" si="11"/>
        <v>0</v>
      </c>
      <c r="N45" s="319"/>
      <c r="O45" s="319"/>
      <c r="P45" s="319"/>
      <c r="Q45" s="319"/>
    </row>
    <row r="46" spans="1:17" ht="13.5" thickBot="1">
      <c r="A46" s="2" t="s">
        <v>511</v>
      </c>
      <c r="B46" s="185">
        <f t="shared" si="5"/>
        <v>7974.3471074380177</v>
      </c>
      <c r="C46" s="185">
        <f t="shared" si="5"/>
        <v>29446.611570247926</v>
      </c>
      <c r="D46" s="185">
        <f t="shared" si="5"/>
        <v>135087</v>
      </c>
      <c r="E46" s="185">
        <f t="shared" si="6"/>
        <v>15897.520661157025</v>
      </c>
      <c r="F46" s="185">
        <f t="shared" si="6"/>
        <v>16070</v>
      </c>
      <c r="G46" s="389"/>
      <c r="H46" s="374" t="s">
        <v>511</v>
      </c>
      <c r="I46" s="375">
        <f t="shared" si="7"/>
        <v>0</v>
      </c>
      <c r="J46" s="375">
        <f t="shared" si="8"/>
        <v>0</v>
      </c>
      <c r="K46" s="375">
        <f t="shared" si="9"/>
        <v>0</v>
      </c>
      <c r="L46" s="375">
        <f t="shared" si="10"/>
        <v>0</v>
      </c>
      <c r="M46" s="375">
        <f t="shared" si="11"/>
        <v>0</v>
      </c>
      <c r="N46" s="319"/>
      <c r="O46" s="319"/>
      <c r="P46" s="319"/>
      <c r="Q46" s="319"/>
    </row>
    <row r="47" spans="1:17" ht="13.5" thickTop="1">
      <c r="E47" s="312"/>
      <c r="F47" s="312"/>
      <c r="G47" s="312"/>
      <c r="H47" s="109" t="s">
        <v>282</v>
      </c>
      <c r="I47" s="376">
        <f>SUM(I36:I46)</f>
        <v>0</v>
      </c>
      <c r="J47" s="376">
        <f>SUM(J36:J46)</f>
        <v>0</v>
      </c>
      <c r="K47" s="376">
        <f>SUM(K36:K46)</f>
        <v>1</v>
      </c>
      <c r="L47" s="376">
        <f>SUM(L36:L46)</f>
        <v>0</v>
      </c>
      <c r="M47" s="376">
        <f>SUM(M36:M46)</f>
        <v>0</v>
      </c>
      <c r="N47" s="319"/>
      <c r="O47" s="319"/>
      <c r="P47" s="319"/>
      <c r="Q47" s="319"/>
    </row>
    <row r="48" spans="1:17">
      <c r="E48" s="312"/>
      <c r="F48" s="312"/>
      <c r="G48" s="312"/>
    </row>
    <row r="49" spans="1:17">
      <c r="C49" s="312"/>
      <c r="D49" s="312"/>
      <c r="E49" s="312"/>
      <c r="H49" s="552" t="s">
        <v>513</v>
      </c>
      <c r="I49" s="553"/>
      <c r="J49" s="553"/>
      <c r="K49" s="553"/>
      <c r="L49" s="553"/>
      <c r="M49" s="554"/>
      <c r="N49" s="387"/>
      <c r="O49" s="387"/>
      <c r="P49" s="387"/>
      <c r="Q49" s="387"/>
    </row>
    <row r="50" spans="1:17">
      <c r="C50" s="312"/>
      <c r="D50" s="312"/>
      <c r="E50" s="312"/>
      <c r="H50" s="2"/>
      <c r="I50" s="4">
        <f>INPUT!C1</f>
        <v>2017</v>
      </c>
      <c r="J50" s="4">
        <f>INPUT!D1</f>
        <v>2018</v>
      </c>
      <c r="K50" s="4">
        <f>INPUT!E1</f>
        <v>2019</v>
      </c>
      <c r="L50" s="4">
        <f>INPUT!F1</f>
        <v>2020</v>
      </c>
      <c r="M50" s="4">
        <f>INPUT!G1</f>
        <v>2021</v>
      </c>
    </row>
    <row r="51" spans="1:17">
      <c r="C51" s="312"/>
      <c r="D51" s="312"/>
      <c r="E51" s="312"/>
      <c r="H51" s="2" t="s">
        <v>530</v>
      </c>
      <c r="I51" s="185">
        <f>I32+I47</f>
        <v>0</v>
      </c>
      <c r="J51" s="185">
        <f>J32+J47</f>
        <v>0</v>
      </c>
      <c r="K51" s="185">
        <f>K32+K47</f>
        <v>4</v>
      </c>
      <c r="L51" s="185">
        <f>L32+L47</f>
        <v>0</v>
      </c>
      <c r="M51" s="185">
        <f>M32+M47</f>
        <v>0</v>
      </c>
    </row>
    <row r="55" spans="1:17">
      <c r="A55" s="552" t="s">
        <v>500</v>
      </c>
      <c r="B55" s="553"/>
      <c r="C55" s="553"/>
      <c r="D55" s="553"/>
      <c r="E55" s="553"/>
      <c r="F55" s="554"/>
      <c r="G55" s="387"/>
      <c r="H55" s="387"/>
      <c r="I55" s="387"/>
      <c r="J55" s="387"/>
    </row>
    <row r="56" spans="1:17">
      <c r="A56" s="2"/>
      <c r="B56" s="4">
        <f>INPUT!C1</f>
        <v>2017</v>
      </c>
      <c r="C56" s="4">
        <f>INPUT!D1</f>
        <v>2018</v>
      </c>
      <c r="D56" s="4">
        <f>INPUT!E1</f>
        <v>2019</v>
      </c>
      <c r="E56" s="4">
        <f>INPUT!F1</f>
        <v>2020</v>
      </c>
      <c r="F56" s="4">
        <f>INPUT!G1</f>
        <v>2021</v>
      </c>
    </row>
    <row r="57" spans="1:17">
      <c r="A57" s="8" t="s">
        <v>96</v>
      </c>
      <c r="B57" s="46">
        <f t="shared" ref="B57:B68" si="12">IF(I$51=0,0,IF(I$19&gt;B$20,I7*(B$20/I$19),I7))</f>
        <v>0</v>
      </c>
      <c r="C57" s="46">
        <f t="shared" ref="C57:C68" si="13">IF(J$51=0,0,IF(J$19&gt;C$20,J7*(C$20/J$19),J7))</f>
        <v>0</v>
      </c>
      <c r="D57" s="46">
        <f t="shared" ref="D57:D68" si="14">IF(K$51=0,0,IF(K$19&gt;D$20,K7*(D$20/K$19),K7))</f>
        <v>0</v>
      </c>
      <c r="E57" s="46">
        <f t="shared" ref="E57:E68" si="15">IF(L$51=0,0,IF(L$19&gt;E$20,L7*(E$20/L$19),L7))</f>
        <v>0</v>
      </c>
      <c r="F57" s="46">
        <f t="shared" ref="F57:F68" si="16">IF(M$51=0,0,IF(M$19&gt;F$20,M7*(F$20/M$19),M7))</f>
        <v>0</v>
      </c>
    </row>
    <row r="58" spans="1:17">
      <c r="A58" s="8" t="s">
        <v>97</v>
      </c>
      <c r="B58" s="46">
        <f t="shared" si="12"/>
        <v>0</v>
      </c>
      <c r="C58" s="46">
        <f t="shared" si="13"/>
        <v>0</v>
      </c>
      <c r="D58" s="46">
        <f t="shared" si="14"/>
        <v>0</v>
      </c>
      <c r="E58" s="46">
        <f t="shared" si="15"/>
        <v>0</v>
      </c>
      <c r="F58" s="46">
        <f t="shared" si="16"/>
        <v>0</v>
      </c>
    </row>
    <row r="59" spans="1:17">
      <c r="A59" s="8" t="s">
        <v>98</v>
      </c>
      <c r="B59" s="46">
        <f t="shared" si="12"/>
        <v>0</v>
      </c>
      <c r="C59" s="46">
        <f t="shared" si="13"/>
        <v>0</v>
      </c>
      <c r="D59" s="46">
        <f t="shared" si="14"/>
        <v>0</v>
      </c>
      <c r="E59" s="46">
        <f t="shared" si="15"/>
        <v>0</v>
      </c>
      <c r="F59" s="46">
        <f t="shared" si="16"/>
        <v>0</v>
      </c>
    </row>
    <row r="60" spans="1:17">
      <c r="A60" s="8" t="s">
        <v>99</v>
      </c>
      <c r="B60" s="46">
        <f t="shared" si="12"/>
        <v>0</v>
      </c>
      <c r="C60" s="46">
        <f t="shared" si="13"/>
        <v>0</v>
      </c>
      <c r="D60" s="46">
        <f t="shared" si="14"/>
        <v>0</v>
      </c>
      <c r="E60" s="46">
        <f t="shared" si="15"/>
        <v>0</v>
      </c>
      <c r="F60" s="46">
        <f t="shared" si="16"/>
        <v>0</v>
      </c>
    </row>
    <row r="61" spans="1:17">
      <c r="A61" s="8" t="s">
        <v>100</v>
      </c>
      <c r="B61" s="46">
        <f t="shared" si="12"/>
        <v>0</v>
      </c>
      <c r="C61" s="46">
        <f t="shared" si="13"/>
        <v>0</v>
      </c>
      <c r="D61" s="46">
        <f t="shared" si="14"/>
        <v>0</v>
      </c>
      <c r="E61" s="46">
        <f t="shared" si="15"/>
        <v>0</v>
      </c>
      <c r="F61" s="46">
        <f t="shared" si="16"/>
        <v>0</v>
      </c>
    </row>
    <row r="62" spans="1:17">
      <c r="A62" s="8" t="s">
        <v>101</v>
      </c>
      <c r="B62" s="46">
        <f t="shared" si="12"/>
        <v>0</v>
      </c>
      <c r="C62" s="46">
        <f t="shared" si="13"/>
        <v>0</v>
      </c>
      <c r="D62" s="46">
        <f t="shared" si="14"/>
        <v>0</v>
      </c>
      <c r="E62" s="46">
        <f t="shared" si="15"/>
        <v>0</v>
      </c>
      <c r="F62" s="46">
        <f t="shared" si="16"/>
        <v>0</v>
      </c>
    </row>
    <row r="63" spans="1:17">
      <c r="A63" s="8" t="s">
        <v>102</v>
      </c>
      <c r="B63" s="46">
        <f t="shared" si="12"/>
        <v>0</v>
      </c>
      <c r="C63" s="46">
        <f t="shared" si="13"/>
        <v>0</v>
      </c>
      <c r="D63" s="46">
        <f t="shared" si="14"/>
        <v>0</v>
      </c>
      <c r="E63" s="46">
        <f t="shared" si="15"/>
        <v>0</v>
      </c>
      <c r="F63" s="46">
        <f t="shared" si="16"/>
        <v>0</v>
      </c>
    </row>
    <row r="64" spans="1:17">
      <c r="A64" s="8" t="s">
        <v>103</v>
      </c>
      <c r="B64" s="46">
        <f t="shared" si="12"/>
        <v>0</v>
      </c>
      <c r="C64" s="46">
        <f t="shared" si="13"/>
        <v>0</v>
      </c>
      <c r="D64" s="46">
        <f t="shared" si="14"/>
        <v>0</v>
      </c>
      <c r="E64" s="46">
        <f t="shared" si="15"/>
        <v>0</v>
      </c>
      <c r="F64" s="46">
        <f t="shared" si="16"/>
        <v>0</v>
      </c>
    </row>
    <row r="65" spans="1:7">
      <c r="A65" s="8" t="s">
        <v>104</v>
      </c>
      <c r="B65" s="46">
        <f t="shared" si="12"/>
        <v>0</v>
      </c>
      <c r="C65" s="46">
        <f t="shared" si="13"/>
        <v>0</v>
      </c>
      <c r="D65" s="46">
        <f t="shared" si="14"/>
        <v>0</v>
      </c>
      <c r="E65" s="46">
        <f t="shared" si="15"/>
        <v>0</v>
      </c>
      <c r="F65" s="46">
        <f t="shared" si="16"/>
        <v>0</v>
      </c>
    </row>
    <row r="66" spans="1:7">
      <c r="A66" s="8" t="s">
        <v>105</v>
      </c>
      <c r="B66" s="46">
        <f t="shared" si="12"/>
        <v>0</v>
      </c>
      <c r="C66" s="46">
        <f t="shared" si="13"/>
        <v>0</v>
      </c>
      <c r="D66" s="46">
        <f t="shared" si="14"/>
        <v>0</v>
      </c>
      <c r="E66" s="46">
        <f t="shared" si="15"/>
        <v>0</v>
      </c>
      <c r="F66" s="46">
        <f t="shared" si="16"/>
        <v>0</v>
      </c>
    </row>
    <row r="67" spans="1:7">
      <c r="A67" s="8" t="s">
        <v>106</v>
      </c>
      <c r="B67" s="46">
        <f t="shared" si="12"/>
        <v>0</v>
      </c>
      <c r="C67" s="46">
        <f t="shared" si="13"/>
        <v>0</v>
      </c>
      <c r="D67" s="46">
        <f t="shared" si="14"/>
        <v>15988</v>
      </c>
      <c r="E67" s="46">
        <f t="shared" si="15"/>
        <v>0</v>
      </c>
      <c r="F67" s="46">
        <f t="shared" si="16"/>
        <v>0</v>
      </c>
    </row>
    <row r="68" spans="1:7">
      <c r="A68" s="8" t="s">
        <v>107</v>
      </c>
      <c r="B68" s="46">
        <f t="shared" si="12"/>
        <v>0</v>
      </c>
      <c r="C68" s="46">
        <f t="shared" si="13"/>
        <v>0</v>
      </c>
      <c r="D68" s="46">
        <f t="shared" si="14"/>
        <v>25260</v>
      </c>
      <c r="E68" s="46">
        <f t="shared" si="15"/>
        <v>0</v>
      </c>
      <c r="F68" s="46">
        <f t="shared" si="16"/>
        <v>0</v>
      </c>
    </row>
    <row r="69" spans="1:7">
      <c r="A69" s="33" t="s">
        <v>108</v>
      </c>
      <c r="B69" s="378">
        <f>IF(I$51=0,0,B20-SUM(B57:B68))</f>
        <v>0</v>
      </c>
      <c r="C69" s="378">
        <f>IF(J$51=0,0,C20-SUM(C57:C68))</f>
        <v>0</v>
      </c>
      <c r="D69" s="378">
        <f>IF(K$51=0,0,D20-SUM(D57:D68))</f>
        <v>185128</v>
      </c>
      <c r="E69" s="378">
        <f>IF(L$51=0,0,E20-SUM(E57:E68))</f>
        <v>0</v>
      </c>
      <c r="F69" s="378">
        <f>IF(M$51=0,0,F20-SUM(F57:F68))</f>
        <v>0</v>
      </c>
      <c r="G69" s="463" t="s">
        <v>689</v>
      </c>
    </row>
  </sheetData>
  <mergeCells count="8">
    <mergeCell ref="H22:M22"/>
    <mergeCell ref="A22:F22"/>
    <mergeCell ref="A5:F5"/>
    <mergeCell ref="H5:M5"/>
    <mergeCell ref="A55:F55"/>
    <mergeCell ref="H34:M34"/>
    <mergeCell ref="H49:M49"/>
    <mergeCell ref="A34:F34"/>
  </mergeCells>
  <phoneticPr fontId="4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7"/>
  <sheetViews>
    <sheetView zoomScale="80" zoomScaleNormal="80" workbookViewId="0">
      <pane ySplit="1" topLeftCell="A18" activePane="bottomLeft" state="frozen"/>
      <selection pane="bottomLeft" activeCell="L32" sqref="L32"/>
    </sheetView>
  </sheetViews>
  <sheetFormatPr defaultRowHeight="12.75"/>
  <cols>
    <col min="1" max="1" width="68.85546875" customWidth="1"/>
    <col min="2" max="4" width="9.140625" style="319"/>
  </cols>
  <sheetData>
    <row r="1" spans="1:6" ht="15.75">
      <c r="A1" s="37" t="s">
        <v>156</v>
      </c>
      <c r="B1" s="194">
        <f>INPUT!C1</f>
        <v>2017</v>
      </c>
      <c r="C1" s="194">
        <f>INPUT!D1</f>
        <v>2018</v>
      </c>
      <c r="D1" s="194">
        <f>INPUT!E1</f>
        <v>2019</v>
      </c>
      <c r="E1" s="194">
        <f>INPUT!F1</f>
        <v>2020</v>
      </c>
      <c r="F1" s="194">
        <f>INPUT!G1</f>
        <v>2021</v>
      </c>
    </row>
    <row r="3" spans="1:6" ht="15.75">
      <c r="A3" s="9" t="s">
        <v>157</v>
      </c>
    </row>
    <row r="4" spans="1:6">
      <c r="A4" s="7" t="s">
        <v>158</v>
      </c>
    </row>
    <row r="5" spans="1:6">
      <c r="A5" s="31" t="str">
        <f>INPUT!B47</f>
        <v>Imported Water Nebraska</v>
      </c>
      <c r="B5" s="145">
        <f>+INPUT!C47</f>
        <v>0</v>
      </c>
      <c r="C5" s="145">
        <f>+INPUT!D47</f>
        <v>0</v>
      </c>
      <c r="D5" s="145">
        <f>+INPUT!E47</f>
        <v>0</v>
      </c>
      <c r="E5" s="145">
        <f>+INPUT!F47</f>
        <v>0</v>
      </c>
      <c r="F5" s="145">
        <f>+INPUT!G47</f>
        <v>0</v>
      </c>
    </row>
    <row r="6" spans="1:6">
      <c r="A6" s="31" t="str">
        <f>INPUT!B4</f>
        <v>GW CBCU Colorado</v>
      </c>
      <c r="B6" s="145">
        <f>+INPUT!C4</f>
        <v>16906</v>
      </c>
      <c r="C6" s="145">
        <f>+INPUT!D4</f>
        <v>17365</v>
      </c>
      <c r="D6" s="145">
        <f>+INPUT!E4</f>
        <v>17492</v>
      </c>
      <c r="E6" s="145">
        <f>+INPUT!F4</f>
        <v>17390</v>
      </c>
      <c r="F6" s="145">
        <f>+INPUT!G4</f>
        <v>17951</v>
      </c>
    </row>
    <row r="7" spans="1:6">
      <c r="A7" s="31" t="str">
        <f>INPUT!B5</f>
        <v>GW CBCU Kansas</v>
      </c>
      <c r="B7" s="145">
        <f>+INPUT!C5</f>
        <v>0</v>
      </c>
      <c r="C7" s="145">
        <f>+INPUT!D5</f>
        <v>0</v>
      </c>
      <c r="D7" s="145">
        <f>+INPUT!E5</f>
        <v>0</v>
      </c>
      <c r="E7" s="145">
        <f>+INPUT!F5</f>
        <v>0</v>
      </c>
      <c r="F7" s="145">
        <f>+INPUT!G5</f>
        <v>0</v>
      </c>
    </row>
    <row r="8" spans="1:6" ht="12" customHeight="1">
      <c r="A8" s="31" t="str">
        <f>INPUT!B6</f>
        <v>GW CBCU Nebraska</v>
      </c>
      <c r="B8" s="145">
        <f>+INPUT!C6</f>
        <v>1174</v>
      </c>
      <c r="C8" s="145">
        <f>+INPUT!D6</f>
        <v>1205</v>
      </c>
      <c r="D8" s="145">
        <f>+INPUT!E6</f>
        <v>1229</v>
      </c>
      <c r="E8" s="145">
        <f>+INPUT!F6</f>
        <v>1246</v>
      </c>
      <c r="F8" s="145">
        <f>+INPUT!G6</f>
        <v>1272</v>
      </c>
    </row>
    <row r="9" spans="1:6" ht="12" customHeight="1">
      <c r="A9" s="31" t="s">
        <v>564</v>
      </c>
      <c r="B9" s="145">
        <f>RWS_CWSA!X16</f>
        <v>11330</v>
      </c>
      <c r="C9" s="145">
        <f>RWS_CWSA!X17</f>
        <v>13578</v>
      </c>
      <c r="D9" s="145">
        <f>RWS_CWSA!X18</f>
        <v>8905</v>
      </c>
      <c r="E9" s="145">
        <f>RWS_CWSA!X19</f>
        <v>6218</v>
      </c>
      <c r="F9" s="145">
        <f>RWS_CWSA!X20</f>
        <v>9390</v>
      </c>
    </row>
    <row r="10" spans="1:6">
      <c r="A10" s="4" t="s">
        <v>160</v>
      </c>
      <c r="B10" s="145"/>
      <c r="C10" s="145"/>
      <c r="D10" s="145"/>
      <c r="E10" s="145"/>
      <c r="F10" s="145"/>
    </row>
    <row r="11" spans="1:6">
      <c r="A11" s="34" t="str">
        <f>INPUT!B184</f>
        <v>North Fork Republican River At Colorado-Nebraska State Line</v>
      </c>
      <c r="B11" s="145">
        <f>+INPUT!C184</f>
        <v>26046</v>
      </c>
      <c r="C11" s="145">
        <f>+INPUT!D184</f>
        <v>32580</v>
      </c>
      <c r="D11" s="145">
        <f>+INPUT!E184</f>
        <v>25436</v>
      </c>
      <c r="E11" s="145">
        <f>+INPUT!F184</f>
        <v>22984.165289256216</v>
      </c>
      <c r="F11" s="145">
        <f>+INPUT!G184</f>
        <v>25846</v>
      </c>
    </row>
    <row r="12" spans="1:6">
      <c r="A12" s="34" t="str">
        <f>INPUT!B233</f>
        <v>Haigler Canal Diversions - Colorado</v>
      </c>
      <c r="B12" s="145">
        <f>+INPUT!C233</f>
        <v>0</v>
      </c>
      <c r="C12" s="145">
        <f>+INPUT!D233</f>
        <v>0</v>
      </c>
      <c r="D12" s="145">
        <f>+INPUT!E233</f>
        <v>0</v>
      </c>
      <c r="E12" s="145">
        <f>+INPUT!F233</f>
        <v>0</v>
      </c>
      <c r="F12" s="145">
        <f>+INPUT!G233</f>
        <v>0</v>
      </c>
    </row>
    <row r="13" spans="1:6">
      <c r="A13" s="34" t="str">
        <f>INPUT!B63</f>
        <v>SW Diversions - Irrigation -Non-Federal Canals- Colorado</v>
      </c>
      <c r="B13" s="145">
        <f>+INPUT!C63</f>
        <v>406</v>
      </c>
      <c r="C13" s="145">
        <f>+INPUT!D63</f>
        <v>463</v>
      </c>
      <c r="D13" s="145">
        <f>+INPUT!E63</f>
        <v>217</v>
      </c>
      <c r="E13" s="145">
        <f>+INPUT!F63</f>
        <v>301</v>
      </c>
      <c r="F13" s="145">
        <f>+INPUT!G63</f>
        <v>195</v>
      </c>
    </row>
    <row r="14" spans="1:6">
      <c r="A14" s="49" t="str">
        <f>INPUT!B64</f>
        <v>SW Diversions - Irrigation - Small Pumps - Colorado</v>
      </c>
      <c r="B14" s="153">
        <f>INPUT!C64</f>
        <v>26</v>
      </c>
      <c r="C14" s="153">
        <f>INPUT!D64</f>
        <v>16</v>
      </c>
      <c r="D14" s="153">
        <f>INPUT!E64</f>
        <v>19</v>
      </c>
      <c r="E14" s="153">
        <f>INPUT!F64</f>
        <v>24</v>
      </c>
      <c r="F14" s="153">
        <f>INPUT!G64</f>
        <v>22</v>
      </c>
    </row>
    <row r="15" spans="1:6">
      <c r="A15" s="34" t="str">
        <f>INPUT!B65</f>
        <v>SW Diversions - M&amp;I - Colorado</v>
      </c>
      <c r="B15" s="145">
        <f>+INPUT!C65</f>
        <v>0</v>
      </c>
      <c r="C15" s="145">
        <f>+INPUT!D65</f>
        <v>0</v>
      </c>
      <c r="D15" s="145">
        <f>+INPUT!E65</f>
        <v>0</v>
      </c>
      <c r="E15" s="145">
        <f>+INPUT!F65</f>
        <v>0</v>
      </c>
      <c r="F15" s="145">
        <f>+INPUT!G65</f>
        <v>0</v>
      </c>
    </row>
    <row r="16" spans="1:6">
      <c r="A16" s="34" t="str">
        <f>INPUT!B234</f>
        <v>Haigler Canal Diversions - Nebraska</v>
      </c>
      <c r="B16" s="145">
        <f>+INPUT!C234</f>
        <v>4732</v>
      </c>
      <c r="C16" s="145">
        <f>+INPUT!D234</f>
        <v>3676</v>
      </c>
      <c r="D16" s="145">
        <f>+INPUT!E234</f>
        <v>3963</v>
      </c>
      <c r="E16" s="145">
        <f>+INPUT!F234</f>
        <v>5288</v>
      </c>
      <c r="F16" s="145">
        <f>+INPUT!G234</f>
        <v>5640</v>
      </c>
    </row>
    <row r="17" spans="1:6">
      <c r="A17" s="34" t="str">
        <f>INPUT!B154</f>
        <v>Non-Federal Reservoir Evaporation - Colorado</v>
      </c>
      <c r="B17" s="145">
        <f>+INPUT!C154</f>
        <v>38</v>
      </c>
      <c r="C17" s="145">
        <f>+INPUT!D154</f>
        <v>38</v>
      </c>
      <c r="D17" s="145">
        <f>+INPUT!E154</f>
        <v>40</v>
      </c>
      <c r="E17" s="145">
        <f>+INPUT!F154</f>
        <v>40</v>
      </c>
      <c r="F17" s="145">
        <f>+INPUT!G154</f>
        <v>39</v>
      </c>
    </row>
    <row r="18" spans="1:6">
      <c r="A18" s="136" t="str">
        <f>+FLOOD!A57</f>
        <v>North Fork Flood Flow</v>
      </c>
      <c r="B18" s="145">
        <f>+FLOOD!B57</f>
        <v>0</v>
      </c>
      <c r="C18" s="145">
        <f>+FLOOD!C57</f>
        <v>0</v>
      </c>
      <c r="D18" s="145">
        <f>+FLOOD!D57</f>
        <v>0</v>
      </c>
      <c r="E18" s="145">
        <f>+FLOOD!E57</f>
        <v>0</v>
      </c>
      <c r="F18" s="145">
        <f>+FLOOD!F57</f>
        <v>0</v>
      </c>
    </row>
    <row r="19" spans="1:6">
      <c r="A19" s="5" t="s">
        <v>66</v>
      </c>
      <c r="B19" s="145"/>
      <c r="C19" s="145"/>
      <c r="D19" s="145"/>
      <c r="E19" s="145"/>
      <c r="F19" s="145"/>
    </row>
    <row r="20" spans="1:6" ht="15.75">
      <c r="A20" s="9" t="s">
        <v>241</v>
      </c>
      <c r="B20" s="145"/>
      <c r="C20" s="145"/>
      <c r="D20" s="145"/>
      <c r="E20" s="145"/>
      <c r="F20" s="145"/>
    </row>
    <row r="21" spans="1:6">
      <c r="A21" s="7" t="s">
        <v>0</v>
      </c>
      <c r="B21" s="145"/>
      <c r="C21" s="145"/>
      <c r="D21" s="145"/>
      <c r="E21" s="145"/>
      <c r="F21" s="145"/>
    </row>
    <row r="22" spans="1:6">
      <c r="A22" s="43" t="str">
        <f>(LEFT(INPUT!B233,13)) &amp; " "&amp;"CBCU"</f>
        <v>Haigler Canal CBCU</v>
      </c>
      <c r="B22" s="145">
        <f>B12*CanalCUPercent3</f>
        <v>0</v>
      </c>
      <c r="C22" s="145">
        <f>C12*CanalCUPercent4</f>
        <v>0</v>
      </c>
      <c r="D22" s="145">
        <f>D12*CanalCUPercent5</f>
        <v>0</v>
      </c>
      <c r="E22" s="145">
        <f>E12*CanalCUPercent5</f>
        <v>0</v>
      </c>
      <c r="F22" s="145">
        <f>F12*CanalCUPercent5</f>
        <v>0</v>
      </c>
    </row>
    <row r="23" spans="1:6">
      <c r="A23" s="2" t="s">
        <v>230</v>
      </c>
      <c r="B23" s="145">
        <f>B13* CanalCUPercent3</f>
        <v>243.6</v>
      </c>
      <c r="C23" s="145">
        <f>C13* CanalCUPercent4</f>
        <v>277.8</v>
      </c>
      <c r="D23" s="145">
        <f>D13* CanalCUPercent5</f>
        <v>130.19999999999999</v>
      </c>
      <c r="E23" s="145">
        <f>E13* CanalCUPercent5</f>
        <v>180.6</v>
      </c>
      <c r="F23" s="145">
        <f>F13* CanalCUPercent5</f>
        <v>117</v>
      </c>
    </row>
    <row r="24" spans="1:6">
      <c r="A24" s="2" t="s">
        <v>231</v>
      </c>
      <c r="B24" s="145">
        <f>B14* PumperCUPercent3</f>
        <v>19.5</v>
      </c>
      <c r="C24" s="145">
        <f>C14* PumperCUPercent4</f>
        <v>12</v>
      </c>
      <c r="D24" s="145">
        <f>D14* PumperCUPercent5</f>
        <v>14.25</v>
      </c>
      <c r="E24" s="145">
        <f>E14* PumperCUPercent5</f>
        <v>18</v>
      </c>
      <c r="F24" s="145">
        <f>F14* PumperCUPercent5</f>
        <v>16.5</v>
      </c>
    </row>
    <row r="25" spans="1:6">
      <c r="A25" s="2" t="s">
        <v>232</v>
      </c>
      <c r="B25" s="145">
        <f>B15* MI_CUPercent3</f>
        <v>0</v>
      </c>
      <c r="C25" s="145">
        <f>C15* MI_CUPercent4</f>
        <v>0</v>
      </c>
      <c r="D25" s="145">
        <f>D15* MI_CUPercent5</f>
        <v>0</v>
      </c>
      <c r="E25" s="145">
        <f>E15* MI_CUPercent5</f>
        <v>0</v>
      </c>
      <c r="F25" s="145">
        <f>F15* MI_CUPercent5</f>
        <v>0</v>
      </c>
    </row>
    <row r="26" spans="1:6">
      <c r="A26" s="8" t="s">
        <v>424</v>
      </c>
      <c r="B26" s="145">
        <f>+B17</f>
        <v>38</v>
      </c>
      <c r="C26" s="145">
        <f>+C17</f>
        <v>38</v>
      </c>
      <c r="D26" s="145">
        <f>+D17</f>
        <v>40</v>
      </c>
      <c r="E26" s="145">
        <f>+E17</f>
        <v>40</v>
      </c>
      <c r="F26" s="145">
        <f>+F17</f>
        <v>39</v>
      </c>
    </row>
    <row r="27" spans="1:6">
      <c r="A27" s="2" t="s">
        <v>218</v>
      </c>
      <c r="B27" s="151">
        <f>B22+B23+B24+B25+B26</f>
        <v>301.10000000000002</v>
      </c>
      <c r="C27" s="151">
        <f>C22+C23+C24+C25+C26</f>
        <v>327.8</v>
      </c>
      <c r="D27" s="151">
        <f>D22+D23+D24+D25+D26</f>
        <v>184.45</v>
      </c>
      <c r="E27" s="151">
        <f>E22+E23+E24+E25+E26</f>
        <v>238.6</v>
      </c>
      <c r="F27" s="151">
        <f>F22+F23+F24+F25+F26</f>
        <v>172.5</v>
      </c>
    </row>
    <row r="28" spans="1:6">
      <c r="A28" s="2" t="s">
        <v>219</v>
      </c>
      <c r="B28" s="151">
        <f>B6</f>
        <v>16906</v>
      </c>
      <c r="C28" s="151">
        <f>C6</f>
        <v>17365</v>
      </c>
      <c r="D28" s="151">
        <f>D6</f>
        <v>17492</v>
      </c>
      <c r="E28" s="151">
        <f>E6</f>
        <v>17390</v>
      </c>
      <c r="F28" s="151">
        <f>F6</f>
        <v>17951</v>
      </c>
    </row>
    <row r="29" spans="1:6">
      <c r="A29" s="2" t="s">
        <v>234</v>
      </c>
      <c r="B29" s="145">
        <f>(ROUND(SUM(B27:B28),-1))</f>
        <v>17210</v>
      </c>
      <c r="C29" s="145">
        <f>(ROUND(SUM(C27:C28),-1))</f>
        <v>17690</v>
      </c>
      <c r="D29" s="145">
        <f>(ROUND(SUM(D27:D28),-1))</f>
        <v>17680</v>
      </c>
      <c r="E29" s="145">
        <f>(ROUND(SUM(E27:E28),-1))</f>
        <v>17630</v>
      </c>
      <c r="F29" s="145">
        <f>(ROUND(SUM(F27:F28),-1))</f>
        <v>18120</v>
      </c>
    </row>
    <row r="30" spans="1:6">
      <c r="A30" s="2" t="s">
        <v>66</v>
      </c>
      <c r="B30" s="145"/>
      <c r="C30" s="145"/>
      <c r="D30" s="145"/>
      <c r="E30" s="145"/>
      <c r="F30" s="145"/>
    </row>
    <row r="31" spans="1:6">
      <c r="A31" s="7" t="s">
        <v>161</v>
      </c>
      <c r="B31" s="145"/>
      <c r="C31" s="145"/>
      <c r="D31" s="145"/>
      <c r="E31" s="145"/>
      <c r="F31" s="145"/>
    </row>
    <row r="32" spans="1:6">
      <c r="A32" s="2" t="str">
        <f>A28</f>
        <v>GW CBCU</v>
      </c>
      <c r="B32" s="151">
        <f>B7</f>
        <v>0</v>
      </c>
      <c r="C32" s="151">
        <f>C7</f>
        <v>0</v>
      </c>
      <c r="D32" s="151">
        <f>D7</f>
        <v>0</v>
      </c>
      <c r="E32" s="151">
        <f>E7</f>
        <v>0</v>
      </c>
      <c r="F32" s="151">
        <f>F7</f>
        <v>0</v>
      </c>
    </row>
    <row r="33" spans="1:6">
      <c r="A33" s="2" t="str">
        <f>A29</f>
        <v>Total CBCU</v>
      </c>
      <c r="B33" s="145">
        <f>(ROUND(SUM(B32:B32),-1))</f>
        <v>0</v>
      </c>
      <c r="C33" s="145">
        <f>(ROUND(SUM(C32:C32),-1))</f>
        <v>0</v>
      </c>
      <c r="D33" s="145">
        <f>(ROUND(SUM(D32:D32),-1))</f>
        <v>0</v>
      </c>
      <c r="E33" s="145">
        <f>(ROUND(SUM(E32:E32),-1))</f>
        <v>0</v>
      </c>
      <c r="F33" s="145">
        <f>(ROUND(SUM(F32:F32),-1))</f>
        <v>0</v>
      </c>
    </row>
    <row r="34" spans="1:6">
      <c r="A34" s="2" t="s">
        <v>66</v>
      </c>
      <c r="B34" s="145"/>
      <c r="C34" s="145"/>
      <c r="D34" s="145"/>
      <c r="E34" s="145"/>
      <c r="F34" s="145"/>
    </row>
    <row r="35" spans="1:6">
      <c r="A35" s="7" t="s">
        <v>1</v>
      </c>
      <c r="B35" s="145"/>
      <c r="C35" s="145"/>
      <c r="D35" s="145"/>
      <c r="E35" s="145"/>
      <c r="F35" s="145"/>
    </row>
    <row r="36" spans="1:6">
      <c r="A36" s="11" t="str">
        <f>A22</f>
        <v>Haigler Canal CBCU</v>
      </c>
      <c r="B36" s="145">
        <f>+B16*CanalCUPercent3</f>
        <v>2839.2</v>
      </c>
      <c r="C36" s="145">
        <f>+C16*CanalCUPercent4</f>
        <v>2205.6</v>
      </c>
      <c r="D36" s="145">
        <f>+D16*CanalCUPercent5</f>
        <v>2377.7999999999997</v>
      </c>
      <c r="E36" s="145">
        <f>+E16*CanalCUPercent5</f>
        <v>3172.7999999999997</v>
      </c>
      <c r="F36" s="145">
        <f>+F16*CanalCUPercent5</f>
        <v>3384</v>
      </c>
    </row>
    <row r="37" spans="1:6" ht="13.5" customHeight="1">
      <c r="A37" s="2" t="str">
        <f>A27</f>
        <v>SW CBCU</v>
      </c>
      <c r="B37" s="151">
        <f>B36</f>
        <v>2839.2</v>
      </c>
      <c r="C37" s="151">
        <f>C36</f>
        <v>2205.6</v>
      </c>
      <c r="D37" s="151">
        <f>D36</f>
        <v>2377.7999999999997</v>
      </c>
      <c r="E37" s="151">
        <f>E36</f>
        <v>3172.7999999999997</v>
      </c>
      <c r="F37" s="151">
        <f>F36</f>
        <v>3384</v>
      </c>
    </row>
    <row r="38" spans="1:6">
      <c r="A38" s="2" t="str">
        <f>A28</f>
        <v>GW CBCU</v>
      </c>
      <c r="B38" s="151">
        <f>B8</f>
        <v>1174</v>
      </c>
      <c r="C38" s="151">
        <f>C8</f>
        <v>1205</v>
      </c>
      <c r="D38" s="151">
        <f>D8</f>
        <v>1229</v>
      </c>
      <c r="E38" s="151">
        <f>E8</f>
        <v>1246</v>
      </c>
      <c r="F38" s="151">
        <f>F8</f>
        <v>1272</v>
      </c>
    </row>
    <row r="39" spans="1:6">
      <c r="A39" s="2" t="str">
        <f>A29</f>
        <v>Total CBCU</v>
      </c>
      <c r="B39" s="145">
        <f>(ROUND(SUM(B37:B38),-1))</f>
        <v>4010</v>
      </c>
      <c r="C39" s="145">
        <f>(ROUND(SUM(C37:C38),-1))</f>
        <v>3410</v>
      </c>
      <c r="D39" s="145">
        <f>(ROUND(SUM(D37:D38),-1))</f>
        <v>3610</v>
      </c>
      <c r="E39" s="145">
        <f>(ROUND(SUM(E37:E38),-1))</f>
        <v>4420</v>
      </c>
      <c r="F39" s="145">
        <f>(ROUND(SUM(F37:F38),-1))</f>
        <v>4660</v>
      </c>
    </row>
    <row r="40" spans="1:6">
      <c r="A40" s="8" t="s">
        <v>66</v>
      </c>
      <c r="B40" s="145"/>
      <c r="C40" s="145"/>
      <c r="D40" s="145"/>
      <c r="E40" s="145"/>
      <c r="F40" s="145"/>
    </row>
    <row r="41" spans="1:6">
      <c r="A41" s="4" t="s">
        <v>162</v>
      </c>
      <c r="B41" s="145"/>
      <c r="C41" s="145"/>
      <c r="D41" s="145"/>
      <c r="E41" s="145"/>
      <c r="F41" s="145"/>
    </row>
    <row r="42" spans="1:6">
      <c r="A42" s="8" t="s">
        <v>220</v>
      </c>
      <c r="B42" s="145">
        <f>+B27+B37</f>
        <v>3140.2999999999997</v>
      </c>
      <c r="C42" s="145">
        <f>+C27+C37</f>
        <v>2533.4</v>
      </c>
      <c r="D42" s="145">
        <f>+D27+D37</f>
        <v>2562.2499999999995</v>
      </c>
      <c r="E42" s="145">
        <f>+E27+E37</f>
        <v>3411.3999999999996</v>
      </c>
      <c r="F42" s="145">
        <f>+F27+F37</f>
        <v>3556.5</v>
      </c>
    </row>
    <row r="43" spans="1:6">
      <c r="A43" s="8" t="s">
        <v>221</v>
      </c>
      <c r="B43" s="145">
        <f>+B28+B32+B38</f>
        <v>18080</v>
      </c>
      <c r="C43" s="145">
        <f>+C28+C32+C38</f>
        <v>18570</v>
      </c>
      <c r="D43" s="145">
        <f>+D28+D32+D38</f>
        <v>18721</v>
      </c>
      <c r="E43" s="145">
        <f>+E28+E32+E38</f>
        <v>18636</v>
      </c>
      <c r="F43" s="145">
        <f>+F28+F32+F38</f>
        <v>19223</v>
      </c>
    </row>
    <row r="44" spans="1:6">
      <c r="A44" s="8" t="s">
        <v>222</v>
      </c>
      <c r="B44" s="145">
        <f>SUM(B42:B43)</f>
        <v>21220.3</v>
      </c>
      <c r="C44" s="145">
        <f>SUM(C42:C43)</f>
        <v>21103.4</v>
      </c>
      <c r="D44" s="145">
        <f>SUM(D42:D43)</f>
        <v>21283.25</v>
      </c>
      <c r="E44" s="145">
        <f>SUM(E42:E43)</f>
        <v>22047.4</v>
      </c>
      <c r="F44" s="145">
        <f>SUM(F42:F43)</f>
        <v>22779.5</v>
      </c>
    </row>
    <row r="45" spans="1:6">
      <c r="A45" s="8" t="s">
        <v>66</v>
      </c>
      <c r="B45" s="145"/>
      <c r="C45" s="145"/>
      <c r="D45" s="145"/>
      <c r="E45" s="145"/>
      <c r="F45" s="145"/>
    </row>
    <row r="46" spans="1:6" ht="15.75">
      <c r="A46" s="10" t="s">
        <v>10</v>
      </c>
      <c r="B46" s="145"/>
      <c r="C46" s="145"/>
      <c r="D46" s="145"/>
      <c r="E46" s="145"/>
      <c r="F46" s="145"/>
    </row>
    <row r="47" spans="1:6">
      <c r="A47" s="2" t="str">
        <f t="shared" ref="A47:F47" si="0">A11</f>
        <v>North Fork Republican River At Colorado-Nebraska State Line</v>
      </c>
      <c r="B47" s="145">
        <f t="shared" si="0"/>
        <v>26046</v>
      </c>
      <c r="C47" s="145">
        <f t="shared" si="0"/>
        <v>32580</v>
      </c>
      <c r="D47" s="145">
        <f t="shared" si="0"/>
        <v>25436</v>
      </c>
      <c r="E47" s="145">
        <f t="shared" si="0"/>
        <v>22984.165289256216</v>
      </c>
      <c r="F47" s="145">
        <f t="shared" si="0"/>
        <v>25846</v>
      </c>
    </row>
    <row r="48" spans="1:6">
      <c r="A48" s="2" t="s">
        <v>164</v>
      </c>
      <c r="B48" s="145">
        <f>B16-B36</f>
        <v>1892.8000000000002</v>
      </c>
      <c r="C48" s="145">
        <f>C16-C36</f>
        <v>1470.4</v>
      </c>
      <c r="D48" s="145">
        <f>D16-D36</f>
        <v>1585.2000000000003</v>
      </c>
      <c r="E48" s="145">
        <f>E16-E36</f>
        <v>2115.2000000000003</v>
      </c>
      <c r="F48" s="145">
        <f>F16-F36</f>
        <v>2256</v>
      </c>
    </row>
    <row r="49" spans="1:6">
      <c r="A49" s="2" t="s">
        <v>223</v>
      </c>
      <c r="B49" s="145">
        <f>+B29</f>
        <v>17210</v>
      </c>
      <c r="C49" s="145">
        <f>+C29</f>
        <v>17690</v>
      </c>
      <c r="D49" s="145">
        <f>+D29</f>
        <v>17680</v>
      </c>
      <c r="E49" s="145">
        <f>+E29</f>
        <v>17630</v>
      </c>
      <c r="F49" s="145">
        <f>+F29</f>
        <v>18120</v>
      </c>
    </row>
    <row r="50" spans="1:6">
      <c r="A50" s="2" t="s">
        <v>224</v>
      </c>
      <c r="B50" s="145">
        <f>+B33</f>
        <v>0</v>
      </c>
      <c r="C50" s="145">
        <f>+C33</f>
        <v>0</v>
      </c>
      <c r="D50" s="145">
        <f>+D33</f>
        <v>0</v>
      </c>
      <c r="E50" s="145">
        <f>+E33</f>
        <v>0</v>
      </c>
      <c r="F50" s="145">
        <f>+F33</f>
        <v>0</v>
      </c>
    </row>
    <row r="51" spans="1:6">
      <c r="A51" s="2" t="s">
        <v>225</v>
      </c>
      <c r="B51" s="145">
        <f>+B39</f>
        <v>4010</v>
      </c>
      <c r="C51" s="145">
        <f>+C39</f>
        <v>3410</v>
      </c>
      <c r="D51" s="145">
        <f>+D39</f>
        <v>3610</v>
      </c>
      <c r="E51" s="145">
        <f>+E39</f>
        <v>4420</v>
      </c>
      <c r="F51" s="145">
        <f>+F39</f>
        <v>4660</v>
      </c>
    </row>
    <row r="52" spans="1:6">
      <c r="A52" s="2" t="s">
        <v>163</v>
      </c>
      <c r="B52" s="151">
        <f>+B5</f>
        <v>0</v>
      </c>
      <c r="C52" s="151">
        <f>+C5</f>
        <v>0</v>
      </c>
      <c r="D52" s="151">
        <f>+D5</f>
        <v>0</v>
      </c>
      <c r="E52" s="151">
        <f>+E5</f>
        <v>0</v>
      </c>
      <c r="F52" s="151">
        <f>+F5</f>
        <v>0</v>
      </c>
    </row>
    <row r="53" spans="1:6">
      <c r="A53" s="48" t="s">
        <v>564</v>
      </c>
      <c r="B53" s="151">
        <f>B9</f>
        <v>11330</v>
      </c>
      <c r="C53" s="151">
        <f>C9</f>
        <v>13578</v>
      </c>
      <c r="D53" s="151">
        <f>D9</f>
        <v>8905</v>
      </c>
      <c r="E53" s="151">
        <f>E9</f>
        <v>6218</v>
      </c>
      <c r="F53" s="151">
        <f>F9</f>
        <v>9390</v>
      </c>
    </row>
    <row r="54" spans="1:6">
      <c r="A54" s="8" t="s">
        <v>10</v>
      </c>
      <c r="B54" s="145">
        <f>ROUND(SUM(B47:B51)-B52-B53,-1)</f>
        <v>37830</v>
      </c>
      <c r="C54" s="145">
        <f>ROUND(SUM(C47:C51)-C52-C53,-1)</f>
        <v>41570</v>
      </c>
      <c r="D54" s="145">
        <f>ROUND(SUM(D47:D51)-D52-D53,-1)</f>
        <v>39410</v>
      </c>
      <c r="E54" s="145">
        <f>ROUND(SUM(E47:E51)-E52-E53,-1)</f>
        <v>40930</v>
      </c>
      <c r="F54" s="145">
        <f>ROUND(SUM(F47:F51)-F52-F53,-1)</f>
        <v>41490</v>
      </c>
    </row>
    <row r="55" spans="1:6">
      <c r="A55" s="2" t="s">
        <v>165</v>
      </c>
      <c r="B55" s="145">
        <f>B18</f>
        <v>0</v>
      </c>
      <c r="C55" s="145">
        <f>C18</f>
        <v>0</v>
      </c>
      <c r="D55" s="145">
        <f>D18</f>
        <v>0</v>
      </c>
      <c r="E55" s="145">
        <f>E18</f>
        <v>0</v>
      </c>
      <c r="F55" s="145">
        <f>F18</f>
        <v>0</v>
      </c>
    </row>
    <row r="56" spans="1:6">
      <c r="A56" s="2" t="s">
        <v>11</v>
      </c>
      <c r="B56" s="145">
        <f>ROUND(+B54-B55,-1)</f>
        <v>37830</v>
      </c>
      <c r="C56" s="145">
        <f>ROUND(+C54-C55,-1)</f>
        <v>41570</v>
      </c>
      <c r="D56" s="145">
        <f>ROUND(+D54-D55,-1)</f>
        <v>39410</v>
      </c>
      <c r="E56" s="145">
        <f>ROUND(+E54-E55,-1)</f>
        <v>40930</v>
      </c>
      <c r="F56" s="145">
        <f>ROUND(+F54-F55,-1)</f>
        <v>41490</v>
      </c>
    </row>
    <row r="57" spans="1:6">
      <c r="A57" s="8" t="s">
        <v>66</v>
      </c>
      <c r="B57" s="145"/>
      <c r="C57" s="145"/>
      <c r="D57" s="145"/>
      <c r="E57" s="145"/>
      <c r="F57" s="145"/>
    </row>
    <row r="58" spans="1:6" ht="15.75">
      <c r="A58" s="10" t="s">
        <v>12</v>
      </c>
      <c r="B58" s="154"/>
      <c r="C58" s="154"/>
      <c r="D58" s="154"/>
      <c r="E58" s="154"/>
      <c r="F58" s="154"/>
    </row>
    <row r="59" spans="1:6">
      <c r="A59" s="2" t="s">
        <v>166</v>
      </c>
      <c r="B59" s="117">
        <f>'T2'!$D3</f>
        <v>0.224</v>
      </c>
      <c r="C59" s="117">
        <f>'T2'!$D3</f>
        <v>0.224</v>
      </c>
      <c r="D59" s="117">
        <f>'T2'!$D3</f>
        <v>0.224</v>
      </c>
      <c r="E59" s="117">
        <f>'T2'!$D3</f>
        <v>0.224</v>
      </c>
      <c r="F59" s="117">
        <f>'T2'!$D3</f>
        <v>0.224</v>
      </c>
    </row>
    <row r="60" spans="1:6">
      <c r="A60" s="2" t="s">
        <v>27</v>
      </c>
      <c r="B60" s="145">
        <f>ROUND(+B56*B59,-1)</f>
        <v>8470</v>
      </c>
      <c r="C60" s="145">
        <f>ROUND(+C56*C59,-1)</f>
        <v>9310</v>
      </c>
      <c r="D60" s="145">
        <f>ROUND(+D56*D59,-1)</f>
        <v>8830</v>
      </c>
      <c r="E60" s="145">
        <f>ROUND(+E56*E59,-1)</f>
        <v>9170</v>
      </c>
      <c r="F60" s="145">
        <f>ROUND(+F56*F59,-1)</f>
        <v>9290</v>
      </c>
    </row>
    <row r="61" spans="1:6">
      <c r="A61" s="2" t="s">
        <v>167</v>
      </c>
      <c r="B61" s="117">
        <f>'T2'!$F3</f>
        <v>0</v>
      </c>
      <c r="C61" s="117">
        <f>'T2'!$F3</f>
        <v>0</v>
      </c>
      <c r="D61" s="117">
        <f>'T2'!$F3</f>
        <v>0</v>
      </c>
      <c r="E61" s="117">
        <f>'T2'!$F3</f>
        <v>0</v>
      </c>
      <c r="F61" s="117">
        <f>'T2'!$F3</f>
        <v>0</v>
      </c>
    </row>
    <row r="62" spans="1:6">
      <c r="A62" s="2" t="s">
        <v>29</v>
      </c>
      <c r="B62" s="145">
        <f>ROUND(B56*B61,-1)</f>
        <v>0</v>
      </c>
      <c r="C62" s="145">
        <f>ROUND(C56*C61,-1)</f>
        <v>0</v>
      </c>
      <c r="D62" s="145">
        <f>ROUND(D56*D61,-1)</f>
        <v>0</v>
      </c>
      <c r="E62" s="145">
        <f>ROUND(E56*E61,-1)</f>
        <v>0</v>
      </c>
      <c r="F62" s="145">
        <f>ROUND(F56*F61,-1)</f>
        <v>0</v>
      </c>
    </row>
    <row r="63" spans="1:6">
      <c r="A63" s="2" t="s">
        <v>168</v>
      </c>
      <c r="B63" s="117">
        <f>'T2'!$H3</f>
        <v>0.246</v>
      </c>
      <c r="C63" s="117">
        <f>'T2'!$H3</f>
        <v>0.246</v>
      </c>
      <c r="D63" s="117">
        <f>'T2'!$H3</f>
        <v>0.246</v>
      </c>
      <c r="E63" s="117">
        <f>'T2'!$H3</f>
        <v>0.246</v>
      </c>
      <c r="F63" s="117">
        <f>'T2'!$H3</f>
        <v>0.246</v>
      </c>
    </row>
    <row r="64" spans="1:6">
      <c r="A64" s="2" t="s">
        <v>30</v>
      </c>
      <c r="B64" s="145">
        <f>ROUND(B56*B63,-1)</f>
        <v>9310</v>
      </c>
      <c r="C64" s="145">
        <f>ROUND(C56*C63,-1)</f>
        <v>10230</v>
      </c>
      <c r="D64" s="145">
        <f>ROUND(D56*D63,-1)</f>
        <v>9690</v>
      </c>
      <c r="E64" s="145">
        <f>ROUND(E56*E63,-1)</f>
        <v>10070</v>
      </c>
      <c r="F64" s="145">
        <f>ROUND(F56*F63,-1)</f>
        <v>10210</v>
      </c>
    </row>
    <row r="65" spans="1:6">
      <c r="A65" s="2" t="s">
        <v>169</v>
      </c>
      <c r="B65" s="145">
        <f>+B60+B62+B64</f>
        <v>17780</v>
      </c>
      <c r="C65" s="145">
        <f>+C60+C62+C64</f>
        <v>19540</v>
      </c>
      <c r="D65" s="145">
        <f>+D60+D62+D64</f>
        <v>18520</v>
      </c>
      <c r="E65" s="145">
        <f>+E60+E62+E64</f>
        <v>19240</v>
      </c>
      <c r="F65" s="145">
        <f>+F60+F62+F64</f>
        <v>19500</v>
      </c>
    </row>
    <row r="66" spans="1:6">
      <c r="A66" s="2" t="s">
        <v>170</v>
      </c>
      <c r="B66" s="117">
        <f>'T2'!$J3</f>
        <v>0.53</v>
      </c>
      <c r="C66" s="117">
        <f>'T2'!$J3</f>
        <v>0.53</v>
      </c>
      <c r="D66" s="117">
        <f>'T2'!$J3</f>
        <v>0.53</v>
      </c>
      <c r="E66" s="117">
        <f>'T2'!$J3</f>
        <v>0.53</v>
      </c>
      <c r="F66" s="117">
        <f>'T2'!$J3</f>
        <v>0.53</v>
      </c>
    </row>
    <row r="67" spans="1:6">
      <c r="A67" s="2" t="s">
        <v>171</v>
      </c>
      <c r="B67" s="145">
        <f>+B56-B60-B62-B64</f>
        <v>20050</v>
      </c>
      <c r="C67" s="145">
        <f>+C56-C60-C62-C64</f>
        <v>22030</v>
      </c>
      <c r="D67" s="145">
        <f>+D56-D60-D62-D64</f>
        <v>20890</v>
      </c>
      <c r="E67" s="145">
        <f>+E56-E60-E62-E64</f>
        <v>21690</v>
      </c>
      <c r="F67" s="145">
        <f>+F56-F60-F62-F64</f>
        <v>21990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78"/>
  <sheetViews>
    <sheetView workbookViewId="0">
      <pane ySplit="1" topLeftCell="A35" activePane="bottomLeft" state="frozen"/>
      <selection pane="bottomLeft" activeCell="I1" sqref="I1:I1048576"/>
    </sheetView>
  </sheetViews>
  <sheetFormatPr defaultRowHeight="12.75"/>
  <cols>
    <col min="1" max="1" width="69.42578125" customWidth="1"/>
  </cols>
  <sheetData>
    <row r="1" spans="1:6" ht="15.75">
      <c r="A1" s="37" t="s">
        <v>199</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INPUT!B48</f>
        <v>Imported Water Nebraska</v>
      </c>
      <c r="B5" s="145">
        <f>+INPUT!C48</f>
        <v>0</v>
      </c>
      <c r="C5" s="145">
        <f>+INPUT!D48</f>
        <v>0</v>
      </c>
      <c r="D5" s="145">
        <f>+INPUT!E48</f>
        <v>0</v>
      </c>
      <c r="E5" s="145">
        <f>+INPUT!F48</f>
        <v>0</v>
      </c>
      <c r="F5" s="145">
        <f>+INPUT!G48</f>
        <v>0</v>
      </c>
    </row>
    <row r="6" spans="1:6">
      <c r="A6" s="31" t="str">
        <f>INPUT!B7</f>
        <v>GW CBCU Colorado</v>
      </c>
      <c r="B6" s="145">
        <f>+INPUT!C7</f>
        <v>2102</v>
      </c>
      <c r="C6" s="145">
        <f>+INPUT!D7</f>
        <v>2639</v>
      </c>
      <c r="D6" s="145">
        <f>+INPUT!E7</f>
        <v>2084</v>
      </c>
      <c r="E6" s="145">
        <f>+INPUT!F7</f>
        <v>1646</v>
      </c>
      <c r="F6" s="145">
        <f>+INPUT!G7</f>
        <v>1443</v>
      </c>
    </row>
    <row r="7" spans="1:6">
      <c r="A7" s="31" t="str">
        <f>INPUT!B8</f>
        <v>GW CBCU Kansas</v>
      </c>
      <c r="B7" s="145">
        <f>+INPUT!C8</f>
        <v>157</v>
      </c>
      <c r="C7" s="145">
        <f>+INPUT!D8</f>
        <v>178</v>
      </c>
      <c r="D7" s="145">
        <f>+INPUT!E8</f>
        <v>111</v>
      </c>
      <c r="E7" s="145">
        <f>+INPUT!F8</f>
        <v>81</v>
      </c>
      <c r="F7" s="145">
        <f>+INPUT!G8</f>
        <v>115</v>
      </c>
    </row>
    <row r="8" spans="1:6" ht="12" customHeight="1">
      <c r="A8" s="31" t="str">
        <f>INPUT!B9</f>
        <v>GW CBCU Nebraska</v>
      </c>
      <c r="B8" s="145">
        <f>+INPUT!C9</f>
        <v>77</v>
      </c>
      <c r="C8" s="145">
        <f>+INPUT!D9</f>
        <v>112</v>
      </c>
      <c r="D8" s="145">
        <f>+INPUT!E9</f>
        <v>76</v>
      </c>
      <c r="E8" s="145">
        <f>+INPUT!F9</f>
        <v>73</v>
      </c>
      <c r="F8" s="145">
        <f>+INPUT!G9</f>
        <v>110</v>
      </c>
    </row>
    <row r="9" spans="1:6" ht="12" customHeight="1">
      <c r="A9" s="38" t="s">
        <v>66</v>
      </c>
      <c r="B9" s="145"/>
      <c r="C9" s="145"/>
      <c r="D9" s="145"/>
      <c r="E9" s="145"/>
      <c r="F9" s="145"/>
    </row>
    <row r="10" spans="1:6">
      <c r="A10" s="4" t="s">
        <v>160</v>
      </c>
      <c r="B10" s="145"/>
      <c r="C10" s="145"/>
      <c r="D10" s="145"/>
      <c r="E10" s="145"/>
      <c r="F10" s="145"/>
    </row>
    <row r="11" spans="1:6">
      <c r="A11" s="31" t="str">
        <f>+INPUT!B185</f>
        <v>Arikaree River At Haigler</v>
      </c>
      <c r="B11" s="145">
        <f>+INPUT!C185</f>
        <v>646</v>
      </c>
      <c r="C11" s="145">
        <f>+INPUT!D185</f>
        <v>821</v>
      </c>
      <c r="D11" s="145">
        <f>+INPUT!E185</f>
        <v>1113</v>
      </c>
      <c r="E11" s="145">
        <f>+INPUT!F185</f>
        <v>1656.6148760330564</v>
      </c>
      <c r="F11" s="145">
        <f>+INPUT!G185</f>
        <v>1635</v>
      </c>
    </row>
    <row r="12" spans="1:6">
      <c r="A12" s="31" t="str">
        <f>INPUT!B66</f>
        <v>SW Diversions - Irrigation -Non-Federal Canals- Colorado</v>
      </c>
      <c r="B12" s="145">
        <f>INPUT!C66</f>
        <v>20</v>
      </c>
      <c r="C12" s="145">
        <f>INPUT!D66</f>
        <v>0</v>
      </c>
      <c r="D12" s="145">
        <f>INPUT!E66</f>
        <v>0</v>
      </c>
      <c r="E12" s="145">
        <f>INPUT!F66</f>
        <v>0</v>
      </c>
      <c r="F12" s="145">
        <f>INPUT!G66</f>
        <v>0</v>
      </c>
    </row>
    <row r="13" spans="1:6">
      <c r="A13" s="50" t="str">
        <f>INPUT!B67</f>
        <v>SW Diversions - Irrigation - Small Pumps - Colorado</v>
      </c>
      <c r="B13" s="151">
        <f>INPUT!C67</f>
        <v>0</v>
      </c>
      <c r="C13" s="151">
        <f>INPUT!D67</f>
        <v>0</v>
      </c>
      <c r="D13" s="151">
        <f>INPUT!E67</f>
        <v>0</v>
      </c>
      <c r="E13" s="151">
        <f>INPUT!F67</f>
        <v>0</v>
      </c>
      <c r="F13" s="151">
        <f>INPUT!G67</f>
        <v>0</v>
      </c>
    </row>
    <row r="14" spans="1:6">
      <c r="A14" s="50" t="str">
        <f>+INPUT!B68</f>
        <v>SW Diversions - M&amp;I - Colorado</v>
      </c>
      <c r="B14" s="151">
        <f>+INPUT!C68</f>
        <v>0</v>
      </c>
      <c r="C14" s="151">
        <f>+INPUT!D68</f>
        <v>0</v>
      </c>
      <c r="D14" s="151">
        <f>+INPUT!E68</f>
        <v>0</v>
      </c>
      <c r="E14" s="151">
        <f>+INPUT!F68</f>
        <v>0</v>
      </c>
      <c r="F14" s="151">
        <f>+INPUT!G68</f>
        <v>0</v>
      </c>
    </row>
    <row r="15" spans="1:6">
      <c r="A15" s="50" t="str">
        <f>+INPUT!B69</f>
        <v>SW Diversions - Irrigation - Non-Federal Canals- Kansas</v>
      </c>
      <c r="B15" s="151">
        <f>+INPUT!C69</f>
        <v>0</v>
      </c>
      <c r="C15" s="151">
        <f>+INPUT!D69</f>
        <v>0</v>
      </c>
      <c r="D15" s="151">
        <f>+INPUT!E69</f>
        <v>0</v>
      </c>
      <c r="E15" s="151">
        <f>+INPUT!F69</f>
        <v>0</v>
      </c>
      <c r="F15" s="151">
        <f>+INPUT!G69</f>
        <v>0</v>
      </c>
    </row>
    <row r="16" spans="1:6">
      <c r="A16" s="50" t="str">
        <f>+INPUT!B70</f>
        <v>SW Diversions - Irrigation - Small Pumps - Kansas</v>
      </c>
      <c r="B16" s="151">
        <f>+INPUT!C70</f>
        <v>0</v>
      </c>
      <c r="C16" s="151">
        <f>+INPUT!D70</f>
        <v>0</v>
      </c>
      <c r="D16" s="151">
        <f>+INPUT!E70</f>
        <v>0</v>
      </c>
      <c r="E16" s="151">
        <f>+INPUT!F70</f>
        <v>0</v>
      </c>
      <c r="F16" s="151">
        <f>+INPUT!G70</f>
        <v>0</v>
      </c>
    </row>
    <row r="17" spans="1:6">
      <c r="A17" s="50" t="str">
        <f>+INPUT!B71</f>
        <v>SW Diversions - M&amp;I - Kansas</v>
      </c>
      <c r="B17" s="151">
        <f>+INPUT!C71</f>
        <v>0</v>
      </c>
      <c r="C17" s="151">
        <f>+INPUT!D71</f>
        <v>0</v>
      </c>
      <c r="D17" s="151">
        <f>+INPUT!E71</f>
        <v>0</v>
      </c>
      <c r="E17" s="151">
        <f>+INPUT!F71</f>
        <v>0</v>
      </c>
      <c r="F17" s="151">
        <f>+INPUT!G71</f>
        <v>0</v>
      </c>
    </row>
    <row r="18" spans="1:6">
      <c r="A18" s="50" t="str">
        <f>+INPUT!B72</f>
        <v>SW Diversions - Irrigation - Non-Federal Canals - Nebraska</v>
      </c>
      <c r="B18" s="151">
        <f>+INPUT!C72</f>
        <v>0</v>
      </c>
      <c r="C18" s="151">
        <f>+INPUT!D72</f>
        <v>0</v>
      </c>
      <c r="D18" s="151">
        <f>+INPUT!E72</f>
        <v>0</v>
      </c>
      <c r="E18" s="151">
        <f>+INPUT!F72</f>
        <v>0</v>
      </c>
      <c r="F18" s="151">
        <f>+INPUT!G72</f>
        <v>0</v>
      </c>
    </row>
    <row r="19" spans="1:6">
      <c r="A19" s="31" t="str">
        <f>+INPUT!B73</f>
        <v>SW Diversions - Irrigation - Small Pumps - Nebraska</v>
      </c>
      <c r="B19" s="145">
        <f>+INPUT!C73</f>
        <v>0</v>
      </c>
      <c r="C19" s="145">
        <f>+INPUT!D73</f>
        <v>0</v>
      </c>
      <c r="D19" s="145">
        <f>+INPUT!E73</f>
        <v>0</v>
      </c>
      <c r="E19" s="145">
        <f>+INPUT!F73</f>
        <v>0</v>
      </c>
      <c r="F19" s="145">
        <f>+INPUT!G73</f>
        <v>0</v>
      </c>
    </row>
    <row r="20" spans="1:6">
      <c r="A20" s="31" t="str">
        <f>+INPUT!B74</f>
        <v>SW Diversions - M&amp;I - Nebraska</v>
      </c>
      <c r="B20" s="145">
        <f>+INPUT!C74</f>
        <v>0</v>
      </c>
      <c r="C20" s="145">
        <f>+INPUT!D74</f>
        <v>0</v>
      </c>
      <c r="D20" s="145">
        <f>+INPUT!E74</f>
        <v>0</v>
      </c>
      <c r="E20" s="145">
        <f>+INPUT!F74</f>
        <v>0</v>
      </c>
      <c r="F20" s="145">
        <f>+INPUT!G74</f>
        <v>0</v>
      </c>
    </row>
    <row r="21" spans="1:6">
      <c r="A21" s="31" t="str">
        <f>+INPUT!B155</f>
        <v>Non-Federal Reservoir Evaporation - Colorado</v>
      </c>
      <c r="B21" s="145">
        <f>+INPUT!C155</f>
        <v>0</v>
      </c>
      <c r="C21" s="145">
        <f>+INPUT!D155</f>
        <v>0</v>
      </c>
      <c r="D21" s="145">
        <f>+INPUT!E155</f>
        <v>0</v>
      </c>
      <c r="E21" s="145">
        <f>+INPUT!F155</f>
        <v>0</v>
      </c>
      <c r="F21" s="145">
        <f>+INPUT!G155</f>
        <v>0</v>
      </c>
    </row>
    <row r="22" spans="1:6">
      <c r="A22" s="31" t="str">
        <f>+INPUT!B156</f>
        <v>Non-Federal Reservoir Evaporation - Kansas</v>
      </c>
      <c r="B22" s="145">
        <f>+INPUT!C156</f>
        <v>11</v>
      </c>
      <c r="C22" s="145">
        <f>+INPUT!D156</f>
        <v>12.149672055208329</v>
      </c>
      <c r="D22" s="145">
        <f>+INPUT!E156</f>
        <v>12</v>
      </c>
      <c r="E22" s="145">
        <f>+INPUT!F156</f>
        <v>18.850000000000001</v>
      </c>
      <c r="F22" s="145">
        <f>+INPUT!G156</f>
        <v>15.63</v>
      </c>
    </row>
    <row r="23" spans="1:6">
      <c r="A23" s="31" t="str">
        <f>+INPUT!B157</f>
        <v>Non-Federal Reservoir Evaporation - Nebraska</v>
      </c>
      <c r="B23" s="145">
        <f>+INPUT!C157</f>
        <v>0</v>
      </c>
      <c r="C23" s="145">
        <f>+INPUT!D157</f>
        <v>0</v>
      </c>
      <c r="D23" s="145">
        <f>+INPUT!E157</f>
        <v>0</v>
      </c>
      <c r="E23" s="145">
        <f>+INPUT!F157</f>
        <v>0</v>
      </c>
      <c r="F23" s="145">
        <f>+INPUT!G157</f>
        <v>0</v>
      </c>
    </row>
    <row r="24" spans="1:6">
      <c r="A24" s="136" t="str">
        <f>+FLOOD!A58</f>
        <v>Arikaree Flood Flow</v>
      </c>
      <c r="B24" s="145">
        <f>+FLOOD!B58</f>
        <v>0</v>
      </c>
      <c r="C24" s="145">
        <f>+FLOOD!C58</f>
        <v>0</v>
      </c>
      <c r="D24" s="145">
        <f>+FLOOD!D58</f>
        <v>0</v>
      </c>
      <c r="E24" s="145">
        <f>+FLOOD!E58</f>
        <v>0</v>
      </c>
      <c r="F24" s="145">
        <f>+FLOOD!F58</f>
        <v>0</v>
      </c>
    </row>
    <row r="25" spans="1:6">
      <c r="A25" s="5" t="s">
        <v>66</v>
      </c>
      <c r="B25" s="145"/>
      <c r="C25" s="145"/>
      <c r="D25" s="145"/>
      <c r="E25" s="145"/>
      <c r="F25" s="145"/>
    </row>
    <row r="26" spans="1:6" ht="15.75">
      <c r="A26" s="9" t="s">
        <v>241</v>
      </c>
      <c r="B26" s="145"/>
      <c r="C26" s="145"/>
      <c r="D26" s="145"/>
      <c r="E26" s="145"/>
      <c r="F26" s="145"/>
    </row>
    <row r="27" spans="1:6">
      <c r="A27" s="7" t="s">
        <v>0</v>
      </c>
      <c r="B27" s="145"/>
      <c r="C27" s="145"/>
      <c r="D27" s="145"/>
      <c r="E27" s="145"/>
      <c r="F27" s="145"/>
    </row>
    <row r="28" spans="1:6">
      <c r="A28" s="46" t="str">
        <f>'NORTH FORK'!A23</f>
        <v>SW CBCU - Irrigation - Non Federal Canals</v>
      </c>
      <c r="B28" s="155">
        <f>B12*CanalCUPercent1</f>
        <v>12</v>
      </c>
      <c r="C28" s="155">
        <f>C12*CanalCUPercent2</f>
        <v>0</v>
      </c>
      <c r="D28" s="155">
        <f>D12*CanalCUPercent3</f>
        <v>0</v>
      </c>
      <c r="E28" s="155">
        <f>E12*CanalCUPercent4</f>
        <v>0</v>
      </c>
      <c r="F28" s="155">
        <f>F12*CanalCUPercent5</f>
        <v>0</v>
      </c>
    </row>
    <row r="29" spans="1:6">
      <c r="A29" s="46" t="str">
        <f>'NORTH FORK'!A24</f>
        <v>SW CBCU - Irrigation - Small Pumps</v>
      </c>
      <c r="B29" s="155">
        <f>B13*PumperCUPercent1</f>
        <v>0</v>
      </c>
      <c r="C29" s="155">
        <f>C13*PumperCUPercent2</f>
        <v>0</v>
      </c>
      <c r="D29" s="155">
        <f>D13*PumperCUPercent3</f>
        <v>0</v>
      </c>
      <c r="E29" s="155">
        <f>E13*PumperCUPercent4</f>
        <v>0</v>
      </c>
      <c r="F29" s="155">
        <f>F13*PumperCUPercent5</f>
        <v>0</v>
      </c>
    </row>
    <row r="30" spans="1:6">
      <c r="A30" s="46" t="str">
        <f>'NORTH FORK'!A25</f>
        <v>SW CBCU - M&amp;I</v>
      </c>
      <c r="B30" s="155">
        <f>B14*MI_CUPercent1</f>
        <v>0</v>
      </c>
      <c r="C30" s="155">
        <f>C14*MI_CUPercent2</f>
        <v>0</v>
      </c>
      <c r="D30" s="155">
        <f>D14*MI_CUPercent3</f>
        <v>0</v>
      </c>
      <c r="E30" s="155">
        <f>E14*MI_CUPercent4</f>
        <v>0</v>
      </c>
      <c r="F30" s="155">
        <f>F14*MI_CUPercent5</f>
        <v>0</v>
      </c>
    </row>
    <row r="31" spans="1:6">
      <c r="A31" s="46" t="str">
        <f>'NORTH FORK'!A26</f>
        <v>Non-Federal Reservoir Evaporation</v>
      </c>
      <c r="B31" s="146">
        <f>B21</f>
        <v>0</v>
      </c>
      <c r="C31" s="146">
        <f>C21</f>
        <v>0</v>
      </c>
      <c r="D31" s="146">
        <f>D21</f>
        <v>0</v>
      </c>
      <c r="E31" s="146">
        <f>E21</f>
        <v>0</v>
      </c>
      <c r="F31" s="146">
        <f>F21</f>
        <v>0</v>
      </c>
    </row>
    <row r="32" spans="1:6">
      <c r="A32" s="46" t="str">
        <f>'NORTH FORK'!A27</f>
        <v>SW CBCU</v>
      </c>
      <c r="B32" s="146">
        <f>B28+B29+B30+B31</f>
        <v>12</v>
      </c>
      <c r="C32" s="146">
        <f>C28+C29+C30+C31</f>
        <v>0</v>
      </c>
      <c r="D32" s="146">
        <f>D28+D29+D30+D31</f>
        <v>0</v>
      </c>
      <c r="E32" s="146">
        <f>E28+E29+E30+E31</f>
        <v>0</v>
      </c>
      <c r="F32" s="146">
        <f>F28+F29+F30+F31</f>
        <v>0</v>
      </c>
    </row>
    <row r="33" spans="1:6">
      <c r="A33" s="46" t="str">
        <f>'NORTH FORK'!A28</f>
        <v>GW CBCU</v>
      </c>
      <c r="B33" s="146">
        <f>B6</f>
        <v>2102</v>
      </c>
      <c r="C33" s="146">
        <f>C6</f>
        <v>2639</v>
      </c>
      <c r="D33" s="146">
        <f>D6</f>
        <v>2084</v>
      </c>
      <c r="E33" s="146">
        <f>E6</f>
        <v>1646</v>
      </c>
      <c r="F33" s="146">
        <f>F6</f>
        <v>1443</v>
      </c>
    </row>
    <row r="34" spans="1:6">
      <c r="A34" s="46" t="str">
        <f>'NORTH FORK'!A29</f>
        <v>Total CBCU</v>
      </c>
      <c r="B34" s="146">
        <f>(ROUND(SUM(B32:B33),-1))</f>
        <v>2110</v>
      </c>
      <c r="C34" s="146">
        <f>(ROUND(SUM(C32:C33),-1))</f>
        <v>2640</v>
      </c>
      <c r="D34" s="146">
        <f>(ROUND(SUM(D32:D33),-1))</f>
        <v>2080</v>
      </c>
      <c r="E34" s="146">
        <f>(ROUND(SUM(E32:E33),-1))</f>
        <v>1650</v>
      </c>
      <c r="F34" s="146">
        <f>(ROUND(SUM(F32:F33),-1))</f>
        <v>1440</v>
      </c>
    </row>
    <row r="35" spans="1:6">
      <c r="A35" s="46" t="s">
        <v>66</v>
      </c>
      <c r="B35" s="146"/>
      <c r="C35" s="146"/>
      <c r="D35" s="146"/>
      <c r="E35" s="146"/>
      <c r="F35" s="146"/>
    </row>
    <row r="36" spans="1:6">
      <c r="A36" s="51" t="s">
        <v>161</v>
      </c>
      <c r="B36" s="156"/>
      <c r="C36" s="156"/>
      <c r="D36" s="156"/>
      <c r="E36" s="156"/>
      <c r="F36" s="156"/>
    </row>
    <row r="37" spans="1:6">
      <c r="A37" s="53" t="str">
        <f t="shared" ref="A37:A43" si="0">A28</f>
        <v>SW CBCU - Irrigation - Non Federal Canals</v>
      </c>
      <c r="B37" s="156">
        <f>B15*CanalCUPercent1</f>
        <v>0</v>
      </c>
      <c r="C37" s="156">
        <f>C15*CanalCUPercent2</f>
        <v>0</v>
      </c>
      <c r="D37" s="156">
        <f>D15*CanalCUPercent3</f>
        <v>0</v>
      </c>
      <c r="E37" s="156">
        <f>E15*CanalCUPercent4</f>
        <v>0</v>
      </c>
      <c r="F37" s="156">
        <f>F15*CanalCUPercent5</f>
        <v>0</v>
      </c>
    </row>
    <row r="38" spans="1:6">
      <c r="A38" s="52" t="str">
        <f t="shared" si="0"/>
        <v>SW CBCU - Irrigation - Small Pumps</v>
      </c>
      <c r="B38" s="156">
        <f>B16*PumperCUPercent1</f>
        <v>0</v>
      </c>
      <c r="C38" s="156">
        <f>C16*PumperCUPercent2</f>
        <v>0</v>
      </c>
      <c r="D38" s="156">
        <f>D16*PumperCUPercent3</f>
        <v>0</v>
      </c>
      <c r="E38" s="156">
        <f>E16*PumperCUPercent4</f>
        <v>0</v>
      </c>
      <c r="F38" s="156">
        <f>F16*PumperCUPercent5</f>
        <v>0</v>
      </c>
    </row>
    <row r="39" spans="1:6">
      <c r="A39" s="52" t="str">
        <f t="shared" si="0"/>
        <v>SW CBCU - M&amp;I</v>
      </c>
      <c r="B39" s="156">
        <f>B17*MI_CUPercent1</f>
        <v>0</v>
      </c>
      <c r="C39" s="156">
        <f>C17*MI_CUPercent2</f>
        <v>0</v>
      </c>
      <c r="D39" s="156">
        <f>D17*MI_CUPercent3</f>
        <v>0</v>
      </c>
      <c r="E39" s="156">
        <f>E17*MI_CUPercent4</f>
        <v>0</v>
      </c>
      <c r="F39" s="156">
        <f>F17*MI_CUPercent5</f>
        <v>0</v>
      </c>
    </row>
    <row r="40" spans="1:6">
      <c r="A40" s="52" t="str">
        <f t="shared" si="0"/>
        <v>Non-Federal Reservoir Evaporation</v>
      </c>
      <c r="B40" s="156">
        <f>B22</f>
        <v>11</v>
      </c>
      <c r="C40" s="156">
        <f>C22</f>
        <v>12.149672055208329</v>
      </c>
      <c r="D40" s="156">
        <f>D22</f>
        <v>12</v>
      </c>
      <c r="E40" s="156">
        <f>E22</f>
        <v>18.850000000000001</v>
      </c>
      <c r="F40" s="156">
        <f>F22</f>
        <v>15.63</v>
      </c>
    </row>
    <row r="41" spans="1:6">
      <c r="A41" s="52" t="str">
        <f t="shared" si="0"/>
        <v>SW CBCU</v>
      </c>
      <c r="B41" s="156">
        <f>B37+B38+B39+B40</f>
        <v>11</v>
      </c>
      <c r="C41" s="156">
        <f>C37+C38+C39+C40</f>
        <v>12.149672055208329</v>
      </c>
      <c r="D41" s="156">
        <f>D37+D38+D39+D40</f>
        <v>12</v>
      </c>
      <c r="E41" s="156">
        <f>E37+E38+E39+E40</f>
        <v>18.850000000000001</v>
      </c>
      <c r="F41" s="156">
        <f>F37+F38+F39+F40</f>
        <v>15.63</v>
      </c>
    </row>
    <row r="42" spans="1:6">
      <c r="A42" s="52" t="str">
        <f t="shared" si="0"/>
        <v>GW CBCU</v>
      </c>
      <c r="B42" s="156">
        <f>B7</f>
        <v>157</v>
      </c>
      <c r="C42" s="156">
        <f>C7</f>
        <v>178</v>
      </c>
      <c r="D42" s="156">
        <f>D7</f>
        <v>111</v>
      </c>
      <c r="E42" s="156">
        <f>E7</f>
        <v>81</v>
      </c>
      <c r="F42" s="156">
        <f>F7</f>
        <v>115</v>
      </c>
    </row>
    <row r="43" spans="1:6">
      <c r="A43" s="52" t="str">
        <f t="shared" si="0"/>
        <v>Total CBCU</v>
      </c>
      <c r="B43" s="156">
        <f>(ROUND(SUM(B41:B42),-1))</f>
        <v>170</v>
      </c>
      <c r="C43" s="156">
        <f>(ROUND(SUM(C41:C42),-1))</f>
        <v>190</v>
      </c>
      <c r="D43" s="156">
        <f>(ROUND(SUM(D41:D42),-1))</f>
        <v>120</v>
      </c>
      <c r="E43" s="156">
        <f>(ROUND(SUM(E41:E42),-1))</f>
        <v>100</v>
      </c>
      <c r="F43" s="156">
        <f>(ROUND(SUM(F41:F42),-1))</f>
        <v>130</v>
      </c>
    </row>
    <row r="44" spans="1:6">
      <c r="A44" s="52" t="s">
        <v>66</v>
      </c>
      <c r="B44" s="156"/>
      <c r="C44" s="156"/>
      <c r="D44" s="156"/>
      <c r="E44" s="156"/>
      <c r="F44" s="156"/>
    </row>
    <row r="45" spans="1:6">
      <c r="A45" s="51" t="s">
        <v>1</v>
      </c>
      <c r="B45" s="156"/>
      <c r="C45" s="156"/>
      <c r="D45" s="156"/>
      <c r="E45" s="156"/>
      <c r="F45" s="156"/>
    </row>
    <row r="46" spans="1:6">
      <c r="A46" s="52" t="str">
        <f t="shared" ref="A46:A52" si="1">A28</f>
        <v>SW CBCU - Irrigation - Non Federal Canals</v>
      </c>
      <c r="B46" s="156">
        <f>B18*CanalCUPercent1</f>
        <v>0</v>
      </c>
      <c r="C46" s="156">
        <f>C18*CanalCUPercent2</f>
        <v>0</v>
      </c>
      <c r="D46" s="156">
        <f>D18*CanalCUPercent3</f>
        <v>0</v>
      </c>
      <c r="E46" s="156">
        <f>E18*CanalCUPercent4</f>
        <v>0</v>
      </c>
      <c r="F46" s="156">
        <f>F18*CanalCUPercent5</f>
        <v>0</v>
      </c>
    </row>
    <row r="47" spans="1:6">
      <c r="A47" s="52" t="str">
        <f t="shared" si="1"/>
        <v>SW CBCU - Irrigation - Small Pumps</v>
      </c>
      <c r="B47" s="156">
        <f>B19*PumperCUPercent1</f>
        <v>0</v>
      </c>
      <c r="C47" s="156">
        <f>C19*PumperCUPercent2</f>
        <v>0</v>
      </c>
      <c r="D47" s="156">
        <f>D19*PumperCUPercent3</f>
        <v>0</v>
      </c>
      <c r="E47" s="156">
        <f>E19*PumperCUPercent4</f>
        <v>0</v>
      </c>
      <c r="F47" s="156">
        <f>F19*PumperCUPercent5</f>
        <v>0</v>
      </c>
    </row>
    <row r="48" spans="1:6">
      <c r="A48" s="52" t="str">
        <f t="shared" si="1"/>
        <v>SW CBCU - M&amp;I</v>
      </c>
      <c r="B48" s="156">
        <f>B20*MI_CUPercent1</f>
        <v>0</v>
      </c>
      <c r="C48" s="156">
        <f>C20*MI_CUPercent2</f>
        <v>0</v>
      </c>
      <c r="D48" s="156">
        <f>D20*MI_CUPercent3</f>
        <v>0</v>
      </c>
      <c r="E48" s="156">
        <f>E20*MI_CUPercent4</f>
        <v>0</v>
      </c>
      <c r="F48" s="156">
        <f>F20*MI_CUPercent5</f>
        <v>0</v>
      </c>
    </row>
    <row r="49" spans="1:6">
      <c r="A49" s="52" t="str">
        <f t="shared" si="1"/>
        <v>Non-Federal Reservoir Evaporation</v>
      </c>
      <c r="B49" s="156">
        <f>B23</f>
        <v>0</v>
      </c>
      <c r="C49" s="156">
        <f>C23</f>
        <v>0</v>
      </c>
      <c r="D49" s="156">
        <f>D23</f>
        <v>0</v>
      </c>
      <c r="E49" s="156">
        <f>E23</f>
        <v>0</v>
      </c>
      <c r="F49" s="156">
        <f>F23</f>
        <v>0</v>
      </c>
    </row>
    <row r="50" spans="1:6">
      <c r="A50" s="52" t="str">
        <f t="shared" si="1"/>
        <v>SW CBCU</v>
      </c>
      <c r="B50" s="156">
        <f>B46+B47+B48+B49</f>
        <v>0</v>
      </c>
      <c r="C50" s="156">
        <f>C46+C47+C48+C49</f>
        <v>0</v>
      </c>
      <c r="D50" s="156">
        <f>D46+D47+D48+D49</f>
        <v>0</v>
      </c>
      <c r="E50" s="156">
        <f>E46+E47+E48+E49</f>
        <v>0</v>
      </c>
      <c r="F50" s="156">
        <f>F46+F47+F48+F49</f>
        <v>0</v>
      </c>
    </row>
    <row r="51" spans="1:6">
      <c r="A51" s="52" t="str">
        <f t="shared" si="1"/>
        <v>GW CBCU</v>
      </c>
      <c r="B51" s="156">
        <f>B8</f>
        <v>77</v>
      </c>
      <c r="C51" s="156">
        <f>C8</f>
        <v>112</v>
      </c>
      <c r="D51" s="156">
        <f>D8</f>
        <v>76</v>
      </c>
      <c r="E51" s="156">
        <f>E8</f>
        <v>73</v>
      </c>
      <c r="F51" s="156">
        <f>F8</f>
        <v>110</v>
      </c>
    </row>
    <row r="52" spans="1:6">
      <c r="A52" s="52" t="str">
        <f t="shared" si="1"/>
        <v>Total CBCU</v>
      </c>
      <c r="B52" s="156">
        <f>(ROUND(SUM(B50:B51),-1))</f>
        <v>80</v>
      </c>
      <c r="C52" s="156">
        <f>(ROUND(SUM(C50:C51),-1))</f>
        <v>110</v>
      </c>
      <c r="D52" s="156">
        <f>(ROUND(SUM(D50:D51),-1))</f>
        <v>80</v>
      </c>
      <c r="E52" s="156">
        <f>(ROUND(SUM(E50:E51),-1))</f>
        <v>70</v>
      </c>
      <c r="F52" s="156">
        <f>(ROUND(SUM(F50:F51),-1))</f>
        <v>110</v>
      </c>
    </row>
    <row r="53" spans="1:6">
      <c r="A53" s="55" t="s">
        <v>66</v>
      </c>
      <c r="B53" s="156"/>
      <c r="C53" s="156"/>
      <c r="D53" s="156"/>
      <c r="E53" s="156"/>
      <c r="F53" s="156"/>
    </row>
    <row r="54" spans="1:6">
      <c r="A54" s="56" t="s">
        <v>162</v>
      </c>
      <c r="B54" s="156"/>
      <c r="C54" s="156"/>
      <c r="D54" s="156"/>
      <c r="E54" s="156"/>
      <c r="F54" s="156"/>
    </row>
    <row r="55" spans="1:6">
      <c r="A55" s="55" t="str">
        <f>'NORTH FORK'!A42</f>
        <v>Total SW CBCU</v>
      </c>
      <c r="B55" s="156">
        <f t="shared" ref="B55:D56" si="2">+B32+B41+B50</f>
        <v>23</v>
      </c>
      <c r="C55" s="156">
        <f t="shared" si="2"/>
        <v>12.149672055208329</v>
      </c>
      <c r="D55" s="156">
        <f t="shared" si="2"/>
        <v>12</v>
      </c>
      <c r="E55" s="156">
        <f>+E32+E41+E50</f>
        <v>18.850000000000001</v>
      </c>
      <c r="F55" s="156">
        <f>+F32+F41+F50</f>
        <v>15.63</v>
      </c>
    </row>
    <row r="56" spans="1:6">
      <c r="A56" s="55" t="str">
        <f>'NORTH FORK'!A43</f>
        <v>Total GW CBCU</v>
      </c>
      <c r="B56" s="156">
        <f t="shared" si="2"/>
        <v>2336</v>
      </c>
      <c r="C56" s="156">
        <f t="shared" si="2"/>
        <v>2929</v>
      </c>
      <c r="D56" s="156">
        <f t="shared" si="2"/>
        <v>2271</v>
      </c>
      <c r="E56" s="156">
        <f>+E33+E42+E51</f>
        <v>1800</v>
      </c>
      <c r="F56" s="156">
        <f>+F33+F42+F51</f>
        <v>1668</v>
      </c>
    </row>
    <row r="57" spans="1:6">
      <c r="A57" s="55" t="str">
        <f>'NORTH FORK'!A44</f>
        <v>Total Basin CBCU</v>
      </c>
      <c r="B57" s="156">
        <f>(ROUND(SUM(B55:B56),-1))</f>
        <v>2360</v>
      </c>
      <c r="C57" s="156">
        <f>(ROUND(SUM(C55:C56),-1))</f>
        <v>2940</v>
      </c>
      <c r="D57" s="156">
        <f>(ROUND(SUM(D55:D56),-1))</f>
        <v>2280</v>
      </c>
      <c r="E57" s="156">
        <f>(ROUND(SUM(E55:E56),-1))</f>
        <v>1820</v>
      </c>
      <c r="F57" s="156">
        <f>(ROUND(SUM(F55:F56),-1))</f>
        <v>1680</v>
      </c>
    </row>
    <row r="58" spans="1:6">
      <c r="A58" s="55" t="s">
        <v>66</v>
      </c>
      <c r="B58" s="156"/>
      <c r="C58" s="156"/>
      <c r="D58" s="156"/>
      <c r="E58" s="156"/>
      <c r="F58" s="156"/>
    </row>
    <row r="59" spans="1:6" ht="15.75">
      <c r="A59" s="57" t="s">
        <v>10</v>
      </c>
      <c r="B59" s="157"/>
      <c r="C59" s="157"/>
      <c r="D59" s="157"/>
      <c r="E59" s="157"/>
      <c r="F59" s="157"/>
    </row>
    <row r="60" spans="1:6">
      <c r="A60" s="58" t="str">
        <f t="shared" ref="A60:F60" si="3">A11</f>
        <v>Arikaree River At Haigler</v>
      </c>
      <c r="B60" s="157">
        <f t="shared" si="3"/>
        <v>646</v>
      </c>
      <c r="C60" s="157">
        <f t="shared" si="3"/>
        <v>821</v>
      </c>
      <c r="D60" s="157">
        <f t="shared" si="3"/>
        <v>1113</v>
      </c>
      <c r="E60" s="157">
        <f t="shared" si="3"/>
        <v>1656.6148760330564</v>
      </c>
      <c r="F60" s="157">
        <f t="shared" si="3"/>
        <v>1635</v>
      </c>
    </row>
    <row r="61" spans="1:6">
      <c r="A61" s="58" t="str">
        <f>'NORTH FORK'!A49</f>
        <v>Colorado CBCU</v>
      </c>
      <c r="B61" s="157">
        <f>+B34</f>
        <v>2110</v>
      </c>
      <c r="C61" s="157">
        <f>+C34</f>
        <v>2640</v>
      </c>
      <c r="D61" s="157">
        <f>+D34</f>
        <v>2080</v>
      </c>
      <c r="E61" s="157">
        <f>+E34</f>
        <v>1650</v>
      </c>
      <c r="F61" s="157">
        <f>+F34</f>
        <v>1440</v>
      </c>
    </row>
    <row r="62" spans="1:6">
      <c r="A62" s="58" t="str">
        <f>'NORTH FORK'!A50</f>
        <v>Kansas CBCU</v>
      </c>
      <c r="B62" s="157">
        <f>+B43</f>
        <v>170</v>
      </c>
      <c r="C62" s="157">
        <f>+C43</f>
        <v>190</v>
      </c>
      <c r="D62" s="157">
        <f>+D43</f>
        <v>120</v>
      </c>
      <c r="E62" s="157">
        <f>+E43</f>
        <v>100</v>
      </c>
      <c r="F62" s="157">
        <f>+F43</f>
        <v>130</v>
      </c>
    </row>
    <row r="63" spans="1:6">
      <c r="A63" s="58" t="str">
        <f>'NORTH FORK'!A51</f>
        <v>Nebraska CBCU</v>
      </c>
      <c r="B63" s="157">
        <f>+B52</f>
        <v>80</v>
      </c>
      <c r="C63" s="157">
        <f>+C52</f>
        <v>110</v>
      </c>
      <c r="D63" s="157">
        <f>+D52</f>
        <v>80</v>
      </c>
      <c r="E63" s="157">
        <f>+E52</f>
        <v>70</v>
      </c>
      <c r="F63" s="157">
        <f>+F52</f>
        <v>110</v>
      </c>
    </row>
    <row r="64" spans="1:6">
      <c r="A64" s="58" t="str">
        <f>'NORTH FORK'!A52</f>
        <v>Imported Water</v>
      </c>
      <c r="B64" s="157">
        <f>+B5</f>
        <v>0</v>
      </c>
      <c r="C64" s="157">
        <f>+C5</f>
        <v>0</v>
      </c>
      <c r="D64" s="157">
        <f>+D5</f>
        <v>0</v>
      </c>
      <c r="E64" s="157">
        <f>+E5</f>
        <v>0</v>
      </c>
      <c r="F64" s="157">
        <f>+F5</f>
        <v>0</v>
      </c>
    </row>
    <row r="65" spans="1:6">
      <c r="A65" s="58" t="str">
        <f>'NORTH FORK'!A54</f>
        <v>Virgin Water Supply</v>
      </c>
      <c r="B65" s="157">
        <f>ROUND(SUM(B60:B63)-B64,-1)</f>
        <v>3010</v>
      </c>
      <c r="C65" s="157">
        <f>ROUND(SUM(C60:C63)-C64,-1)</f>
        <v>3760</v>
      </c>
      <c r="D65" s="157">
        <f>ROUND(SUM(D60:D63)-D64,-1)</f>
        <v>3390</v>
      </c>
      <c r="E65" s="157">
        <f>ROUND(SUM(E60:E63)-E64,-1)</f>
        <v>3480</v>
      </c>
      <c r="F65" s="157">
        <f>ROUND(SUM(F60:F63)-F64,-1)</f>
        <v>3320</v>
      </c>
    </row>
    <row r="66" spans="1:6">
      <c r="A66" s="58" t="str">
        <f>'NORTH FORK'!A55</f>
        <v>Adjustment For Flood Flows</v>
      </c>
      <c r="B66" s="157">
        <f>B24</f>
        <v>0</v>
      </c>
      <c r="C66" s="157">
        <f>C24</f>
        <v>0</v>
      </c>
      <c r="D66" s="157">
        <f>D24</f>
        <v>0</v>
      </c>
      <c r="E66" s="157">
        <f>E24</f>
        <v>0</v>
      </c>
      <c r="F66" s="157">
        <f>F24</f>
        <v>0</v>
      </c>
    </row>
    <row r="67" spans="1:6">
      <c r="A67" s="58" t="str">
        <f>'NORTH FORK'!A56</f>
        <v>Computed Water Supply</v>
      </c>
      <c r="B67" s="157">
        <f>ROUND(+B65-B66,-1)</f>
        <v>3010</v>
      </c>
      <c r="C67" s="157">
        <f>ROUND(+C65-C66,-1)</f>
        <v>3760</v>
      </c>
      <c r="D67" s="157">
        <f>ROUND(+D65-D66,-1)</f>
        <v>3390</v>
      </c>
      <c r="E67" s="157">
        <f>ROUND(+E65-E66,-1)</f>
        <v>3480</v>
      </c>
      <c r="F67" s="157">
        <f>ROUND(+F65-F66,-1)</f>
        <v>3320</v>
      </c>
    </row>
    <row r="68" spans="1:6">
      <c r="A68" s="60" t="s">
        <v>66</v>
      </c>
      <c r="B68" s="157"/>
      <c r="C68" s="157"/>
      <c r="D68" s="157"/>
      <c r="E68" s="157"/>
      <c r="F68" s="157"/>
    </row>
    <row r="69" spans="1:6" ht="15.75">
      <c r="A69" s="57" t="s">
        <v>12</v>
      </c>
      <c r="B69" s="158"/>
      <c r="C69" s="158"/>
      <c r="D69" s="158"/>
      <c r="E69" s="158"/>
      <c r="F69" s="158"/>
    </row>
    <row r="70" spans="1:6">
      <c r="A70" s="52" t="str">
        <f>'NORTH FORK'!A59</f>
        <v>Colorado Percent Of Allocation</v>
      </c>
      <c r="B70" s="119">
        <f>'T2'!$D4</f>
        <v>0.78500000000000003</v>
      </c>
      <c r="C70" s="119">
        <f>'T2'!$D4</f>
        <v>0.78500000000000003</v>
      </c>
      <c r="D70" s="119">
        <f>'T2'!$D4</f>
        <v>0.78500000000000003</v>
      </c>
      <c r="E70" s="119">
        <f>'T2'!$D4</f>
        <v>0.78500000000000003</v>
      </c>
      <c r="F70" s="119">
        <f>'T2'!$D4</f>
        <v>0.78500000000000003</v>
      </c>
    </row>
    <row r="71" spans="1:6">
      <c r="A71" s="52" t="str">
        <f>'NORTH FORK'!A60</f>
        <v>Colorado Allocation</v>
      </c>
      <c r="B71" s="156">
        <f>ROUND(+B67*B70,-1)</f>
        <v>2360</v>
      </c>
      <c r="C71" s="156">
        <f>ROUND(+C67*C70,-1)</f>
        <v>2950</v>
      </c>
      <c r="D71" s="156">
        <f>ROUND(+D67*D70,-1)</f>
        <v>2660</v>
      </c>
      <c r="E71" s="156">
        <f>ROUND(+E67*E70,-1)</f>
        <v>2730</v>
      </c>
      <c r="F71" s="156">
        <f>ROUND(+F67*F70,-1)</f>
        <v>2610</v>
      </c>
    </row>
    <row r="72" spans="1:6">
      <c r="A72" s="52" t="str">
        <f>'NORTH FORK'!A61</f>
        <v>Kansas Percent Of Allocation</v>
      </c>
      <c r="B72" s="119">
        <f>'T2'!$F4</f>
        <v>5.0999999999999997E-2</v>
      </c>
      <c r="C72" s="119">
        <f>'T2'!$F4</f>
        <v>5.0999999999999997E-2</v>
      </c>
      <c r="D72" s="119">
        <f>'T2'!$F4</f>
        <v>5.0999999999999997E-2</v>
      </c>
      <c r="E72" s="119">
        <f>'T2'!$F4</f>
        <v>5.0999999999999997E-2</v>
      </c>
      <c r="F72" s="119">
        <f>'T2'!$F4</f>
        <v>5.0999999999999997E-2</v>
      </c>
    </row>
    <row r="73" spans="1:6">
      <c r="A73" s="52" t="str">
        <f>'NORTH FORK'!A62</f>
        <v>Kansas Allocation</v>
      </c>
      <c r="B73" s="156">
        <f>ROUND(B67*B72,-1)</f>
        <v>150</v>
      </c>
      <c r="C73" s="156">
        <f>ROUND(C67*C72,-1)</f>
        <v>190</v>
      </c>
      <c r="D73" s="156">
        <f>ROUND(D67*D72,-1)</f>
        <v>170</v>
      </c>
      <c r="E73" s="156">
        <f>ROUND(E67*E72,-1)</f>
        <v>180</v>
      </c>
      <c r="F73" s="156">
        <f>ROUND(F67*F72,-1)</f>
        <v>170</v>
      </c>
    </row>
    <row r="74" spans="1:6">
      <c r="A74" s="52" t="str">
        <f>'NORTH FORK'!A63</f>
        <v>Nebraska Percent Of Allocation</v>
      </c>
      <c r="B74" s="119">
        <f>'T2'!$H4</f>
        <v>0.16800000000000001</v>
      </c>
      <c r="C74" s="119">
        <f>'T2'!$H4</f>
        <v>0.16800000000000001</v>
      </c>
      <c r="D74" s="119">
        <f>'T2'!$H4</f>
        <v>0.16800000000000001</v>
      </c>
      <c r="E74" s="119">
        <f>'T2'!$H4</f>
        <v>0.16800000000000001</v>
      </c>
      <c r="F74" s="119">
        <f>'T2'!$H4</f>
        <v>0.16800000000000001</v>
      </c>
    </row>
    <row r="75" spans="1:6">
      <c r="A75" s="52" t="str">
        <f>'NORTH FORK'!A64</f>
        <v>Nebraska Allocation</v>
      </c>
      <c r="B75" s="156">
        <f>ROUND(B67*B74,-1)</f>
        <v>510</v>
      </c>
      <c r="C75" s="156">
        <f>ROUND(C67*C74,-1)</f>
        <v>630</v>
      </c>
      <c r="D75" s="156">
        <f>ROUND(D67*D74,-1)</f>
        <v>570</v>
      </c>
      <c r="E75" s="156">
        <f>ROUND(E67*E74,-1)</f>
        <v>580</v>
      </c>
      <c r="F75" s="156">
        <f>ROUND(F67*F74,-1)</f>
        <v>560</v>
      </c>
    </row>
    <row r="76" spans="1:6">
      <c r="A76" s="52" t="str">
        <f>'NORTH FORK'!A65</f>
        <v>Total Basin Allocation</v>
      </c>
      <c r="B76" s="156">
        <f>+B71+B73+B75</f>
        <v>3020</v>
      </c>
      <c r="C76" s="156">
        <f>+C71+C73+C75</f>
        <v>3770</v>
      </c>
      <c r="D76" s="156">
        <f>+D71+D73+D75</f>
        <v>3400</v>
      </c>
      <c r="E76" s="156">
        <f>+E71+E73+E75</f>
        <v>3490</v>
      </c>
      <c r="F76" s="156">
        <f>+F71+F73+F75</f>
        <v>3340</v>
      </c>
    </row>
    <row r="77" spans="1:6">
      <c r="A77" s="52" t="str">
        <f>'NORTH FORK'!A66</f>
        <v>Percent Of Supply Not Allocated</v>
      </c>
      <c r="B77" s="119">
        <f>'T2'!$J4</f>
        <v>-4.0000000000000001E-3</v>
      </c>
      <c r="C77" s="119">
        <f>'T2'!$J4</f>
        <v>-4.0000000000000001E-3</v>
      </c>
      <c r="D77" s="119">
        <f>'T2'!$J4</f>
        <v>-4.0000000000000001E-3</v>
      </c>
      <c r="E77" s="119">
        <f>'T2'!$J4</f>
        <v>-4.0000000000000001E-3</v>
      </c>
      <c r="F77" s="119">
        <f>'T2'!$J4</f>
        <v>-4.0000000000000001E-3</v>
      </c>
    </row>
    <row r="78" spans="1:6">
      <c r="A78" s="52" t="str">
        <f>'NORTH FORK'!A67</f>
        <v>Quantity Of Unallocated Supply</v>
      </c>
      <c r="B78" s="156">
        <f>+B67-B71-B73-B75</f>
        <v>-10</v>
      </c>
      <c r="C78" s="156">
        <f>+C67-C71-C73-C75</f>
        <v>-10</v>
      </c>
      <c r="D78" s="156">
        <f>+D67-D71-D73-D75</f>
        <v>-10</v>
      </c>
      <c r="E78" s="156">
        <f>+E67-E71-E73-E75</f>
        <v>-10</v>
      </c>
      <c r="F78" s="156">
        <f>+F67-F71-F73-F75</f>
        <v>-20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1"/>
  <sheetViews>
    <sheetView workbookViewId="0">
      <pane ySplit="1" topLeftCell="A2" activePane="bottomLeft" state="frozen"/>
      <selection pane="bottomLeft" activeCell="B1" sqref="B1:F1"/>
    </sheetView>
  </sheetViews>
  <sheetFormatPr defaultRowHeight="12.75"/>
  <cols>
    <col min="1" max="1" width="69.85546875" customWidth="1"/>
  </cols>
  <sheetData>
    <row r="1" spans="1:6" ht="15.75">
      <c r="A1" s="37" t="s">
        <v>211</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INPUT!B49</f>
        <v>Imported Water Nebraska</v>
      </c>
      <c r="B5" s="145">
        <f>+INPUT!C49</f>
        <v>0</v>
      </c>
      <c r="C5" s="145">
        <f>+INPUT!D49</f>
        <v>0</v>
      </c>
      <c r="D5" s="145">
        <f>+INPUT!E49</f>
        <v>0</v>
      </c>
      <c r="E5" s="145">
        <f>+INPUT!F49</f>
        <v>0</v>
      </c>
      <c r="F5" s="145">
        <f>+INPUT!G49</f>
        <v>0</v>
      </c>
    </row>
    <row r="6" spans="1:6">
      <c r="A6" s="31" t="str">
        <f>+INPUT!B10</f>
        <v>GW CBCU Colorado</v>
      </c>
      <c r="B6" s="145">
        <f>+INPUT!C10</f>
        <v>502</v>
      </c>
      <c r="C6" s="145">
        <f>+INPUT!D10</f>
        <v>521</v>
      </c>
      <c r="D6" s="145">
        <f>+INPUT!E10</f>
        <v>537</v>
      </c>
      <c r="E6" s="145">
        <f>+INPUT!F10</f>
        <v>482</v>
      </c>
      <c r="F6" s="145">
        <f>+INPUT!G10</f>
        <v>437</v>
      </c>
    </row>
    <row r="7" spans="1:6">
      <c r="A7" s="31" t="str">
        <f>+INPUT!B11</f>
        <v>GW CBCU Kansas</v>
      </c>
      <c r="B7" s="145">
        <f>+INPUT!C11</f>
        <v>0</v>
      </c>
      <c r="C7" s="145">
        <f>+INPUT!D11</f>
        <v>0</v>
      </c>
      <c r="D7" s="145">
        <f>+INPUT!E11</f>
        <v>0</v>
      </c>
      <c r="E7" s="145">
        <f>+INPUT!F11</f>
        <v>0</v>
      </c>
      <c r="F7" s="145">
        <f>+INPUT!G11</f>
        <v>0</v>
      </c>
    </row>
    <row r="8" spans="1:6" ht="12" customHeight="1">
      <c r="A8" s="31" t="str">
        <f>+INPUT!B12</f>
        <v>GW CBCU Nebraska</v>
      </c>
      <c r="B8" s="145">
        <f>+INPUT!C12</f>
        <v>3544</v>
      </c>
      <c r="C8" s="145">
        <f>+INPUT!D12</f>
        <v>3601</v>
      </c>
      <c r="D8" s="145">
        <f>+INPUT!E12</f>
        <v>3660</v>
      </c>
      <c r="E8" s="145">
        <f>+INPUT!F12</f>
        <v>3603</v>
      </c>
      <c r="F8" s="145">
        <f>+INPUT!G12</f>
        <v>3569</v>
      </c>
    </row>
    <row r="9" spans="1:6">
      <c r="A9" s="2" t="s">
        <v>66</v>
      </c>
      <c r="B9" s="145"/>
      <c r="C9" s="145"/>
      <c r="D9" s="145"/>
      <c r="E9" s="145"/>
      <c r="F9" s="145"/>
    </row>
    <row r="10" spans="1:6">
      <c r="A10" s="4" t="s">
        <v>160</v>
      </c>
      <c r="B10" s="145"/>
      <c r="C10" s="145"/>
      <c r="D10" s="145"/>
      <c r="E10" s="145"/>
      <c r="F10" s="145"/>
    </row>
    <row r="11" spans="1:6">
      <c r="A11" s="31" t="str">
        <f>+INPUT!B186</f>
        <v>Buffalo Creek Near Haigler</v>
      </c>
      <c r="B11" s="145">
        <f>+INPUT!C186</f>
        <v>1282</v>
      </c>
      <c r="C11" s="145">
        <f>+INPUT!D186</f>
        <v>1858</v>
      </c>
      <c r="D11" s="145">
        <f>+INPUT!E186</f>
        <v>1355</v>
      </c>
      <c r="E11" s="145">
        <f>+INPUT!F186</f>
        <v>2143.4181818181801</v>
      </c>
      <c r="F11" s="145">
        <f>+INPUT!G186</f>
        <v>1583</v>
      </c>
    </row>
    <row r="12" spans="1:6">
      <c r="A12" s="31" t="str">
        <f>INPUT!B75</f>
        <v>SW Diversions - Irrigation -Non-Federal Canals- Colorado</v>
      </c>
      <c r="B12" s="145">
        <f>INPUT!C75</f>
        <v>0</v>
      </c>
      <c r="C12" s="145">
        <f>INPUT!D75</f>
        <v>0</v>
      </c>
      <c r="D12" s="145">
        <f>INPUT!E75</f>
        <v>0</v>
      </c>
      <c r="E12" s="145">
        <f>INPUT!F75</f>
        <v>0</v>
      </c>
      <c r="F12" s="145">
        <f>INPUT!G75</f>
        <v>0</v>
      </c>
    </row>
    <row r="13" spans="1:6">
      <c r="A13" s="31" t="str">
        <f>INPUT!B76</f>
        <v>SW Diversions - Irrigation - Small Pumps - Colorado</v>
      </c>
      <c r="B13" s="145">
        <f>INPUT!C76</f>
        <v>0</v>
      </c>
      <c r="C13" s="145">
        <f>INPUT!D76</f>
        <v>0</v>
      </c>
      <c r="D13" s="145">
        <f>INPUT!E76</f>
        <v>0</v>
      </c>
      <c r="E13" s="145">
        <f>INPUT!F76</f>
        <v>0</v>
      </c>
      <c r="F13" s="145">
        <f>INPUT!G76</f>
        <v>0</v>
      </c>
    </row>
    <row r="14" spans="1:6">
      <c r="A14" s="31" t="str">
        <f>INPUT!B77</f>
        <v>SW Diversions - M&amp;I - Colorado</v>
      </c>
      <c r="B14" s="145">
        <f>INPUT!C77</f>
        <v>0</v>
      </c>
      <c r="C14" s="145">
        <f>INPUT!D77</f>
        <v>0</v>
      </c>
      <c r="D14" s="145">
        <f>INPUT!E77</f>
        <v>0</v>
      </c>
      <c r="E14" s="145">
        <f>INPUT!F77</f>
        <v>0</v>
      </c>
      <c r="F14" s="145">
        <f>INPUT!G77</f>
        <v>0</v>
      </c>
    </row>
    <row r="15" spans="1:6">
      <c r="A15" s="50" t="str">
        <f>+INPUT!B78</f>
        <v>SW Diversions - Irrigation - Non-Federal Canals - Nebraska</v>
      </c>
      <c r="B15" s="151">
        <f>+INPUT!C78</f>
        <v>400.26</v>
      </c>
      <c r="C15" s="151">
        <f>+INPUT!D78</f>
        <v>240.5</v>
      </c>
      <c r="D15" s="151">
        <f>+INPUT!E78</f>
        <v>295</v>
      </c>
      <c r="E15" s="151">
        <f>+INPUT!F78</f>
        <v>91.63</v>
      </c>
      <c r="F15" s="151">
        <f>+INPUT!G78</f>
        <v>98</v>
      </c>
    </row>
    <row r="16" spans="1:6">
      <c r="A16" s="50" t="str">
        <f>+INPUT!B79</f>
        <v>SW Diversions - Irrigation - Small Pumps - Nebraska</v>
      </c>
      <c r="B16" s="151">
        <f>+INPUT!C79</f>
        <v>1.9458</v>
      </c>
      <c r="C16" s="151">
        <f>+INPUT!D79</f>
        <v>4.1958333333333302</v>
      </c>
      <c r="D16" s="151">
        <f>+INPUT!E79</f>
        <v>0</v>
      </c>
      <c r="E16" s="151">
        <f>+INPUT!F79</f>
        <v>4.3174999999999999</v>
      </c>
      <c r="F16" s="151">
        <f>+INPUT!G79</f>
        <v>6</v>
      </c>
    </row>
    <row r="17" spans="1:6">
      <c r="A17" s="50" t="str">
        <f>+INPUT!B80</f>
        <v>SW Diversions - M&amp;I - Nebraska</v>
      </c>
      <c r="B17" s="151">
        <f>+INPUT!C80</f>
        <v>0</v>
      </c>
      <c r="C17" s="151">
        <f>+INPUT!D80</f>
        <v>0</v>
      </c>
      <c r="D17" s="151">
        <f>+INPUT!E80</f>
        <v>0</v>
      </c>
      <c r="E17" s="151">
        <f>+INPUT!F80</f>
        <v>0</v>
      </c>
      <c r="F17" s="151">
        <f>+INPUT!G80</f>
        <v>0</v>
      </c>
    </row>
    <row r="18" spans="1:6">
      <c r="A18" s="50" t="str">
        <f>+INPUT!B158</f>
        <v>Non-Federal Reservoir Evaporation - Colorado</v>
      </c>
      <c r="B18" s="151">
        <f>+INPUT!C158</f>
        <v>0</v>
      </c>
      <c r="C18" s="151">
        <f>+INPUT!D158</f>
        <v>0</v>
      </c>
      <c r="D18" s="151">
        <f>+INPUT!E158</f>
        <v>0</v>
      </c>
      <c r="E18" s="151">
        <f>+INPUT!F158</f>
        <v>0</v>
      </c>
      <c r="F18" s="151">
        <f>+INPUT!G158</f>
        <v>0</v>
      </c>
    </row>
    <row r="19" spans="1:6">
      <c r="A19" s="50" t="str">
        <f>+INPUT!B159</f>
        <v>Non-Federal Reservoir Evaporation - Nebraska</v>
      </c>
      <c r="B19" s="151">
        <f>+INPUT!C159</f>
        <v>6.6659416670000002</v>
      </c>
      <c r="C19" s="151">
        <f>+INPUT!D159</f>
        <v>7.66926666666666</v>
      </c>
      <c r="D19" s="151">
        <f>+INPUT!E159</f>
        <v>7</v>
      </c>
      <c r="E19" s="151">
        <f>+INPUT!F159</f>
        <v>12.827374999999996</v>
      </c>
      <c r="F19" s="151">
        <f>+INPUT!G159</f>
        <v>11</v>
      </c>
    </row>
    <row r="20" spans="1:6">
      <c r="A20" s="137" t="str">
        <f>+FLOOD!A59</f>
        <v>Buffalo Flood Flow</v>
      </c>
      <c r="B20" s="151">
        <f>+FLOOD!B59</f>
        <v>0</v>
      </c>
      <c r="C20" s="151">
        <f>+FLOOD!C59</f>
        <v>0</v>
      </c>
      <c r="D20" s="151">
        <f>+FLOOD!D59</f>
        <v>0</v>
      </c>
      <c r="E20" s="151">
        <f>+FLOOD!E59</f>
        <v>0</v>
      </c>
      <c r="F20" s="151">
        <f>+FLOOD!F59</f>
        <v>0</v>
      </c>
    </row>
    <row r="21" spans="1:6">
      <c r="A21" s="61" t="s">
        <v>66</v>
      </c>
      <c r="B21" s="151"/>
      <c r="C21" s="151"/>
      <c r="D21" s="151"/>
      <c r="E21" s="151"/>
      <c r="F21" s="151"/>
    </row>
    <row r="22" spans="1:6" ht="15.75">
      <c r="A22" s="9" t="s">
        <v>241</v>
      </c>
      <c r="B22" s="151"/>
      <c r="C22" s="151"/>
      <c r="D22" s="151"/>
      <c r="E22" s="151"/>
      <c r="F22" s="151"/>
    </row>
    <row r="23" spans="1:6">
      <c r="A23" s="7" t="s">
        <v>0</v>
      </c>
      <c r="B23" s="151"/>
      <c r="C23" s="151"/>
      <c r="D23" s="151"/>
      <c r="E23" s="151"/>
      <c r="F23" s="151"/>
    </row>
    <row r="24" spans="1:6">
      <c r="A24" s="11" t="str">
        <f t="shared" ref="A24:D26" si="0">A12</f>
        <v>SW Diversions - Irrigation -Non-Federal Canals- Colorado</v>
      </c>
      <c r="B24" s="159">
        <f t="shared" si="0"/>
        <v>0</v>
      </c>
      <c r="C24" s="159">
        <f t="shared" si="0"/>
        <v>0</v>
      </c>
      <c r="D24" s="159">
        <f t="shared" si="0"/>
        <v>0</v>
      </c>
      <c r="E24" s="159">
        <f t="shared" ref="E24:F26" si="1">E12</f>
        <v>0</v>
      </c>
      <c r="F24" s="159">
        <f t="shared" si="1"/>
        <v>0</v>
      </c>
    </row>
    <row r="25" spans="1:6">
      <c r="A25" s="11" t="str">
        <f t="shared" si="0"/>
        <v>SW Diversions - Irrigation - Small Pumps - Colorado</v>
      </c>
      <c r="B25" s="159">
        <f t="shared" si="0"/>
        <v>0</v>
      </c>
      <c r="C25" s="159">
        <f t="shared" si="0"/>
        <v>0</v>
      </c>
      <c r="D25" s="159">
        <f t="shared" si="0"/>
        <v>0</v>
      </c>
      <c r="E25" s="159">
        <f t="shared" si="1"/>
        <v>0</v>
      </c>
      <c r="F25" s="159">
        <f t="shared" si="1"/>
        <v>0</v>
      </c>
    </row>
    <row r="26" spans="1:6">
      <c r="A26" s="11" t="str">
        <f t="shared" si="0"/>
        <v>SW Diversions - M&amp;I - Colorado</v>
      </c>
      <c r="B26" s="159">
        <f t="shared" si="0"/>
        <v>0</v>
      </c>
      <c r="C26" s="159">
        <f t="shared" si="0"/>
        <v>0</v>
      </c>
      <c r="D26" s="159">
        <f t="shared" si="0"/>
        <v>0</v>
      </c>
      <c r="E26" s="159">
        <f t="shared" si="1"/>
        <v>0</v>
      </c>
      <c r="F26" s="159">
        <f t="shared" si="1"/>
        <v>0</v>
      </c>
    </row>
    <row r="27" spans="1:6">
      <c r="A27" s="11" t="str">
        <f t="shared" ref="A27:F27" si="2">A18</f>
        <v>Non-Federal Reservoir Evaporation - Colorado</v>
      </c>
      <c r="B27" s="159">
        <f t="shared" si="2"/>
        <v>0</v>
      </c>
      <c r="C27" s="159">
        <f t="shared" si="2"/>
        <v>0</v>
      </c>
      <c r="D27" s="159">
        <f t="shared" si="2"/>
        <v>0</v>
      </c>
      <c r="E27" s="159">
        <f t="shared" si="2"/>
        <v>0</v>
      </c>
      <c r="F27" s="159">
        <f t="shared" si="2"/>
        <v>0</v>
      </c>
    </row>
    <row r="28" spans="1:6">
      <c r="A28" s="13" t="s">
        <v>218</v>
      </c>
      <c r="B28" s="151">
        <f>B24+B25+B26+B27</f>
        <v>0</v>
      </c>
      <c r="C28" s="151">
        <f>C24+C25+C26+C27</f>
        <v>0</v>
      </c>
      <c r="D28" s="151">
        <f>D24+D25+D26+D27</f>
        <v>0</v>
      </c>
      <c r="E28" s="151">
        <f>E24+E25+E26+E27</f>
        <v>0</v>
      </c>
      <c r="F28" s="151">
        <f>F24+F25+F26+F27</f>
        <v>0</v>
      </c>
    </row>
    <row r="29" spans="1:6">
      <c r="A29" s="13" t="str">
        <f>'NORTH FORK'!A28</f>
        <v>GW CBCU</v>
      </c>
      <c r="B29" s="151">
        <f>+B6</f>
        <v>502</v>
      </c>
      <c r="C29" s="151">
        <f>+C6</f>
        <v>521</v>
      </c>
      <c r="D29" s="151">
        <f>+D6</f>
        <v>537</v>
      </c>
      <c r="E29" s="151">
        <f>+E6</f>
        <v>482</v>
      </c>
      <c r="F29" s="151">
        <f>+F6</f>
        <v>437</v>
      </c>
    </row>
    <row r="30" spans="1:6">
      <c r="A30" s="13" t="str">
        <f>'NORTH FORK'!A29</f>
        <v>Total CBCU</v>
      </c>
      <c r="B30" s="151">
        <f>(ROUND(SUM(B28:B29),-1))</f>
        <v>500</v>
      </c>
      <c r="C30" s="151">
        <f>(ROUND(SUM(C28:C29),-1))</f>
        <v>520</v>
      </c>
      <c r="D30" s="151">
        <f>(ROUND(SUM(D28:D29),-1))</f>
        <v>540</v>
      </c>
      <c r="E30" s="151">
        <f>(ROUND(SUM(E28:E29),-1))</f>
        <v>480</v>
      </c>
      <c r="F30" s="151">
        <f>(ROUND(SUM(F28:F29),-1))</f>
        <v>440</v>
      </c>
    </row>
    <row r="31" spans="1:6">
      <c r="B31" s="151"/>
      <c r="C31" s="151"/>
      <c r="D31" s="151"/>
      <c r="E31" s="151"/>
      <c r="F31" s="151"/>
    </row>
    <row r="32" spans="1:6">
      <c r="A32" s="7" t="s">
        <v>161</v>
      </c>
      <c r="B32" s="151"/>
      <c r="C32" s="151"/>
      <c r="D32" s="151"/>
      <c r="E32" s="151"/>
      <c r="F32" s="151"/>
    </row>
    <row r="33" spans="1:6">
      <c r="A33" s="13" t="str">
        <f>'NORTH FORK'!A28</f>
        <v>GW CBCU</v>
      </c>
      <c r="B33" s="151">
        <f>+B7</f>
        <v>0</v>
      </c>
      <c r="C33" s="151">
        <f>+C7</f>
        <v>0</v>
      </c>
      <c r="D33" s="151">
        <f>+D7</f>
        <v>0</v>
      </c>
      <c r="E33" s="151">
        <f>+E7</f>
        <v>0</v>
      </c>
      <c r="F33" s="151">
        <f>+F7</f>
        <v>0</v>
      </c>
    </row>
    <row r="34" spans="1:6">
      <c r="A34" s="13" t="str">
        <f>'NORTH FORK'!A29</f>
        <v>Total CBCU</v>
      </c>
      <c r="B34" s="151">
        <f>(ROUND(SUM(B33:B33),-1))</f>
        <v>0</v>
      </c>
      <c r="C34" s="151">
        <f>(ROUND(SUM(C33:C33),-1))</f>
        <v>0</v>
      </c>
      <c r="D34" s="151">
        <f>(ROUND(SUM(D33:D33),-1))</f>
        <v>0</v>
      </c>
      <c r="E34" s="151">
        <f>(ROUND(SUM(E33:E33),-1))</f>
        <v>0</v>
      </c>
      <c r="F34" s="151">
        <f>(ROUND(SUM(F33:F33),-1))</f>
        <v>0</v>
      </c>
    </row>
    <row r="35" spans="1:6">
      <c r="A35" s="13" t="s">
        <v>66</v>
      </c>
      <c r="B35" s="151"/>
      <c r="C35" s="151"/>
      <c r="D35" s="151"/>
      <c r="E35" s="151"/>
      <c r="F35" s="151"/>
    </row>
    <row r="36" spans="1:6">
      <c r="A36" s="7" t="s">
        <v>1</v>
      </c>
      <c r="B36" s="151"/>
      <c r="C36" s="151"/>
      <c r="D36" s="151"/>
      <c r="E36" s="151"/>
      <c r="F36" s="151"/>
    </row>
    <row r="37" spans="1:6">
      <c r="A37" s="11" t="str">
        <f>'NORTH FORK'!A23</f>
        <v>SW CBCU - Irrigation - Non Federal Canals</v>
      </c>
      <c r="B37" s="151">
        <f>B15*CanalCUPercent1</f>
        <v>240.15599999999998</v>
      </c>
      <c r="C37" s="151">
        <f>C15*CanalCUPercent2</f>
        <v>144.29999999999998</v>
      </c>
      <c r="D37" s="151">
        <f>D15*CanalCUPercent3</f>
        <v>177</v>
      </c>
      <c r="E37" s="151">
        <f>E15*CanalCUPercent4</f>
        <v>54.977999999999994</v>
      </c>
      <c r="F37" s="151">
        <f>F15*CanalCUPercent5</f>
        <v>58.8</v>
      </c>
    </row>
    <row r="38" spans="1:6">
      <c r="A38" s="11" t="str">
        <f>'NORTH FORK'!A24</f>
        <v>SW CBCU - Irrigation - Small Pumps</v>
      </c>
      <c r="B38" s="151">
        <f>B16*PumperCUPercent1</f>
        <v>1.4593499999999999</v>
      </c>
      <c r="C38" s="151">
        <f>C16*PumperCUPercent2</f>
        <v>3.1468749999999979</v>
      </c>
      <c r="D38" s="151">
        <f>D16*PumperCUPercent3</f>
        <v>0</v>
      </c>
      <c r="E38" s="151">
        <f>E16*PumperCUPercent4</f>
        <v>3.2381250000000001</v>
      </c>
      <c r="F38" s="151">
        <f>F16*PumperCUPercent5</f>
        <v>4.5</v>
      </c>
    </row>
    <row r="39" spans="1:6">
      <c r="A39" s="11" t="str">
        <f>'NORTH FORK'!A25</f>
        <v>SW CBCU - M&amp;I</v>
      </c>
      <c r="B39" s="151">
        <f>B17*MI_CUPercent1</f>
        <v>0</v>
      </c>
      <c r="C39" s="151">
        <f>C17*MI_CUPercent2</f>
        <v>0</v>
      </c>
      <c r="D39" s="151">
        <f>D17*MI_CUPercent3</f>
        <v>0</v>
      </c>
      <c r="E39" s="151">
        <f>E17*MI_CUPercent4</f>
        <v>0</v>
      </c>
      <c r="F39" s="151">
        <f>F17*MI_CUPercent5</f>
        <v>0</v>
      </c>
    </row>
    <row r="40" spans="1:6">
      <c r="A40" s="41" t="str">
        <f>'NORTH FORK'!A26</f>
        <v>Non-Federal Reservoir Evaporation</v>
      </c>
      <c r="B40" s="151">
        <f>B19</f>
        <v>6.6659416670000002</v>
      </c>
      <c r="C40" s="151">
        <f>C19</f>
        <v>7.66926666666666</v>
      </c>
      <c r="D40" s="151">
        <f>D19</f>
        <v>7</v>
      </c>
      <c r="E40" s="151">
        <f>E19</f>
        <v>12.827374999999996</v>
      </c>
      <c r="F40" s="151">
        <f>F19</f>
        <v>11</v>
      </c>
    </row>
    <row r="41" spans="1:6">
      <c r="A41" s="45" t="str">
        <f>'NORTH FORK'!A27</f>
        <v>SW CBCU</v>
      </c>
      <c r="B41" s="151">
        <f>B37+B38+B39+B40</f>
        <v>248.28129166699998</v>
      </c>
      <c r="C41" s="151">
        <f>C37+C38+C39+C40</f>
        <v>155.11614166666664</v>
      </c>
      <c r="D41" s="151">
        <f>D37+D38+D39+D40</f>
        <v>184</v>
      </c>
      <c r="E41" s="151">
        <f>E37+E38+E39+E40</f>
        <v>71.043499999999995</v>
      </c>
      <c r="F41" s="151">
        <f>F37+F38+F39+F40</f>
        <v>74.3</v>
      </c>
    </row>
    <row r="42" spans="1:6">
      <c r="A42" s="13" t="str">
        <f>'NORTH FORK'!A28</f>
        <v>GW CBCU</v>
      </c>
      <c r="B42" s="151">
        <f>+B8</f>
        <v>3544</v>
      </c>
      <c r="C42" s="151">
        <f>+C8</f>
        <v>3601</v>
      </c>
      <c r="D42" s="151">
        <f>+D8</f>
        <v>3660</v>
      </c>
      <c r="E42" s="151">
        <f>+E8</f>
        <v>3603</v>
      </c>
      <c r="F42" s="151">
        <f>+F8</f>
        <v>3569</v>
      </c>
    </row>
    <row r="43" spans="1:6">
      <c r="A43" s="13" t="str">
        <f>'NORTH FORK'!A29</f>
        <v>Total CBCU</v>
      </c>
      <c r="B43" s="151">
        <f>(ROUND(SUM(B41:B42),-1))</f>
        <v>3790</v>
      </c>
      <c r="C43" s="151">
        <f>(ROUND(SUM(C41:C42),-1))</f>
        <v>3760</v>
      </c>
      <c r="D43" s="151">
        <f>(ROUND(SUM(D41:D42),-1))</f>
        <v>3840</v>
      </c>
      <c r="E43" s="151">
        <f>(ROUND(SUM(E41:E42),-1))</f>
        <v>3670</v>
      </c>
      <c r="F43" s="151">
        <f>(ROUND(SUM(F41:F42),-1))</f>
        <v>3640</v>
      </c>
    </row>
    <row r="44" spans="1:6">
      <c r="A44" s="45" t="s">
        <v>66</v>
      </c>
      <c r="B44" s="151"/>
      <c r="C44" s="151"/>
      <c r="D44" s="151"/>
      <c r="E44" s="151"/>
      <c r="F44" s="151"/>
    </row>
    <row r="45" spans="1:6">
      <c r="A45" s="4" t="s">
        <v>162</v>
      </c>
      <c r="B45" s="151"/>
      <c r="C45" s="151"/>
      <c r="D45" s="151"/>
      <c r="E45" s="151"/>
      <c r="F45" s="151"/>
    </row>
    <row r="46" spans="1:6">
      <c r="A46" s="45" t="str">
        <f>'NORTH FORK'!A42</f>
        <v>Total SW CBCU</v>
      </c>
      <c r="B46" s="151">
        <f>+B41+B28</f>
        <v>248.28129166699998</v>
      </c>
      <c r="C46" s="151">
        <f>+C41+C28</f>
        <v>155.11614166666664</v>
      </c>
      <c r="D46" s="151">
        <f>+D41+D28</f>
        <v>184</v>
      </c>
      <c r="E46" s="151">
        <f>+E41+E28</f>
        <v>71.043499999999995</v>
      </c>
      <c r="F46" s="151">
        <f>+F41+F28</f>
        <v>74.3</v>
      </c>
    </row>
    <row r="47" spans="1:6">
      <c r="A47" s="45" t="str">
        <f>'NORTH FORK'!A43</f>
        <v>Total GW CBCU</v>
      </c>
      <c r="B47" s="151">
        <f>+B29+B33+B42</f>
        <v>4046</v>
      </c>
      <c r="C47" s="151">
        <f>+C29+C33+C42</f>
        <v>4122</v>
      </c>
      <c r="D47" s="151">
        <f>+D29+D33+D42</f>
        <v>4197</v>
      </c>
      <c r="E47" s="151">
        <f>+E29+E33+E42</f>
        <v>4085</v>
      </c>
      <c r="F47" s="151">
        <f>+F29+F33+F42</f>
        <v>4006</v>
      </c>
    </row>
    <row r="48" spans="1:6">
      <c r="A48" s="45" t="str">
        <f>'NORTH FORK'!A44</f>
        <v>Total Basin CBCU</v>
      </c>
      <c r="B48" s="151">
        <f>(ROUND(SUM(B46:B47),-1))</f>
        <v>4290</v>
      </c>
      <c r="C48" s="151">
        <f>(ROUND(SUM(C46:C47),-1))</f>
        <v>4280</v>
      </c>
      <c r="D48" s="151">
        <f>(ROUND(SUM(D46:D47),-1))</f>
        <v>4380</v>
      </c>
      <c r="E48" s="151">
        <f>(ROUND(SUM(E46:E47),-1))</f>
        <v>4160</v>
      </c>
      <c r="F48" s="151">
        <f>(ROUND(SUM(F46:F47),-1))</f>
        <v>4080</v>
      </c>
    </row>
    <row r="49" spans="1:6">
      <c r="A49" s="45" t="s">
        <v>66</v>
      </c>
      <c r="B49" s="151"/>
      <c r="C49" s="151"/>
      <c r="D49" s="151"/>
      <c r="E49" s="151"/>
      <c r="F49" s="151"/>
    </row>
    <row r="50" spans="1:6" ht="15.75">
      <c r="A50" s="10" t="s">
        <v>10</v>
      </c>
      <c r="B50" s="151"/>
      <c r="C50" s="151"/>
      <c r="D50" s="151"/>
      <c r="E50" s="151"/>
      <c r="F50" s="151"/>
    </row>
    <row r="51" spans="1:6">
      <c r="A51" s="62" t="str">
        <f t="shared" ref="A51:F51" si="3">A11</f>
        <v>Buffalo Creek Near Haigler</v>
      </c>
      <c r="B51" s="151">
        <f t="shared" si="3"/>
        <v>1282</v>
      </c>
      <c r="C51" s="151">
        <f t="shared" si="3"/>
        <v>1858</v>
      </c>
      <c r="D51" s="151">
        <f t="shared" si="3"/>
        <v>1355</v>
      </c>
      <c r="E51" s="151">
        <f t="shared" si="3"/>
        <v>2143.4181818181801</v>
      </c>
      <c r="F51" s="151">
        <f t="shared" si="3"/>
        <v>1583</v>
      </c>
    </row>
    <row r="52" spans="1:6">
      <c r="A52" s="13" t="str">
        <f>'NORTH FORK'!A49</f>
        <v>Colorado CBCU</v>
      </c>
      <c r="B52" s="151">
        <f>+B30</f>
        <v>500</v>
      </c>
      <c r="C52" s="151">
        <f>+C30</f>
        <v>520</v>
      </c>
      <c r="D52" s="151">
        <f>+D30</f>
        <v>540</v>
      </c>
      <c r="E52" s="151">
        <f>+E30</f>
        <v>480</v>
      </c>
      <c r="F52" s="151">
        <f>+F30</f>
        <v>440</v>
      </c>
    </row>
    <row r="53" spans="1:6">
      <c r="A53" s="2" t="str">
        <f>'NORTH FORK'!A50</f>
        <v>Kansas CBCU</v>
      </c>
      <c r="B53" s="145">
        <f>+B34</f>
        <v>0</v>
      </c>
      <c r="C53" s="145">
        <f>+C34</f>
        <v>0</v>
      </c>
      <c r="D53" s="145">
        <f>+D34</f>
        <v>0</v>
      </c>
      <c r="E53" s="145">
        <f>+E34</f>
        <v>0</v>
      </c>
      <c r="F53" s="145">
        <f>+F34</f>
        <v>0</v>
      </c>
    </row>
    <row r="54" spans="1:6">
      <c r="A54" s="2" t="str">
        <f>'NORTH FORK'!A51</f>
        <v>Nebraska CBCU</v>
      </c>
      <c r="B54" s="145">
        <f>+B43</f>
        <v>3790</v>
      </c>
      <c r="C54" s="145">
        <f>+C43</f>
        <v>3760</v>
      </c>
      <c r="D54" s="145">
        <f>+D43</f>
        <v>3840</v>
      </c>
      <c r="E54" s="145">
        <f>+E43</f>
        <v>3670</v>
      </c>
      <c r="F54" s="145">
        <f>+F43</f>
        <v>3640</v>
      </c>
    </row>
    <row r="55" spans="1:6">
      <c r="A55" s="2" t="str">
        <f>'NORTH FORK'!A52</f>
        <v>Imported Water</v>
      </c>
      <c r="B55" s="151">
        <f>+B5</f>
        <v>0</v>
      </c>
      <c r="C55" s="151">
        <f>+C5</f>
        <v>0</v>
      </c>
      <c r="D55" s="151">
        <f>+D5</f>
        <v>0</v>
      </c>
      <c r="E55" s="151">
        <f>+E5</f>
        <v>0</v>
      </c>
      <c r="F55" s="151">
        <f>+F5</f>
        <v>0</v>
      </c>
    </row>
    <row r="56" spans="1:6">
      <c r="A56" s="2" t="str">
        <f>'NORTH FORK'!A54</f>
        <v>Virgin Water Supply</v>
      </c>
      <c r="B56" s="145">
        <f>ROUND(SUM(B51:B54)-B55,-1)</f>
        <v>5570</v>
      </c>
      <c r="C56" s="145">
        <f>ROUND(SUM(C51:C54)-C55,-1)</f>
        <v>6140</v>
      </c>
      <c r="D56" s="145">
        <f>ROUND(SUM(D51:D54)-D55,-1)</f>
        <v>5740</v>
      </c>
      <c r="E56" s="145">
        <f>ROUND(SUM(E51:E54)-E55,-1)</f>
        <v>6290</v>
      </c>
      <c r="F56" s="145">
        <f>ROUND(SUM(F51:F54)-F55,-1)</f>
        <v>5660</v>
      </c>
    </row>
    <row r="57" spans="1:6">
      <c r="A57" s="2" t="str">
        <f>'NORTH FORK'!A55</f>
        <v>Adjustment For Flood Flows</v>
      </c>
      <c r="B57" s="145">
        <f>B20</f>
        <v>0</v>
      </c>
      <c r="C57" s="145">
        <f>C20</f>
        <v>0</v>
      </c>
      <c r="D57" s="145">
        <f>D20</f>
        <v>0</v>
      </c>
      <c r="E57" s="145">
        <f>E20</f>
        <v>0</v>
      </c>
      <c r="F57" s="145">
        <f>F20</f>
        <v>0</v>
      </c>
    </row>
    <row r="58" spans="1:6">
      <c r="A58" s="2" t="str">
        <f>'NORTH FORK'!A56</f>
        <v>Computed Water Supply</v>
      </c>
      <c r="B58" s="145">
        <f>ROUND(+B56-B57,-1)</f>
        <v>5570</v>
      </c>
      <c r="C58" s="145">
        <f>ROUND(+C56-C57,-1)</f>
        <v>6140</v>
      </c>
      <c r="D58" s="145">
        <f>ROUND(+D56-D57,-1)</f>
        <v>5740</v>
      </c>
      <c r="E58" s="145">
        <f>ROUND(+E56-E57,-1)</f>
        <v>6290</v>
      </c>
      <c r="F58" s="145">
        <f>ROUND(+F56-F57,-1)</f>
        <v>5660</v>
      </c>
    </row>
    <row r="59" spans="1:6">
      <c r="A59" s="8" t="s">
        <v>66</v>
      </c>
      <c r="B59" s="145"/>
      <c r="C59" s="145"/>
      <c r="D59" s="145"/>
      <c r="E59" s="145"/>
      <c r="F59" s="145"/>
    </row>
    <row r="60" spans="1:6" ht="15.75">
      <c r="A60" s="10" t="s">
        <v>12</v>
      </c>
      <c r="B60" s="154"/>
      <c r="C60" s="154"/>
      <c r="D60" s="154"/>
      <c r="E60" s="154"/>
      <c r="F60" s="154"/>
    </row>
    <row r="61" spans="1:6">
      <c r="A61" s="8" t="str">
        <f>'NORTH FORK'!A59</f>
        <v>Colorado Percent Of Allocation</v>
      </c>
      <c r="B61" s="117">
        <f>'T2'!$D5</f>
        <v>0</v>
      </c>
      <c r="C61" s="117">
        <f>'T2'!$D5</f>
        <v>0</v>
      </c>
      <c r="D61" s="117">
        <f>'T2'!$D5</f>
        <v>0</v>
      </c>
      <c r="E61" s="117">
        <f>'T2'!$D5</f>
        <v>0</v>
      </c>
      <c r="F61" s="117">
        <f>'T2'!$D5</f>
        <v>0</v>
      </c>
    </row>
    <row r="62" spans="1:6">
      <c r="A62" s="8" t="str">
        <f>'NORTH FORK'!A60</f>
        <v>Colorado Allocation</v>
      </c>
      <c r="B62" s="145">
        <f>ROUND(+B58*B61,-1)</f>
        <v>0</v>
      </c>
      <c r="C62" s="145">
        <f>ROUND(+C58*C61,-1)</f>
        <v>0</v>
      </c>
      <c r="D62" s="145">
        <f>ROUND(+D58*D61,-1)</f>
        <v>0</v>
      </c>
      <c r="E62" s="145">
        <f>ROUND(+E58*E61,-1)</f>
        <v>0</v>
      </c>
      <c r="F62" s="145">
        <f>ROUND(+F58*F61,-1)</f>
        <v>0</v>
      </c>
    </row>
    <row r="63" spans="1:6">
      <c r="A63" s="8" t="str">
        <f>'NORTH FORK'!A61</f>
        <v>Kansas Percent Of Allocation</v>
      </c>
      <c r="B63" s="117">
        <f>'T2'!$F5</f>
        <v>0</v>
      </c>
      <c r="C63" s="117">
        <f>'T2'!$F5</f>
        <v>0</v>
      </c>
      <c r="D63" s="117">
        <f>'T2'!$F5</f>
        <v>0</v>
      </c>
      <c r="E63" s="117">
        <f>'T2'!$F5</f>
        <v>0</v>
      </c>
      <c r="F63" s="117">
        <f>'T2'!$F5</f>
        <v>0</v>
      </c>
    </row>
    <row r="64" spans="1:6">
      <c r="A64" s="8" t="str">
        <f>'NORTH FORK'!A62</f>
        <v>Kansas Allocation</v>
      </c>
      <c r="B64" s="145">
        <f>ROUND(B58*B63,-1)</f>
        <v>0</v>
      </c>
      <c r="C64" s="145">
        <f>ROUND(C58*C63,-1)</f>
        <v>0</v>
      </c>
      <c r="D64" s="145">
        <f>ROUND(D58*D63,-1)</f>
        <v>0</v>
      </c>
      <c r="E64" s="145">
        <f>ROUND(E58*E63,-1)</f>
        <v>0</v>
      </c>
      <c r="F64" s="145">
        <f>ROUND(F58*F63,-1)</f>
        <v>0</v>
      </c>
    </row>
    <row r="65" spans="1:6">
      <c r="A65" s="8" t="str">
        <f>'NORTH FORK'!A63</f>
        <v>Nebraska Percent Of Allocation</v>
      </c>
      <c r="B65" s="117">
        <f>'T2'!$H5</f>
        <v>0.33</v>
      </c>
      <c r="C65" s="117">
        <f>'T2'!$H5</f>
        <v>0.33</v>
      </c>
      <c r="D65" s="117">
        <f>'T2'!$H5</f>
        <v>0.33</v>
      </c>
      <c r="E65" s="117">
        <f>'T2'!$H5</f>
        <v>0.33</v>
      </c>
      <c r="F65" s="117">
        <f>'T2'!$H5</f>
        <v>0.33</v>
      </c>
    </row>
    <row r="66" spans="1:6">
      <c r="A66" s="8" t="str">
        <f>'NORTH FORK'!A64</f>
        <v>Nebraska Allocation</v>
      </c>
      <c r="B66" s="145">
        <f>ROUND(B58*B65,-1)</f>
        <v>1840</v>
      </c>
      <c r="C66" s="145">
        <f>ROUND(C58*C65,-1)</f>
        <v>2030</v>
      </c>
      <c r="D66" s="145">
        <f>ROUND(D58*D65,-1)</f>
        <v>1890</v>
      </c>
      <c r="E66" s="145">
        <f>ROUND(E58*E65,-1)</f>
        <v>2080</v>
      </c>
      <c r="F66" s="145">
        <f>ROUND(F58*F65,-1)</f>
        <v>1870</v>
      </c>
    </row>
    <row r="67" spans="1:6">
      <c r="A67" s="8" t="str">
        <f>'NORTH FORK'!A65</f>
        <v>Total Basin Allocation</v>
      </c>
      <c r="B67" s="145">
        <f>+B62+B64+B66</f>
        <v>1840</v>
      </c>
      <c r="C67" s="145">
        <f>+C62+C64+C66</f>
        <v>2030</v>
      </c>
      <c r="D67" s="145">
        <f>+D62+D64+D66</f>
        <v>1890</v>
      </c>
      <c r="E67" s="145">
        <f>+E62+E64+E66</f>
        <v>2080</v>
      </c>
      <c r="F67" s="145">
        <f>+F62+F64+F66</f>
        <v>1870</v>
      </c>
    </row>
    <row r="68" spans="1:6">
      <c r="A68" s="8" t="str">
        <f>'NORTH FORK'!A66</f>
        <v>Percent Of Supply Not Allocated</v>
      </c>
      <c r="B68" s="117">
        <f>'T2'!$J5</f>
        <v>0.67</v>
      </c>
      <c r="C68" s="117">
        <f>'T2'!$J5</f>
        <v>0.67</v>
      </c>
      <c r="D68" s="117">
        <f>'T2'!$J5</f>
        <v>0.67</v>
      </c>
      <c r="E68" s="117">
        <f>'T2'!$J5</f>
        <v>0.67</v>
      </c>
      <c r="F68" s="117">
        <f>'T2'!$J5</f>
        <v>0.67</v>
      </c>
    </row>
    <row r="69" spans="1:6">
      <c r="A69" s="8" t="str">
        <f>'NORTH FORK'!A67</f>
        <v>Quantity Of Unallocated Supply</v>
      </c>
      <c r="B69" s="145">
        <f>+B58-B62-B64-B66</f>
        <v>3730</v>
      </c>
      <c r="C69" s="145">
        <f>+C58-C62-C64-C66</f>
        <v>4110</v>
      </c>
      <c r="D69" s="145">
        <f>+D58-D62-D64-D66</f>
        <v>3850</v>
      </c>
      <c r="E69" s="145">
        <f>+E58-E62-E64-E66</f>
        <v>4210</v>
      </c>
      <c r="F69" s="145">
        <f>+F58-F62-F64-F66</f>
        <v>3790</v>
      </c>
    </row>
    <row r="70" spans="1:6">
      <c r="A70" s="14"/>
    </row>
    <row r="71" spans="1:6">
      <c r="A71" s="1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61"/>
  <sheetViews>
    <sheetView zoomScale="80" zoomScaleNormal="80" workbookViewId="0">
      <pane ySplit="1" topLeftCell="A23" activePane="bottomLeft" state="frozen"/>
      <selection pane="bottomLeft" activeCell="J1" sqref="J1:M1048576"/>
    </sheetView>
  </sheetViews>
  <sheetFormatPr defaultRowHeight="12.75"/>
  <cols>
    <col min="1" max="1" width="69.7109375" customWidth="1"/>
    <col min="2" max="4" width="9.140625" style="319"/>
  </cols>
  <sheetData>
    <row r="1" spans="1:6" ht="15.75">
      <c r="A1" s="37" t="s">
        <v>210</v>
      </c>
      <c r="B1" s="194">
        <f>INPUT!C1</f>
        <v>2017</v>
      </c>
      <c r="C1" s="194">
        <f>INPUT!D1</f>
        <v>2018</v>
      </c>
      <c r="D1" s="194">
        <f>INPUT!E1</f>
        <v>2019</v>
      </c>
      <c r="E1" s="194">
        <f>INPUT!F1</f>
        <v>2020</v>
      </c>
      <c r="F1" s="194">
        <f>INPUT!G1</f>
        <v>2021</v>
      </c>
    </row>
    <row r="2" spans="1:6">
      <c r="A2" t="s">
        <v>66</v>
      </c>
      <c r="E2" s="319"/>
      <c r="F2" s="319"/>
    </row>
    <row r="3" spans="1:6" ht="15.75">
      <c r="A3" s="9" t="s">
        <v>157</v>
      </c>
      <c r="E3" s="319"/>
      <c r="F3" s="319"/>
    </row>
    <row r="4" spans="1:6">
      <c r="A4" s="7" t="s">
        <v>158</v>
      </c>
      <c r="E4" s="319"/>
      <c r="F4" s="319"/>
    </row>
    <row r="5" spans="1:6">
      <c r="A5" s="31" t="str">
        <f>+INPUT!B50</f>
        <v>Imported Water Nebraska</v>
      </c>
      <c r="B5" s="145">
        <f>+INPUT!C50</f>
        <v>0</v>
      </c>
      <c r="C5" s="145">
        <f>+INPUT!D50</f>
        <v>0</v>
      </c>
      <c r="D5" s="145">
        <f>+INPUT!E50</f>
        <v>0</v>
      </c>
      <c r="E5" s="145">
        <f>+INPUT!F50</f>
        <v>0</v>
      </c>
      <c r="F5" s="145">
        <f>+INPUT!G50</f>
        <v>0</v>
      </c>
    </row>
    <row r="6" spans="1:6">
      <c r="A6" s="31" t="str">
        <f>+INPUT!B13</f>
        <v>GW CBCU Colorado</v>
      </c>
      <c r="B6" s="145">
        <f>+INPUT!C13</f>
        <v>112</v>
      </c>
      <c r="C6" s="145">
        <f>+INPUT!D13</f>
        <v>123</v>
      </c>
      <c r="D6" s="145">
        <f>+INPUT!E13</f>
        <v>134</v>
      </c>
      <c r="E6" s="145">
        <f>+INPUT!F13</f>
        <v>94</v>
      </c>
      <c r="F6" s="145">
        <f>+INPUT!G13</f>
        <v>82</v>
      </c>
    </row>
    <row r="7" spans="1:6">
      <c r="A7" s="31" t="str">
        <f>+INPUT!B14</f>
        <v>GW CBCU Kansas</v>
      </c>
      <c r="B7" s="145">
        <f>+INPUT!C14</f>
        <v>0</v>
      </c>
      <c r="C7" s="145">
        <f>+INPUT!D14</f>
        <v>0</v>
      </c>
      <c r="D7" s="145">
        <f>+INPUT!E14</f>
        <v>0</v>
      </c>
      <c r="E7" s="145">
        <f>+INPUT!F14</f>
        <v>0</v>
      </c>
      <c r="F7" s="145">
        <f>+INPUT!G14</f>
        <v>0</v>
      </c>
    </row>
    <row r="8" spans="1:6" ht="12" customHeight="1">
      <c r="A8" s="31" t="str">
        <f>+INPUT!B15</f>
        <v>GW CBCU Nebraska</v>
      </c>
      <c r="B8" s="145">
        <f>+INPUT!C15</f>
        <v>5064</v>
      </c>
      <c r="C8" s="145">
        <f>+INPUT!D15</f>
        <v>5200</v>
      </c>
      <c r="D8" s="145">
        <f>+INPUT!E15</f>
        <v>5293</v>
      </c>
      <c r="E8" s="145">
        <f>+INPUT!F15</f>
        <v>5190</v>
      </c>
      <c r="F8" s="145">
        <f>+INPUT!G15</f>
        <v>5113</v>
      </c>
    </row>
    <row r="9" spans="1:6" ht="12" customHeight="1">
      <c r="A9" s="31" t="s">
        <v>564</v>
      </c>
      <c r="B9" s="145">
        <f>RWS_CWSA!Z16</f>
        <v>4563</v>
      </c>
      <c r="C9" s="145">
        <f>RWS_CWSA!Z17</f>
        <v>0</v>
      </c>
      <c r="D9" s="145">
        <f>RWS_CWSA!Z18</f>
        <v>0</v>
      </c>
      <c r="E9" s="145">
        <f>RWS_CWSA!Z19</f>
        <v>0</v>
      </c>
      <c r="F9" s="145">
        <f>RWS_CWSA!Z20</f>
        <v>0</v>
      </c>
    </row>
    <row r="10" spans="1:6">
      <c r="A10" s="4" t="s">
        <v>160</v>
      </c>
      <c r="B10" s="145"/>
      <c r="C10" s="145"/>
      <c r="D10" s="145"/>
      <c r="E10" s="145"/>
      <c r="F10" s="145"/>
    </row>
    <row r="11" spans="1:6">
      <c r="A11" s="31" t="str">
        <f>+INPUT!B187</f>
        <v>Rock Creek At Parks</v>
      </c>
      <c r="B11" s="145">
        <f>+INPUT!C187</f>
        <v>8686</v>
      </c>
      <c r="C11" s="145">
        <f>+INPUT!D187</f>
        <v>4095</v>
      </c>
      <c r="D11" s="145">
        <f>+INPUT!E187</f>
        <v>3748</v>
      </c>
      <c r="E11" s="145">
        <f>+INPUT!F187</f>
        <v>4049</v>
      </c>
      <c r="F11" s="145">
        <f>+INPUT!G187</f>
        <v>3583</v>
      </c>
    </row>
    <row r="12" spans="1:6">
      <c r="A12" s="31" t="str">
        <f>+INPUT!B81</f>
        <v>SW Diversions - Irrigation - Non-Federal Canals - Nebraska</v>
      </c>
      <c r="B12" s="145">
        <f>+INPUT!C81</f>
        <v>0</v>
      </c>
      <c r="C12" s="145">
        <f>+INPUT!D81</f>
        <v>0</v>
      </c>
      <c r="D12" s="145">
        <f>+INPUT!E81</f>
        <v>0</v>
      </c>
      <c r="E12" s="145">
        <f>+INPUT!F81</f>
        <v>0</v>
      </c>
      <c r="F12" s="145">
        <f>+INPUT!G81</f>
        <v>0</v>
      </c>
    </row>
    <row r="13" spans="1:6">
      <c r="A13" s="31" t="str">
        <f>+INPUT!B82</f>
        <v>SW Diversions - Irrigation - Small Pumps - Nebraska</v>
      </c>
      <c r="B13" s="145">
        <f>+INPUT!C82</f>
        <v>0</v>
      </c>
      <c r="C13" s="145">
        <f>+INPUT!D82</f>
        <v>0</v>
      </c>
      <c r="D13" s="145">
        <f>+INPUT!E82</f>
        <v>0</v>
      </c>
      <c r="E13" s="145">
        <f>+INPUT!F82</f>
        <v>0.11700270819034</v>
      </c>
      <c r="F13" s="145">
        <f>+INPUT!G82</f>
        <v>0</v>
      </c>
    </row>
    <row r="14" spans="1:6">
      <c r="A14" s="31" t="str">
        <f>+INPUT!B83</f>
        <v>SW Diversions - M&amp;I - Nebraska</v>
      </c>
      <c r="B14" s="145">
        <f>+INPUT!C83</f>
        <v>0</v>
      </c>
      <c r="C14" s="145">
        <f>+INPUT!D83</f>
        <v>0</v>
      </c>
      <c r="D14" s="145">
        <f>+INPUT!E83</f>
        <v>0</v>
      </c>
      <c r="E14" s="145">
        <f>+INPUT!F83</f>
        <v>0</v>
      </c>
      <c r="F14" s="145">
        <f>+INPUT!G83</f>
        <v>0</v>
      </c>
    </row>
    <row r="15" spans="1:6">
      <c r="A15" s="31" t="str">
        <f>+INPUT!B160</f>
        <v>Non-Federal Reservoir Evaporation - Nebraska</v>
      </c>
      <c r="B15" s="145">
        <f>+INPUT!C160</f>
        <v>97.501833329999997</v>
      </c>
      <c r="C15" s="145">
        <f>+INPUT!D160</f>
        <v>87.498319999999893</v>
      </c>
      <c r="D15" s="145">
        <f>+INPUT!E160</f>
        <v>88</v>
      </c>
      <c r="E15" s="145">
        <f>+INPUT!F160</f>
        <v>152.37366666666662</v>
      </c>
      <c r="F15" s="145">
        <f>+INPUT!G160</f>
        <v>127</v>
      </c>
    </row>
    <row r="16" spans="1:6">
      <c r="A16" s="136" t="str">
        <f>+FLOOD!A60</f>
        <v>Rock Flood Flow</v>
      </c>
      <c r="B16" s="145">
        <f>+FLOOD!B60</f>
        <v>0</v>
      </c>
      <c r="C16" s="145">
        <f>+FLOOD!C60</f>
        <v>0</v>
      </c>
      <c r="D16" s="145">
        <f>+FLOOD!D60</f>
        <v>0</v>
      </c>
      <c r="E16" s="145">
        <f>+FLOOD!E60</f>
        <v>0</v>
      </c>
      <c r="F16" s="145">
        <f>+FLOOD!F60</f>
        <v>0</v>
      </c>
    </row>
    <row r="17" spans="1:6">
      <c r="A17" s="5" t="s">
        <v>66</v>
      </c>
      <c r="B17" s="145"/>
      <c r="C17" s="145"/>
      <c r="D17" s="145"/>
      <c r="E17" s="145"/>
      <c r="F17" s="145"/>
    </row>
    <row r="18" spans="1:6" ht="15.75">
      <c r="A18" s="9" t="s">
        <v>241</v>
      </c>
      <c r="B18" s="145"/>
      <c r="C18" s="145"/>
      <c r="D18" s="145"/>
      <c r="E18" s="145"/>
      <c r="F18" s="145"/>
    </row>
    <row r="19" spans="1:6">
      <c r="A19" s="7" t="s">
        <v>0</v>
      </c>
      <c r="B19" s="145"/>
      <c r="C19" s="145"/>
      <c r="D19" s="145"/>
      <c r="E19" s="145"/>
      <c r="F19" s="145"/>
    </row>
    <row r="20" spans="1:6">
      <c r="A20" s="2" t="str">
        <f>'NORTH FORK'!A28</f>
        <v>GW CBCU</v>
      </c>
      <c r="B20" s="145">
        <f>+B6</f>
        <v>112</v>
      </c>
      <c r="C20" s="145">
        <f>+C6</f>
        <v>123</v>
      </c>
      <c r="D20" s="145">
        <f>+D6</f>
        <v>134</v>
      </c>
      <c r="E20" s="145">
        <f>+E6</f>
        <v>94</v>
      </c>
      <c r="F20" s="145">
        <f>+F6</f>
        <v>82</v>
      </c>
    </row>
    <row r="21" spans="1:6">
      <c r="A21" s="2" t="str">
        <f>'NORTH FORK'!A29</f>
        <v>Total CBCU</v>
      </c>
      <c r="B21" s="145">
        <f>(ROUND(SUM(B20:B20),-1))</f>
        <v>110</v>
      </c>
      <c r="C21" s="145">
        <f>(ROUND(SUM(C20:C20),-1))</f>
        <v>120</v>
      </c>
      <c r="D21" s="145">
        <f>(ROUND(SUM(D20:D20),-1))</f>
        <v>130</v>
      </c>
      <c r="E21" s="145">
        <f>(ROUND(SUM(E20:E20),-1))</f>
        <v>90</v>
      </c>
      <c r="F21" s="145">
        <f>(ROUND(SUM(F20:F20),-1))</f>
        <v>80</v>
      </c>
    </row>
    <row r="22" spans="1:6">
      <c r="A22" s="2" t="s">
        <v>66</v>
      </c>
      <c r="B22" s="145"/>
      <c r="C22" s="145"/>
      <c r="D22" s="145"/>
      <c r="E22" s="145"/>
      <c r="F22" s="145"/>
    </row>
    <row r="23" spans="1:6">
      <c r="A23" s="7" t="s">
        <v>161</v>
      </c>
      <c r="B23" s="145"/>
      <c r="C23" s="145"/>
      <c r="D23" s="145"/>
      <c r="E23" s="145"/>
      <c r="F23" s="145"/>
    </row>
    <row r="24" spans="1:6">
      <c r="A24" s="2" t="str">
        <f>'NORTH FORK'!A28</f>
        <v>GW CBCU</v>
      </c>
      <c r="B24" s="145">
        <f>+B7</f>
        <v>0</v>
      </c>
      <c r="C24" s="145">
        <f>+C7</f>
        <v>0</v>
      </c>
      <c r="D24" s="145">
        <f>+D7</f>
        <v>0</v>
      </c>
      <c r="E24" s="145">
        <f>+E7</f>
        <v>0</v>
      </c>
      <c r="F24" s="145">
        <f>+F7</f>
        <v>0</v>
      </c>
    </row>
    <row r="25" spans="1:6">
      <c r="A25" s="2" t="str">
        <f>'NORTH FORK'!A29</f>
        <v>Total CBCU</v>
      </c>
      <c r="B25" s="145">
        <f>(ROUND(SUM(B24:B24),-1))</f>
        <v>0</v>
      </c>
      <c r="C25" s="145">
        <f>(ROUND(SUM(C24:C24),-1))</f>
        <v>0</v>
      </c>
      <c r="D25" s="145">
        <f>(ROUND(SUM(D24:D24),-1))</f>
        <v>0</v>
      </c>
      <c r="E25" s="145">
        <f>(ROUND(SUM(E24:E24),-1))</f>
        <v>0</v>
      </c>
      <c r="F25" s="145">
        <f>(ROUND(SUM(F24:F24),-1))</f>
        <v>0</v>
      </c>
    </row>
    <row r="26" spans="1:6">
      <c r="A26" s="2" t="s">
        <v>66</v>
      </c>
      <c r="B26" s="145"/>
      <c r="C26" s="145"/>
      <c r="D26" s="145"/>
      <c r="E26" s="145"/>
      <c r="F26" s="145"/>
    </row>
    <row r="27" spans="1:6">
      <c r="A27" s="7" t="s">
        <v>1</v>
      </c>
      <c r="B27" s="145"/>
      <c r="C27" s="145"/>
      <c r="D27" s="145"/>
      <c r="E27" s="145"/>
      <c r="F27" s="145"/>
    </row>
    <row r="28" spans="1:6">
      <c r="A28" s="42" t="str">
        <f>A12</f>
        <v>SW Diversions - Irrigation - Non-Federal Canals - Nebraska</v>
      </c>
      <c r="B28" s="151">
        <f>B12*CanalCUPercent1</f>
        <v>0</v>
      </c>
      <c r="C28" s="151">
        <f>C12*CanalCUPercent2</f>
        <v>0</v>
      </c>
      <c r="D28" s="151">
        <f>D12*CanalCUPercent3</f>
        <v>0</v>
      </c>
      <c r="E28" s="151">
        <f>E12*CanalCUPercent4</f>
        <v>0</v>
      </c>
      <c r="F28" s="151">
        <f>F12*CanalCUPercent5</f>
        <v>0</v>
      </c>
    </row>
    <row r="29" spans="1:6">
      <c r="A29" s="13" t="str">
        <f>'NORTH FORK'!A24</f>
        <v>SW CBCU - Irrigation - Small Pumps</v>
      </c>
      <c r="B29" s="151">
        <f>B13*PumperCUPercent1</f>
        <v>0</v>
      </c>
      <c r="C29" s="151">
        <f>C13*PumperCUPercent2</f>
        <v>0</v>
      </c>
      <c r="D29" s="151">
        <f>D13*PumperCUPercent3</f>
        <v>0</v>
      </c>
      <c r="E29" s="151">
        <f>E13*PumperCUPercent4</f>
        <v>8.775203114275501E-2</v>
      </c>
      <c r="F29" s="151">
        <f>F13*PumperCUPercent5</f>
        <v>0</v>
      </c>
    </row>
    <row r="30" spans="1:6">
      <c r="A30" s="13" t="str">
        <f>'NORTH FORK'!A25</f>
        <v>SW CBCU - M&amp;I</v>
      </c>
      <c r="B30" s="151">
        <f>B14*MI_CUPercent1</f>
        <v>0</v>
      </c>
      <c r="C30" s="151">
        <f>C14*MI_CUPercent2</f>
        <v>0</v>
      </c>
      <c r="D30" s="151">
        <f>D14*MI_CUPercent3</f>
        <v>0</v>
      </c>
      <c r="E30" s="151">
        <f>E14*MI_CUPercent4</f>
        <v>0</v>
      </c>
      <c r="F30" s="151">
        <f>F14*MI_CUPercent5</f>
        <v>0</v>
      </c>
    </row>
    <row r="31" spans="1:6">
      <c r="A31" s="13" t="str">
        <f>'NORTH FORK'!A26</f>
        <v>Non-Federal Reservoir Evaporation</v>
      </c>
      <c r="B31" s="151">
        <f>B15</f>
        <v>97.501833329999997</v>
      </c>
      <c r="C31" s="151">
        <f>C15</f>
        <v>87.498319999999893</v>
      </c>
      <c r="D31" s="151">
        <f>D15</f>
        <v>88</v>
      </c>
      <c r="E31" s="151">
        <f>E15</f>
        <v>152.37366666666662</v>
      </c>
      <c r="F31" s="151">
        <f>F15</f>
        <v>127</v>
      </c>
    </row>
    <row r="32" spans="1:6">
      <c r="A32" s="13" t="str">
        <f>'NORTH FORK'!A27</f>
        <v>SW CBCU</v>
      </c>
      <c r="B32" s="151">
        <f>B28+B29+B30+B31</f>
        <v>97.501833329999997</v>
      </c>
      <c r="C32" s="151">
        <f>C28+C29+C30+C31</f>
        <v>87.498319999999893</v>
      </c>
      <c r="D32" s="151">
        <f>D28+D29+D30+D31</f>
        <v>88</v>
      </c>
      <c r="E32" s="151">
        <f>E28+E29+E30+E31</f>
        <v>152.46141869780936</v>
      </c>
      <c r="F32" s="151">
        <f>F28+F29+F30+F31</f>
        <v>127</v>
      </c>
    </row>
    <row r="33" spans="1:6">
      <c r="A33" s="13" t="str">
        <f>'NORTH FORK'!A28</f>
        <v>GW CBCU</v>
      </c>
      <c r="B33" s="151">
        <f>+B8</f>
        <v>5064</v>
      </c>
      <c r="C33" s="151">
        <f>+C8</f>
        <v>5200</v>
      </c>
      <c r="D33" s="151">
        <f>+D8</f>
        <v>5293</v>
      </c>
      <c r="E33" s="151">
        <f>+E8</f>
        <v>5190</v>
      </c>
      <c r="F33" s="151">
        <f>+F8</f>
        <v>5113</v>
      </c>
    </row>
    <row r="34" spans="1:6">
      <c r="A34" s="13" t="str">
        <f>'NORTH FORK'!A29</f>
        <v>Total CBCU</v>
      </c>
      <c r="B34" s="151">
        <f>(ROUND(SUM(B32:B33),-1))</f>
        <v>5160</v>
      </c>
      <c r="C34" s="151">
        <f>(ROUND(SUM(C32:C33),-1))</f>
        <v>5290</v>
      </c>
      <c r="D34" s="151">
        <f>(ROUND(SUM(D32:D33),-1))</f>
        <v>5380</v>
      </c>
      <c r="E34" s="151">
        <f>(ROUND(SUM(E32:E33),-1))</f>
        <v>5340</v>
      </c>
      <c r="F34" s="151">
        <f>(ROUND(SUM(F32:F33),-1))</f>
        <v>5240</v>
      </c>
    </row>
    <row r="35" spans="1:6">
      <c r="A35" s="45" t="s">
        <v>66</v>
      </c>
      <c r="B35" s="151"/>
      <c r="C35" s="151"/>
      <c r="D35" s="151"/>
      <c r="E35" s="151"/>
      <c r="F35" s="151"/>
    </row>
    <row r="36" spans="1:6">
      <c r="A36" s="4" t="s">
        <v>162</v>
      </c>
      <c r="B36" s="151"/>
      <c r="C36" s="151"/>
      <c r="D36" s="151"/>
      <c r="E36" s="151"/>
      <c r="F36" s="151"/>
    </row>
    <row r="37" spans="1:6">
      <c r="A37" s="45" t="str">
        <f>'NORTH FORK'!A42</f>
        <v>Total SW CBCU</v>
      </c>
      <c r="B37" s="151">
        <f>+B32</f>
        <v>97.501833329999997</v>
      </c>
      <c r="C37" s="151">
        <f>+C32</f>
        <v>87.498319999999893</v>
      </c>
      <c r="D37" s="151">
        <f>+D32</f>
        <v>88</v>
      </c>
      <c r="E37" s="151">
        <f>+E32</f>
        <v>152.46141869780936</v>
      </c>
      <c r="F37" s="151">
        <f>+F32</f>
        <v>127</v>
      </c>
    </row>
    <row r="38" spans="1:6">
      <c r="A38" s="45" t="str">
        <f>'NORTH FORK'!A43</f>
        <v>Total GW CBCU</v>
      </c>
      <c r="B38" s="151">
        <f>+B20+B24+B33</f>
        <v>5176</v>
      </c>
      <c r="C38" s="151">
        <f>+C20+C24+C33</f>
        <v>5323</v>
      </c>
      <c r="D38" s="151">
        <f>+D20+D24+D33</f>
        <v>5427</v>
      </c>
      <c r="E38" s="151">
        <f>+E20+E24+E33</f>
        <v>5284</v>
      </c>
      <c r="F38" s="151">
        <f>+F20+F24+F33</f>
        <v>5195</v>
      </c>
    </row>
    <row r="39" spans="1:6">
      <c r="A39" s="45" t="str">
        <f>'NORTH FORK'!A44</f>
        <v>Total Basin CBCU</v>
      </c>
      <c r="B39" s="151">
        <f>(ROUND(SUM(B37:B38),-1))</f>
        <v>5270</v>
      </c>
      <c r="C39" s="151">
        <f>(ROUND(SUM(C37:C38),-1))</f>
        <v>5410</v>
      </c>
      <c r="D39" s="151">
        <f>(ROUND(SUM(D37:D38),-1))</f>
        <v>5520</v>
      </c>
      <c r="E39" s="151">
        <f>(ROUND(SUM(E37:E38),-1))</f>
        <v>5440</v>
      </c>
      <c r="F39" s="151">
        <f>(ROUND(SUM(F37:F38),-1))</f>
        <v>5320</v>
      </c>
    </row>
    <row r="40" spans="1:6">
      <c r="A40" s="45" t="s">
        <v>66</v>
      </c>
      <c r="B40" s="151"/>
      <c r="C40" s="151"/>
      <c r="D40" s="151"/>
      <c r="E40" s="151"/>
      <c r="F40" s="151"/>
    </row>
    <row r="41" spans="1:6" ht="15.75">
      <c r="A41" s="10" t="s">
        <v>10</v>
      </c>
      <c r="B41" s="151"/>
      <c r="C41" s="151"/>
      <c r="D41" s="151"/>
      <c r="E41" s="151"/>
      <c r="F41" s="151"/>
    </row>
    <row r="42" spans="1:6">
      <c r="A42" s="13" t="str">
        <f t="shared" ref="A42:F42" si="0">A11</f>
        <v>Rock Creek At Parks</v>
      </c>
      <c r="B42" s="151">
        <f t="shared" si="0"/>
        <v>8686</v>
      </c>
      <c r="C42" s="151">
        <f t="shared" si="0"/>
        <v>4095</v>
      </c>
      <c r="D42" s="151">
        <f t="shared" si="0"/>
        <v>3748</v>
      </c>
      <c r="E42" s="151">
        <f t="shared" si="0"/>
        <v>4049</v>
      </c>
      <c r="F42" s="151">
        <f t="shared" si="0"/>
        <v>3583</v>
      </c>
    </row>
    <row r="43" spans="1:6">
      <c r="A43" s="13" t="str">
        <f>'NORTH FORK'!A49</f>
        <v>Colorado CBCU</v>
      </c>
      <c r="B43" s="151">
        <f>+B21</f>
        <v>110</v>
      </c>
      <c r="C43" s="151">
        <f>+C21</f>
        <v>120</v>
      </c>
      <c r="D43" s="151">
        <f>+D21</f>
        <v>130</v>
      </c>
      <c r="E43" s="151">
        <f>+E21</f>
        <v>90</v>
      </c>
      <c r="F43" s="151">
        <f>+F21</f>
        <v>80</v>
      </c>
    </row>
    <row r="44" spans="1:6">
      <c r="A44" s="13" t="str">
        <f>'NORTH FORK'!A50</f>
        <v>Kansas CBCU</v>
      </c>
      <c r="B44" s="151">
        <f>+B25</f>
        <v>0</v>
      </c>
      <c r="C44" s="151">
        <f>+C25</f>
        <v>0</v>
      </c>
      <c r="D44" s="151">
        <f>+D25</f>
        <v>0</v>
      </c>
      <c r="E44" s="151">
        <f>+E25</f>
        <v>0</v>
      </c>
      <c r="F44" s="151">
        <f>+F25</f>
        <v>0</v>
      </c>
    </row>
    <row r="45" spans="1:6">
      <c r="A45" s="13" t="str">
        <f>'NORTH FORK'!A51</f>
        <v>Nebraska CBCU</v>
      </c>
      <c r="B45" s="151">
        <f>+B34</f>
        <v>5160</v>
      </c>
      <c r="C45" s="151">
        <f>+C34</f>
        <v>5290</v>
      </c>
      <c r="D45" s="151">
        <f>+D34</f>
        <v>5380</v>
      </c>
      <c r="E45" s="151">
        <f>+E34</f>
        <v>5340</v>
      </c>
      <c r="F45" s="151">
        <f>+F34</f>
        <v>5240</v>
      </c>
    </row>
    <row r="46" spans="1:6">
      <c r="A46" s="13" t="str">
        <f>'NORTH FORK'!A52</f>
        <v>Imported Water</v>
      </c>
      <c r="B46" s="151">
        <f>B5</f>
        <v>0</v>
      </c>
      <c r="C46" s="151">
        <f>C5</f>
        <v>0</v>
      </c>
      <c r="D46" s="151">
        <f>D5</f>
        <v>0</v>
      </c>
      <c r="E46" s="151">
        <f>E5</f>
        <v>0</v>
      </c>
      <c r="F46" s="151">
        <f>F5</f>
        <v>0</v>
      </c>
    </row>
    <row r="47" spans="1:6">
      <c r="A47" s="48" t="s">
        <v>564</v>
      </c>
      <c r="B47" s="151">
        <f>B9</f>
        <v>4563</v>
      </c>
      <c r="C47" s="151">
        <f>C9</f>
        <v>0</v>
      </c>
      <c r="D47" s="151">
        <f>D9</f>
        <v>0</v>
      </c>
      <c r="E47" s="151">
        <f>E9</f>
        <v>0</v>
      </c>
      <c r="F47" s="151">
        <f>F9</f>
        <v>0</v>
      </c>
    </row>
    <row r="48" spans="1:6">
      <c r="A48" s="13" t="str">
        <f>'NORTH FORK'!A54</f>
        <v>Virgin Water Supply</v>
      </c>
      <c r="B48" s="151">
        <f>ROUND(SUM(B42:B45)-B46-B47,-1)</f>
        <v>9390</v>
      </c>
      <c r="C48" s="151">
        <f>ROUND(SUM(C42:C45)-C46-C47,-1)</f>
        <v>9510</v>
      </c>
      <c r="D48" s="151">
        <f>ROUND(SUM(D42:D45)-D46-D47,-1)</f>
        <v>9260</v>
      </c>
      <c r="E48" s="151">
        <f>ROUND(SUM(E42:E45)-E46-E47,-1)</f>
        <v>9480</v>
      </c>
      <c r="F48" s="151">
        <f>ROUND(SUM(F42:F45)-F46-F47,-1)</f>
        <v>8900</v>
      </c>
    </row>
    <row r="49" spans="1:6">
      <c r="A49" s="13" t="str">
        <f>'NORTH FORK'!A55</f>
        <v>Adjustment For Flood Flows</v>
      </c>
      <c r="B49" s="151">
        <f>B16</f>
        <v>0</v>
      </c>
      <c r="C49" s="151">
        <f>C16</f>
        <v>0</v>
      </c>
      <c r="D49" s="151">
        <f>D16</f>
        <v>0</v>
      </c>
      <c r="E49" s="151">
        <f>E16</f>
        <v>0</v>
      </c>
      <c r="F49" s="151">
        <f>F16</f>
        <v>0</v>
      </c>
    </row>
    <row r="50" spans="1:6">
      <c r="A50" s="13" t="str">
        <f>'NORTH FORK'!A56</f>
        <v>Computed Water Supply</v>
      </c>
      <c r="B50" s="151">
        <f>ROUND(+B48-B49,-1)</f>
        <v>9390</v>
      </c>
      <c r="C50" s="151">
        <f>ROUND(+C48-C49,-1)</f>
        <v>9510</v>
      </c>
      <c r="D50" s="151">
        <f>ROUND(+D48-D49,-1)</f>
        <v>9260</v>
      </c>
      <c r="E50" s="151">
        <f>ROUND(+E48-E49,-1)</f>
        <v>9480</v>
      </c>
      <c r="F50" s="151">
        <f>ROUND(+F48-F49,-1)</f>
        <v>8900</v>
      </c>
    </row>
    <row r="51" spans="1:6">
      <c r="A51" s="8" t="s">
        <v>66</v>
      </c>
      <c r="B51" s="145"/>
      <c r="C51" s="145"/>
      <c r="D51" s="145"/>
      <c r="E51" s="145"/>
      <c r="F51" s="145"/>
    </row>
    <row r="52" spans="1:6" ht="15.75">
      <c r="A52" s="10" t="s">
        <v>12</v>
      </c>
      <c r="B52" s="154"/>
      <c r="C52" s="154"/>
      <c r="D52" s="154"/>
      <c r="E52" s="154"/>
      <c r="F52" s="154"/>
    </row>
    <row r="53" spans="1:6">
      <c r="A53" s="2" t="str">
        <f>'NORTH FORK'!A59</f>
        <v>Colorado Percent Of Allocation</v>
      </c>
      <c r="B53" s="117">
        <f>'T2'!$D6</f>
        <v>0</v>
      </c>
      <c r="C53" s="117">
        <f>'T2'!$D6</f>
        <v>0</v>
      </c>
      <c r="D53" s="117">
        <f>'T2'!$D6</f>
        <v>0</v>
      </c>
      <c r="E53" s="117">
        <f>'T2'!$D6</f>
        <v>0</v>
      </c>
      <c r="F53" s="117">
        <f>'T2'!$D6</f>
        <v>0</v>
      </c>
    </row>
    <row r="54" spans="1:6">
      <c r="A54" s="2" t="str">
        <f>'NORTH FORK'!A60</f>
        <v>Colorado Allocation</v>
      </c>
      <c r="B54" s="145">
        <f>ROUND(+B50*B53,-1)</f>
        <v>0</v>
      </c>
      <c r="C54" s="145">
        <f>ROUND(+C50*C53,-1)</f>
        <v>0</v>
      </c>
      <c r="D54" s="145">
        <f>ROUND(+D50*D53,-1)</f>
        <v>0</v>
      </c>
      <c r="E54" s="145">
        <f>ROUND(+E50*E53,-1)</f>
        <v>0</v>
      </c>
      <c r="F54" s="145">
        <f>ROUND(+F50*F53,-1)</f>
        <v>0</v>
      </c>
    </row>
    <row r="55" spans="1:6">
      <c r="A55" s="2" t="str">
        <f>'NORTH FORK'!A61</f>
        <v>Kansas Percent Of Allocation</v>
      </c>
      <c r="B55" s="117">
        <f>'T2'!$F6</f>
        <v>0</v>
      </c>
      <c r="C55" s="117">
        <f>'T2'!$F6</f>
        <v>0</v>
      </c>
      <c r="D55" s="117">
        <f>'T2'!$F6</f>
        <v>0</v>
      </c>
      <c r="E55" s="117">
        <f>'T2'!$F6</f>
        <v>0</v>
      </c>
      <c r="F55" s="117">
        <f>'T2'!$F6</f>
        <v>0</v>
      </c>
    </row>
    <row r="56" spans="1:6">
      <c r="A56" s="2" t="str">
        <f>'NORTH FORK'!A62</f>
        <v>Kansas Allocation</v>
      </c>
      <c r="B56" s="145">
        <f>ROUND(B50*B55,-1)</f>
        <v>0</v>
      </c>
      <c r="C56" s="145">
        <f>ROUND(C50*C55,-1)</f>
        <v>0</v>
      </c>
      <c r="D56" s="145">
        <f>ROUND(D50*D55,-1)</f>
        <v>0</v>
      </c>
      <c r="E56" s="145">
        <f>ROUND(E50*E55,-1)</f>
        <v>0</v>
      </c>
      <c r="F56" s="145">
        <f>ROUND(F50*F55,-1)</f>
        <v>0</v>
      </c>
    </row>
    <row r="57" spans="1:6">
      <c r="A57" s="2" t="str">
        <f>'NORTH FORK'!A63</f>
        <v>Nebraska Percent Of Allocation</v>
      </c>
      <c r="B57" s="117">
        <f>'T2'!$H6</f>
        <v>0.4</v>
      </c>
      <c r="C57" s="117">
        <f>'T2'!$H6</f>
        <v>0.4</v>
      </c>
      <c r="D57" s="117">
        <f>'T2'!$H6</f>
        <v>0.4</v>
      </c>
      <c r="E57" s="117">
        <f>'T2'!$H6</f>
        <v>0.4</v>
      </c>
      <c r="F57" s="117">
        <f>'T2'!$H6</f>
        <v>0.4</v>
      </c>
    </row>
    <row r="58" spans="1:6">
      <c r="A58" s="2" t="str">
        <f>'NORTH FORK'!A64</f>
        <v>Nebraska Allocation</v>
      </c>
      <c r="B58" s="145">
        <f>ROUND(B50*B57,-1)</f>
        <v>3760</v>
      </c>
      <c r="C58" s="145">
        <f>ROUND(C50*C57,-1)</f>
        <v>3800</v>
      </c>
      <c r="D58" s="145">
        <f>ROUND(D50*D57,-1)</f>
        <v>3700</v>
      </c>
      <c r="E58" s="145">
        <f>ROUND(E50*E57,-1)</f>
        <v>3790</v>
      </c>
      <c r="F58" s="145">
        <f>ROUND(F50*F57,-1)</f>
        <v>3560</v>
      </c>
    </row>
    <row r="59" spans="1:6">
      <c r="A59" s="2" t="str">
        <f>'NORTH FORK'!A65</f>
        <v>Total Basin Allocation</v>
      </c>
      <c r="B59" s="145">
        <f>+B54+B56+B58</f>
        <v>3760</v>
      </c>
      <c r="C59" s="145">
        <f>+C54+C56+C58</f>
        <v>3800</v>
      </c>
      <c r="D59" s="145">
        <f>+D54+D56+D58</f>
        <v>3700</v>
      </c>
      <c r="E59" s="145">
        <f>+E54+E56+E58</f>
        <v>3790</v>
      </c>
      <c r="F59" s="145">
        <f>+F54+F56+F58</f>
        <v>3560</v>
      </c>
    </row>
    <row r="60" spans="1:6">
      <c r="A60" s="2" t="str">
        <f>'NORTH FORK'!A66</f>
        <v>Percent Of Supply Not Allocated</v>
      </c>
      <c r="B60" s="117">
        <f>'T2'!$J6</f>
        <v>0.6</v>
      </c>
      <c r="C60" s="117">
        <f>'T2'!$J6</f>
        <v>0.6</v>
      </c>
      <c r="D60" s="117">
        <f>'T2'!$J6</f>
        <v>0.6</v>
      </c>
      <c r="E60" s="117">
        <f>'T2'!$J6</f>
        <v>0.6</v>
      </c>
      <c r="F60" s="117">
        <f>'T2'!$J6</f>
        <v>0.6</v>
      </c>
    </row>
    <row r="61" spans="1:6">
      <c r="A61" s="2" t="str">
        <f>'NORTH FORK'!A67</f>
        <v>Quantity Of Unallocated Supply</v>
      </c>
      <c r="B61" s="145">
        <f>+B50-B54-B56-B58</f>
        <v>5630</v>
      </c>
      <c r="C61" s="145">
        <f>+C50-C54-C56-C58</f>
        <v>5710</v>
      </c>
      <c r="D61" s="145">
        <f>+D50-D54-D56-D58</f>
        <v>5560</v>
      </c>
      <c r="E61" s="145">
        <f>+E50-E54-E56-E58</f>
        <v>5690</v>
      </c>
      <c r="F61" s="145">
        <f>+F50-F54-F56-F58</f>
        <v>5340</v>
      </c>
    </row>
  </sheetData>
  <phoneticPr fontId="0" type="noConversion"/>
  <printOptions headings="1"/>
  <pageMargins left="0.75" right="0.75" top="0.75" bottom="0.5" header="0.25" footer="0.5"/>
  <pageSetup paperSize="3"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4"/>
  <sheetViews>
    <sheetView workbookViewId="0">
      <pane ySplit="1" topLeftCell="A2" activePane="bottomLeft" state="frozen"/>
      <selection pane="bottomLeft" activeCell="B1" sqref="B1:F1"/>
    </sheetView>
  </sheetViews>
  <sheetFormatPr defaultRowHeight="12.75"/>
  <cols>
    <col min="1" max="1" width="69.42578125" customWidth="1"/>
  </cols>
  <sheetData>
    <row r="1" spans="1:6" ht="15.75">
      <c r="A1" s="37" t="s">
        <v>209</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+INPUT!B51</f>
        <v>Imported Water Nebraska</v>
      </c>
      <c r="B5" s="145">
        <f>+INPUT!C51</f>
        <v>0</v>
      </c>
      <c r="C5" s="145">
        <f>+INPUT!D51</f>
        <v>0</v>
      </c>
      <c r="D5" s="145">
        <f>+INPUT!E51</f>
        <v>0</v>
      </c>
      <c r="E5" s="145">
        <f>+INPUT!F51</f>
        <v>0</v>
      </c>
      <c r="F5" s="145">
        <f>+INPUT!G51</f>
        <v>0</v>
      </c>
    </row>
    <row r="6" spans="1:6">
      <c r="A6" s="31" t="str">
        <f>+INPUT!B16</f>
        <v>GW CBCU Colorado</v>
      </c>
      <c r="B6" s="145">
        <f>+INPUT!C16</f>
        <v>13537</v>
      </c>
      <c r="C6" s="145">
        <f>+INPUT!D16</f>
        <v>14602</v>
      </c>
      <c r="D6" s="145">
        <f>+INPUT!E16</f>
        <v>13154</v>
      </c>
      <c r="E6" s="145">
        <f>+INPUT!F16</f>
        <v>11037</v>
      </c>
      <c r="F6" s="145">
        <f>+INPUT!G16</f>
        <v>13764</v>
      </c>
    </row>
    <row r="7" spans="1:6">
      <c r="A7" s="31" t="str">
        <f>+INPUT!B17</f>
        <v>GW CBCU Kansas</v>
      </c>
      <c r="B7" s="145">
        <f>+INPUT!C17</f>
        <v>4637</v>
      </c>
      <c r="C7" s="145">
        <f>+INPUT!D17</f>
        <v>6630</v>
      </c>
      <c r="D7" s="145">
        <f>+INPUT!E17</f>
        <v>3366</v>
      </c>
      <c r="E7" s="145">
        <f>+INPUT!F17</f>
        <v>3490</v>
      </c>
      <c r="F7" s="145">
        <f>+INPUT!G17</f>
        <v>5176</v>
      </c>
    </row>
    <row r="8" spans="1:6" ht="12" customHeight="1">
      <c r="A8" s="31" t="str">
        <f>+INPUT!B18</f>
        <v>GW CBCU Nebraska</v>
      </c>
      <c r="B8" s="145">
        <f>+INPUT!C18</f>
        <v>699</v>
      </c>
      <c r="C8" s="145">
        <f>+INPUT!D18</f>
        <v>974</v>
      </c>
      <c r="D8" s="145">
        <f>+INPUT!E18</f>
        <v>607</v>
      </c>
      <c r="E8" s="145">
        <f>+INPUT!F18</f>
        <v>717</v>
      </c>
      <c r="F8" s="145">
        <f>+INPUT!G18</f>
        <v>774</v>
      </c>
    </row>
    <row r="9" spans="1:6" ht="12" customHeight="1">
      <c r="A9" s="8" t="s">
        <v>66</v>
      </c>
      <c r="B9" s="145"/>
      <c r="C9" s="145"/>
      <c r="D9" s="145"/>
      <c r="E9" s="145"/>
      <c r="F9" s="145"/>
    </row>
    <row r="10" spans="1:6">
      <c r="A10" s="4" t="s">
        <v>160</v>
      </c>
      <c r="B10" s="145"/>
      <c r="C10" s="145"/>
      <c r="D10" s="145"/>
      <c r="E10" s="145"/>
      <c r="F10" s="145"/>
    </row>
    <row r="11" spans="1:6">
      <c r="A11" s="31" t="str">
        <f>+INPUT!B188</f>
        <v>South Fork Republican River Near Benkelman</v>
      </c>
      <c r="B11" s="145">
        <f>+INPUT!C188</f>
        <v>2385</v>
      </c>
      <c r="C11" s="145">
        <f>+INPUT!D188</f>
        <v>1970</v>
      </c>
      <c r="D11" s="145">
        <f>+INPUT!E188</f>
        <v>2385</v>
      </c>
      <c r="E11" s="145">
        <f>+INPUT!F188</f>
        <v>7229.355371900826</v>
      </c>
      <c r="F11" s="145">
        <f>+INPUT!G188</f>
        <v>321</v>
      </c>
    </row>
    <row r="12" spans="1:6">
      <c r="A12" s="31" t="str">
        <f>+INPUT!B215</f>
        <v>Bonny Reservoir Evaporation</v>
      </c>
      <c r="B12" s="145">
        <f>+INPUT!C215</f>
        <v>0</v>
      </c>
      <c r="C12" s="145">
        <f>+INPUT!D215</f>
        <v>0</v>
      </c>
      <c r="D12" s="145">
        <f>+INPUT!E215</f>
        <v>0</v>
      </c>
      <c r="E12" s="145">
        <f>+INPUT!F215</f>
        <v>0</v>
      </c>
      <c r="F12" s="145">
        <f>+INPUT!G215</f>
        <v>0</v>
      </c>
    </row>
    <row r="13" spans="1:6">
      <c r="A13" s="31" t="str">
        <f>+INPUT!B216</f>
        <v>Bonny Reservoir Change In Storage</v>
      </c>
      <c r="B13" s="145">
        <f>+INPUT!C216</f>
        <v>0</v>
      </c>
      <c r="C13" s="145">
        <f>+INPUT!D216</f>
        <v>0</v>
      </c>
      <c r="D13" s="145">
        <f>+INPUT!E216</f>
        <v>0</v>
      </c>
      <c r="E13" s="145">
        <f>+INPUT!F216</f>
        <v>0</v>
      </c>
      <c r="F13" s="145">
        <f>+INPUT!G216</f>
        <v>0</v>
      </c>
    </row>
    <row r="14" spans="1:6">
      <c r="A14" s="31" t="str">
        <f>+INPUT!B236</f>
        <v>Hale Ditch Diversions</v>
      </c>
      <c r="B14" s="145">
        <f>+INPUT!C236</f>
        <v>716</v>
      </c>
      <c r="C14" s="145">
        <f>+INPUT!D236</f>
        <v>594</v>
      </c>
      <c r="D14" s="145">
        <f>+INPUT!E236</f>
        <v>0</v>
      </c>
      <c r="E14" s="145">
        <f>+INPUT!F236</f>
        <v>0</v>
      </c>
      <c r="F14" s="145">
        <f>+INPUT!G236</f>
        <v>0</v>
      </c>
    </row>
    <row r="15" spans="1:6">
      <c r="A15" s="31" t="str">
        <f>+INPUT!B84</f>
        <v>SW Diversions - Irrigation -Non-Federal Canals- Colorado</v>
      </c>
      <c r="B15" s="145">
        <f>+INPUT!C84</f>
        <v>0</v>
      </c>
      <c r="C15" s="145">
        <f>+INPUT!D84</f>
        <v>0</v>
      </c>
      <c r="D15" s="145">
        <f>+INPUT!E84</f>
        <v>0</v>
      </c>
      <c r="E15" s="145">
        <f>+INPUT!F84</f>
        <v>0</v>
      </c>
      <c r="F15" s="145">
        <f>+INPUT!G84</f>
        <v>0</v>
      </c>
    </row>
    <row r="16" spans="1:6">
      <c r="A16" s="50" t="str">
        <f>+INPUT!B85</f>
        <v>SW Diversions - Irrigation - Small Pumps - Colorado</v>
      </c>
      <c r="B16" s="151">
        <f>+INPUT!C85</f>
        <v>0</v>
      </c>
      <c r="C16" s="151">
        <f>+INPUT!D85</f>
        <v>0</v>
      </c>
      <c r="D16" s="151">
        <f>+INPUT!E85</f>
        <v>0</v>
      </c>
      <c r="E16" s="151">
        <f>+INPUT!F85</f>
        <v>0</v>
      </c>
      <c r="F16" s="151">
        <f>+INPUT!G85</f>
        <v>0</v>
      </c>
    </row>
    <row r="17" spans="1:6">
      <c r="A17" s="50" t="str">
        <f>+INPUT!B86</f>
        <v>SW Diversions - M&amp;I - Colorado</v>
      </c>
      <c r="B17" s="151">
        <f>+INPUT!C86</f>
        <v>0</v>
      </c>
      <c r="C17" s="151">
        <f>+INPUT!D86</f>
        <v>0</v>
      </c>
      <c r="D17" s="151">
        <f>+INPUT!E86</f>
        <v>0</v>
      </c>
      <c r="E17" s="151">
        <f>+INPUT!F86</f>
        <v>0</v>
      </c>
      <c r="F17" s="151">
        <f>+INPUT!G86</f>
        <v>0</v>
      </c>
    </row>
    <row r="18" spans="1:6">
      <c r="A18" s="50" t="str">
        <f>+INPUT!B87</f>
        <v>SW Diversions - Irrigation - Non-Federal Canals- Kansas</v>
      </c>
      <c r="B18" s="151">
        <f>+INPUT!C87</f>
        <v>0</v>
      </c>
      <c r="C18" s="151">
        <f>+INPUT!D87</f>
        <v>0</v>
      </c>
      <c r="D18" s="151">
        <f>+INPUT!E87</f>
        <v>0</v>
      </c>
      <c r="E18" s="151">
        <f>+INPUT!F87</f>
        <v>0</v>
      </c>
      <c r="F18" s="151">
        <f>+INPUT!G87</f>
        <v>0</v>
      </c>
    </row>
    <row r="19" spans="1:6">
      <c r="A19" s="50" t="str">
        <f>+INPUT!B88</f>
        <v>SW Diversions - Irrigation - Small Pumps - Kansas</v>
      </c>
      <c r="B19" s="151">
        <f>+INPUT!C88</f>
        <v>0</v>
      </c>
      <c r="C19" s="151">
        <f>+INPUT!D88</f>
        <v>0</v>
      </c>
      <c r="D19" s="151">
        <f>+INPUT!E88</f>
        <v>0</v>
      </c>
      <c r="E19" s="151">
        <f>+INPUT!F88</f>
        <v>0</v>
      </c>
      <c r="F19" s="151">
        <f>+INPUT!G88</f>
        <v>0</v>
      </c>
    </row>
    <row r="20" spans="1:6">
      <c r="A20" s="50" t="str">
        <f>+INPUT!B89</f>
        <v>SW Diversions - M&amp;I - Kansas</v>
      </c>
      <c r="B20" s="151">
        <f>+INPUT!C89</f>
        <v>0</v>
      </c>
      <c r="C20" s="151">
        <f>+INPUT!D89</f>
        <v>0</v>
      </c>
      <c r="D20" s="151">
        <f>+INPUT!E89</f>
        <v>0</v>
      </c>
      <c r="E20" s="151">
        <f>+INPUT!F89</f>
        <v>0</v>
      </c>
      <c r="F20" s="151">
        <f>+INPUT!G89</f>
        <v>0</v>
      </c>
    </row>
    <row r="21" spans="1:6">
      <c r="A21" s="50" t="str">
        <f>+INPUT!B90</f>
        <v>SW Diversions - Irrigation - Non-Federal Canals - Nebraska</v>
      </c>
      <c r="B21" s="151">
        <f>+INPUT!C90</f>
        <v>0</v>
      </c>
      <c r="C21" s="151">
        <f>+INPUT!D90</f>
        <v>0</v>
      </c>
      <c r="D21" s="151">
        <f>+INPUT!E90</f>
        <v>0</v>
      </c>
      <c r="E21" s="151">
        <f>+INPUT!F90</f>
        <v>0</v>
      </c>
      <c r="F21" s="151">
        <f>+INPUT!G90</f>
        <v>0</v>
      </c>
    </row>
    <row r="22" spans="1:6">
      <c r="A22" s="50" t="str">
        <f>+INPUT!B91</f>
        <v>SW Diversions - Irrigation - Small Pumps - Nebraska</v>
      </c>
      <c r="B22" s="151">
        <f>+INPUT!C91</f>
        <v>0</v>
      </c>
      <c r="C22" s="151">
        <f>+INPUT!D91</f>
        <v>0</v>
      </c>
      <c r="D22" s="151">
        <f>+INPUT!E91</f>
        <v>0</v>
      </c>
      <c r="E22" s="151">
        <f>+INPUT!F91</f>
        <v>0</v>
      </c>
      <c r="F22" s="151">
        <f>+INPUT!G91</f>
        <v>0</v>
      </c>
    </row>
    <row r="23" spans="1:6">
      <c r="A23" s="50" t="str">
        <f>INPUT!B92</f>
        <v>SW Diversions - M&amp;I - Nebraska</v>
      </c>
      <c r="B23" s="151">
        <f>INPUT!C92</f>
        <v>0</v>
      </c>
      <c r="C23" s="151">
        <f>INPUT!D92</f>
        <v>0</v>
      </c>
      <c r="D23" s="151">
        <f>INPUT!E92</f>
        <v>0</v>
      </c>
      <c r="E23" s="151">
        <f>INPUT!F92</f>
        <v>0</v>
      </c>
      <c r="F23" s="151">
        <f>INPUT!G92</f>
        <v>0</v>
      </c>
    </row>
    <row r="24" spans="1:6">
      <c r="A24" s="50" t="str">
        <f>+INPUT!B161</f>
        <v>Non-Federal Reservoir Evaporation - Colorado</v>
      </c>
      <c r="B24" s="151">
        <f>+INPUT!C161</f>
        <v>14</v>
      </c>
      <c r="C24" s="151">
        <f>+INPUT!D161</f>
        <v>0</v>
      </c>
      <c r="D24" s="151">
        <f>+INPUT!E161</f>
        <v>0</v>
      </c>
      <c r="E24" s="151">
        <f>+INPUT!F161</f>
        <v>0</v>
      </c>
      <c r="F24" s="151">
        <f>+INPUT!G161</f>
        <v>0</v>
      </c>
    </row>
    <row r="25" spans="1:6">
      <c r="A25" s="50" t="str">
        <f>+INPUT!B162</f>
        <v>Non-Federal Reservoir Evaporation - Kansas</v>
      </c>
      <c r="B25" s="151">
        <f>+INPUT!C162</f>
        <v>96</v>
      </c>
      <c r="C25" s="151">
        <f>+INPUT!D162</f>
        <v>106.31038709374998</v>
      </c>
      <c r="D25" s="151">
        <f>+INPUT!E162</f>
        <v>107</v>
      </c>
      <c r="E25" s="151">
        <f>+INPUT!F162</f>
        <v>164.96</v>
      </c>
      <c r="F25" s="151">
        <f>+INPUT!G162</f>
        <v>136.74</v>
      </c>
    </row>
    <row r="26" spans="1:6">
      <c r="A26" s="50" t="str">
        <f>+INPUT!B163</f>
        <v>Non-Federal Reservoir Evaporation - Nebraska</v>
      </c>
      <c r="B26" s="151">
        <f>+INPUT!C163</f>
        <v>0</v>
      </c>
      <c r="C26" s="151">
        <f>+INPUT!D163</f>
        <v>0</v>
      </c>
      <c r="D26" s="151">
        <f>+INPUT!E163</f>
        <v>0</v>
      </c>
      <c r="E26" s="151">
        <f>+INPUT!F163</f>
        <v>0</v>
      </c>
      <c r="F26" s="151">
        <f>+INPUT!G163</f>
        <v>0</v>
      </c>
    </row>
    <row r="27" spans="1:6">
      <c r="A27" s="137" t="str">
        <f>+FLOOD!A61</f>
        <v>Southfork Flood Flow</v>
      </c>
      <c r="B27" s="151">
        <f>+FLOOD!B61</f>
        <v>0</v>
      </c>
      <c r="C27" s="151">
        <f>+FLOOD!C61</f>
        <v>0</v>
      </c>
      <c r="D27" s="151">
        <f>+FLOOD!D61</f>
        <v>0</v>
      </c>
      <c r="E27" s="151">
        <f>+FLOOD!E61</f>
        <v>0</v>
      </c>
      <c r="F27" s="151">
        <f>+FLOOD!F61</f>
        <v>0</v>
      </c>
    </row>
    <row r="28" spans="1:6">
      <c r="A28" s="61" t="s">
        <v>66</v>
      </c>
      <c r="B28" s="151"/>
      <c r="C28" s="151"/>
      <c r="D28" s="151"/>
      <c r="E28" s="151"/>
      <c r="F28" s="151"/>
    </row>
    <row r="29" spans="1:6" ht="15.75">
      <c r="A29" s="9" t="s">
        <v>241</v>
      </c>
      <c r="B29" s="151"/>
      <c r="C29" s="151"/>
      <c r="D29" s="151"/>
      <c r="E29" s="151"/>
      <c r="F29" s="151"/>
    </row>
    <row r="30" spans="1:6">
      <c r="A30" s="7" t="s">
        <v>0</v>
      </c>
      <c r="B30" s="151"/>
      <c r="C30" s="151"/>
      <c r="D30" s="151"/>
      <c r="E30" s="151"/>
      <c r="F30" s="151"/>
    </row>
    <row r="31" spans="1:6">
      <c r="A31" s="11" t="s">
        <v>233</v>
      </c>
      <c r="B31" s="151">
        <f>+B14*CanalCUPercent1</f>
        <v>429.59999999999997</v>
      </c>
      <c r="C31" s="151">
        <f>+C14*CanalCUPercent2</f>
        <v>356.4</v>
      </c>
      <c r="D31" s="151">
        <f>+D14*CanalCUPercent3</f>
        <v>0</v>
      </c>
      <c r="E31" s="151">
        <f>+E14*CanalCUPercent4</f>
        <v>0</v>
      </c>
      <c r="F31" s="151">
        <f>+F14*CanalCUPercent5</f>
        <v>0</v>
      </c>
    </row>
    <row r="32" spans="1:6">
      <c r="A32" s="13" t="str">
        <f>'NORTH FORK'!A23</f>
        <v>SW CBCU - Irrigation - Non Federal Canals</v>
      </c>
      <c r="B32" s="160">
        <f>B15*CanalCUPercent1</f>
        <v>0</v>
      </c>
      <c r="C32" s="160">
        <f>C15*CanalCUPercent2</f>
        <v>0</v>
      </c>
      <c r="D32" s="160">
        <f>D15*CanalCUPercent3</f>
        <v>0</v>
      </c>
      <c r="E32" s="160">
        <f>E15*CanalCUPercent4</f>
        <v>0</v>
      </c>
      <c r="F32" s="160">
        <f>F15*CanalCUPercent5</f>
        <v>0</v>
      </c>
    </row>
    <row r="33" spans="1:6">
      <c r="A33" s="13" t="str">
        <f>'NORTH FORK'!A24</f>
        <v>SW CBCU - Irrigation - Small Pumps</v>
      </c>
      <c r="B33" s="160">
        <f>B16*PumperCUPercent1</f>
        <v>0</v>
      </c>
      <c r="C33" s="160">
        <f>C16*PumperCUPercent2</f>
        <v>0</v>
      </c>
      <c r="D33" s="160">
        <f>D16*PumperCUPercent3</f>
        <v>0</v>
      </c>
      <c r="E33" s="160">
        <f>E16*PumperCUPercent4</f>
        <v>0</v>
      </c>
      <c r="F33" s="160">
        <f>F16*PumperCUPercent5</f>
        <v>0</v>
      </c>
    </row>
    <row r="34" spans="1:6">
      <c r="A34" s="13" t="str">
        <f>'NORTH FORK'!A25</f>
        <v>SW CBCU - M&amp;I</v>
      </c>
      <c r="B34" s="151">
        <f>+B17*MI_CUPercent1</f>
        <v>0</v>
      </c>
      <c r="C34" s="151">
        <f>+C17*MI_CUPercent2</f>
        <v>0</v>
      </c>
      <c r="D34" s="151">
        <f>+D17*MI_CUPercent3</f>
        <v>0</v>
      </c>
      <c r="E34" s="151">
        <f>+E17*MI_CUPercent4</f>
        <v>0</v>
      </c>
      <c r="F34" s="151">
        <f>+F17*MI_CUPercent5</f>
        <v>0</v>
      </c>
    </row>
    <row r="35" spans="1:6">
      <c r="A35" s="13" t="str">
        <f>'NORTH FORK'!A26</f>
        <v>Non-Federal Reservoir Evaporation</v>
      </c>
      <c r="B35" s="151">
        <f>+B24</f>
        <v>14</v>
      </c>
      <c r="C35" s="151">
        <f>+C24</f>
        <v>0</v>
      </c>
      <c r="D35" s="151">
        <f>+D24</f>
        <v>0</v>
      </c>
      <c r="E35" s="151">
        <f>+E24</f>
        <v>0</v>
      </c>
      <c r="F35" s="151">
        <f>+F24</f>
        <v>0</v>
      </c>
    </row>
    <row r="36" spans="1:6">
      <c r="A36" s="45" t="str">
        <f>A12</f>
        <v>Bonny Reservoir Evaporation</v>
      </c>
      <c r="B36" s="151">
        <f>+B12</f>
        <v>0</v>
      </c>
      <c r="C36" s="151">
        <f>+C12</f>
        <v>0</v>
      </c>
      <c r="D36" s="151">
        <f>+D12</f>
        <v>0</v>
      </c>
      <c r="E36" s="151">
        <f>+E12</f>
        <v>0</v>
      </c>
      <c r="F36" s="151">
        <f>+F12</f>
        <v>0</v>
      </c>
    </row>
    <row r="37" spans="1:6">
      <c r="A37" s="13" t="str">
        <f>'NORTH FORK'!A27</f>
        <v>SW CBCU</v>
      </c>
      <c r="B37" s="151">
        <f>B31+B32+B33+B34+B35+B36</f>
        <v>443.59999999999997</v>
      </c>
      <c r="C37" s="151">
        <f>C31+C32+C33+C34+C35+C36</f>
        <v>356.4</v>
      </c>
      <c r="D37" s="151">
        <f>D31+D32+D33+D34+D35+D36</f>
        <v>0</v>
      </c>
      <c r="E37" s="151">
        <f>E31+E32+E33+E34+E35+E36</f>
        <v>0</v>
      </c>
      <c r="F37" s="151">
        <f>F31+F32+F33+F34+F35+F36</f>
        <v>0</v>
      </c>
    </row>
    <row r="38" spans="1:6">
      <c r="A38" s="13" t="str">
        <f>'NORTH FORK'!A28</f>
        <v>GW CBCU</v>
      </c>
      <c r="B38" s="151">
        <f>+B6</f>
        <v>13537</v>
      </c>
      <c r="C38" s="151">
        <f>+C6</f>
        <v>14602</v>
      </c>
      <c r="D38" s="151">
        <f>+D6</f>
        <v>13154</v>
      </c>
      <c r="E38" s="151">
        <f>+E6</f>
        <v>11037</v>
      </c>
      <c r="F38" s="151">
        <f>+F6</f>
        <v>13764</v>
      </c>
    </row>
    <row r="39" spans="1:6">
      <c r="A39" s="13" t="str">
        <f>'NORTH FORK'!A29</f>
        <v>Total CBCU</v>
      </c>
      <c r="B39" s="151">
        <f>(ROUND(SUM(B37:B38),-1))</f>
        <v>13980</v>
      </c>
      <c r="C39" s="151">
        <f>(ROUND(SUM(C37:C38),-1))</f>
        <v>14960</v>
      </c>
      <c r="D39" s="151">
        <f>(ROUND(SUM(D37:D38),-1))</f>
        <v>13150</v>
      </c>
      <c r="E39" s="151">
        <f>(ROUND(SUM(E37:E38),-1))</f>
        <v>11040</v>
      </c>
      <c r="F39" s="151">
        <f>(ROUND(SUM(F37:F38),-1))</f>
        <v>13760</v>
      </c>
    </row>
    <row r="40" spans="1:6">
      <c r="A40" s="13" t="s">
        <v>66</v>
      </c>
      <c r="B40" s="151"/>
      <c r="C40" s="151"/>
      <c r="D40" s="151"/>
      <c r="E40" s="151"/>
      <c r="F40" s="151"/>
    </row>
    <row r="41" spans="1:6">
      <c r="A41" s="7" t="s">
        <v>161</v>
      </c>
      <c r="B41" s="151"/>
      <c r="C41" s="151"/>
      <c r="D41" s="151"/>
      <c r="E41" s="151"/>
      <c r="F41" s="151"/>
    </row>
    <row r="42" spans="1:6">
      <c r="A42" s="13" t="str">
        <f>'NORTH FORK'!A23</f>
        <v>SW CBCU - Irrigation - Non Federal Canals</v>
      </c>
      <c r="B42" s="151">
        <f>+B18*CanalCUPercent1</f>
        <v>0</v>
      </c>
      <c r="C42" s="151">
        <f>+C18*CanalCUPercent2</f>
        <v>0</v>
      </c>
      <c r="D42" s="151">
        <f>+D18*CanalCUPercent3</f>
        <v>0</v>
      </c>
      <c r="E42" s="151">
        <f>+E18*CanalCUPercent4</f>
        <v>0</v>
      </c>
      <c r="F42" s="151">
        <f>+F18*CanalCUPercent5</f>
        <v>0</v>
      </c>
    </row>
    <row r="43" spans="1:6">
      <c r="A43" s="13" t="str">
        <f>'NORTH FORK'!A24</f>
        <v>SW CBCU - Irrigation - Small Pumps</v>
      </c>
      <c r="B43" s="151">
        <f>+B19*PumperCUPercent1</f>
        <v>0</v>
      </c>
      <c r="C43" s="151">
        <f>+C19*PumperCUPercent2</f>
        <v>0</v>
      </c>
      <c r="D43" s="151">
        <f>+D19*PumperCUPercent3</f>
        <v>0</v>
      </c>
      <c r="E43" s="151">
        <f>+E19*PumperCUPercent4</f>
        <v>0</v>
      </c>
      <c r="F43" s="151">
        <f>+F19*PumperCUPercent5</f>
        <v>0</v>
      </c>
    </row>
    <row r="44" spans="1:6">
      <c r="A44" s="13" t="str">
        <f>'NORTH FORK'!A25</f>
        <v>SW CBCU - M&amp;I</v>
      </c>
      <c r="B44" s="151">
        <f>+B20*MI_CUPercent1</f>
        <v>0</v>
      </c>
      <c r="C44" s="151">
        <f>+C20*MI_CUPercent2</f>
        <v>0</v>
      </c>
      <c r="D44" s="151">
        <f>+D20*MI_CUPercent3</f>
        <v>0</v>
      </c>
      <c r="E44" s="151">
        <f>+E20*MI_CUPercent4</f>
        <v>0</v>
      </c>
      <c r="F44" s="151">
        <f>+F20*MI_CUPercent5</f>
        <v>0</v>
      </c>
    </row>
    <row r="45" spans="1:6">
      <c r="A45" s="13" t="str">
        <f>'NORTH FORK'!A26</f>
        <v>Non-Federal Reservoir Evaporation</v>
      </c>
      <c r="B45" s="151">
        <f>B25</f>
        <v>96</v>
      </c>
      <c r="C45" s="151">
        <f>C25</f>
        <v>106.31038709374998</v>
      </c>
      <c r="D45" s="151">
        <f>D25</f>
        <v>107</v>
      </c>
      <c r="E45" s="151">
        <f>E25</f>
        <v>164.96</v>
      </c>
      <c r="F45" s="151">
        <f>F25</f>
        <v>136.74</v>
      </c>
    </row>
    <row r="46" spans="1:6">
      <c r="A46" s="13" t="str">
        <f>'NORTH FORK'!A27</f>
        <v>SW CBCU</v>
      </c>
      <c r="B46" s="151">
        <f>B42+B43+B44+B45</f>
        <v>96</v>
      </c>
      <c r="C46" s="151">
        <f>C42+C43+C44+C45</f>
        <v>106.31038709374998</v>
      </c>
      <c r="D46" s="151">
        <f>D42+D43+D44+D45</f>
        <v>107</v>
      </c>
      <c r="E46" s="151">
        <f>E42+E43+E44+E45</f>
        <v>164.96</v>
      </c>
      <c r="F46" s="151">
        <f>F42+F43+F44+F45</f>
        <v>136.74</v>
      </c>
    </row>
    <row r="47" spans="1:6">
      <c r="A47" s="2" t="str">
        <f>'NORTH FORK'!A28</f>
        <v>GW CBCU</v>
      </c>
      <c r="B47" s="145">
        <f>+B7</f>
        <v>4637</v>
      </c>
      <c r="C47" s="145">
        <f>+C7</f>
        <v>6630</v>
      </c>
      <c r="D47" s="145">
        <f>+D7</f>
        <v>3366</v>
      </c>
      <c r="E47" s="145">
        <f>+E7</f>
        <v>3490</v>
      </c>
      <c r="F47" s="145">
        <f>+F7</f>
        <v>5176</v>
      </c>
    </row>
    <row r="48" spans="1:6">
      <c r="A48" s="2" t="str">
        <f>'NORTH FORK'!A29</f>
        <v>Total CBCU</v>
      </c>
      <c r="B48" s="145">
        <f>(ROUND(SUM(B46:B47),-1))</f>
        <v>4730</v>
      </c>
      <c r="C48" s="145">
        <f>(ROUND(SUM(C46:C47),-1))</f>
        <v>6740</v>
      </c>
      <c r="D48" s="145">
        <f>(ROUND(SUM(D46:D47),-1))</f>
        <v>3470</v>
      </c>
      <c r="E48" s="145">
        <f>(ROUND(SUM(E46:E47),-1))</f>
        <v>3650</v>
      </c>
      <c r="F48" s="145">
        <f>(ROUND(SUM(F46:F47),-1))</f>
        <v>5310</v>
      </c>
    </row>
    <row r="49" spans="1:6">
      <c r="A49" s="2" t="s">
        <v>66</v>
      </c>
      <c r="B49" s="145"/>
      <c r="C49" s="145"/>
      <c r="D49" s="145"/>
      <c r="E49" s="145"/>
      <c r="F49" s="145"/>
    </row>
    <row r="50" spans="1:6">
      <c r="A50" s="7" t="s">
        <v>1</v>
      </c>
      <c r="B50" s="145"/>
      <c r="C50" s="145"/>
      <c r="D50" s="145"/>
      <c r="E50" s="145"/>
      <c r="F50" s="145"/>
    </row>
    <row r="51" spans="1:6">
      <c r="A51" s="13" t="str">
        <f>'NORTH FORK'!A23</f>
        <v>SW CBCU - Irrigation - Non Federal Canals</v>
      </c>
      <c r="B51" s="145">
        <f>B21*CanalCUPercent1</f>
        <v>0</v>
      </c>
      <c r="C51" s="145">
        <f>C21*CanalCUPercent2</f>
        <v>0</v>
      </c>
      <c r="D51" s="145">
        <f>D21*CanalCUPercent3</f>
        <v>0</v>
      </c>
      <c r="E51" s="145">
        <f>E21*CanalCUPercent4</f>
        <v>0</v>
      </c>
      <c r="F51" s="145">
        <f>F21*CanalCUPercent5</f>
        <v>0</v>
      </c>
    </row>
    <row r="52" spans="1:6">
      <c r="A52" s="2" t="str">
        <f>'NORTH FORK'!A24</f>
        <v>SW CBCU - Irrigation - Small Pumps</v>
      </c>
      <c r="B52" s="145">
        <f>B22*PumperCUPercent1</f>
        <v>0</v>
      </c>
      <c r="C52" s="145">
        <f>C22*PumperCUPercent2</f>
        <v>0</v>
      </c>
      <c r="D52" s="145">
        <f>D22*PumperCUPercent3</f>
        <v>0</v>
      </c>
      <c r="E52" s="145">
        <f>E22*PumperCUPercent4</f>
        <v>0</v>
      </c>
      <c r="F52" s="145">
        <f>F22*PumperCUPercent5</f>
        <v>0</v>
      </c>
    </row>
    <row r="53" spans="1:6">
      <c r="A53" s="2" t="str">
        <f>'NORTH FORK'!A25</f>
        <v>SW CBCU - M&amp;I</v>
      </c>
      <c r="B53" s="145">
        <f>B23*MI_CUPercent1</f>
        <v>0</v>
      </c>
      <c r="C53" s="145">
        <f>C23*MI_CUPercent2</f>
        <v>0</v>
      </c>
      <c r="D53" s="145">
        <f>D23*MI_CUPercent3</f>
        <v>0</v>
      </c>
      <c r="E53" s="145">
        <f>E23*MI_CUPercent4</f>
        <v>0</v>
      </c>
      <c r="F53" s="145">
        <f>F23*MI_CUPercent5</f>
        <v>0</v>
      </c>
    </row>
    <row r="54" spans="1:6">
      <c r="A54" s="2" t="str">
        <f>'NORTH FORK'!A26</f>
        <v>Non-Federal Reservoir Evaporation</v>
      </c>
      <c r="B54" s="145">
        <f>B26</f>
        <v>0</v>
      </c>
      <c r="C54" s="145">
        <f>C26</f>
        <v>0</v>
      </c>
      <c r="D54" s="145">
        <f>D26</f>
        <v>0</v>
      </c>
      <c r="E54" s="145">
        <f>E26</f>
        <v>0</v>
      </c>
      <c r="F54" s="145">
        <f>F26</f>
        <v>0</v>
      </c>
    </row>
    <row r="55" spans="1:6">
      <c r="A55" s="2" t="str">
        <f>'NORTH FORK'!A27</f>
        <v>SW CBCU</v>
      </c>
      <c r="B55" s="161">
        <f>B51+B52+B53+B54</f>
        <v>0</v>
      </c>
      <c r="C55" s="161">
        <f>C51+C52+C53+C54</f>
        <v>0</v>
      </c>
      <c r="D55" s="161">
        <f>D51+D52+D53+D54</f>
        <v>0</v>
      </c>
      <c r="E55" s="161">
        <f>E51+E52+E53+E54</f>
        <v>0</v>
      </c>
      <c r="F55" s="161">
        <f>F51+F52+F53+F54</f>
        <v>0</v>
      </c>
    </row>
    <row r="56" spans="1:6">
      <c r="A56" s="2" t="str">
        <f>'NORTH FORK'!A28</f>
        <v>GW CBCU</v>
      </c>
      <c r="B56" s="145">
        <f>+B8</f>
        <v>699</v>
      </c>
      <c r="C56" s="145">
        <f>+C8</f>
        <v>974</v>
      </c>
      <c r="D56" s="145">
        <f>+D8</f>
        <v>607</v>
      </c>
      <c r="E56" s="145">
        <f>+E8</f>
        <v>717</v>
      </c>
      <c r="F56" s="145">
        <f>+F8</f>
        <v>774</v>
      </c>
    </row>
    <row r="57" spans="1:6">
      <c r="A57" s="2" t="str">
        <f>'NORTH FORK'!A29</f>
        <v>Total CBCU</v>
      </c>
      <c r="B57" s="145">
        <f>(ROUND(SUM(B55:B56),-1))</f>
        <v>700</v>
      </c>
      <c r="C57" s="145">
        <f>(ROUND(SUM(C55:C56),-1))</f>
        <v>970</v>
      </c>
      <c r="D57" s="145">
        <f>(ROUND(SUM(D55:D56),-1))</f>
        <v>610</v>
      </c>
      <c r="E57" s="145">
        <f>(ROUND(SUM(E55:E56),-1))</f>
        <v>720</v>
      </c>
      <c r="F57" s="145">
        <f>(ROUND(SUM(F55:F56),-1))</f>
        <v>770</v>
      </c>
    </row>
    <row r="58" spans="1:6">
      <c r="A58" s="8" t="s">
        <v>66</v>
      </c>
      <c r="B58" s="145"/>
      <c r="C58" s="145"/>
      <c r="D58" s="145"/>
      <c r="E58" s="145"/>
      <c r="F58" s="145"/>
    </row>
    <row r="59" spans="1:6">
      <c r="A59" s="4" t="s">
        <v>162</v>
      </c>
      <c r="B59" s="145"/>
      <c r="C59" s="145"/>
      <c r="D59" s="145"/>
      <c r="E59" s="145"/>
      <c r="F59" s="145"/>
    </row>
    <row r="60" spans="1:6">
      <c r="A60" s="8" t="str">
        <f>'NORTH FORK'!A42</f>
        <v>Total SW CBCU</v>
      </c>
      <c r="B60" s="145">
        <f t="shared" ref="B60:D61" si="0">+B37+B46+B55</f>
        <v>539.59999999999991</v>
      </c>
      <c r="C60" s="145">
        <f t="shared" si="0"/>
        <v>462.71038709374994</v>
      </c>
      <c r="D60" s="145">
        <f t="shared" si="0"/>
        <v>107</v>
      </c>
      <c r="E60" s="145">
        <f>+E37+E46+E55</f>
        <v>164.96</v>
      </c>
      <c r="F60" s="145">
        <f>+F37+F46+F55</f>
        <v>136.74</v>
      </c>
    </row>
    <row r="61" spans="1:6">
      <c r="A61" s="8" t="str">
        <f>'NORTH FORK'!A43</f>
        <v>Total GW CBCU</v>
      </c>
      <c r="B61" s="145">
        <f t="shared" si="0"/>
        <v>18873</v>
      </c>
      <c r="C61" s="145">
        <f t="shared" si="0"/>
        <v>22206</v>
      </c>
      <c r="D61" s="145">
        <f t="shared" si="0"/>
        <v>17127</v>
      </c>
      <c r="E61" s="145">
        <f>+E38+E47+E56</f>
        <v>15244</v>
      </c>
      <c r="F61" s="145">
        <f>+F38+F47+F56</f>
        <v>19714</v>
      </c>
    </row>
    <row r="62" spans="1:6">
      <c r="A62" s="8" t="str">
        <f>'NORTH FORK'!A44</f>
        <v>Total Basin CBCU</v>
      </c>
      <c r="B62" s="145">
        <f>(ROUND(SUM(B60:B61),-1))</f>
        <v>19410</v>
      </c>
      <c r="C62" s="145">
        <f>(ROUND(SUM(C60:C61),-1))</f>
        <v>22670</v>
      </c>
      <c r="D62" s="145">
        <f>(ROUND(SUM(D60:D61),-1))</f>
        <v>17230</v>
      </c>
      <c r="E62" s="145">
        <f>(ROUND(SUM(E60:E61),-1))</f>
        <v>15410</v>
      </c>
      <c r="F62" s="145">
        <f>(ROUND(SUM(F60:F61),-1))</f>
        <v>19850</v>
      </c>
    </row>
    <row r="63" spans="1:6">
      <c r="A63" s="8" t="s">
        <v>66</v>
      </c>
      <c r="B63" s="145"/>
      <c r="C63" s="145"/>
      <c r="D63" s="145"/>
      <c r="E63" s="145"/>
      <c r="F63" s="145"/>
    </row>
    <row r="64" spans="1:6" ht="15.75">
      <c r="A64" s="10" t="s">
        <v>10</v>
      </c>
      <c r="B64" s="145"/>
      <c r="C64" s="145"/>
      <c r="D64" s="145"/>
      <c r="E64" s="145"/>
      <c r="F64" s="145"/>
    </row>
    <row r="65" spans="1:6">
      <c r="A65" s="2" t="str">
        <f t="shared" ref="A65:F65" si="1">A11</f>
        <v>South Fork Republican River Near Benkelman</v>
      </c>
      <c r="B65" s="145">
        <f t="shared" si="1"/>
        <v>2385</v>
      </c>
      <c r="C65" s="145">
        <f t="shared" si="1"/>
        <v>1970</v>
      </c>
      <c r="D65" s="145">
        <f t="shared" si="1"/>
        <v>2385</v>
      </c>
      <c r="E65" s="145">
        <f t="shared" si="1"/>
        <v>7229.355371900826</v>
      </c>
      <c r="F65" s="145">
        <f t="shared" si="1"/>
        <v>321</v>
      </c>
    </row>
    <row r="66" spans="1:6">
      <c r="A66" s="2" t="str">
        <f>'NORTH FORK'!A49</f>
        <v>Colorado CBCU</v>
      </c>
      <c r="B66" s="145">
        <f>+B39</f>
        <v>13980</v>
      </c>
      <c r="C66" s="145">
        <f>+C39</f>
        <v>14960</v>
      </c>
      <c r="D66" s="145">
        <f>+D39</f>
        <v>13150</v>
      </c>
      <c r="E66" s="145">
        <f>+E39</f>
        <v>11040</v>
      </c>
      <c r="F66" s="145">
        <f>+F39</f>
        <v>13760</v>
      </c>
    </row>
    <row r="67" spans="1:6">
      <c r="A67" s="2" t="str">
        <f>'NORTH FORK'!A50</f>
        <v>Kansas CBCU</v>
      </c>
      <c r="B67" s="145">
        <f>+B48</f>
        <v>4730</v>
      </c>
      <c r="C67" s="145">
        <f>+C48</f>
        <v>6740</v>
      </c>
      <c r="D67" s="145">
        <f>+D48</f>
        <v>3470</v>
      </c>
      <c r="E67" s="145">
        <f>+E48</f>
        <v>3650</v>
      </c>
      <c r="F67" s="145">
        <f>+F48</f>
        <v>5310</v>
      </c>
    </row>
    <row r="68" spans="1:6">
      <c r="A68" s="2" t="str">
        <f>'NORTH FORK'!A51</f>
        <v>Nebraska CBCU</v>
      </c>
      <c r="B68" s="145">
        <f>+B57</f>
        <v>700</v>
      </c>
      <c r="C68" s="145">
        <f>+C57</f>
        <v>970</v>
      </c>
      <c r="D68" s="145">
        <f>+D57</f>
        <v>610</v>
      </c>
      <c r="E68" s="145">
        <f>+E57</f>
        <v>720</v>
      </c>
      <c r="F68" s="145">
        <f>+F57</f>
        <v>770</v>
      </c>
    </row>
    <row r="69" spans="1:6">
      <c r="A69" s="2" t="str">
        <f>A13</f>
        <v>Bonny Reservoir Change In Storage</v>
      </c>
      <c r="B69" s="145">
        <f>+B13</f>
        <v>0</v>
      </c>
      <c r="C69" s="145">
        <f>+C13</f>
        <v>0</v>
      </c>
      <c r="D69" s="145">
        <f>+D13</f>
        <v>0</v>
      </c>
      <c r="E69" s="145">
        <f>+E13</f>
        <v>0</v>
      </c>
      <c r="F69" s="145">
        <f>+F13</f>
        <v>0</v>
      </c>
    </row>
    <row r="70" spans="1:6">
      <c r="A70" s="2" t="str">
        <f>'NORTH FORK'!A52</f>
        <v>Imported Water</v>
      </c>
      <c r="B70" s="151">
        <f>+B5</f>
        <v>0</v>
      </c>
      <c r="C70" s="151">
        <f>+C5</f>
        <v>0</v>
      </c>
      <c r="D70" s="151">
        <f>+D5</f>
        <v>0</v>
      </c>
      <c r="E70" s="151">
        <f>+E5</f>
        <v>0</v>
      </c>
      <c r="F70" s="151">
        <f>+F5</f>
        <v>0</v>
      </c>
    </row>
    <row r="71" spans="1:6">
      <c r="A71" s="2" t="str">
        <f>'NORTH FORK'!A54</f>
        <v>Virgin Water Supply</v>
      </c>
      <c r="B71" s="145">
        <f>ROUND(SUM(B65:B69)-B70,-1)</f>
        <v>21800</v>
      </c>
      <c r="C71" s="145">
        <f>ROUND(SUM(C65:C69)-C70,-1)</f>
        <v>24640</v>
      </c>
      <c r="D71" s="145">
        <f>ROUND(SUM(D65:D69)-D70,-1)</f>
        <v>19620</v>
      </c>
      <c r="E71" s="145">
        <f>ROUND(SUM(E65:E69)-E70,-1)</f>
        <v>22640</v>
      </c>
      <c r="F71" s="145">
        <f>ROUND(SUM(F65:F69)-F70,-1)</f>
        <v>20160</v>
      </c>
    </row>
    <row r="72" spans="1:6">
      <c r="A72" s="2" t="str">
        <f>'NORTH FORK'!A55</f>
        <v>Adjustment For Flood Flows</v>
      </c>
      <c r="B72" s="145">
        <f>B27</f>
        <v>0</v>
      </c>
      <c r="C72" s="145">
        <f>C27</f>
        <v>0</v>
      </c>
      <c r="D72" s="145">
        <f>D27</f>
        <v>0</v>
      </c>
      <c r="E72" s="145">
        <f>E27</f>
        <v>0</v>
      </c>
      <c r="F72" s="145">
        <f>F27</f>
        <v>0</v>
      </c>
    </row>
    <row r="73" spans="1:6">
      <c r="A73" s="2" t="str">
        <f>'NORTH FORK'!A56</f>
        <v>Computed Water Supply</v>
      </c>
      <c r="B73" s="145">
        <f>ROUND(+B71-B72-B69,-1)</f>
        <v>21800</v>
      </c>
      <c r="C73" s="145">
        <f>ROUND(+C71-C72-C69,-1)</f>
        <v>24640</v>
      </c>
      <c r="D73" s="145">
        <f>ROUND(+D71-D72-D69,-1)</f>
        <v>19620</v>
      </c>
      <c r="E73" s="145">
        <f>ROUND(+E71-E72-E69,-1)</f>
        <v>22640</v>
      </c>
      <c r="F73" s="145">
        <f>ROUND(+F71-F72-F69,-1)</f>
        <v>20160</v>
      </c>
    </row>
    <row r="74" spans="1:6">
      <c r="A74" s="8" t="s">
        <v>66</v>
      </c>
      <c r="B74" s="145"/>
      <c r="C74" s="145"/>
      <c r="D74" s="145"/>
      <c r="E74" s="145"/>
      <c r="F74" s="145"/>
    </row>
    <row r="75" spans="1:6" ht="15.75">
      <c r="A75" s="10" t="s">
        <v>12</v>
      </c>
      <c r="B75" s="154"/>
      <c r="C75" s="154"/>
      <c r="D75" s="154"/>
      <c r="E75" s="154"/>
      <c r="F75" s="154"/>
    </row>
    <row r="76" spans="1:6">
      <c r="A76" s="2" t="str">
        <f>'NORTH FORK'!A59</f>
        <v>Colorado Percent Of Allocation</v>
      </c>
      <c r="B76" s="117">
        <f>'T2'!$D7</f>
        <v>0.44400000000000001</v>
      </c>
      <c r="C76" s="117">
        <f>'T2'!$D7</f>
        <v>0.44400000000000001</v>
      </c>
      <c r="D76" s="117">
        <f>'T2'!$D7</f>
        <v>0.44400000000000001</v>
      </c>
      <c r="E76" s="117">
        <f>'T2'!$D7</f>
        <v>0.44400000000000001</v>
      </c>
      <c r="F76" s="117">
        <f>'T2'!$D7</f>
        <v>0.44400000000000001</v>
      </c>
    </row>
    <row r="77" spans="1:6">
      <c r="A77" s="2" t="str">
        <f>'NORTH FORK'!A60</f>
        <v>Colorado Allocation</v>
      </c>
      <c r="B77" s="145">
        <f>ROUND(+B73*B76,-1)</f>
        <v>9680</v>
      </c>
      <c r="C77" s="145">
        <f>ROUND(+C73*C76,-1)</f>
        <v>10940</v>
      </c>
      <c r="D77" s="145">
        <f>ROUND(+D73*D76,-1)</f>
        <v>8710</v>
      </c>
      <c r="E77" s="145">
        <f>ROUND(+E73*E76,-1)</f>
        <v>10050</v>
      </c>
      <c r="F77" s="145">
        <f>ROUND(+F73*F76,-1)</f>
        <v>8950</v>
      </c>
    </row>
    <row r="78" spans="1:6">
      <c r="A78" s="2" t="str">
        <f>'NORTH FORK'!A61</f>
        <v>Kansas Percent Of Allocation</v>
      </c>
      <c r="B78" s="117">
        <f>'T2'!$F7</f>
        <v>0.40200000000000002</v>
      </c>
      <c r="C78" s="117">
        <f>'T2'!$F7</f>
        <v>0.40200000000000002</v>
      </c>
      <c r="D78" s="117">
        <f>'T2'!$F7</f>
        <v>0.40200000000000002</v>
      </c>
      <c r="E78" s="117">
        <f>'T2'!$F7</f>
        <v>0.40200000000000002</v>
      </c>
      <c r="F78" s="117">
        <f>'T2'!$F7</f>
        <v>0.40200000000000002</v>
      </c>
    </row>
    <row r="79" spans="1:6">
      <c r="A79" s="2" t="str">
        <f>'NORTH FORK'!A62</f>
        <v>Kansas Allocation</v>
      </c>
      <c r="B79" s="145">
        <f>ROUND(B73*B78,-1)</f>
        <v>8760</v>
      </c>
      <c r="C79" s="145">
        <f>ROUND(C73*C78,-1)</f>
        <v>9910</v>
      </c>
      <c r="D79" s="145">
        <f>ROUND(D73*D78,-1)</f>
        <v>7890</v>
      </c>
      <c r="E79" s="145">
        <f>ROUND(E73*E78,-1)</f>
        <v>9100</v>
      </c>
      <c r="F79" s="145">
        <f>ROUND(F73*F78,-1)</f>
        <v>8100</v>
      </c>
    </row>
    <row r="80" spans="1:6">
      <c r="A80" s="2" t="str">
        <f>'NORTH FORK'!A63</f>
        <v>Nebraska Percent Of Allocation</v>
      </c>
      <c r="B80" s="117">
        <f>'T2'!$H7</f>
        <v>1.4E-2</v>
      </c>
      <c r="C80" s="117">
        <f>'T2'!$H7</f>
        <v>1.4E-2</v>
      </c>
      <c r="D80" s="117">
        <f>'T2'!$H7</f>
        <v>1.4E-2</v>
      </c>
      <c r="E80" s="117">
        <f>'T2'!$H7</f>
        <v>1.4E-2</v>
      </c>
      <c r="F80" s="117">
        <f>'T2'!$H7</f>
        <v>1.4E-2</v>
      </c>
    </row>
    <row r="81" spans="1:6">
      <c r="A81" s="2" t="str">
        <f>'NORTH FORK'!A64</f>
        <v>Nebraska Allocation</v>
      </c>
      <c r="B81" s="145">
        <f>ROUND(B73*B80,-1)</f>
        <v>310</v>
      </c>
      <c r="C81" s="145">
        <f>ROUND(C73*C80,-1)</f>
        <v>340</v>
      </c>
      <c r="D81" s="145">
        <f>ROUND(D73*D80,-1)</f>
        <v>270</v>
      </c>
      <c r="E81" s="145">
        <f>ROUND(E73*E80,-1)</f>
        <v>320</v>
      </c>
      <c r="F81" s="145">
        <f>ROUND(F73*F80,-1)</f>
        <v>280</v>
      </c>
    </row>
    <row r="82" spans="1:6">
      <c r="A82" s="2" t="str">
        <f>'NORTH FORK'!A65</f>
        <v>Total Basin Allocation</v>
      </c>
      <c r="B82" s="145">
        <f>+B77+B79+B81</f>
        <v>18750</v>
      </c>
      <c r="C82" s="145">
        <f>+C77+C79+C81</f>
        <v>21190</v>
      </c>
      <c r="D82" s="145">
        <f>+D77+D79+D81</f>
        <v>16870</v>
      </c>
      <c r="E82" s="145">
        <f>+E77+E79+E81</f>
        <v>19470</v>
      </c>
      <c r="F82" s="145">
        <f>+F77+F79+F81</f>
        <v>17330</v>
      </c>
    </row>
    <row r="83" spans="1:6">
      <c r="A83" s="2" t="str">
        <f>'NORTH FORK'!A66</f>
        <v>Percent Of Supply Not Allocated</v>
      </c>
      <c r="B83" s="117">
        <f>'T2'!$J7</f>
        <v>0.14000000000000001</v>
      </c>
      <c r="C83" s="117">
        <f>'T2'!$J7</f>
        <v>0.14000000000000001</v>
      </c>
      <c r="D83" s="117">
        <f>'T2'!$J7</f>
        <v>0.14000000000000001</v>
      </c>
      <c r="E83" s="117">
        <f>'T2'!$J7</f>
        <v>0.14000000000000001</v>
      </c>
      <c r="F83" s="117">
        <f>'T2'!$J7</f>
        <v>0.14000000000000001</v>
      </c>
    </row>
    <row r="84" spans="1:6">
      <c r="A84" s="2" t="str">
        <f>'NORTH FORK'!A67</f>
        <v>Quantity Of Unallocated Supply</v>
      </c>
      <c r="B84" s="145">
        <f>+B73-B77-B79-B81</f>
        <v>3050</v>
      </c>
      <c r="C84" s="145">
        <f>+C73-C77-C79-C81</f>
        <v>3450</v>
      </c>
      <c r="D84" s="145">
        <f>+D73-D77-D79-D81</f>
        <v>2750</v>
      </c>
      <c r="E84" s="145">
        <f>+E73-E77-E79-E81</f>
        <v>3170</v>
      </c>
      <c r="F84" s="145">
        <f>+F73-F77-F79-F81</f>
        <v>2830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9"/>
  <sheetViews>
    <sheetView workbookViewId="0">
      <pane ySplit="1" topLeftCell="A45" activePane="bottomLeft" state="frozen"/>
      <selection pane="bottomLeft" activeCell="H1" sqref="H1:J1048576"/>
    </sheetView>
  </sheetViews>
  <sheetFormatPr defaultRowHeight="12.75"/>
  <cols>
    <col min="1" max="1" width="69.28515625" customWidth="1"/>
    <col min="7" max="7" width="10.5703125" bestFit="1" customWidth="1"/>
  </cols>
  <sheetData>
    <row r="1" spans="1:6" ht="15.75">
      <c r="A1" s="37" t="s">
        <v>208</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+INPUT!B52</f>
        <v>Imported Water Nebraska</v>
      </c>
      <c r="B5" s="120">
        <f>+INPUT!C52</f>
        <v>0</v>
      </c>
      <c r="C5" s="120">
        <f>+INPUT!D52</f>
        <v>10</v>
      </c>
      <c r="D5" s="120">
        <f>+INPUT!E52</f>
        <v>10</v>
      </c>
      <c r="E5" s="120">
        <f>+INPUT!F52</f>
        <v>0</v>
      </c>
      <c r="F5" s="120">
        <f>+INPUT!G52</f>
        <v>0</v>
      </c>
    </row>
    <row r="6" spans="1:6">
      <c r="A6" s="31" t="str">
        <f>INPUT!B19</f>
        <v>GW CBCU Colorado</v>
      </c>
      <c r="B6" s="120">
        <f>+INPUT!C19</f>
        <v>1218</v>
      </c>
      <c r="C6" s="120">
        <f>+INPUT!D19</f>
        <v>1175</v>
      </c>
      <c r="D6" s="120">
        <f>+INPUT!E19</f>
        <v>1684</v>
      </c>
      <c r="E6" s="120">
        <f>+INPUT!F19</f>
        <v>1137</v>
      </c>
      <c r="F6" s="120">
        <f>+INPUT!G19</f>
        <v>200</v>
      </c>
    </row>
    <row r="7" spans="1:6">
      <c r="A7" s="31" t="str">
        <f>+INPUT!B20</f>
        <v>GW CBCU Kansas</v>
      </c>
      <c r="B7" s="120">
        <f>+INPUT!C20</f>
        <v>0</v>
      </c>
      <c r="C7" s="120">
        <f>+INPUT!D20</f>
        <v>0</v>
      </c>
      <c r="D7" s="120">
        <f>+INPUT!E20</f>
        <v>0</v>
      </c>
      <c r="E7" s="120">
        <f>+INPUT!F20</f>
        <v>0</v>
      </c>
      <c r="F7" s="120">
        <f>+INPUT!G20</f>
        <v>0</v>
      </c>
    </row>
    <row r="8" spans="1:6" ht="12" customHeight="1">
      <c r="A8" s="31" t="str">
        <f>+INPUT!B21</f>
        <v>GW CBCU Nebraska</v>
      </c>
      <c r="B8" s="120">
        <f>+INPUT!C21</f>
        <v>79918</v>
      </c>
      <c r="C8" s="120">
        <f>+INPUT!D21</f>
        <v>82359</v>
      </c>
      <c r="D8" s="120">
        <f>+INPUT!E21</f>
        <v>81732</v>
      </c>
      <c r="E8" s="120">
        <f>+INPUT!F21</f>
        <v>78767</v>
      </c>
      <c r="F8" s="120">
        <f>+INPUT!G21</f>
        <v>79922</v>
      </c>
    </row>
    <row r="9" spans="1:6" ht="12" customHeight="1">
      <c r="A9" s="8" t="s">
        <v>66</v>
      </c>
      <c r="B9" s="120"/>
      <c r="C9" s="120"/>
      <c r="D9" s="120"/>
      <c r="E9" s="120"/>
      <c r="F9" s="120"/>
    </row>
    <row r="10" spans="1:6">
      <c r="A10" s="4" t="s">
        <v>192</v>
      </c>
      <c r="B10" s="120"/>
      <c r="C10" s="120"/>
      <c r="D10" s="120"/>
      <c r="E10" s="120"/>
      <c r="F10" s="120"/>
    </row>
    <row r="11" spans="1:6">
      <c r="A11" s="35" t="str">
        <f>+INPUT!B241</f>
        <v>Culbertson Canal % Return Flow</v>
      </c>
      <c r="B11" s="111">
        <f>+INPUT!C241</f>
        <v>1</v>
      </c>
      <c r="C11" s="111">
        <f>+INPUT!D241</f>
        <v>0.80004497710746014</v>
      </c>
      <c r="D11" s="111">
        <f>+INPUT!E241</f>
        <v>0.83343283324711159</v>
      </c>
      <c r="E11" s="111">
        <f>+INPUT!F241</f>
        <v>0.82040196370127938</v>
      </c>
      <c r="F11" s="111">
        <f>+INPUT!G241</f>
        <v>0.81909752839011352</v>
      </c>
    </row>
    <row r="12" spans="1:6">
      <c r="A12" s="35" t="str">
        <f>+INPUT!B242</f>
        <v>Culbertson Canal Extension % Return Flow</v>
      </c>
      <c r="B12" s="111">
        <f>+INPUT!C242</f>
        <v>1</v>
      </c>
      <c r="C12" s="111">
        <f>+INPUT!D242</f>
        <v>1</v>
      </c>
      <c r="D12" s="111">
        <f>+INPUT!E242</f>
        <v>1</v>
      </c>
      <c r="E12" s="111">
        <f>+INPUT!F242</f>
        <v>1</v>
      </c>
      <c r="F12" s="111">
        <f>+INPUT!G242</f>
        <v>1</v>
      </c>
    </row>
    <row r="13" spans="1:6">
      <c r="A13" s="2" t="s">
        <v>66</v>
      </c>
      <c r="B13" s="120"/>
      <c r="C13" s="120"/>
      <c r="D13" s="120"/>
      <c r="E13" s="120"/>
      <c r="F13" s="120"/>
    </row>
    <row r="14" spans="1:6">
      <c r="A14" s="4" t="s">
        <v>160</v>
      </c>
      <c r="B14" s="120"/>
      <c r="C14" s="120"/>
      <c r="D14" s="120"/>
      <c r="E14" s="120"/>
      <c r="F14" s="120"/>
    </row>
    <row r="15" spans="1:6">
      <c r="A15" s="31" t="str">
        <f>+INPUT!B189</f>
        <v>Frenchman Creek At Culbertson</v>
      </c>
      <c r="B15" s="145">
        <f>+INPUT!C189</f>
        <v>27490</v>
      </c>
      <c r="C15" s="145">
        <f>+INPUT!D189</f>
        <v>25906</v>
      </c>
      <c r="D15" s="145">
        <f>+INPUT!E189</f>
        <v>27267</v>
      </c>
      <c r="E15" s="145">
        <f>+INPUT!F189</f>
        <v>19122</v>
      </c>
      <c r="F15" s="145">
        <f>+INPUT!G189</f>
        <v>16678</v>
      </c>
    </row>
    <row r="16" spans="1:6">
      <c r="A16" s="31" t="str">
        <f>+INPUT!B217</f>
        <v>Enders Reservoir Evaporation</v>
      </c>
      <c r="B16" s="145">
        <f>+INPUT!C217</f>
        <v>1263</v>
      </c>
      <c r="C16" s="145">
        <f>+INPUT!D217</f>
        <v>1482</v>
      </c>
      <c r="D16" s="145">
        <f>+INPUT!E217</f>
        <v>1193</v>
      </c>
      <c r="E16" s="145">
        <f>+INPUT!F217</f>
        <v>2037</v>
      </c>
      <c r="F16" s="145">
        <f>+INPUT!G217</f>
        <v>1616</v>
      </c>
    </row>
    <row r="17" spans="1:6">
      <c r="A17" s="31" t="str">
        <f>+INPUT!B218</f>
        <v>Enders Reservoir Change In Storage</v>
      </c>
      <c r="B17" s="145">
        <f>+INPUT!C218</f>
        <v>-1669</v>
      </c>
      <c r="C17" s="145">
        <f>+INPUT!D218</f>
        <v>767</v>
      </c>
      <c r="D17" s="145">
        <f>+INPUT!E218</f>
        <v>424</v>
      </c>
      <c r="E17" s="145">
        <f>+INPUT!F218</f>
        <v>-1148</v>
      </c>
      <c r="F17" s="145">
        <f>+INPUT!G218</f>
        <v>-655</v>
      </c>
    </row>
    <row r="18" spans="1:6">
      <c r="A18" s="31" t="str">
        <f>+INPUT!B237</f>
        <v>Champion Canal Diversions</v>
      </c>
      <c r="B18" s="145">
        <f>+INPUT!C237</f>
        <v>0</v>
      </c>
      <c r="C18" s="145">
        <f>+INPUT!D237</f>
        <v>0</v>
      </c>
      <c r="D18" s="145">
        <f>+INPUT!E237</f>
        <v>0</v>
      </c>
      <c r="E18" s="145">
        <f>+INPUT!F237</f>
        <v>0</v>
      </c>
      <c r="F18" s="145">
        <f>+INPUT!G237</f>
        <v>0</v>
      </c>
    </row>
    <row r="19" spans="1:6">
      <c r="A19" s="31" t="str">
        <f>+INPUT!B238</f>
        <v>Riverside Canal Diversions</v>
      </c>
      <c r="B19" s="145">
        <f>+INPUT!C238</f>
        <v>0</v>
      </c>
      <c r="C19" s="145">
        <f>+INPUT!D238</f>
        <v>0</v>
      </c>
      <c r="D19" s="145">
        <f>+INPUT!E238</f>
        <v>0</v>
      </c>
      <c r="E19" s="145">
        <f>+INPUT!F238</f>
        <v>0</v>
      </c>
      <c r="F19" s="145">
        <f>+INPUT!G238</f>
        <v>0</v>
      </c>
    </row>
    <row r="20" spans="1:6">
      <c r="A20" s="31" t="str">
        <f>+INPUT!B239</f>
        <v>Culbertson Canal Diversions</v>
      </c>
      <c r="B20" s="145">
        <f>+INPUT!C239</f>
        <v>0</v>
      </c>
      <c r="C20" s="145">
        <f>+INPUT!D239</f>
        <v>7426</v>
      </c>
      <c r="D20" s="145">
        <f>+INPUT!E239</f>
        <v>11598</v>
      </c>
      <c r="E20" s="145">
        <f>+INPUT!F239</f>
        <v>6722</v>
      </c>
      <c r="F20" s="145">
        <f>+INPUT!G239</f>
        <v>5988</v>
      </c>
    </row>
    <row r="21" spans="1:6">
      <c r="A21" s="31" t="str">
        <f>+INPUT!B240</f>
        <v>Culbertson Canal Extension Diversions</v>
      </c>
      <c r="B21" s="145">
        <f>+INPUT!C240</f>
        <v>0</v>
      </c>
      <c r="C21" s="145">
        <f>+INPUT!D240</f>
        <v>0</v>
      </c>
      <c r="D21" s="145">
        <f>+INPUT!E240</f>
        <v>0</v>
      </c>
      <c r="E21" s="145">
        <f>+INPUT!F240</f>
        <v>0</v>
      </c>
      <c r="F21" s="145">
        <f>+INPUT!G240</f>
        <v>0</v>
      </c>
    </row>
    <row r="22" spans="1:6">
      <c r="A22" s="50" t="str">
        <f>+INPUT!B93</f>
        <v>SW Diversions - Irrigation - Non-Federal Canals - Nebraska</v>
      </c>
      <c r="B22" s="151">
        <f>+INPUT!C93</f>
        <v>0</v>
      </c>
      <c r="C22" s="151">
        <f>+INPUT!D93</f>
        <v>0</v>
      </c>
      <c r="D22" s="151">
        <f>+INPUT!E93</f>
        <v>0</v>
      </c>
      <c r="E22" s="151">
        <f>+INPUT!F93</f>
        <v>0</v>
      </c>
      <c r="F22" s="151">
        <f>+INPUT!G93</f>
        <v>0</v>
      </c>
    </row>
    <row r="23" spans="1:6">
      <c r="A23" s="50" t="str">
        <f>+INPUT!B94</f>
        <v>SW Diversions - Irrigation - Small Pumps - Nebraska</v>
      </c>
      <c r="B23" s="151">
        <f>+INPUT!C94</f>
        <v>0</v>
      </c>
      <c r="C23" s="151">
        <f>+INPUT!D94</f>
        <v>0</v>
      </c>
      <c r="D23" s="151">
        <f>+INPUT!E94</f>
        <v>2</v>
      </c>
      <c r="E23" s="151">
        <f>+INPUT!F94</f>
        <v>0</v>
      </c>
      <c r="F23" s="151">
        <f>+INPUT!G94</f>
        <v>0</v>
      </c>
    </row>
    <row r="24" spans="1:6">
      <c r="A24" s="50" t="str">
        <f>+INPUT!B95</f>
        <v>SW Diversions - M&amp;I - Nebraska</v>
      </c>
      <c r="B24" s="151">
        <f>+INPUT!C95</f>
        <v>0</v>
      </c>
      <c r="C24" s="151">
        <f>+INPUT!D95</f>
        <v>0</v>
      </c>
      <c r="D24" s="151">
        <f>+INPUT!E95</f>
        <v>0</v>
      </c>
      <c r="E24" s="151">
        <f>+INPUT!F95</f>
        <v>0</v>
      </c>
      <c r="F24" s="151">
        <f>+INPUT!G95</f>
        <v>0</v>
      </c>
    </row>
    <row r="25" spans="1:6">
      <c r="A25" s="50" t="str">
        <f>+INPUT!B164</f>
        <v>Non-Federal Reservoir Evaporation - Nebraska</v>
      </c>
      <c r="B25" s="151">
        <f>+INPUT!C164</f>
        <v>43.363672729999998</v>
      </c>
      <c r="C25" s="151">
        <f>+INPUT!D164</f>
        <v>53.095329166666602</v>
      </c>
      <c r="D25" s="151">
        <f>+INPUT!E164</f>
        <v>69</v>
      </c>
      <c r="E25" s="151">
        <f>+INPUT!F164</f>
        <v>123.70389583333331</v>
      </c>
      <c r="F25" s="151">
        <f>+INPUT!G164</f>
        <v>106</v>
      </c>
    </row>
    <row r="26" spans="1:6">
      <c r="A26" s="137" t="str">
        <f>+FLOOD!A62</f>
        <v>Frenchman Flood Flow</v>
      </c>
      <c r="B26" s="151">
        <f>+FLOOD!B62</f>
        <v>0</v>
      </c>
      <c r="C26" s="151">
        <f>+FLOOD!C62</f>
        <v>0</v>
      </c>
      <c r="D26" s="151">
        <f>+FLOOD!D62</f>
        <v>0</v>
      </c>
      <c r="E26" s="151">
        <f>+FLOOD!E62</f>
        <v>0</v>
      </c>
      <c r="F26" s="151">
        <f>+FLOOD!F62</f>
        <v>0</v>
      </c>
    </row>
    <row r="27" spans="1:6">
      <c r="A27" s="61" t="s">
        <v>66</v>
      </c>
      <c r="B27" s="151"/>
      <c r="C27" s="151"/>
      <c r="D27" s="151"/>
      <c r="E27" s="151"/>
      <c r="F27" s="151"/>
    </row>
    <row r="28" spans="1:6" ht="15.75">
      <c r="A28" s="9" t="s">
        <v>241</v>
      </c>
      <c r="B28" s="151"/>
      <c r="C28" s="151"/>
      <c r="D28" s="151"/>
      <c r="E28" s="151"/>
      <c r="F28" s="151"/>
    </row>
    <row r="29" spans="1:6">
      <c r="A29" s="7" t="s">
        <v>0</v>
      </c>
      <c r="B29" s="151"/>
      <c r="C29" s="151"/>
      <c r="D29" s="151"/>
      <c r="E29" s="151"/>
      <c r="F29" s="151"/>
    </row>
    <row r="30" spans="1:6">
      <c r="A30" s="13" t="str">
        <f>'NORTH FORK'!A28</f>
        <v>GW CBCU</v>
      </c>
      <c r="B30" s="151">
        <f>+B6</f>
        <v>1218</v>
      </c>
      <c r="C30" s="151">
        <f>+C6</f>
        <v>1175</v>
      </c>
      <c r="D30" s="151">
        <f>+D6</f>
        <v>1684</v>
      </c>
      <c r="E30" s="151">
        <f>+E6</f>
        <v>1137</v>
      </c>
      <c r="F30" s="151">
        <f>+F6</f>
        <v>200</v>
      </c>
    </row>
    <row r="31" spans="1:6">
      <c r="A31" s="13" t="str">
        <f>'NORTH FORK'!A29</f>
        <v>Total CBCU</v>
      </c>
      <c r="B31" s="151">
        <f>(ROUND(SUM(B30:B30),-1))</f>
        <v>1220</v>
      </c>
      <c r="C31" s="151">
        <f>(ROUND(SUM(C30:C30),-1))</f>
        <v>1180</v>
      </c>
      <c r="D31" s="151">
        <f>(ROUND(SUM(D30:D30),-1))</f>
        <v>1680</v>
      </c>
      <c r="E31" s="151">
        <f>(ROUND(SUM(E30:E30),-1))</f>
        <v>1140</v>
      </c>
      <c r="F31" s="151">
        <f>(ROUND(SUM(F30:F30),-1))</f>
        <v>200</v>
      </c>
    </row>
    <row r="32" spans="1:6">
      <c r="A32" s="13" t="s">
        <v>66</v>
      </c>
      <c r="B32" s="151"/>
      <c r="C32" s="151"/>
      <c r="D32" s="151"/>
      <c r="E32" s="151"/>
      <c r="F32" s="151"/>
    </row>
    <row r="33" spans="1:6">
      <c r="A33" s="7" t="s">
        <v>161</v>
      </c>
      <c r="B33" s="151"/>
      <c r="C33" s="151"/>
      <c r="D33" s="151"/>
      <c r="E33" s="151"/>
      <c r="F33" s="151"/>
    </row>
    <row r="34" spans="1:6">
      <c r="A34" s="13" t="str">
        <f>'NORTH FORK'!A28</f>
        <v>GW CBCU</v>
      </c>
      <c r="B34" s="151">
        <f>+B7</f>
        <v>0</v>
      </c>
      <c r="C34" s="151">
        <f>+C7</f>
        <v>0</v>
      </c>
      <c r="D34" s="151">
        <f>+D7</f>
        <v>0</v>
      </c>
      <c r="E34" s="151">
        <f>+E7</f>
        <v>0</v>
      </c>
      <c r="F34" s="151">
        <f>+F7</f>
        <v>0</v>
      </c>
    </row>
    <row r="35" spans="1:6">
      <c r="A35" s="13" t="str">
        <f>'NORTH FORK'!A29</f>
        <v>Total CBCU</v>
      </c>
      <c r="B35" s="151">
        <f>(ROUND(SUM(B34:B34),-1))</f>
        <v>0</v>
      </c>
      <c r="C35" s="151">
        <f>(ROUND(SUM(C34:C34),-1))</f>
        <v>0</v>
      </c>
      <c r="D35" s="151">
        <f>(ROUND(SUM(D34:D34),-1))</f>
        <v>0</v>
      </c>
      <c r="E35" s="151">
        <f>(ROUND(SUM(E34:E34),-1))</f>
        <v>0</v>
      </c>
      <c r="F35" s="151">
        <f>(ROUND(SUM(F34:F34),-1))</f>
        <v>0</v>
      </c>
    </row>
    <row r="36" spans="1:6">
      <c r="A36" s="13" t="s">
        <v>66</v>
      </c>
      <c r="B36" s="151"/>
      <c r="C36" s="151"/>
      <c r="D36" s="151"/>
      <c r="E36" s="151"/>
      <c r="F36" s="151"/>
    </row>
    <row r="37" spans="1:6">
      <c r="A37" s="7" t="s">
        <v>1</v>
      </c>
      <c r="B37" s="151"/>
      <c r="C37" s="151"/>
      <c r="D37" s="151"/>
      <c r="E37" s="151"/>
      <c r="F37" s="151"/>
    </row>
    <row r="38" spans="1:6">
      <c r="A38" s="13" t="str">
        <f>(LEFT(A18,14))&amp; " "&amp;"CBCU"</f>
        <v>Champion Canal CBCU</v>
      </c>
      <c r="B38" s="151">
        <f>+B18*CanalCUPercent1</f>
        <v>0</v>
      </c>
      <c r="C38" s="151">
        <f>+C18*CanalCUPercent2</f>
        <v>0</v>
      </c>
      <c r="D38" s="151">
        <f>+D18*CanalCUPercent3</f>
        <v>0</v>
      </c>
      <c r="E38" s="151">
        <f>+E18*CanalCUPercent4</f>
        <v>0</v>
      </c>
      <c r="F38" s="151">
        <f>+F18*CanalCUPercent5</f>
        <v>0</v>
      </c>
    </row>
    <row r="39" spans="1:6">
      <c r="A39" s="13" t="str">
        <f>(LEFT(A19,15))&amp; " "&amp;"CBCU"</f>
        <v>Riverside Canal CBCU</v>
      </c>
      <c r="B39" s="151">
        <f>+B19*CanalCUPercent1</f>
        <v>0</v>
      </c>
      <c r="C39" s="151">
        <f>+C19*CanalCUPercent2</f>
        <v>0</v>
      </c>
      <c r="D39" s="151">
        <f>+D19*CanalCUPercent3</f>
        <v>0</v>
      </c>
      <c r="E39" s="151">
        <f>+E19*CanalCUPercent4</f>
        <v>0</v>
      </c>
      <c r="F39" s="151">
        <f>+F19*CanalCUPercent5</f>
        <v>0</v>
      </c>
    </row>
    <row r="40" spans="1:6">
      <c r="A40" s="13" t="str">
        <f>(LEFT(A20,16))&amp; " "&amp;"CBCU"</f>
        <v>Culbertson Canal CBCU</v>
      </c>
      <c r="B40" s="151">
        <f t="shared" ref="B40:D41" si="0">+B20*(1-B11)</f>
        <v>0</v>
      </c>
      <c r="C40" s="151">
        <f t="shared" si="0"/>
        <v>1484.8660000000009</v>
      </c>
      <c r="D40" s="151">
        <f t="shared" si="0"/>
        <v>1931.8459999999998</v>
      </c>
      <c r="E40" s="151">
        <f>+E20*(1-E11)</f>
        <v>1207.258</v>
      </c>
      <c r="F40" s="151">
        <f>+F20*(1-F11)</f>
        <v>1083.2440000000004</v>
      </c>
    </row>
    <row r="41" spans="1:6">
      <c r="A41" s="13" t="str">
        <f>(LEFT(A21,27))&amp; " "&amp;"CBCU"</f>
        <v>Culbertson Canal Extension  CBCU</v>
      </c>
      <c r="B41" s="151">
        <f t="shared" si="0"/>
        <v>0</v>
      </c>
      <c r="C41" s="151">
        <f t="shared" si="0"/>
        <v>0</v>
      </c>
      <c r="D41" s="151">
        <f t="shared" si="0"/>
        <v>0</v>
      </c>
      <c r="E41" s="151">
        <f>+E21*(1-E12)</f>
        <v>0</v>
      </c>
      <c r="F41" s="151">
        <f>+F21*(1-F12)</f>
        <v>0</v>
      </c>
    </row>
    <row r="42" spans="1:6">
      <c r="A42" s="42" t="str">
        <f>'NORTH FORK'!A23</f>
        <v>SW CBCU - Irrigation - Non Federal Canals</v>
      </c>
      <c r="B42" s="151">
        <f>B22*CanalCUPercent1</f>
        <v>0</v>
      </c>
      <c r="C42" s="151">
        <f>C22*CanalCUPercent2</f>
        <v>0</v>
      </c>
      <c r="D42" s="151">
        <f>D22*CanalCUPercent3</f>
        <v>0</v>
      </c>
      <c r="E42" s="151">
        <f>E22*CanalCUPercent4</f>
        <v>0</v>
      </c>
      <c r="F42" s="151">
        <f>F22*CanalCUPercent5</f>
        <v>0</v>
      </c>
    </row>
    <row r="43" spans="1:6">
      <c r="A43" s="42" t="str">
        <f>'NORTH FORK'!A24</f>
        <v>SW CBCU - Irrigation - Small Pumps</v>
      </c>
      <c r="B43" s="151">
        <f>B23*PumperCUPercent1</f>
        <v>0</v>
      </c>
      <c r="C43" s="151">
        <f>C23*PumperCUPercent2</f>
        <v>0</v>
      </c>
      <c r="D43" s="151">
        <f>D23*PumperCUPercent3</f>
        <v>1.5</v>
      </c>
      <c r="E43" s="151">
        <f>E23*PumperCUPercent4</f>
        <v>0</v>
      </c>
      <c r="F43" s="151">
        <f>F23*PumperCUPercent5</f>
        <v>0</v>
      </c>
    </row>
    <row r="44" spans="1:6">
      <c r="A44" s="42" t="str">
        <f>'NORTH FORK'!A25</f>
        <v>SW CBCU - M&amp;I</v>
      </c>
      <c r="B44" s="151">
        <f>B24*MI_CUPercent1</f>
        <v>0</v>
      </c>
      <c r="C44" s="151">
        <f>C24*MI_CUPercent2</f>
        <v>0</v>
      </c>
      <c r="D44" s="151">
        <f>D24*MI_CUPercent3</f>
        <v>0</v>
      </c>
      <c r="E44" s="151">
        <f>E24*MI_CUPercent4</f>
        <v>0</v>
      </c>
      <c r="F44" s="151">
        <f>F24*MI_CUPercent5</f>
        <v>0</v>
      </c>
    </row>
    <row r="45" spans="1:6">
      <c r="A45" s="13" t="str">
        <f>A16</f>
        <v>Enders Reservoir Evaporation</v>
      </c>
      <c r="B45" s="151">
        <f>+B16</f>
        <v>1263</v>
      </c>
      <c r="C45" s="151">
        <f>+C16</f>
        <v>1482</v>
      </c>
      <c r="D45" s="151">
        <f>+D16</f>
        <v>1193</v>
      </c>
      <c r="E45" s="151">
        <f>+E16</f>
        <v>2037</v>
      </c>
      <c r="F45" s="151">
        <f>+F16</f>
        <v>1616</v>
      </c>
    </row>
    <row r="46" spans="1:6">
      <c r="A46" s="45" t="str">
        <f>'NORTH FORK'!A26</f>
        <v>Non-Federal Reservoir Evaporation</v>
      </c>
      <c r="B46" s="151">
        <f>B25</f>
        <v>43.363672729999998</v>
      </c>
      <c r="C46" s="151">
        <f>C25</f>
        <v>53.095329166666602</v>
      </c>
      <c r="D46" s="151">
        <f>D25</f>
        <v>69</v>
      </c>
      <c r="E46" s="151">
        <f>E25</f>
        <v>123.70389583333331</v>
      </c>
      <c r="F46" s="151">
        <f>F25</f>
        <v>106</v>
      </c>
    </row>
    <row r="47" spans="1:6">
      <c r="A47" s="45" t="str">
        <f>'NORTH FORK'!A27</f>
        <v>SW CBCU</v>
      </c>
      <c r="B47" s="151">
        <f>SUM(B38:B44)+SUM(B45:B46)</f>
        <v>1306.36367273</v>
      </c>
      <c r="C47" s="151">
        <f>SUM(C38:C44)+SUM(C45:C46)</f>
        <v>3019.9613291666674</v>
      </c>
      <c r="D47" s="151">
        <f>SUM(D38:D44)+SUM(D45:D46)</f>
        <v>3195.3459999999995</v>
      </c>
      <c r="E47" s="151">
        <f>SUM(E38:E44)+SUM(E45:E46)</f>
        <v>3367.9618958333331</v>
      </c>
      <c r="F47" s="151">
        <f>SUM(F38:F44)+SUM(F45:F46)</f>
        <v>2805.2440000000006</v>
      </c>
    </row>
    <row r="48" spans="1:6">
      <c r="A48" s="45" t="str">
        <f>'NORTH FORK'!A28</f>
        <v>GW CBCU</v>
      </c>
      <c r="B48" s="151">
        <f>+B8</f>
        <v>79918</v>
      </c>
      <c r="C48" s="151">
        <f>+C8</f>
        <v>82359</v>
      </c>
      <c r="D48" s="151">
        <f>+D8</f>
        <v>81732</v>
      </c>
      <c r="E48" s="151">
        <f>+E8</f>
        <v>78767</v>
      </c>
      <c r="F48" s="151">
        <f>+F8</f>
        <v>79922</v>
      </c>
    </row>
    <row r="49" spans="1:6">
      <c r="A49" s="45" t="str">
        <f>'NORTH FORK'!A29</f>
        <v>Total CBCU</v>
      </c>
      <c r="B49" s="151">
        <f>(ROUND(SUM(B47:B48),-1))</f>
        <v>81220</v>
      </c>
      <c r="C49" s="151">
        <f>(ROUND(SUM(C47:C48),-1))</f>
        <v>85380</v>
      </c>
      <c r="D49" s="151">
        <f>(ROUND(SUM(D47:D48),-1))</f>
        <v>84930</v>
      </c>
      <c r="E49" s="151">
        <f>(ROUND(SUM(E47:E48),-1))</f>
        <v>82130</v>
      </c>
      <c r="F49" s="151">
        <f>(ROUND(SUM(F47:F48),-1))</f>
        <v>82730</v>
      </c>
    </row>
    <row r="50" spans="1:6">
      <c r="A50" s="45" t="s">
        <v>66</v>
      </c>
      <c r="B50" s="151"/>
      <c r="C50" s="151"/>
      <c r="D50" s="151"/>
      <c r="E50" s="151"/>
      <c r="F50" s="151"/>
    </row>
    <row r="51" spans="1:6">
      <c r="A51" s="4" t="s">
        <v>162</v>
      </c>
      <c r="B51" s="151"/>
      <c r="C51" s="151"/>
      <c r="D51" s="151"/>
      <c r="E51" s="151"/>
      <c r="F51" s="151"/>
    </row>
    <row r="52" spans="1:6">
      <c r="A52" s="45" t="str">
        <f>'NORTH FORK'!A42</f>
        <v>Total SW CBCU</v>
      </c>
      <c r="B52" s="151">
        <f>B47</f>
        <v>1306.36367273</v>
      </c>
      <c r="C52" s="151">
        <f>C47</f>
        <v>3019.9613291666674</v>
      </c>
      <c r="D52" s="151">
        <f>D47</f>
        <v>3195.3459999999995</v>
      </c>
      <c r="E52" s="151">
        <f>E47</f>
        <v>3367.9618958333331</v>
      </c>
      <c r="F52" s="151">
        <f>F47</f>
        <v>2805.2440000000006</v>
      </c>
    </row>
    <row r="53" spans="1:6">
      <c r="A53" s="45" t="str">
        <f>'NORTH FORK'!A43</f>
        <v>Total GW CBCU</v>
      </c>
      <c r="B53" s="151">
        <f>+B30+B34+B48</f>
        <v>81136</v>
      </c>
      <c r="C53" s="151">
        <f>+C30+C34+C48</f>
        <v>83534</v>
      </c>
      <c r="D53" s="151">
        <f>+D30+D34+D48</f>
        <v>83416</v>
      </c>
      <c r="E53" s="151">
        <f>+E30+E34+E48</f>
        <v>79904</v>
      </c>
      <c r="F53" s="151">
        <f>+F30+F34+F48</f>
        <v>80122</v>
      </c>
    </row>
    <row r="54" spans="1:6">
      <c r="A54" s="45" t="str">
        <f>'NORTH FORK'!A44</f>
        <v>Total Basin CBCU</v>
      </c>
      <c r="B54" s="151">
        <f>(ROUND(SUM(B52:B53),-1))</f>
        <v>82440</v>
      </c>
      <c r="C54" s="151">
        <f>(ROUND(SUM(C52:C53),-1))</f>
        <v>86550</v>
      </c>
      <c r="D54" s="151">
        <f>(ROUND(SUM(D52:D53),-1))</f>
        <v>86610</v>
      </c>
      <c r="E54" s="151">
        <f>(ROUND(SUM(E52:E53),-1))</f>
        <v>83270</v>
      </c>
      <c r="F54" s="151">
        <f>(ROUND(SUM(F52:F53),-1))</f>
        <v>82930</v>
      </c>
    </row>
    <row r="55" spans="1:6">
      <c r="A55" s="45" t="s">
        <v>66</v>
      </c>
      <c r="B55" s="151"/>
      <c r="C55" s="151"/>
      <c r="D55" s="151"/>
      <c r="E55" s="151"/>
      <c r="F55" s="151"/>
    </row>
    <row r="56" spans="1:6" ht="15.75">
      <c r="A56" s="10" t="s">
        <v>10</v>
      </c>
      <c r="B56" s="151"/>
      <c r="C56" s="151"/>
      <c r="D56" s="151"/>
      <c r="E56" s="151"/>
      <c r="F56" s="151"/>
    </row>
    <row r="57" spans="1:6">
      <c r="A57" s="13" t="str">
        <f t="shared" ref="A57:F57" si="1">A15</f>
        <v>Frenchman Creek At Culbertson</v>
      </c>
      <c r="B57" s="151">
        <f t="shared" si="1"/>
        <v>27490</v>
      </c>
      <c r="C57" s="151">
        <f t="shared" si="1"/>
        <v>25906</v>
      </c>
      <c r="D57" s="151">
        <f t="shared" si="1"/>
        <v>27267</v>
      </c>
      <c r="E57" s="151">
        <f t="shared" si="1"/>
        <v>19122</v>
      </c>
      <c r="F57" s="151">
        <f t="shared" si="1"/>
        <v>16678</v>
      </c>
    </row>
    <row r="58" spans="1:6">
      <c r="A58" s="13" t="s">
        <v>407</v>
      </c>
      <c r="B58" s="151">
        <f>0.17*(B20*B11)</f>
        <v>0</v>
      </c>
      <c r="C58" s="151">
        <f>0.17*(C20*C11)</f>
        <v>1009.9927799999999</v>
      </c>
      <c r="D58" s="151">
        <f>0.17*(D20*D11)</f>
        <v>1643.2461800000001</v>
      </c>
      <c r="E58" s="151">
        <f>0.17*(E20*E11)</f>
        <v>937.50614000000007</v>
      </c>
      <c r="F58" s="151">
        <f>0.17*(F20*F11)</f>
        <v>833.80851999999993</v>
      </c>
    </row>
    <row r="59" spans="1:6">
      <c r="A59" s="13" t="s">
        <v>408</v>
      </c>
      <c r="B59" s="151">
        <f>B21*B12</f>
        <v>0</v>
      </c>
      <c r="C59" s="151">
        <f>C21*C12</f>
        <v>0</v>
      </c>
      <c r="D59" s="151">
        <f>D21*D12</f>
        <v>0</v>
      </c>
      <c r="E59" s="151">
        <f>E21*E12</f>
        <v>0</v>
      </c>
      <c r="F59" s="151">
        <f>F21*F12</f>
        <v>0</v>
      </c>
    </row>
    <row r="60" spans="1:6">
      <c r="A60" s="13" t="str">
        <f>'NORTH FORK'!A49</f>
        <v>Colorado CBCU</v>
      </c>
      <c r="B60" s="151">
        <f>+B31</f>
        <v>1220</v>
      </c>
      <c r="C60" s="151">
        <f>+C31</f>
        <v>1180</v>
      </c>
      <c r="D60" s="151">
        <f>+D31</f>
        <v>1680</v>
      </c>
      <c r="E60" s="151">
        <f>+E31</f>
        <v>1140</v>
      </c>
      <c r="F60" s="151">
        <f>+F31</f>
        <v>200</v>
      </c>
    </row>
    <row r="61" spans="1:6">
      <c r="A61" s="13" t="str">
        <f>'NORTH FORK'!A50</f>
        <v>Kansas CBCU</v>
      </c>
      <c r="B61" s="151">
        <f>+B35</f>
        <v>0</v>
      </c>
      <c r="C61" s="151">
        <f>+C35</f>
        <v>0</v>
      </c>
      <c r="D61" s="151">
        <f>+D35</f>
        <v>0</v>
      </c>
      <c r="E61" s="151">
        <f>+E35</f>
        <v>0</v>
      </c>
      <c r="F61" s="151">
        <f>+F35</f>
        <v>0</v>
      </c>
    </row>
    <row r="62" spans="1:6">
      <c r="A62" s="13" t="str">
        <f>'NORTH FORK'!A51</f>
        <v>Nebraska CBCU</v>
      </c>
      <c r="B62" s="151">
        <f>+B49</f>
        <v>81220</v>
      </c>
      <c r="C62" s="151">
        <f>+C49</f>
        <v>85380</v>
      </c>
      <c r="D62" s="151">
        <f>+D49</f>
        <v>84930</v>
      </c>
      <c r="E62" s="151">
        <f>+E49</f>
        <v>82130</v>
      </c>
      <c r="F62" s="151">
        <f>+F49</f>
        <v>82730</v>
      </c>
    </row>
    <row r="63" spans="1:6">
      <c r="A63" s="13" t="str">
        <f>A17</f>
        <v>Enders Reservoir Change In Storage</v>
      </c>
      <c r="B63" s="151">
        <f>+B17</f>
        <v>-1669</v>
      </c>
      <c r="C63" s="151">
        <f>+C17</f>
        <v>767</v>
      </c>
      <c r="D63" s="151">
        <f>+D17</f>
        <v>424</v>
      </c>
      <c r="E63" s="151">
        <f>+E17</f>
        <v>-1148</v>
      </c>
      <c r="F63" s="151">
        <f>+F17</f>
        <v>-655</v>
      </c>
    </row>
    <row r="64" spans="1:6">
      <c r="A64" s="13" t="s">
        <v>550</v>
      </c>
      <c r="B64" s="151">
        <f>(B19-B39)*0.78</f>
        <v>0</v>
      </c>
      <c r="C64" s="151">
        <f>(C19-C39)*0.78</f>
        <v>0</v>
      </c>
      <c r="D64" s="151">
        <f>(D19-D39)*0.78</f>
        <v>0</v>
      </c>
      <c r="E64" s="151">
        <f>(E19-E39)*0.78</f>
        <v>0</v>
      </c>
      <c r="F64" s="151">
        <f>(F19-F39)*0.78</f>
        <v>0</v>
      </c>
    </row>
    <row r="65" spans="1:6">
      <c r="A65" s="13" t="str">
        <f>'NORTH FORK'!A52</f>
        <v>Imported Water</v>
      </c>
      <c r="B65" s="151">
        <f>B5</f>
        <v>0</v>
      </c>
      <c r="C65" s="151">
        <f>C5</f>
        <v>10</v>
      </c>
      <c r="D65" s="151">
        <f>D5</f>
        <v>10</v>
      </c>
      <c r="E65" s="151">
        <f>E5</f>
        <v>0</v>
      </c>
      <c r="F65" s="151">
        <f>F5</f>
        <v>0</v>
      </c>
    </row>
    <row r="66" spans="1:6">
      <c r="A66" s="13" t="str">
        <f>'NORTH FORK'!A54</f>
        <v>Virgin Water Supply</v>
      </c>
      <c r="B66" s="151">
        <f>ROUND(SUM(B57:B64)-B65,-1)</f>
        <v>108260</v>
      </c>
      <c r="C66" s="151">
        <f>ROUND(SUM(C57:C64)-C65,-1)</f>
        <v>114230</v>
      </c>
      <c r="D66" s="151">
        <f>ROUND(SUM(D57:D64)-D65,-1)</f>
        <v>115930</v>
      </c>
      <c r="E66" s="151">
        <f>ROUND(SUM(E57:E64)-E65,-1)</f>
        <v>102180</v>
      </c>
      <c r="F66" s="151">
        <f>ROUND(SUM(F57:F64)-F65,-1)</f>
        <v>99790</v>
      </c>
    </row>
    <row r="67" spans="1:6">
      <c r="A67" s="13" t="str">
        <f>'NORTH FORK'!A55</f>
        <v>Adjustment For Flood Flows</v>
      </c>
      <c r="B67" s="151">
        <f>B26</f>
        <v>0</v>
      </c>
      <c r="C67" s="151">
        <f>C26</f>
        <v>0</v>
      </c>
      <c r="D67" s="151">
        <f>D26</f>
        <v>0</v>
      </c>
      <c r="E67" s="151">
        <f>E26</f>
        <v>0</v>
      </c>
      <c r="F67" s="151">
        <f>F26</f>
        <v>0</v>
      </c>
    </row>
    <row r="68" spans="1:6">
      <c r="A68" s="13" t="str">
        <f>'NORTH FORK'!A56</f>
        <v>Computed Water Supply</v>
      </c>
      <c r="B68" s="151">
        <f>ROUND(+B66-B67-B63,-1)</f>
        <v>109930</v>
      </c>
      <c r="C68" s="151">
        <f>ROUND(+C66-C67-C63,-1)</f>
        <v>113460</v>
      </c>
      <c r="D68" s="151">
        <f>ROUND(+D66-D67-D63,-1)</f>
        <v>115510</v>
      </c>
      <c r="E68" s="151">
        <f>ROUND(+E66-E67-E63,-1)</f>
        <v>103330</v>
      </c>
      <c r="F68" s="151">
        <f>ROUND(+F66-F67-F63,-1)</f>
        <v>100450</v>
      </c>
    </row>
    <row r="69" spans="1:6">
      <c r="A69" s="45" t="s">
        <v>66</v>
      </c>
      <c r="B69" s="151"/>
      <c r="C69" s="151"/>
      <c r="D69" s="151"/>
      <c r="E69" s="151"/>
      <c r="F69" s="151"/>
    </row>
    <row r="70" spans="1:6" ht="15.75">
      <c r="A70" s="10" t="s">
        <v>12</v>
      </c>
      <c r="B70" s="154"/>
      <c r="C70" s="154"/>
      <c r="D70" s="154"/>
      <c r="E70" s="154"/>
      <c r="F70" s="154"/>
    </row>
    <row r="71" spans="1:6">
      <c r="A71" s="13" t="str">
        <f>'NORTH FORK'!A59</f>
        <v>Colorado Percent Of Allocation</v>
      </c>
      <c r="B71" s="122">
        <f>'T2'!$D8</f>
        <v>0</v>
      </c>
      <c r="C71" s="122">
        <f>'T2'!$D8</f>
        <v>0</v>
      </c>
      <c r="D71" s="122">
        <f>'T2'!$D8</f>
        <v>0</v>
      </c>
      <c r="E71" s="122">
        <f>'T2'!$D8</f>
        <v>0</v>
      </c>
      <c r="F71" s="122">
        <f>'T2'!$D8</f>
        <v>0</v>
      </c>
    </row>
    <row r="72" spans="1:6">
      <c r="A72" s="13" t="str">
        <f>'NORTH FORK'!A60</f>
        <v>Colorado Allocation</v>
      </c>
      <c r="B72" s="151">
        <f>ROUND(+B68*B71,-1)</f>
        <v>0</v>
      </c>
      <c r="C72" s="151">
        <f>ROUND(+C68*C71,-1)</f>
        <v>0</v>
      </c>
      <c r="D72" s="151">
        <f>ROUND(+D68*D71,-1)</f>
        <v>0</v>
      </c>
      <c r="E72" s="151">
        <f>ROUND(+E68*E71,-1)</f>
        <v>0</v>
      </c>
      <c r="F72" s="151">
        <f>ROUND(+F68*F71,-1)</f>
        <v>0</v>
      </c>
    </row>
    <row r="73" spans="1:6">
      <c r="A73" s="13" t="str">
        <f>'NORTH FORK'!A61</f>
        <v>Kansas Percent Of Allocation</v>
      </c>
      <c r="B73" s="122">
        <f>'T2'!$F8</f>
        <v>0</v>
      </c>
      <c r="C73" s="122">
        <f>'T2'!$F8</f>
        <v>0</v>
      </c>
      <c r="D73" s="122">
        <f>'T2'!$F8</f>
        <v>0</v>
      </c>
      <c r="E73" s="122">
        <f>'T2'!$F8</f>
        <v>0</v>
      </c>
      <c r="F73" s="122">
        <f>'T2'!$F8</f>
        <v>0</v>
      </c>
    </row>
    <row r="74" spans="1:6">
      <c r="A74" s="2" t="str">
        <f>'NORTH FORK'!A62</f>
        <v>Kansas Allocation</v>
      </c>
      <c r="B74" s="145">
        <f>ROUND(B68*B73,-1)</f>
        <v>0</v>
      </c>
      <c r="C74" s="145">
        <f>ROUND(C68*C73,-1)</f>
        <v>0</v>
      </c>
      <c r="D74" s="145">
        <f>ROUND(D68*D73,-1)</f>
        <v>0</v>
      </c>
      <c r="E74" s="145">
        <f>ROUND(E68*E73,-1)</f>
        <v>0</v>
      </c>
      <c r="F74" s="145">
        <f>ROUND(F68*F73,-1)</f>
        <v>0</v>
      </c>
    </row>
    <row r="75" spans="1:6">
      <c r="A75" s="2" t="str">
        <f>'NORTH FORK'!A63</f>
        <v>Nebraska Percent Of Allocation</v>
      </c>
      <c r="B75" s="117">
        <f>'T2'!$H8</f>
        <v>0.53600000000000003</v>
      </c>
      <c r="C75" s="117">
        <f>'T2'!$H8</f>
        <v>0.53600000000000003</v>
      </c>
      <c r="D75" s="117">
        <f>'T2'!$H8</f>
        <v>0.53600000000000003</v>
      </c>
      <c r="E75" s="117">
        <f>'T2'!$H8</f>
        <v>0.53600000000000003</v>
      </c>
      <c r="F75" s="117">
        <f>'T2'!$H8</f>
        <v>0.53600000000000003</v>
      </c>
    </row>
    <row r="76" spans="1:6">
      <c r="A76" s="2" t="str">
        <f>'NORTH FORK'!A64</f>
        <v>Nebraska Allocation</v>
      </c>
      <c r="B76" s="145">
        <f>ROUND(B68*B75,-1)</f>
        <v>58920</v>
      </c>
      <c r="C76" s="145">
        <f>ROUND(C68*C75,-1)</f>
        <v>60810</v>
      </c>
      <c r="D76" s="145">
        <f>ROUND(D68*D75,-1)</f>
        <v>61910</v>
      </c>
      <c r="E76" s="145">
        <f>ROUND(E68*E75,-1)</f>
        <v>55380</v>
      </c>
      <c r="F76" s="145">
        <f>ROUND(F68*F75,-1)</f>
        <v>53840</v>
      </c>
    </row>
    <row r="77" spans="1:6">
      <c r="A77" s="2" t="str">
        <f>'NORTH FORK'!A65</f>
        <v>Total Basin Allocation</v>
      </c>
      <c r="B77" s="145">
        <f>+B72+B74+B76</f>
        <v>58920</v>
      </c>
      <c r="C77" s="145">
        <f>+C72+C74+C76</f>
        <v>60810</v>
      </c>
      <c r="D77" s="145">
        <f>+D72+D74+D76</f>
        <v>61910</v>
      </c>
      <c r="E77" s="145">
        <f>+E72+E74+E76</f>
        <v>55380</v>
      </c>
      <c r="F77" s="145">
        <f>+F72+F74+F76</f>
        <v>53840</v>
      </c>
    </row>
    <row r="78" spans="1:6">
      <c r="A78" s="2" t="str">
        <f>'NORTH FORK'!A66</f>
        <v>Percent Of Supply Not Allocated</v>
      </c>
      <c r="B78" s="117">
        <f>'T2'!$J8</f>
        <v>0.46400000000000002</v>
      </c>
      <c r="C78" s="117">
        <f>'T2'!$J8</f>
        <v>0.46400000000000002</v>
      </c>
      <c r="D78" s="117">
        <f>'T2'!$J8</f>
        <v>0.46400000000000002</v>
      </c>
      <c r="E78" s="117">
        <f>'T2'!$J8</f>
        <v>0.46400000000000002</v>
      </c>
      <c r="F78" s="117">
        <f>'T2'!$J8</f>
        <v>0.46400000000000002</v>
      </c>
    </row>
    <row r="79" spans="1:6">
      <c r="A79" s="2" t="str">
        <f>'NORTH FORK'!A67</f>
        <v>Quantity Of Unallocated Supply</v>
      </c>
      <c r="B79" s="145">
        <f>+B68-B72-B74-B76</f>
        <v>51010</v>
      </c>
      <c r="C79" s="145">
        <f>+C68-C72-C74-C76</f>
        <v>52650</v>
      </c>
      <c r="D79" s="145">
        <f>+D68-D72-D74-D76</f>
        <v>53600</v>
      </c>
      <c r="E79" s="145">
        <f>+E68-E72-E74-E76</f>
        <v>47950</v>
      </c>
      <c r="F79" s="145">
        <f>+F68-F72-F74-F76</f>
        <v>46610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74"/>
  <sheetViews>
    <sheetView workbookViewId="0">
      <pane ySplit="1" topLeftCell="A3" activePane="bottomLeft" state="frozen"/>
      <selection pane="bottomLeft" activeCell="B1" sqref="B1:F1"/>
    </sheetView>
  </sheetViews>
  <sheetFormatPr defaultRowHeight="12.75"/>
  <cols>
    <col min="1" max="1" width="69.28515625" customWidth="1"/>
  </cols>
  <sheetData>
    <row r="1" spans="1:6" ht="15.75">
      <c r="A1" s="37" t="s">
        <v>206</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+INPUT!B53</f>
        <v>Imported Water Nebraska</v>
      </c>
      <c r="B5" s="145">
        <f>+INPUT!C53</f>
        <v>0</v>
      </c>
      <c r="C5" s="145">
        <f>+INPUT!D53</f>
        <v>0</v>
      </c>
      <c r="D5" s="145">
        <f>+INPUT!E53</f>
        <v>0</v>
      </c>
      <c r="E5" s="145">
        <f>+INPUT!F53</f>
        <v>0</v>
      </c>
      <c r="F5" s="145">
        <f>+INPUT!G53</f>
        <v>0</v>
      </c>
    </row>
    <row r="6" spans="1:6">
      <c r="A6" s="31" t="str">
        <f>+INPUT!B22</f>
        <v>GW CBCU Colorado</v>
      </c>
      <c r="B6" s="145">
        <f>+INPUT!C22</f>
        <v>0</v>
      </c>
      <c r="C6" s="145">
        <f>+INPUT!D22</f>
        <v>0</v>
      </c>
      <c r="D6" s="145">
        <f>+INPUT!E22</f>
        <v>0</v>
      </c>
      <c r="E6" s="145">
        <f>+INPUT!F22</f>
        <v>0</v>
      </c>
      <c r="F6" s="145">
        <f>+INPUT!G22</f>
        <v>0</v>
      </c>
    </row>
    <row r="7" spans="1:6">
      <c r="A7" s="31" t="str">
        <f>+INPUT!B23</f>
        <v>GW CBCU Kansas</v>
      </c>
      <c r="B7" s="145">
        <f>+INPUT!C23</f>
        <v>0</v>
      </c>
      <c r="C7" s="145">
        <f>+INPUT!D23</f>
        <v>0</v>
      </c>
      <c r="D7" s="145">
        <f>+INPUT!E23</f>
        <v>0</v>
      </c>
      <c r="E7" s="145">
        <f>+INPUT!F23</f>
        <v>0</v>
      </c>
      <c r="F7" s="145">
        <f>+INPUT!G23</f>
        <v>0</v>
      </c>
    </row>
    <row r="8" spans="1:6" ht="12" customHeight="1">
      <c r="A8" s="31" t="str">
        <f>+INPUT!B24</f>
        <v>GW CBCU Nebraska</v>
      </c>
      <c r="B8" s="145">
        <f>+INPUT!C24</f>
        <v>891</v>
      </c>
      <c r="C8" s="145">
        <f>+INPUT!D24</f>
        <v>867</v>
      </c>
      <c r="D8" s="145">
        <f>+INPUT!E24</f>
        <v>826</v>
      </c>
      <c r="E8" s="145">
        <f>+INPUT!F24</f>
        <v>811</v>
      </c>
      <c r="F8" s="145">
        <f>+INPUT!G24</f>
        <v>828</v>
      </c>
    </row>
    <row r="9" spans="1:6">
      <c r="A9" s="2" t="s">
        <v>66</v>
      </c>
      <c r="B9" s="120"/>
      <c r="C9" s="120"/>
      <c r="D9" s="120"/>
      <c r="E9" s="120"/>
      <c r="F9" s="120"/>
    </row>
    <row r="10" spans="1:6">
      <c r="A10" s="4" t="s">
        <v>192</v>
      </c>
      <c r="B10" s="120"/>
      <c r="C10" s="120"/>
      <c r="D10" s="120"/>
      <c r="E10" s="120"/>
      <c r="F10" s="120"/>
    </row>
    <row r="11" spans="1:6">
      <c r="A11" s="35" t="str">
        <f>+INPUT!B244</f>
        <v>Meeker-Driftwood Canal % Return Flow</v>
      </c>
      <c r="B11" s="111">
        <f>+INPUT!C244</f>
        <v>0.66432806134675293</v>
      </c>
      <c r="C11" s="111">
        <f>+INPUT!D244</f>
        <v>0.65655292060160897</v>
      </c>
      <c r="D11" s="111">
        <f>+INPUT!E244</f>
        <v>0.66992628127277143</v>
      </c>
      <c r="E11" s="111">
        <f>+INPUT!F244</f>
        <v>0.61602526033611704</v>
      </c>
      <c r="F11" s="111">
        <f>+INPUT!G244</f>
        <v>0.5985318966441513</v>
      </c>
    </row>
    <row r="12" spans="1:6">
      <c r="A12" s="2" t="s">
        <v>66</v>
      </c>
      <c r="B12" s="120"/>
      <c r="C12" s="120"/>
      <c r="D12" s="120"/>
      <c r="E12" s="120"/>
      <c r="F12" s="120"/>
    </row>
    <row r="13" spans="1:6">
      <c r="A13" s="4" t="s">
        <v>160</v>
      </c>
      <c r="B13" s="120"/>
      <c r="C13" s="120"/>
      <c r="D13" s="120"/>
      <c r="E13" s="120"/>
      <c r="F13" s="120"/>
    </row>
    <row r="14" spans="1:6">
      <c r="A14" s="31" t="str">
        <f>+INPUT!B190</f>
        <v>Driftwood Creek Near McCook</v>
      </c>
      <c r="B14" s="145">
        <f>+INPUT!C190</f>
        <v>2392</v>
      </c>
      <c r="C14" s="145">
        <f>+INPUT!D190</f>
        <v>3911</v>
      </c>
      <c r="D14" s="145">
        <f>+INPUT!E190</f>
        <v>3284</v>
      </c>
      <c r="E14" s="145">
        <f>+INPUT!F190</f>
        <v>2492</v>
      </c>
      <c r="F14" s="145">
        <f>+INPUT!G190</f>
        <v>1999</v>
      </c>
    </row>
    <row r="15" spans="1:6">
      <c r="A15" s="31" t="str">
        <f>+INPUT!B96</f>
        <v>SW Diversions - Irrigation - Non-Federal Canals- Kansas</v>
      </c>
      <c r="B15" s="145">
        <f>+INPUT!C96</f>
        <v>0</v>
      </c>
      <c r="C15" s="145">
        <f>+INPUT!D96</f>
        <v>0</v>
      </c>
      <c r="D15" s="145">
        <f>+INPUT!E96</f>
        <v>0</v>
      </c>
      <c r="E15" s="145">
        <f>+INPUT!F96</f>
        <v>0</v>
      </c>
      <c r="F15" s="145">
        <f>+INPUT!G96</f>
        <v>0</v>
      </c>
    </row>
    <row r="16" spans="1:6">
      <c r="A16" s="31" t="str">
        <f>+INPUT!B97</f>
        <v>SW Diversions - Irrigation - Small Pumps - Kansas</v>
      </c>
      <c r="B16" s="145">
        <f>+INPUT!C97</f>
        <v>0</v>
      </c>
      <c r="C16" s="145">
        <f>+INPUT!D97</f>
        <v>0</v>
      </c>
      <c r="D16" s="145">
        <f>+INPUT!E97</f>
        <v>0</v>
      </c>
      <c r="E16" s="145">
        <f>+INPUT!F97</f>
        <v>0</v>
      </c>
      <c r="F16" s="145">
        <f>+INPUT!G97</f>
        <v>0</v>
      </c>
    </row>
    <row r="17" spans="1:6">
      <c r="A17" s="31" t="str">
        <f>+INPUT!B98</f>
        <v>SW Diversions - M&amp;I - Kansas</v>
      </c>
      <c r="B17" s="145">
        <f>+INPUT!C98</f>
        <v>0</v>
      </c>
      <c r="C17" s="145">
        <f>+INPUT!D98</f>
        <v>0</v>
      </c>
      <c r="D17" s="145">
        <f>+INPUT!E98</f>
        <v>0</v>
      </c>
      <c r="E17" s="145">
        <f>+INPUT!F98</f>
        <v>0</v>
      </c>
      <c r="F17" s="145">
        <f>+INPUT!G98</f>
        <v>0</v>
      </c>
    </row>
    <row r="18" spans="1:6">
      <c r="A18" s="31" t="str">
        <f>+INPUT!B243</f>
        <v>Meeker-Driftwood Canal Diversions</v>
      </c>
      <c r="B18" s="145">
        <f>+INPUT!C243</f>
        <v>16692</v>
      </c>
      <c r="C18" s="145">
        <f>+INPUT!D243</f>
        <v>14295</v>
      </c>
      <c r="D18" s="145">
        <f>+INPUT!E243</f>
        <v>16468</v>
      </c>
      <c r="E18" s="145">
        <f>+INPUT!F243</f>
        <v>19398</v>
      </c>
      <c r="F18" s="145">
        <f>+INPUT!G243</f>
        <v>18654</v>
      </c>
    </row>
    <row r="19" spans="1:6">
      <c r="A19" s="50" t="str">
        <f>+INPUT!B99</f>
        <v>SW Diversions - Irrigation - Non-Federal Canals - Nebraska</v>
      </c>
      <c r="B19" s="151">
        <f>+INPUT!C99</f>
        <v>0</v>
      </c>
      <c r="C19" s="151">
        <f>+INPUT!D99</f>
        <v>0</v>
      </c>
      <c r="D19" s="151">
        <f>+INPUT!E99</f>
        <v>0</v>
      </c>
      <c r="E19" s="151">
        <f>+INPUT!F99</f>
        <v>0</v>
      </c>
      <c r="F19" s="151">
        <f>+INPUT!G99</f>
        <v>0</v>
      </c>
    </row>
    <row r="20" spans="1:6">
      <c r="A20" s="50" t="str">
        <f>+INPUT!B100</f>
        <v>SW Diversions - Irrigation - Small Pumps - Nebraska</v>
      </c>
      <c r="B20" s="151">
        <f>+INPUT!C100</f>
        <v>0</v>
      </c>
      <c r="C20" s="151">
        <f>+INPUT!D100</f>
        <v>0</v>
      </c>
      <c r="D20" s="151">
        <f>+INPUT!E100</f>
        <v>0</v>
      </c>
      <c r="E20" s="151">
        <f>+INPUT!F100</f>
        <v>0</v>
      </c>
      <c r="F20" s="151">
        <f>+INPUT!G100</f>
        <v>0</v>
      </c>
    </row>
    <row r="21" spans="1:6">
      <c r="A21" s="50" t="str">
        <f>+INPUT!B101</f>
        <v>SW Diversions - M&amp;I - Nebraska</v>
      </c>
      <c r="B21" s="151">
        <f>+INPUT!C101</f>
        <v>0</v>
      </c>
      <c r="C21" s="151">
        <f>+INPUT!D101</f>
        <v>0</v>
      </c>
      <c r="D21" s="151">
        <f>+INPUT!E101</f>
        <v>0</v>
      </c>
      <c r="E21" s="151">
        <f>+INPUT!F101</f>
        <v>0</v>
      </c>
      <c r="F21" s="151">
        <f>+INPUT!G101</f>
        <v>0</v>
      </c>
    </row>
    <row r="22" spans="1:6">
      <c r="A22" s="50" t="str">
        <f>+INPUT!B165</f>
        <v>Non-Federal Reservoir Evaporation - Kansas</v>
      </c>
      <c r="B22" s="151">
        <f>+INPUT!C165</f>
        <v>9</v>
      </c>
      <c r="C22" s="151">
        <f>+INPUT!D165</f>
        <v>8.367945328124998</v>
      </c>
      <c r="D22" s="151">
        <f>+INPUT!E165</f>
        <v>11</v>
      </c>
      <c r="E22" s="151">
        <f>+INPUT!F165</f>
        <v>16.63</v>
      </c>
      <c r="F22" s="151">
        <f>+INPUT!G165</f>
        <v>15.89</v>
      </c>
    </row>
    <row r="23" spans="1:6">
      <c r="A23" s="50" t="str">
        <f>+INPUT!B166</f>
        <v>Non-Federal Reservoir Evaporation - Nebraska</v>
      </c>
      <c r="B23" s="151">
        <f>+INPUT!C166</f>
        <v>0</v>
      </c>
      <c r="C23" s="151">
        <f>+INPUT!D166</f>
        <v>0</v>
      </c>
      <c r="D23" s="151">
        <f>+INPUT!E166</f>
        <v>0</v>
      </c>
      <c r="E23" s="151">
        <f>+INPUT!F166</f>
        <v>0</v>
      </c>
      <c r="F23" s="151">
        <f>+INPUT!G166</f>
        <v>0</v>
      </c>
    </row>
    <row r="24" spans="1:6">
      <c r="A24" s="137" t="str">
        <f>+FLOOD!A63</f>
        <v>Driftwood Flood Flow</v>
      </c>
      <c r="B24" s="151">
        <f>+FLOOD!B63</f>
        <v>0</v>
      </c>
      <c r="C24" s="151">
        <f>+FLOOD!C63</f>
        <v>0</v>
      </c>
      <c r="D24" s="151">
        <f>+FLOOD!D63</f>
        <v>0</v>
      </c>
      <c r="E24" s="151">
        <f>+FLOOD!E63</f>
        <v>0</v>
      </c>
      <c r="F24" s="151">
        <f>+FLOOD!F63</f>
        <v>0</v>
      </c>
    </row>
    <row r="25" spans="1:6">
      <c r="A25" s="61" t="s">
        <v>66</v>
      </c>
      <c r="B25" s="151"/>
      <c r="C25" s="151"/>
      <c r="D25" s="151"/>
      <c r="E25" s="151"/>
      <c r="F25" s="151"/>
    </row>
    <row r="26" spans="1:6" ht="15.75">
      <c r="A26" s="9" t="s">
        <v>241</v>
      </c>
      <c r="B26" s="151"/>
      <c r="C26" s="151"/>
      <c r="D26" s="151"/>
      <c r="E26" s="151"/>
      <c r="F26" s="151"/>
    </row>
    <row r="27" spans="1:6">
      <c r="A27" s="7" t="s">
        <v>0</v>
      </c>
      <c r="B27" s="151"/>
      <c r="C27" s="151"/>
      <c r="D27" s="151"/>
      <c r="E27" s="151"/>
      <c r="F27" s="151"/>
    </row>
    <row r="28" spans="1:6">
      <c r="A28" s="13" t="str">
        <f>'NORTH FORK'!A28</f>
        <v>GW CBCU</v>
      </c>
      <c r="B28" s="151">
        <f>+B6</f>
        <v>0</v>
      </c>
      <c r="C28" s="151">
        <f>+C6</f>
        <v>0</v>
      </c>
      <c r="D28" s="151">
        <f>+D6</f>
        <v>0</v>
      </c>
      <c r="E28" s="151">
        <f>+E6</f>
        <v>0</v>
      </c>
      <c r="F28" s="151">
        <f>+F6</f>
        <v>0</v>
      </c>
    </row>
    <row r="29" spans="1:6">
      <c r="A29" s="13" t="str">
        <f>'NORTH FORK'!A29</f>
        <v>Total CBCU</v>
      </c>
      <c r="B29" s="151">
        <f>(ROUND(SUM(B28:B28),-1))</f>
        <v>0</v>
      </c>
      <c r="C29" s="151">
        <f>(ROUND(SUM(C28:C28),-1))</f>
        <v>0</v>
      </c>
      <c r="D29" s="151">
        <f>(ROUND(SUM(D28:D28),-1))</f>
        <v>0</v>
      </c>
      <c r="E29" s="151">
        <f>(ROUND(SUM(E28:E28),-1))</f>
        <v>0</v>
      </c>
      <c r="F29" s="151">
        <f>(ROUND(SUM(F28:F28),-1))</f>
        <v>0</v>
      </c>
    </row>
    <row r="30" spans="1:6">
      <c r="A30" s="13" t="s">
        <v>66</v>
      </c>
      <c r="B30" s="151"/>
      <c r="C30" s="151"/>
      <c r="D30" s="151"/>
      <c r="E30" s="151"/>
      <c r="F30" s="151"/>
    </row>
    <row r="31" spans="1:6">
      <c r="A31" s="7" t="s">
        <v>161</v>
      </c>
      <c r="B31" s="151"/>
      <c r="C31" s="151"/>
      <c r="D31" s="151"/>
      <c r="E31" s="151"/>
      <c r="F31" s="151"/>
    </row>
    <row r="32" spans="1:6">
      <c r="A32" s="13" t="str">
        <f>'NORTH FORK'!A23</f>
        <v>SW CBCU - Irrigation - Non Federal Canals</v>
      </c>
      <c r="B32" s="151">
        <f>+B15*CanalCUPercent1</f>
        <v>0</v>
      </c>
      <c r="C32" s="151">
        <f>+C15*CanalCUPercent2</f>
        <v>0</v>
      </c>
      <c r="D32" s="151">
        <f>+D15*CanalCUPercent3</f>
        <v>0</v>
      </c>
      <c r="E32" s="151">
        <f>+E15*CanalCUPercent4</f>
        <v>0</v>
      </c>
      <c r="F32" s="151">
        <f>+F15*CanalCUPercent5</f>
        <v>0</v>
      </c>
    </row>
    <row r="33" spans="1:6">
      <c r="A33" s="13" t="str">
        <f>'NORTH FORK'!A24</f>
        <v>SW CBCU - Irrigation - Small Pumps</v>
      </c>
      <c r="B33" s="151">
        <f>+B16*PumperCUPercent1</f>
        <v>0</v>
      </c>
      <c r="C33" s="151">
        <f>+C16*PumperCUPercent2</f>
        <v>0</v>
      </c>
      <c r="D33" s="151">
        <f>+D16*PumperCUPercent3</f>
        <v>0</v>
      </c>
      <c r="E33" s="151">
        <f>+E16*PumperCUPercent4</f>
        <v>0</v>
      </c>
      <c r="F33" s="151">
        <f>+F16*PumperCUPercent5</f>
        <v>0</v>
      </c>
    </row>
    <row r="34" spans="1:6">
      <c r="A34" s="13" t="str">
        <f>'NORTH FORK'!A25</f>
        <v>SW CBCU - M&amp;I</v>
      </c>
      <c r="B34" s="151">
        <f>+B17*MI_CUPercent1</f>
        <v>0</v>
      </c>
      <c r="C34" s="151">
        <f>+C17*MI_CUPercent2</f>
        <v>0</v>
      </c>
      <c r="D34" s="151">
        <f>+D17*MI_CUPercent3</f>
        <v>0</v>
      </c>
      <c r="E34" s="151">
        <f>+E17*MI_CUPercent4</f>
        <v>0</v>
      </c>
      <c r="F34" s="151">
        <f>+F17*MI_CUPercent5</f>
        <v>0</v>
      </c>
    </row>
    <row r="35" spans="1:6">
      <c r="A35" s="45" t="str">
        <f>'NORTH FORK'!A26</f>
        <v>Non-Federal Reservoir Evaporation</v>
      </c>
      <c r="B35" s="151">
        <f>B22</f>
        <v>9</v>
      </c>
      <c r="C35" s="151">
        <f>C22</f>
        <v>8.367945328124998</v>
      </c>
      <c r="D35" s="151">
        <f>D22</f>
        <v>11</v>
      </c>
      <c r="E35" s="151">
        <f>E22</f>
        <v>16.63</v>
      </c>
      <c r="F35" s="151">
        <f>F22</f>
        <v>15.89</v>
      </c>
    </row>
    <row r="36" spans="1:6">
      <c r="A36" s="13" t="str">
        <f>'NORTH FORK'!A27</f>
        <v>SW CBCU</v>
      </c>
      <c r="B36" s="151">
        <f>B32+B33+B34+B35</f>
        <v>9</v>
      </c>
      <c r="C36" s="151">
        <f>C32+C33+C34+C35</f>
        <v>8.367945328124998</v>
      </c>
      <c r="D36" s="151">
        <f>D32+D33+D34+D35</f>
        <v>11</v>
      </c>
      <c r="E36" s="151">
        <f>E32+E33+E34+E35</f>
        <v>16.63</v>
      </c>
      <c r="F36" s="151">
        <f>F32+F33+F34+F35</f>
        <v>15.89</v>
      </c>
    </row>
    <row r="37" spans="1:6">
      <c r="A37" s="13" t="str">
        <f>'NORTH FORK'!A28</f>
        <v>GW CBCU</v>
      </c>
      <c r="B37" s="151">
        <f>+B7</f>
        <v>0</v>
      </c>
      <c r="C37" s="151">
        <f>+C7</f>
        <v>0</v>
      </c>
      <c r="D37" s="151">
        <f>+D7</f>
        <v>0</v>
      </c>
      <c r="E37" s="151">
        <f>+E7</f>
        <v>0</v>
      </c>
      <c r="F37" s="151">
        <f>+F7</f>
        <v>0</v>
      </c>
    </row>
    <row r="38" spans="1:6">
      <c r="A38" s="13" t="str">
        <f>'NORTH FORK'!A29</f>
        <v>Total CBCU</v>
      </c>
      <c r="B38" s="151">
        <f>(ROUND(SUM(B36:B37),-1))</f>
        <v>10</v>
      </c>
      <c r="C38" s="151">
        <f>(ROUND(SUM(C36:C37),-1))</f>
        <v>10</v>
      </c>
      <c r="D38" s="151">
        <f>(ROUND(SUM(D36:D37),-1))</f>
        <v>10</v>
      </c>
      <c r="E38" s="151">
        <f>(ROUND(SUM(E36:E37),-1))</f>
        <v>20</v>
      </c>
      <c r="F38" s="151">
        <f>(ROUND(SUM(F36:F37),-1))</f>
        <v>20</v>
      </c>
    </row>
    <row r="39" spans="1:6">
      <c r="A39" s="13" t="s">
        <v>66</v>
      </c>
      <c r="B39" s="151"/>
      <c r="C39" s="151"/>
      <c r="D39" s="151"/>
      <c r="E39" s="151"/>
      <c r="F39" s="151"/>
    </row>
    <row r="40" spans="1:6">
      <c r="A40" s="7" t="s">
        <v>1</v>
      </c>
      <c r="B40" s="151"/>
      <c r="C40" s="151"/>
      <c r="D40" s="151"/>
      <c r="E40" s="151"/>
      <c r="F40" s="151"/>
    </row>
    <row r="41" spans="1:6">
      <c r="A41" s="11" t="str">
        <f>'NORTH FORK'!A23</f>
        <v>SW CBCU - Irrigation - Non Federal Canals</v>
      </c>
      <c r="B41" s="151">
        <f>B19*CanalCUPercent1</f>
        <v>0</v>
      </c>
      <c r="C41" s="151">
        <f>C19*CanalCUPercent2</f>
        <v>0</v>
      </c>
      <c r="D41" s="151">
        <f>D19*CanalCUPercent3</f>
        <v>0</v>
      </c>
      <c r="E41" s="151">
        <f>E19*CanalCUPercent4</f>
        <v>0</v>
      </c>
      <c r="F41" s="151">
        <f>F19*CanalCUPercent5</f>
        <v>0</v>
      </c>
    </row>
    <row r="42" spans="1:6">
      <c r="A42" s="11" t="str">
        <f>'NORTH FORK'!A24</f>
        <v>SW CBCU - Irrigation - Small Pumps</v>
      </c>
      <c r="B42" s="151">
        <f>B20*PumperCUPercent1</f>
        <v>0</v>
      </c>
      <c r="C42" s="151">
        <f>C20*PumperCUPercent2</f>
        <v>0</v>
      </c>
      <c r="D42" s="151">
        <f>D20*PumperCUPercent3</f>
        <v>0</v>
      </c>
      <c r="E42" s="151">
        <f>E20*PumperCUPercent4</f>
        <v>0</v>
      </c>
      <c r="F42" s="151">
        <f>F20*PumperCUPercent5</f>
        <v>0</v>
      </c>
    </row>
    <row r="43" spans="1:6">
      <c r="A43" s="11" t="str">
        <f>'NORTH FORK'!A25</f>
        <v>SW CBCU - M&amp;I</v>
      </c>
      <c r="B43" s="151">
        <f>B21*MI_CUPercent1</f>
        <v>0</v>
      </c>
      <c r="C43" s="151">
        <f>C21*MI_CUPercent2</f>
        <v>0</v>
      </c>
      <c r="D43" s="151">
        <f>D21*MI_CUPercent3</f>
        <v>0</v>
      </c>
      <c r="E43" s="151">
        <f>E21*MI_CUPercent4</f>
        <v>0</v>
      </c>
      <c r="F43" s="151">
        <f>F21*MI_CUPercent5</f>
        <v>0</v>
      </c>
    </row>
    <row r="44" spans="1:6">
      <c r="A44" s="13" t="str">
        <f>'NORTH FORK'!A26</f>
        <v>Non-Federal Reservoir Evaporation</v>
      </c>
      <c r="B44" s="151">
        <f>B23</f>
        <v>0</v>
      </c>
      <c r="C44" s="151">
        <f>C23</f>
        <v>0</v>
      </c>
      <c r="D44" s="151">
        <f>D23</f>
        <v>0</v>
      </c>
      <c r="E44" s="151">
        <f>E23</f>
        <v>0</v>
      </c>
      <c r="F44" s="151">
        <f>F23</f>
        <v>0</v>
      </c>
    </row>
    <row r="45" spans="1:6">
      <c r="A45" s="13" t="str">
        <f>'NORTH FORK'!A27</f>
        <v>SW CBCU</v>
      </c>
      <c r="B45" s="151">
        <f>B41+B42+B43+B44</f>
        <v>0</v>
      </c>
      <c r="C45" s="151">
        <f>C41+C42+C43+C44</f>
        <v>0</v>
      </c>
      <c r="D45" s="151">
        <f>D41+D42+D43+D44</f>
        <v>0</v>
      </c>
      <c r="E45" s="151">
        <f>E41+E42+E43+E44</f>
        <v>0</v>
      </c>
      <c r="F45" s="151">
        <f>F41+F42+F43+F44</f>
        <v>0</v>
      </c>
    </row>
    <row r="46" spans="1:6">
      <c r="A46" s="13" t="str">
        <f>'NORTH FORK'!A28</f>
        <v>GW CBCU</v>
      </c>
      <c r="B46" s="151">
        <f>+B8</f>
        <v>891</v>
      </c>
      <c r="C46" s="151">
        <f>+C8</f>
        <v>867</v>
      </c>
      <c r="D46" s="151">
        <f>+D8</f>
        <v>826</v>
      </c>
      <c r="E46" s="151">
        <f>+E8</f>
        <v>811</v>
      </c>
      <c r="F46" s="151">
        <f>+F8</f>
        <v>828</v>
      </c>
    </row>
    <row r="47" spans="1:6">
      <c r="A47" s="13" t="str">
        <f>'NORTH FORK'!A29</f>
        <v>Total CBCU</v>
      </c>
      <c r="B47" s="151">
        <f>(ROUND(SUM(B45:B46),-1))</f>
        <v>890</v>
      </c>
      <c r="C47" s="151">
        <f>(ROUND(SUM(C45:C46),-1))</f>
        <v>870</v>
      </c>
      <c r="D47" s="151">
        <f>(ROUND(SUM(D45:D46),-1))</f>
        <v>830</v>
      </c>
      <c r="E47" s="151">
        <f>(ROUND(SUM(E45:E46),-1))</f>
        <v>810</v>
      </c>
      <c r="F47" s="151">
        <f>(ROUND(SUM(F45:F46),-1))</f>
        <v>830</v>
      </c>
    </row>
    <row r="48" spans="1:6">
      <c r="A48" s="45" t="s">
        <v>66</v>
      </c>
      <c r="B48" s="151"/>
      <c r="C48" s="151"/>
      <c r="D48" s="151"/>
      <c r="E48" s="151"/>
      <c r="F48" s="151"/>
    </row>
    <row r="49" spans="1:6">
      <c r="A49" s="4" t="s">
        <v>162</v>
      </c>
      <c r="B49" s="151"/>
      <c r="C49" s="151"/>
      <c r="D49" s="151"/>
      <c r="E49" s="151"/>
      <c r="F49" s="151"/>
    </row>
    <row r="50" spans="1:6">
      <c r="A50" s="45" t="str">
        <f>'NORTH FORK'!A42</f>
        <v>Total SW CBCU</v>
      </c>
      <c r="B50" s="151">
        <f>+B36+B45</f>
        <v>9</v>
      </c>
      <c r="C50" s="151">
        <f>+C36+C45</f>
        <v>8.367945328124998</v>
      </c>
      <c r="D50" s="151">
        <f>+D36+D45</f>
        <v>11</v>
      </c>
      <c r="E50" s="151">
        <f>+E36+E45</f>
        <v>16.63</v>
      </c>
      <c r="F50" s="151">
        <f>+F36+F45</f>
        <v>15.89</v>
      </c>
    </row>
    <row r="51" spans="1:6">
      <c r="A51" s="45" t="str">
        <f>'NORTH FORK'!A43</f>
        <v>Total GW CBCU</v>
      </c>
      <c r="B51" s="151">
        <f>+B28+B37+B46</f>
        <v>891</v>
      </c>
      <c r="C51" s="151">
        <f>+C28+C37+C46</f>
        <v>867</v>
      </c>
      <c r="D51" s="151">
        <f>+D28+D37+D46</f>
        <v>826</v>
      </c>
      <c r="E51" s="151">
        <f>+E28+E37+E46</f>
        <v>811</v>
      </c>
      <c r="F51" s="151">
        <f>+F28+F37+F46</f>
        <v>828</v>
      </c>
    </row>
    <row r="52" spans="1:6">
      <c r="A52" s="45" t="str">
        <f>'NORTH FORK'!A44</f>
        <v>Total Basin CBCU</v>
      </c>
      <c r="B52" s="151">
        <f>(ROUND(SUM(B50:B51),-1))</f>
        <v>900</v>
      </c>
      <c r="C52" s="151">
        <f>(ROUND(SUM(C50:C51),-1))</f>
        <v>880</v>
      </c>
      <c r="D52" s="151">
        <f>(ROUND(SUM(D50:D51),-1))</f>
        <v>840</v>
      </c>
      <c r="E52" s="151">
        <f>(ROUND(SUM(E50:E51),-1))</f>
        <v>830</v>
      </c>
      <c r="F52" s="151">
        <f>(ROUND(SUM(F50:F51),-1))</f>
        <v>840</v>
      </c>
    </row>
    <row r="53" spans="1:6">
      <c r="A53" s="45" t="s">
        <v>66</v>
      </c>
      <c r="B53" s="151"/>
      <c r="C53" s="151"/>
      <c r="D53" s="151"/>
      <c r="E53" s="151"/>
      <c r="F53" s="151"/>
    </row>
    <row r="54" spans="1:6" ht="15.75">
      <c r="A54" s="10" t="s">
        <v>10</v>
      </c>
      <c r="B54" s="151"/>
      <c r="C54" s="151"/>
      <c r="D54" s="151"/>
      <c r="E54" s="151"/>
      <c r="F54" s="151"/>
    </row>
    <row r="55" spans="1:6">
      <c r="A55" s="42" t="str">
        <f t="shared" ref="A55:F55" si="0">A14</f>
        <v>Driftwood Creek Near McCook</v>
      </c>
      <c r="B55" s="151">
        <f t="shared" si="0"/>
        <v>2392</v>
      </c>
      <c r="C55" s="151">
        <f t="shared" si="0"/>
        <v>3911</v>
      </c>
      <c r="D55" s="151">
        <f t="shared" si="0"/>
        <v>3284</v>
      </c>
      <c r="E55" s="151">
        <f t="shared" si="0"/>
        <v>2492</v>
      </c>
      <c r="F55" s="151">
        <f t="shared" si="0"/>
        <v>1999</v>
      </c>
    </row>
    <row r="56" spans="1:6">
      <c r="A56" s="13" t="s">
        <v>207</v>
      </c>
      <c r="B56" s="151">
        <f>0.24*B18*B11</f>
        <v>2661.3513600000001</v>
      </c>
      <c r="C56" s="151">
        <f>0.24*C18*C11</f>
        <v>2252.5017599999996</v>
      </c>
      <c r="D56" s="151">
        <f>0.24*D18*D11</f>
        <v>2647.7630399999998</v>
      </c>
      <c r="E56" s="151">
        <f>0.24*E18*E11</f>
        <v>2867.9179199999994</v>
      </c>
      <c r="F56" s="151">
        <f>0.24*F18*F11</f>
        <v>2679.6033599999996</v>
      </c>
    </row>
    <row r="57" spans="1:6">
      <c r="A57" s="13" t="str">
        <f>'NORTH FORK'!A49</f>
        <v>Colorado CBCU</v>
      </c>
      <c r="B57" s="151">
        <f>+B29</f>
        <v>0</v>
      </c>
      <c r="C57" s="151">
        <f>+C29</f>
        <v>0</v>
      </c>
      <c r="D57" s="151">
        <f>+D29</f>
        <v>0</v>
      </c>
      <c r="E57" s="151">
        <f>+E29</f>
        <v>0</v>
      </c>
      <c r="F57" s="151">
        <f>+F29</f>
        <v>0</v>
      </c>
    </row>
    <row r="58" spans="1:6">
      <c r="A58" s="13" t="str">
        <f>'NORTH FORK'!A50</f>
        <v>Kansas CBCU</v>
      </c>
      <c r="B58" s="151">
        <f>+B38</f>
        <v>10</v>
      </c>
      <c r="C58" s="151">
        <f>+C38</f>
        <v>10</v>
      </c>
      <c r="D58" s="151">
        <f>+D38</f>
        <v>10</v>
      </c>
      <c r="E58" s="151">
        <f>+E38</f>
        <v>20</v>
      </c>
      <c r="F58" s="151">
        <f>+F38</f>
        <v>20</v>
      </c>
    </row>
    <row r="59" spans="1:6">
      <c r="A59" s="13" t="str">
        <f>'NORTH FORK'!A51</f>
        <v>Nebraska CBCU</v>
      </c>
      <c r="B59" s="151">
        <f>+B47</f>
        <v>890</v>
      </c>
      <c r="C59" s="151">
        <f>+C47</f>
        <v>870</v>
      </c>
      <c r="D59" s="151">
        <f>+D47</f>
        <v>830</v>
      </c>
      <c r="E59" s="151">
        <f>+E47</f>
        <v>810</v>
      </c>
      <c r="F59" s="151">
        <f>+F47</f>
        <v>830</v>
      </c>
    </row>
    <row r="60" spans="1:6">
      <c r="A60" s="13" t="str">
        <f>'NORTH FORK'!A52</f>
        <v>Imported Water</v>
      </c>
      <c r="B60" s="151">
        <f>+B5</f>
        <v>0</v>
      </c>
      <c r="C60" s="151">
        <f>+C5</f>
        <v>0</v>
      </c>
      <c r="D60" s="151">
        <f>+D5</f>
        <v>0</v>
      </c>
      <c r="E60" s="151">
        <f>+E5</f>
        <v>0</v>
      </c>
      <c r="F60" s="151">
        <f>+F5</f>
        <v>0</v>
      </c>
    </row>
    <row r="61" spans="1:6">
      <c r="A61" s="13" t="str">
        <f>'NORTH FORK'!A54</f>
        <v>Virgin Water Supply</v>
      </c>
      <c r="B61" s="151">
        <f>ROUND(SUM(B55,B57:B59)-B60-B56,-1)</f>
        <v>630</v>
      </c>
      <c r="C61" s="151">
        <f>ROUND(SUM(C55,C57:C59)-C60-C56,-1)</f>
        <v>2540</v>
      </c>
      <c r="D61" s="151">
        <f>ROUND(SUM(D55,D57:D59)-D60-D56,-1)</f>
        <v>1480</v>
      </c>
      <c r="E61" s="151">
        <f>ROUND(SUM(E55,E57:E59)-E60-E56,-1)</f>
        <v>450</v>
      </c>
      <c r="F61" s="151">
        <f>ROUND(SUM(F55,F57:F59)-F60-F56,-1)</f>
        <v>170</v>
      </c>
    </row>
    <row r="62" spans="1:6">
      <c r="A62" s="13" t="str">
        <f>'NORTH FORK'!A55</f>
        <v>Adjustment For Flood Flows</v>
      </c>
      <c r="B62" s="151">
        <f>B24</f>
        <v>0</v>
      </c>
      <c r="C62" s="151">
        <f>C24</f>
        <v>0</v>
      </c>
      <c r="D62" s="151">
        <f>D24</f>
        <v>0</v>
      </c>
      <c r="E62" s="151">
        <f>E24</f>
        <v>0</v>
      </c>
      <c r="F62" s="151">
        <f>F24</f>
        <v>0</v>
      </c>
    </row>
    <row r="63" spans="1:6">
      <c r="A63" s="13" t="str">
        <f>'NORTH FORK'!A56</f>
        <v>Computed Water Supply</v>
      </c>
      <c r="B63" s="151">
        <f>ROUND(+B61-B62,-1)</f>
        <v>630</v>
      </c>
      <c r="C63" s="151">
        <f>ROUND(+C61-C62,-1)</f>
        <v>2540</v>
      </c>
      <c r="D63" s="151">
        <f>ROUND(+D61-D62,-1)</f>
        <v>1480</v>
      </c>
      <c r="E63" s="151">
        <f>ROUND(+E61-E62,-1)</f>
        <v>450</v>
      </c>
      <c r="F63" s="151">
        <f>ROUND(+F61-F62,-1)</f>
        <v>170</v>
      </c>
    </row>
    <row r="64" spans="1:6">
      <c r="A64" s="45" t="s">
        <v>66</v>
      </c>
      <c r="B64" s="151"/>
      <c r="C64" s="151"/>
      <c r="D64" s="151"/>
      <c r="E64" s="151"/>
      <c r="F64" s="151"/>
    </row>
    <row r="65" spans="1:6" ht="15.75">
      <c r="A65" s="10" t="s">
        <v>12</v>
      </c>
      <c r="B65" s="121"/>
      <c r="C65" s="121"/>
      <c r="D65" s="121"/>
      <c r="E65" s="121"/>
      <c r="F65" s="121"/>
    </row>
    <row r="66" spans="1:6">
      <c r="A66" s="13" t="str">
        <f>'NORTH FORK'!A59</f>
        <v>Colorado Percent Of Allocation</v>
      </c>
      <c r="B66" s="122">
        <f>'T2'!$D9</f>
        <v>0</v>
      </c>
      <c r="C66" s="122">
        <f>'T2'!$D9</f>
        <v>0</v>
      </c>
      <c r="D66" s="122">
        <f>'T2'!$D9</f>
        <v>0</v>
      </c>
      <c r="E66" s="122">
        <f>'T2'!$D9</f>
        <v>0</v>
      </c>
      <c r="F66" s="122">
        <f>'T2'!$D9</f>
        <v>0</v>
      </c>
    </row>
    <row r="67" spans="1:6">
      <c r="A67" s="2" t="str">
        <f>'NORTH FORK'!A60</f>
        <v>Colorado Allocation</v>
      </c>
      <c r="B67" s="145">
        <f>ROUND(+B63*B66,-1)</f>
        <v>0</v>
      </c>
      <c r="C67" s="145">
        <f>ROUND(+C63*C66,-1)</f>
        <v>0</v>
      </c>
      <c r="D67" s="145">
        <f>ROUND(+D63*D66,-1)</f>
        <v>0</v>
      </c>
      <c r="E67" s="145">
        <f>ROUND(+E63*E66,-1)</f>
        <v>0</v>
      </c>
      <c r="F67" s="145">
        <f>ROUND(+F63*F66,-1)</f>
        <v>0</v>
      </c>
    </row>
    <row r="68" spans="1:6">
      <c r="A68" s="2" t="str">
        <f>'NORTH FORK'!A61</f>
        <v>Kansas Percent Of Allocation</v>
      </c>
      <c r="B68" s="117">
        <f>'T2'!$F9</f>
        <v>6.9000000000000006E-2</v>
      </c>
      <c r="C68" s="117">
        <f>'T2'!$F9</f>
        <v>6.9000000000000006E-2</v>
      </c>
      <c r="D68" s="117">
        <f>'T2'!$F9</f>
        <v>6.9000000000000006E-2</v>
      </c>
      <c r="E68" s="117">
        <f>'T2'!$F9</f>
        <v>6.9000000000000006E-2</v>
      </c>
      <c r="F68" s="117">
        <f>'T2'!$F9</f>
        <v>6.9000000000000006E-2</v>
      </c>
    </row>
    <row r="69" spans="1:6">
      <c r="A69" s="2" t="str">
        <f>'NORTH FORK'!A62</f>
        <v>Kansas Allocation</v>
      </c>
      <c r="B69" s="145">
        <f>ROUND(B63*B68,-1)</f>
        <v>40</v>
      </c>
      <c r="C69" s="145">
        <f>ROUND(C63*C68,-1)</f>
        <v>180</v>
      </c>
      <c r="D69" s="145">
        <f>ROUND(D63*D68,-1)</f>
        <v>100</v>
      </c>
      <c r="E69" s="145">
        <f>ROUND(E63*E68,-1)</f>
        <v>30</v>
      </c>
      <c r="F69" s="145">
        <f>ROUND(F63*F68,-1)</f>
        <v>10</v>
      </c>
    </row>
    <row r="70" spans="1:6">
      <c r="A70" s="2" t="str">
        <f>'NORTH FORK'!A63</f>
        <v>Nebraska Percent Of Allocation</v>
      </c>
      <c r="B70" s="117">
        <f>'T2'!$H9</f>
        <v>0.16400000000000001</v>
      </c>
      <c r="C70" s="117">
        <f>'T2'!$H9</f>
        <v>0.16400000000000001</v>
      </c>
      <c r="D70" s="117">
        <f>'T2'!$H9</f>
        <v>0.16400000000000001</v>
      </c>
      <c r="E70" s="117">
        <f>'T2'!$H9</f>
        <v>0.16400000000000001</v>
      </c>
      <c r="F70" s="117">
        <f>'T2'!$H9</f>
        <v>0.16400000000000001</v>
      </c>
    </row>
    <row r="71" spans="1:6">
      <c r="A71" s="2" t="str">
        <f>'NORTH FORK'!A64</f>
        <v>Nebraska Allocation</v>
      </c>
      <c r="B71" s="145">
        <f>ROUND(B63*B70,-1)</f>
        <v>100</v>
      </c>
      <c r="C71" s="145">
        <f>ROUND(C63*C70,-1)</f>
        <v>420</v>
      </c>
      <c r="D71" s="145">
        <f>ROUND(D63*D70,-1)</f>
        <v>240</v>
      </c>
      <c r="E71" s="145">
        <f>ROUND(E63*E70,-1)</f>
        <v>70</v>
      </c>
      <c r="F71" s="145">
        <f>ROUND(F63*F70,-1)</f>
        <v>30</v>
      </c>
    </row>
    <row r="72" spans="1:6">
      <c r="A72" s="2" t="str">
        <f>'NORTH FORK'!A65</f>
        <v>Total Basin Allocation</v>
      </c>
      <c r="B72" s="145">
        <f>+B67+B69+B71</f>
        <v>140</v>
      </c>
      <c r="C72" s="145">
        <f>+C67+C69+C71</f>
        <v>600</v>
      </c>
      <c r="D72" s="145">
        <f>+D67+D69+D71</f>
        <v>340</v>
      </c>
      <c r="E72" s="145">
        <f>+E67+E69+E71</f>
        <v>100</v>
      </c>
      <c r="F72" s="145">
        <f>+F67+F69+F71</f>
        <v>40</v>
      </c>
    </row>
    <row r="73" spans="1:6">
      <c r="A73" s="2" t="str">
        <f>'NORTH FORK'!A66</f>
        <v>Percent Of Supply Not Allocated</v>
      </c>
      <c r="B73" s="117">
        <f>'T2'!$J9</f>
        <v>0.76700000000000002</v>
      </c>
      <c r="C73" s="117">
        <f>'T2'!$J9</f>
        <v>0.76700000000000002</v>
      </c>
      <c r="D73" s="117">
        <f>'T2'!$J9</f>
        <v>0.76700000000000002</v>
      </c>
      <c r="E73" s="117">
        <f>'T2'!$J9</f>
        <v>0.76700000000000002</v>
      </c>
      <c r="F73" s="117">
        <f>'T2'!$J9</f>
        <v>0.76700000000000002</v>
      </c>
    </row>
    <row r="74" spans="1:6">
      <c r="A74" s="2" t="str">
        <f>'NORTH FORK'!A67</f>
        <v>Quantity Of Unallocated Supply</v>
      </c>
      <c r="B74" s="145">
        <f>+B63-B67-B69-B71</f>
        <v>490</v>
      </c>
      <c r="C74" s="145">
        <f>+C63-C67-C69-C71</f>
        <v>1940</v>
      </c>
      <c r="D74" s="145">
        <f>+D63-D67-D69-D71</f>
        <v>1140</v>
      </c>
      <c r="E74" s="145">
        <f>+E63-E67-E69-E71</f>
        <v>350</v>
      </c>
      <c r="F74" s="145">
        <f>+F63-F67-F69-F71</f>
        <v>130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72"/>
  <sheetViews>
    <sheetView workbookViewId="0">
      <pane ySplit="1" topLeftCell="A2" activePane="bottomLeft" state="frozen"/>
      <selection pane="bottomLeft" activeCell="E17" sqref="E17"/>
    </sheetView>
  </sheetViews>
  <sheetFormatPr defaultRowHeight="12.75"/>
  <cols>
    <col min="1" max="1" width="69.5703125" customWidth="1"/>
  </cols>
  <sheetData>
    <row r="1" spans="1:6" ht="15.75">
      <c r="A1" s="37" t="s">
        <v>205</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+INPUT!B54</f>
        <v>Imported Water Nebraska</v>
      </c>
      <c r="B5" s="145">
        <f>+INPUT!C54</f>
        <v>37</v>
      </c>
      <c r="C5" s="145">
        <f>+INPUT!D54</f>
        <v>65</v>
      </c>
      <c r="D5" s="145">
        <f>+INPUT!E54</f>
        <v>65</v>
      </c>
      <c r="E5" s="145">
        <f>+INPUT!F54</f>
        <v>49</v>
      </c>
      <c r="F5" s="145">
        <f>+INPUT!G54</f>
        <v>49</v>
      </c>
    </row>
    <row r="6" spans="1:6">
      <c r="A6" s="31" t="str">
        <f>+INPUT!B25</f>
        <v>GW CBCU Colorado</v>
      </c>
      <c r="B6" s="145">
        <f>+INPUT!C25</f>
        <v>0</v>
      </c>
      <c r="C6" s="145">
        <f>+INPUT!D25</f>
        <v>0</v>
      </c>
      <c r="D6" s="145">
        <f>+INPUT!E25</f>
        <v>0</v>
      </c>
      <c r="E6" s="145">
        <f>+INPUT!F25</f>
        <v>0</v>
      </c>
      <c r="F6" s="145">
        <f>+INPUT!G25</f>
        <v>0</v>
      </c>
    </row>
    <row r="7" spans="1:6">
      <c r="A7" s="31" t="str">
        <f>+INPUT!B26</f>
        <v>GW CBCU Kansas</v>
      </c>
      <c r="B7" s="145">
        <f>+INPUT!C26</f>
        <v>0</v>
      </c>
      <c r="C7" s="145">
        <f>+INPUT!D26</f>
        <v>0</v>
      </c>
      <c r="D7" s="145">
        <f>+INPUT!E26</f>
        <v>0</v>
      </c>
      <c r="E7" s="145">
        <f>+INPUT!F26</f>
        <v>0</v>
      </c>
      <c r="F7" s="145">
        <f>+INPUT!G26</f>
        <v>0</v>
      </c>
    </row>
    <row r="8" spans="1:6" ht="12" customHeight="1">
      <c r="A8" s="31" t="str">
        <f>+INPUT!B27</f>
        <v>GW CBCU Nebraska</v>
      </c>
      <c r="B8" s="145">
        <f>+INPUT!C27</f>
        <v>8247</v>
      </c>
      <c r="C8" s="145">
        <f>+INPUT!D27</f>
        <v>9645</v>
      </c>
      <c r="D8" s="145">
        <f>+INPUT!E27</f>
        <v>10339</v>
      </c>
      <c r="E8" s="145">
        <f>+INPUT!F27</f>
        <v>8756</v>
      </c>
      <c r="F8" s="145">
        <f>+INPUT!G27</f>
        <v>8862</v>
      </c>
    </row>
    <row r="9" spans="1:6" ht="12" customHeight="1">
      <c r="A9" s="8" t="s">
        <v>66</v>
      </c>
      <c r="B9" s="120"/>
      <c r="C9" s="120"/>
      <c r="D9" s="120"/>
      <c r="E9" s="120"/>
      <c r="F9" s="120"/>
    </row>
    <row r="10" spans="1:6">
      <c r="A10" s="4" t="s">
        <v>192</v>
      </c>
      <c r="B10" s="120"/>
      <c r="C10" s="120"/>
      <c r="D10" s="120"/>
      <c r="E10" s="120"/>
      <c r="F10" s="120"/>
    </row>
    <row r="11" spans="1:6">
      <c r="A11" s="35" t="str">
        <f>+INPUT!B246</f>
        <v>Red Willow Canal % Return Flow</v>
      </c>
      <c r="B11" s="111">
        <f>+INPUT!C246</f>
        <v>1</v>
      </c>
      <c r="C11" s="111">
        <f>+INPUT!D246</f>
        <v>1</v>
      </c>
      <c r="D11" s="111">
        <f>+INPUT!E246</f>
        <v>0.71196881496881492</v>
      </c>
      <c r="E11" s="111">
        <f>+INPUT!F246</f>
        <v>0.66370417145044003</v>
      </c>
      <c r="F11" s="111">
        <f>+INPUT!G246</f>
        <v>0.631425305173416</v>
      </c>
    </row>
    <row r="12" spans="1:6">
      <c r="A12" s="2" t="s">
        <v>66</v>
      </c>
      <c r="B12" s="120"/>
      <c r="C12" s="120"/>
      <c r="D12" s="120"/>
      <c r="E12" s="120"/>
      <c r="F12" s="120"/>
    </row>
    <row r="13" spans="1:6">
      <c r="A13" s="4" t="s">
        <v>160</v>
      </c>
      <c r="B13" s="120"/>
      <c r="C13" s="120"/>
      <c r="D13" s="120"/>
      <c r="E13" s="120"/>
      <c r="F13" s="120"/>
    </row>
    <row r="14" spans="1:6">
      <c r="A14" s="31" t="str">
        <f>+INPUT!B191</f>
        <v>Red Willow Creek Near Red Willow</v>
      </c>
      <c r="B14" s="145">
        <f>+INPUT!C191</f>
        <v>4346</v>
      </c>
      <c r="C14" s="145">
        <f>+INPUT!D191</f>
        <v>3932</v>
      </c>
      <c r="D14" s="145">
        <f>+INPUT!E191</f>
        <v>3457</v>
      </c>
      <c r="E14" s="145">
        <f>+INPUT!F191</f>
        <v>4284</v>
      </c>
      <c r="F14" s="145">
        <f>+INPUT!G191</f>
        <v>4012</v>
      </c>
    </row>
    <row r="15" spans="1:6">
      <c r="A15" s="31" t="str">
        <f>+INPUT!B219</f>
        <v>Hugh Butler Lake Evaporation</v>
      </c>
      <c r="B15" s="145">
        <f>+INPUT!C219</f>
        <v>2068</v>
      </c>
      <c r="C15" s="145">
        <f>+INPUT!D219</f>
        <v>1395</v>
      </c>
      <c r="D15" s="145">
        <f>+INPUT!E219</f>
        <v>950</v>
      </c>
      <c r="E15" s="145">
        <f>+INPUT!F219</f>
        <v>3032</v>
      </c>
      <c r="F15" s="145">
        <f>+INPUT!G219</f>
        <v>2608</v>
      </c>
    </row>
    <row r="16" spans="1:6">
      <c r="A16" s="31" t="str">
        <f>+INPUT!B220</f>
        <v>Hugh Butler Lake Change In Storage</v>
      </c>
      <c r="B16" s="145">
        <f>+INPUT!C220</f>
        <v>957</v>
      </c>
      <c r="C16" s="145">
        <f>+INPUT!D220</f>
        <v>3993</v>
      </c>
      <c r="D16" s="145">
        <f>+INPUT!E220</f>
        <v>3001</v>
      </c>
      <c r="E16" s="145">
        <f>+INPUT!F220</f>
        <v>-4190</v>
      </c>
      <c r="F16" s="145">
        <f>+INPUT!G220</f>
        <v>-2618</v>
      </c>
    </row>
    <row r="17" spans="1:6">
      <c r="A17" s="31" t="str">
        <f>+INPUT!B245</f>
        <v>Red Willow Canal Diversions</v>
      </c>
      <c r="B17" s="145">
        <f>+INPUT!C245</f>
        <v>0</v>
      </c>
      <c r="C17" s="145">
        <f>+INPUT!D245</f>
        <v>0</v>
      </c>
      <c r="D17" s="145">
        <f>+INPUT!E245</f>
        <v>5772</v>
      </c>
      <c r="E17" s="145">
        <f>+INPUT!F245</f>
        <v>5226</v>
      </c>
      <c r="F17" s="145">
        <f>+INPUT!G245</f>
        <v>5161</v>
      </c>
    </row>
    <row r="18" spans="1:6">
      <c r="A18" s="50" t="str">
        <f>+INPUT!B102</f>
        <v>SW Diversions - Irrigation - Non-Federal Canals - Nebraska</v>
      </c>
      <c r="B18" s="151">
        <f>+INPUT!C102</f>
        <v>0</v>
      </c>
      <c r="C18" s="151">
        <f>+INPUT!D102</f>
        <v>0</v>
      </c>
      <c r="D18" s="151">
        <f>+INPUT!E102</f>
        <v>0</v>
      </c>
      <c r="E18" s="151">
        <f>+INPUT!F102</f>
        <v>0</v>
      </c>
      <c r="F18" s="151">
        <f>+INPUT!G102</f>
        <v>0</v>
      </c>
    </row>
    <row r="19" spans="1:6">
      <c r="A19" s="50" t="str">
        <f>+INPUT!B103</f>
        <v>SW Diversions - Irrigation - Small Pumps - Nebraska</v>
      </c>
      <c r="B19" s="151">
        <f>+INPUT!C103</f>
        <v>49.134500000000003</v>
      </c>
      <c r="C19" s="151">
        <f>+INPUT!D103</f>
        <v>6.4930608391520881</v>
      </c>
      <c r="D19" s="151">
        <f>+INPUT!E103</f>
        <v>1</v>
      </c>
      <c r="E19" s="151">
        <f>+INPUT!F103</f>
        <v>0.23323547519556848</v>
      </c>
      <c r="F19" s="151">
        <f>+INPUT!G103</f>
        <v>79</v>
      </c>
    </row>
    <row r="20" spans="1:6">
      <c r="A20" s="50" t="str">
        <f>+INPUT!B104</f>
        <v>SW Diversions - M&amp;I - Nebraska</v>
      </c>
      <c r="B20" s="151">
        <f>+INPUT!C104</f>
        <v>0</v>
      </c>
      <c r="C20" s="151">
        <f>+INPUT!D104</f>
        <v>0</v>
      </c>
      <c r="D20" s="151">
        <f>+INPUT!E104</f>
        <v>0</v>
      </c>
      <c r="E20" s="151">
        <f>+INPUT!F104</f>
        <v>0</v>
      </c>
      <c r="F20" s="151">
        <f>+INPUT!G104</f>
        <v>0</v>
      </c>
    </row>
    <row r="21" spans="1:6">
      <c r="A21" s="50" t="str">
        <f>+INPUT!B167</f>
        <v>Non-Federal Reservoir Evaporation - Nebraska</v>
      </c>
      <c r="B21" s="151">
        <f>+INPUT!C167</f>
        <v>214.68115</v>
      </c>
      <c r="C21" s="151">
        <f>+INPUT!D167</f>
        <v>137.306343749999</v>
      </c>
      <c r="D21" s="151">
        <f>+INPUT!E167</f>
        <v>88</v>
      </c>
      <c r="E21" s="151">
        <f>+INPUT!F167</f>
        <v>257.81296874999992</v>
      </c>
      <c r="F21" s="151">
        <f>+INPUT!G167</f>
        <v>222</v>
      </c>
    </row>
    <row r="22" spans="1:6">
      <c r="A22" s="137" t="str">
        <f>+FLOOD!A64</f>
        <v>Red Willow Flood Flow</v>
      </c>
      <c r="B22" s="151">
        <f>+FLOOD!B64</f>
        <v>0</v>
      </c>
      <c r="C22" s="151">
        <f>+FLOOD!C64</f>
        <v>0</v>
      </c>
      <c r="D22" s="151">
        <f>+FLOOD!D64</f>
        <v>0</v>
      </c>
      <c r="E22" s="151">
        <f>+FLOOD!E64</f>
        <v>0</v>
      </c>
      <c r="F22" s="151">
        <f>+FLOOD!F64</f>
        <v>0</v>
      </c>
    </row>
    <row r="23" spans="1:6">
      <c r="A23" s="61" t="s">
        <v>66</v>
      </c>
      <c r="B23" s="151"/>
      <c r="C23" s="151"/>
      <c r="D23" s="151"/>
      <c r="E23" s="151"/>
      <c r="F23" s="151"/>
    </row>
    <row r="24" spans="1:6" ht="15.75">
      <c r="A24" s="9" t="s">
        <v>241</v>
      </c>
      <c r="B24" s="151"/>
      <c r="C24" s="151"/>
      <c r="D24" s="151"/>
      <c r="E24" s="151"/>
      <c r="F24" s="151"/>
    </row>
    <row r="25" spans="1:6">
      <c r="A25" s="7" t="s">
        <v>0</v>
      </c>
      <c r="B25" s="151"/>
      <c r="C25" s="151"/>
      <c r="D25" s="151"/>
      <c r="E25" s="151"/>
      <c r="F25" s="151"/>
    </row>
    <row r="26" spans="1:6">
      <c r="A26" s="13" t="str">
        <f>'NORTH FORK'!A28</f>
        <v>GW CBCU</v>
      </c>
      <c r="B26" s="151">
        <f>+B6</f>
        <v>0</v>
      </c>
      <c r="C26" s="151">
        <f>+C6</f>
        <v>0</v>
      </c>
      <c r="D26" s="151">
        <f>+D6</f>
        <v>0</v>
      </c>
      <c r="E26" s="151">
        <f>+E6</f>
        <v>0</v>
      </c>
      <c r="F26" s="151">
        <f>+F6</f>
        <v>0</v>
      </c>
    </row>
    <row r="27" spans="1:6">
      <c r="A27" s="13" t="str">
        <f>'NORTH FORK'!A29</f>
        <v>Total CBCU</v>
      </c>
      <c r="B27" s="151">
        <f>(ROUND(SUM(B26:B26),-1))</f>
        <v>0</v>
      </c>
      <c r="C27" s="151">
        <f>(ROUND(SUM(C26:C26),-1))</f>
        <v>0</v>
      </c>
      <c r="D27" s="151">
        <f>(ROUND(SUM(D26:D26),-1))</f>
        <v>0</v>
      </c>
      <c r="E27" s="151">
        <f>(ROUND(SUM(E26:E26),-1))</f>
        <v>0</v>
      </c>
      <c r="F27" s="151">
        <f>(ROUND(SUM(F26:F26),-1))</f>
        <v>0</v>
      </c>
    </row>
    <row r="28" spans="1:6">
      <c r="A28" s="13" t="s">
        <v>66</v>
      </c>
      <c r="B28" s="151"/>
      <c r="C28" s="151"/>
      <c r="D28" s="151"/>
      <c r="E28" s="151"/>
      <c r="F28" s="151"/>
    </row>
    <row r="29" spans="1:6">
      <c r="A29" s="7" t="s">
        <v>161</v>
      </c>
      <c r="B29" s="151"/>
      <c r="C29" s="151"/>
      <c r="D29" s="151"/>
      <c r="E29" s="151"/>
      <c r="F29" s="151"/>
    </row>
    <row r="30" spans="1:6">
      <c r="A30" s="13" t="str">
        <f>'NORTH FORK'!A32</f>
        <v>GW CBCU</v>
      </c>
      <c r="B30" s="151">
        <f>+B7</f>
        <v>0</v>
      </c>
      <c r="C30" s="151">
        <f>+C7</f>
        <v>0</v>
      </c>
      <c r="D30" s="151">
        <f>+D7</f>
        <v>0</v>
      </c>
      <c r="E30" s="151">
        <f>+E7</f>
        <v>0</v>
      </c>
      <c r="F30" s="151">
        <f>+F7</f>
        <v>0</v>
      </c>
    </row>
    <row r="31" spans="1:6">
      <c r="A31" s="13" t="str">
        <f>'NORTH FORK'!A33</f>
        <v>Total CBCU</v>
      </c>
      <c r="B31" s="151">
        <f>(ROUND(SUM(B30:B30),-1))</f>
        <v>0</v>
      </c>
      <c r="C31" s="151">
        <f>(ROUND(SUM(C30:C30),-1))</f>
        <v>0</v>
      </c>
      <c r="D31" s="151">
        <f>(ROUND(SUM(D30:D30),-1))</f>
        <v>0</v>
      </c>
      <c r="E31" s="151">
        <f>(ROUND(SUM(E30:E30),-1))</f>
        <v>0</v>
      </c>
      <c r="F31" s="151">
        <f>(ROUND(SUM(F30:F30),-1))</f>
        <v>0</v>
      </c>
    </row>
    <row r="32" spans="1:6">
      <c r="A32" s="13" t="s">
        <v>66</v>
      </c>
      <c r="B32" s="151"/>
      <c r="C32" s="151"/>
      <c r="D32" s="151"/>
      <c r="E32" s="151"/>
      <c r="F32" s="151"/>
    </row>
    <row r="33" spans="1:6">
      <c r="A33" s="7" t="s">
        <v>1</v>
      </c>
      <c r="B33" s="151"/>
      <c r="C33" s="151"/>
      <c r="D33" s="151"/>
      <c r="E33" s="151"/>
      <c r="F33" s="151"/>
    </row>
    <row r="34" spans="1:6">
      <c r="A34" s="13" t="str">
        <f>((LEFT(A17,16)&amp;" "&amp;"CBCU (10%)"))</f>
        <v>Red Willow Canal CBCU (10%)</v>
      </c>
      <c r="B34" s="151">
        <f>+(B17*(1-B11))*0.1</f>
        <v>0</v>
      </c>
      <c r="C34" s="151">
        <f>+(C17*(1-C11))*0.1</f>
        <v>0</v>
      </c>
      <c r="D34" s="151">
        <f>+(D17*(1-D11))*0.1</f>
        <v>166.25160000000005</v>
      </c>
      <c r="E34" s="151">
        <f>+(E17*(1-E11))*0.1</f>
        <v>175.74820000000005</v>
      </c>
      <c r="F34" s="151">
        <f>+(F17*(1-F11))*0.1</f>
        <v>190.22140000000002</v>
      </c>
    </row>
    <row r="35" spans="1:6">
      <c r="A35" s="13" t="str">
        <f>'NORTH FORK'!A23</f>
        <v>SW CBCU - Irrigation - Non Federal Canals</v>
      </c>
      <c r="B35" s="151">
        <f>B18*CanalCUPercent1</f>
        <v>0</v>
      </c>
      <c r="C35" s="151">
        <f>C18*CanalCUPercent2</f>
        <v>0</v>
      </c>
      <c r="D35" s="151">
        <f>D18*CanalCUPercent3</f>
        <v>0</v>
      </c>
      <c r="E35" s="151">
        <f>E18*CanalCUPercent4</f>
        <v>0</v>
      </c>
      <c r="F35" s="151">
        <f>F18*CanalCUPercent5</f>
        <v>0</v>
      </c>
    </row>
    <row r="36" spans="1:6">
      <c r="A36" s="13" t="str">
        <f>'NORTH FORK'!A24</f>
        <v>SW CBCU - Irrigation - Small Pumps</v>
      </c>
      <c r="B36" s="151">
        <f>B19*PumperCUPercent1</f>
        <v>36.850875000000002</v>
      </c>
      <c r="C36" s="151">
        <f>C19*PumperCUPercent2</f>
        <v>4.8697956293640665</v>
      </c>
      <c r="D36" s="151">
        <f>D19*PumperCUPercent3</f>
        <v>0.75</v>
      </c>
      <c r="E36" s="151">
        <f>E19*PumperCUPercent4</f>
        <v>0.17492660639667634</v>
      </c>
      <c r="F36" s="151">
        <f>F19*PumperCUPercent5</f>
        <v>59.25</v>
      </c>
    </row>
    <row r="37" spans="1:6">
      <c r="A37" s="13" t="str">
        <f>'NORTH FORK'!A25</f>
        <v>SW CBCU - M&amp;I</v>
      </c>
      <c r="B37" s="151">
        <f>B20*MI_CUPercent1</f>
        <v>0</v>
      </c>
      <c r="C37" s="151">
        <f>C20*MI_CUPercent2</f>
        <v>0</v>
      </c>
      <c r="D37" s="151">
        <f>D20*MI_CUPercent3</f>
        <v>0</v>
      </c>
      <c r="E37" s="151">
        <f>E20*MI_CUPercent4</f>
        <v>0</v>
      </c>
      <c r="F37" s="151">
        <f>F20*MI_CUPercent5</f>
        <v>0</v>
      </c>
    </row>
    <row r="38" spans="1:6">
      <c r="A38" s="13" t="str">
        <f>(LEFT(A15,28))&amp;" "&amp;"(10%)"</f>
        <v>Hugh Butler Lake Evaporation (10%)</v>
      </c>
      <c r="B38" s="151">
        <f>+B15*0.1</f>
        <v>206.8</v>
      </c>
      <c r="C38" s="151">
        <f>+C15*0.1</f>
        <v>139.5</v>
      </c>
      <c r="D38" s="151">
        <f>+D15*0.1</f>
        <v>95</v>
      </c>
      <c r="E38" s="151">
        <f>+E15*0.1</f>
        <v>303.2</v>
      </c>
      <c r="F38" s="151">
        <f>+F15*0.1</f>
        <v>260.8</v>
      </c>
    </row>
    <row r="39" spans="1:6">
      <c r="A39" s="45" t="str">
        <f>'NORTH FORK'!A26</f>
        <v>Non-Federal Reservoir Evaporation</v>
      </c>
      <c r="B39" s="151">
        <f>B21</f>
        <v>214.68115</v>
      </c>
      <c r="C39" s="151">
        <f>C21</f>
        <v>137.306343749999</v>
      </c>
      <c r="D39" s="151">
        <f>D21</f>
        <v>88</v>
      </c>
      <c r="E39" s="151">
        <f>E21</f>
        <v>257.81296874999992</v>
      </c>
      <c r="F39" s="151">
        <f>F21</f>
        <v>222</v>
      </c>
    </row>
    <row r="40" spans="1:6">
      <c r="A40" s="13" t="str">
        <f>'NORTH FORK'!A27</f>
        <v>SW CBCU</v>
      </c>
      <c r="B40" s="151">
        <f>B34+B35+B36+B37+B38+B39</f>
        <v>458.33202500000004</v>
      </c>
      <c r="C40" s="151">
        <f>C34+C35+C36+C37+C38+C39</f>
        <v>281.67613937936306</v>
      </c>
      <c r="D40" s="151">
        <f>D34+D35+D36+D37+D38+D39</f>
        <v>350.00160000000005</v>
      </c>
      <c r="E40" s="151">
        <f>E34+E35+E36+E37+E38+E39</f>
        <v>736.93609535639666</v>
      </c>
      <c r="F40" s="151">
        <f>F34+F35+F36+F37+F38+F39</f>
        <v>732.27140000000009</v>
      </c>
    </row>
    <row r="41" spans="1:6">
      <c r="A41" s="13" t="str">
        <f>'NORTH FORK'!A28</f>
        <v>GW CBCU</v>
      </c>
      <c r="B41" s="151">
        <f>+B8</f>
        <v>8247</v>
      </c>
      <c r="C41" s="151">
        <f>+C8</f>
        <v>9645</v>
      </c>
      <c r="D41" s="151">
        <f>+D8</f>
        <v>10339</v>
      </c>
      <c r="E41" s="151">
        <f>+E8</f>
        <v>8756</v>
      </c>
      <c r="F41" s="151">
        <f>+F8</f>
        <v>8862</v>
      </c>
    </row>
    <row r="42" spans="1:6">
      <c r="A42" s="13" t="str">
        <f>'NORTH FORK'!A29</f>
        <v>Total CBCU</v>
      </c>
      <c r="B42" s="151">
        <f>(ROUND(SUM(B40:B41),-1))</f>
        <v>8710</v>
      </c>
      <c r="C42" s="151">
        <f>(ROUND(SUM(C40:C41),-1))</f>
        <v>9930</v>
      </c>
      <c r="D42" s="151">
        <f>(ROUND(SUM(D40:D41),-1))</f>
        <v>10690</v>
      </c>
      <c r="E42" s="151">
        <f>(ROUND(SUM(E40:E41),-1))</f>
        <v>9490</v>
      </c>
      <c r="F42" s="151">
        <f>(ROUND(SUM(F40:F41),-1))</f>
        <v>9590</v>
      </c>
    </row>
    <row r="43" spans="1:6">
      <c r="A43" s="45" t="s">
        <v>66</v>
      </c>
      <c r="B43" s="151"/>
      <c r="C43" s="151"/>
      <c r="D43" s="151"/>
      <c r="E43" s="151"/>
      <c r="F43" s="151"/>
    </row>
    <row r="44" spans="1:6">
      <c r="A44" s="4" t="s">
        <v>162</v>
      </c>
      <c r="B44" s="151"/>
      <c r="C44" s="151"/>
      <c r="D44" s="151"/>
      <c r="E44" s="151"/>
      <c r="F44" s="151"/>
    </row>
    <row r="45" spans="1:6">
      <c r="A45" s="45" t="str">
        <f>'NORTH FORK'!A42</f>
        <v>Total SW CBCU</v>
      </c>
      <c r="B45" s="151">
        <f>+B40</f>
        <v>458.33202500000004</v>
      </c>
      <c r="C45" s="151">
        <f>+C40</f>
        <v>281.67613937936306</v>
      </c>
      <c r="D45" s="151">
        <f>+D40</f>
        <v>350.00160000000005</v>
      </c>
      <c r="E45" s="151">
        <f>+E40</f>
        <v>736.93609535639666</v>
      </c>
      <c r="F45" s="151">
        <f>+F40</f>
        <v>732.27140000000009</v>
      </c>
    </row>
    <row r="46" spans="1:6">
      <c r="A46" s="45" t="str">
        <f>'NORTH FORK'!A43</f>
        <v>Total GW CBCU</v>
      </c>
      <c r="B46" s="151">
        <f>+B26+B30+B41</f>
        <v>8247</v>
      </c>
      <c r="C46" s="151">
        <f>+C26+C30+C41</f>
        <v>9645</v>
      </c>
      <c r="D46" s="151">
        <f>+D26+D30+D41</f>
        <v>10339</v>
      </c>
      <c r="E46" s="151">
        <f>+E26+E30+E41</f>
        <v>8756</v>
      </c>
      <c r="F46" s="151">
        <f>+F26+F30+F41</f>
        <v>8862</v>
      </c>
    </row>
    <row r="47" spans="1:6">
      <c r="A47" s="45" t="str">
        <f>'NORTH FORK'!A44</f>
        <v>Total Basin CBCU</v>
      </c>
      <c r="B47" s="151">
        <f>(ROUND(SUM(B45:B46),-1))</f>
        <v>8710</v>
      </c>
      <c r="C47" s="151">
        <f>(ROUND(SUM(C45:C46),-1))</f>
        <v>9930</v>
      </c>
      <c r="D47" s="151">
        <f>(ROUND(SUM(D45:D46),-1))</f>
        <v>10690</v>
      </c>
      <c r="E47" s="151">
        <f>(ROUND(SUM(E45:E46),-1))</f>
        <v>9490</v>
      </c>
      <c r="F47" s="151">
        <f>(ROUND(SUM(F45:F46),-1))</f>
        <v>9590</v>
      </c>
    </row>
    <row r="48" spans="1:6">
      <c r="A48" s="45" t="s">
        <v>66</v>
      </c>
      <c r="B48" s="151"/>
      <c r="C48" s="151"/>
      <c r="D48" s="151"/>
      <c r="E48" s="151"/>
      <c r="F48" s="151"/>
    </row>
    <row r="49" spans="1:6" ht="15.75">
      <c r="A49" s="10" t="s">
        <v>10</v>
      </c>
      <c r="B49" s="151"/>
      <c r="C49" s="151"/>
      <c r="D49" s="151"/>
      <c r="E49" s="151"/>
      <c r="F49" s="151"/>
    </row>
    <row r="50" spans="1:6">
      <c r="A50" s="42" t="str">
        <f t="shared" ref="A50:F50" si="0">A14</f>
        <v>Red Willow Creek Near Red Willow</v>
      </c>
      <c r="B50" s="151">
        <f t="shared" si="0"/>
        <v>4346</v>
      </c>
      <c r="C50" s="151">
        <f t="shared" si="0"/>
        <v>3932</v>
      </c>
      <c r="D50" s="151">
        <f t="shared" si="0"/>
        <v>3457</v>
      </c>
      <c r="E50" s="151">
        <f t="shared" si="0"/>
        <v>4284</v>
      </c>
      <c r="F50" s="151">
        <f t="shared" si="0"/>
        <v>4012</v>
      </c>
    </row>
    <row r="51" spans="1:6">
      <c r="A51" s="13" t="str">
        <f>(LEFT(A34,22))&amp;" "&amp;"(90%)"</f>
        <v>Red Willow Canal CBCU  (90%)</v>
      </c>
      <c r="B51" s="151">
        <f>0.9*(B17*(1-B11))</f>
        <v>0</v>
      </c>
      <c r="C51" s="151">
        <f>0.9*(C17*(1-C11))</f>
        <v>0</v>
      </c>
      <c r="D51" s="151">
        <f>0.9*(D17*(1-D11))</f>
        <v>1496.2644000000003</v>
      </c>
      <c r="E51" s="151">
        <f>0.9*(E17*(1-E11))</f>
        <v>1581.7338000000004</v>
      </c>
      <c r="F51" s="151">
        <f>0.9*(F17*(1-F11))</f>
        <v>1711.9926</v>
      </c>
    </row>
    <row r="52" spans="1:6">
      <c r="A52" s="13" t="str">
        <f>'NORTH FORK'!A49</f>
        <v>Colorado CBCU</v>
      </c>
      <c r="B52" s="151">
        <f>+B27</f>
        <v>0</v>
      </c>
      <c r="C52" s="151">
        <f>+C27</f>
        <v>0</v>
      </c>
      <c r="D52" s="151">
        <f>+D27</f>
        <v>0</v>
      </c>
      <c r="E52" s="151">
        <f>+E27</f>
        <v>0</v>
      </c>
      <c r="F52" s="151">
        <f>+F27</f>
        <v>0</v>
      </c>
    </row>
    <row r="53" spans="1:6">
      <c r="A53" s="13" t="str">
        <f>'NORTH FORK'!A50</f>
        <v>Kansas CBCU</v>
      </c>
      <c r="B53" s="151">
        <f>+B31</f>
        <v>0</v>
      </c>
      <c r="C53" s="151">
        <f>+C31</f>
        <v>0</v>
      </c>
      <c r="D53" s="151">
        <f>+D31</f>
        <v>0</v>
      </c>
      <c r="E53" s="151">
        <f>+E31</f>
        <v>0</v>
      </c>
      <c r="F53" s="151">
        <f>+F31</f>
        <v>0</v>
      </c>
    </row>
    <row r="54" spans="1:6">
      <c r="A54" s="13" t="str">
        <f>'NORTH FORK'!A51</f>
        <v>Nebraska CBCU</v>
      </c>
      <c r="B54" s="151">
        <f>+B42</f>
        <v>8710</v>
      </c>
      <c r="C54" s="151">
        <f>+C42</f>
        <v>9930</v>
      </c>
      <c r="D54" s="151">
        <f>+D42</f>
        <v>10690</v>
      </c>
      <c r="E54" s="151">
        <f>+E42</f>
        <v>9490</v>
      </c>
      <c r="F54" s="151">
        <f>+F42</f>
        <v>9590</v>
      </c>
    </row>
    <row r="55" spans="1:6">
      <c r="A55" s="13" t="str">
        <f>A16</f>
        <v>Hugh Butler Lake Change In Storage</v>
      </c>
      <c r="B55" s="151">
        <f>+B16</f>
        <v>957</v>
      </c>
      <c r="C55" s="151">
        <f>+C16</f>
        <v>3993</v>
      </c>
      <c r="D55" s="151">
        <f>+D16</f>
        <v>3001</v>
      </c>
      <c r="E55" s="151">
        <f>+E16</f>
        <v>-4190</v>
      </c>
      <c r="F55" s="151">
        <f>+F16</f>
        <v>-2618</v>
      </c>
    </row>
    <row r="56" spans="1:6">
      <c r="A56" s="13" t="str">
        <f>(LEFT(A15,28))&amp;" "&amp;"(90%)"</f>
        <v>Hugh Butler Lake Evaporation (90%)</v>
      </c>
      <c r="B56" s="151">
        <f>+B15*0.9</f>
        <v>1861.2</v>
      </c>
      <c r="C56" s="151">
        <f>+C15*0.9</f>
        <v>1255.5</v>
      </c>
      <c r="D56" s="151">
        <f>+D15*0.9</f>
        <v>855</v>
      </c>
      <c r="E56" s="151">
        <f>+E15*0.9</f>
        <v>2728.8</v>
      </c>
      <c r="F56" s="151">
        <f>+F15*0.9</f>
        <v>2347.2000000000003</v>
      </c>
    </row>
    <row r="57" spans="1:6">
      <c r="A57" s="13" t="s">
        <v>226</v>
      </c>
      <c r="B57" s="151">
        <f>0.9*(B17*B11)</f>
        <v>0</v>
      </c>
      <c r="C57" s="151">
        <f>0.9*(C17*C11)</f>
        <v>0</v>
      </c>
      <c r="D57" s="151">
        <f>0.9*(D17*D11)</f>
        <v>3698.5355999999997</v>
      </c>
      <c r="E57" s="151">
        <f>0.9*(E17*E11)</f>
        <v>3121.6661999999997</v>
      </c>
      <c r="F57" s="151">
        <f>0.9*(F17*F11)</f>
        <v>2932.9074000000001</v>
      </c>
    </row>
    <row r="58" spans="1:6">
      <c r="A58" s="13" t="str">
        <f>'NORTH FORK'!A52</f>
        <v>Imported Water</v>
      </c>
      <c r="B58" s="151">
        <f>+B5</f>
        <v>37</v>
      </c>
      <c r="C58" s="151">
        <f>+C5</f>
        <v>65</v>
      </c>
      <c r="D58" s="151">
        <f>+D5</f>
        <v>65</v>
      </c>
      <c r="E58" s="151">
        <f>+E5</f>
        <v>49</v>
      </c>
      <c r="F58" s="151">
        <f>+F5</f>
        <v>49</v>
      </c>
    </row>
    <row r="59" spans="1:6">
      <c r="A59" s="13" t="str">
        <f>'NORTH FORK'!A54</f>
        <v>Virgin Water Supply</v>
      </c>
      <c r="B59" s="151">
        <f>ROUND(B50+B52+B53+B54+B51+B56+B57+B55-B58,-1)</f>
        <v>15840</v>
      </c>
      <c r="C59" s="151">
        <f>ROUND(C50+C52+C53+C54+C51+C56+C57+C55-C58,-1)</f>
        <v>19050</v>
      </c>
      <c r="D59" s="151">
        <f>ROUND(D50+D52+D53+D54+D51+D56+D57+D55-D58,-1)</f>
        <v>23130</v>
      </c>
      <c r="E59" s="151">
        <f>ROUND(E50+E52+E53+E54+E51+E56+E57+E55-E58,-1)</f>
        <v>16970</v>
      </c>
      <c r="F59" s="151">
        <f>ROUND(F50+F52+F53+F54+F51+F56+F57+F55-F58,-1)</f>
        <v>17930</v>
      </c>
    </row>
    <row r="60" spans="1:6">
      <c r="A60" s="13" t="str">
        <f>'NORTH FORK'!A55</f>
        <v>Adjustment For Flood Flows</v>
      </c>
      <c r="B60" s="151">
        <f>B22</f>
        <v>0</v>
      </c>
      <c r="C60" s="151">
        <f>C22</f>
        <v>0</v>
      </c>
      <c r="D60" s="151">
        <f>D22</f>
        <v>0</v>
      </c>
      <c r="E60" s="151">
        <f>E22</f>
        <v>0</v>
      </c>
      <c r="F60" s="151">
        <f>F22</f>
        <v>0</v>
      </c>
    </row>
    <row r="61" spans="1:6">
      <c r="A61" s="13" t="str">
        <f>'NORTH FORK'!A56</f>
        <v>Computed Water Supply</v>
      </c>
      <c r="B61" s="151">
        <f>ROUND(+B59-B60-B55,-1)</f>
        <v>14880</v>
      </c>
      <c r="C61" s="151">
        <f>ROUND(+C59-C60-C55,-1)</f>
        <v>15060</v>
      </c>
      <c r="D61" s="151">
        <f>ROUND(+D59-D60-D55,-1)</f>
        <v>20130</v>
      </c>
      <c r="E61" s="151">
        <f>ROUND(+E59-E60-E55,-1)</f>
        <v>21160</v>
      </c>
      <c r="F61" s="151">
        <f>ROUND(+F59-F60-F55,-1)</f>
        <v>20550</v>
      </c>
    </row>
    <row r="62" spans="1:6">
      <c r="A62" s="45" t="s">
        <v>66</v>
      </c>
      <c r="B62" s="151"/>
      <c r="C62" s="151"/>
      <c r="D62" s="151"/>
      <c r="E62" s="151"/>
      <c r="F62" s="151"/>
    </row>
    <row r="63" spans="1:6" ht="15.75">
      <c r="A63" s="10" t="s">
        <v>12</v>
      </c>
      <c r="B63" s="121"/>
      <c r="C63" s="121"/>
      <c r="D63" s="121"/>
      <c r="E63" s="121"/>
      <c r="F63" s="121"/>
    </row>
    <row r="64" spans="1:6">
      <c r="A64" s="13" t="str">
        <f>'NORTH FORK'!A59</f>
        <v>Colorado Percent Of Allocation</v>
      </c>
      <c r="B64" s="122">
        <f>'T2'!$D10</f>
        <v>0</v>
      </c>
      <c r="C64" s="122">
        <f>'T2'!$D10</f>
        <v>0</v>
      </c>
      <c r="D64" s="122">
        <f>'T2'!$D10</f>
        <v>0</v>
      </c>
      <c r="E64" s="122">
        <f>'T2'!$D10</f>
        <v>0</v>
      </c>
      <c r="F64" s="122">
        <f>'T2'!$D10</f>
        <v>0</v>
      </c>
    </row>
    <row r="65" spans="1:6">
      <c r="A65" s="13" t="str">
        <f>'NORTH FORK'!A60</f>
        <v>Colorado Allocation</v>
      </c>
      <c r="B65" s="151">
        <f>ROUND(+B61*B64,-1)</f>
        <v>0</v>
      </c>
      <c r="C65" s="151">
        <f>ROUND(+C61*C64,-1)</f>
        <v>0</v>
      </c>
      <c r="D65" s="151">
        <f>ROUND(+D61*D64,-1)</f>
        <v>0</v>
      </c>
      <c r="E65" s="151">
        <f>ROUND(+E61*E64,-1)</f>
        <v>0</v>
      </c>
      <c r="F65" s="151">
        <f>ROUND(+F61*F64,-1)</f>
        <v>0</v>
      </c>
    </row>
    <row r="66" spans="1:6">
      <c r="A66" s="13" t="str">
        <f>'NORTH FORK'!A61</f>
        <v>Kansas Percent Of Allocation</v>
      </c>
      <c r="B66" s="122">
        <f>'T2'!$F10</f>
        <v>0</v>
      </c>
      <c r="C66" s="122">
        <f>'T2'!$F10</f>
        <v>0</v>
      </c>
      <c r="D66" s="122">
        <f>'T2'!$F10</f>
        <v>0</v>
      </c>
      <c r="E66" s="122">
        <f>'T2'!$F10</f>
        <v>0</v>
      </c>
      <c r="F66" s="122">
        <f>'T2'!$F10</f>
        <v>0</v>
      </c>
    </row>
    <row r="67" spans="1:6">
      <c r="A67" s="13" t="str">
        <f>'NORTH FORK'!A62</f>
        <v>Kansas Allocation</v>
      </c>
      <c r="B67" s="151">
        <f>ROUND(B61*B66,-1)</f>
        <v>0</v>
      </c>
      <c r="C67" s="151">
        <f>ROUND(C61*C66,-1)</f>
        <v>0</v>
      </c>
      <c r="D67" s="151">
        <f>ROUND(D61*D66,-1)</f>
        <v>0</v>
      </c>
      <c r="E67" s="151">
        <f>ROUND(E61*E66,-1)</f>
        <v>0</v>
      </c>
      <c r="F67" s="151">
        <f>ROUND(F61*F66,-1)</f>
        <v>0</v>
      </c>
    </row>
    <row r="68" spans="1:6">
      <c r="A68" s="13" t="str">
        <f>'NORTH FORK'!A63</f>
        <v>Nebraska Percent Of Allocation</v>
      </c>
      <c r="B68" s="122">
        <f>'T2'!$H10</f>
        <v>0.192</v>
      </c>
      <c r="C68" s="122">
        <f>'T2'!$H10</f>
        <v>0.192</v>
      </c>
      <c r="D68" s="122">
        <f>'T2'!$H10</f>
        <v>0.192</v>
      </c>
      <c r="E68" s="122">
        <f>'T2'!$H10</f>
        <v>0.192</v>
      </c>
      <c r="F68" s="122">
        <f>'T2'!$H10</f>
        <v>0.192</v>
      </c>
    </row>
    <row r="69" spans="1:6">
      <c r="A69" s="13" t="str">
        <f>'NORTH FORK'!A64</f>
        <v>Nebraska Allocation</v>
      </c>
      <c r="B69" s="151">
        <f>ROUND(B61*B68,-1)</f>
        <v>2860</v>
      </c>
      <c r="C69" s="151">
        <f>ROUND(C61*C68,-1)</f>
        <v>2890</v>
      </c>
      <c r="D69" s="151">
        <f>ROUND(D61*D68,-1)</f>
        <v>3860</v>
      </c>
      <c r="E69" s="151">
        <f>ROUND(E61*E68,-1)</f>
        <v>4060</v>
      </c>
      <c r="F69" s="151">
        <f>ROUND(F61*F68,-1)</f>
        <v>3950</v>
      </c>
    </row>
    <row r="70" spans="1:6">
      <c r="A70" s="2" t="str">
        <f>'NORTH FORK'!A65</f>
        <v>Total Basin Allocation</v>
      </c>
      <c r="B70" s="145">
        <f>+B65+B67+B69</f>
        <v>2860</v>
      </c>
      <c r="C70" s="145">
        <f>+C65+C67+C69</f>
        <v>2890</v>
      </c>
      <c r="D70" s="145">
        <f>+D65+D67+D69</f>
        <v>3860</v>
      </c>
      <c r="E70" s="145">
        <f>+E65+E67+E69</f>
        <v>4060</v>
      </c>
      <c r="F70" s="145">
        <f>+F65+F67+F69</f>
        <v>3950</v>
      </c>
    </row>
    <row r="71" spans="1:6">
      <c r="A71" s="2" t="str">
        <f>'NORTH FORK'!A66</f>
        <v>Percent Of Supply Not Allocated</v>
      </c>
      <c r="B71" s="117">
        <f>'T2'!$J10</f>
        <v>0.80800000000000005</v>
      </c>
      <c r="C71" s="117">
        <f>'T2'!$J10</f>
        <v>0.80800000000000005</v>
      </c>
      <c r="D71" s="117">
        <f>'T2'!$J10</f>
        <v>0.80800000000000005</v>
      </c>
      <c r="E71" s="117">
        <f>'T2'!$J10</f>
        <v>0.80800000000000005</v>
      </c>
      <c r="F71" s="117">
        <f>'T2'!$J10</f>
        <v>0.80800000000000005</v>
      </c>
    </row>
    <row r="72" spans="1:6">
      <c r="A72" s="2" t="str">
        <f>'NORTH FORK'!A67</f>
        <v>Quantity Of Unallocated Supply</v>
      </c>
      <c r="B72" s="145">
        <f>+B61-B65-B67-B69</f>
        <v>12020</v>
      </c>
      <c r="C72" s="145">
        <f>+C61-C65-C67-C69</f>
        <v>12170</v>
      </c>
      <c r="D72" s="145">
        <f>+D61-D65-D67-D69</f>
        <v>16270</v>
      </c>
      <c r="E72" s="145">
        <f>+E61-E65-E67-E69</f>
        <v>17100</v>
      </c>
      <c r="F72" s="145">
        <f>+F61-F65-F67-F69</f>
        <v>16600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79"/>
  <sheetViews>
    <sheetView zoomScale="80" zoomScaleNormal="80" workbookViewId="0">
      <pane ySplit="1" topLeftCell="A2" activePane="bottomLeft" state="frozen"/>
      <selection pane="bottomLeft" activeCell="B10" sqref="B10"/>
    </sheetView>
  </sheetViews>
  <sheetFormatPr defaultRowHeight="12.75"/>
  <cols>
    <col min="1" max="1" width="69.28515625" customWidth="1"/>
  </cols>
  <sheetData>
    <row r="1" spans="1:9" ht="15.75">
      <c r="A1" s="37" t="s">
        <v>204</v>
      </c>
      <c r="B1" s="194">
        <f>INPUT!C1</f>
        <v>2017</v>
      </c>
      <c r="C1" s="194">
        <f>INPUT!D1</f>
        <v>2018</v>
      </c>
      <c r="D1" s="194">
        <f>INPUT!E1</f>
        <v>2019</v>
      </c>
      <c r="E1" s="194">
        <f>INPUT!F1</f>
        <v>2020</v>
      </c>
      <c r="F1" s="194">
        <f>INPUT!G1</f>
        <v>2021</v>
      </c>
    </row>
    <row r="2" spans="1:9">
      <c r="A2" t="s">
        <v>66</v>
      </c>
      <c r="E2" s="312"/>
      <c r="F2" s="312"/>
    </row>
    <row r="3" spans="1:9" ht="15.75">
      <c r="A3" s="9" t="s">
        <v>157</v>
      </c>
      <c r="E3" s="312"/>
      <c r="F3" s="312"/>
    </row>
    <row r="4" spans="1:9">
      <c r="A4" s="7" t="s">
        <v>158</v>
      </c>
      <c r="E4" s="312"/>
      <c r="F4" s="312"/>
    </row>
    <row r="5" spans="1:9">
      <c r="A5" s="31" t="str">
        <f>+INPUT!B55</f>
        <v>Imported Water Nebraska</v>
      </c>
      <c r="B5" s="145">
        <f>+INPUT!C55</f>
        <v>10337</v>
      </c>
      <c r="C5" s="145">
        <f>+INPUT!D55</f>
        <v>11274</v>
      </c>
      <c r="D5" s="145">
        <f>+INPUT!E55</f>
        <v>11292</v>
      </c>
      <c r="E5" s="145">
        <f>+INPUT!F55</f>
        <v>10592</v>
      </c>
      <c r="F5" s="145">
        <f>+INPUT!G55</f>
        <v>10693</v>
      </c>
    </row>
    <row r="6" spans="1:9">
      <c r="A6" s="31" t="str">
        <f>+INPUT!B28</f>
        <v>GW CBCU Colorado</v>
      </c>
      <c r="B6" s="145">
        <f>+INPUT!C28</f>
        <v>0</v>
      </c>
      <c r="C6" s="145">
        <f>+INPUT!D28</f>
        <v>0</v>
      </c>
      <c r="D6" s="145">
        <f>+INPUT!E28</f>
        <v>0</v>
      </c>
      <c r="E6" s="145">
        <f>+INPUT!F28</f>
        <v>0</v>
      </c>
      <c r="F6" s="145">
        <f>+INPUT!G28</f>
        <v>0</v>
      </c>
    </row>
    <row r="7" spans="1:9">
      <c r="A7" s="31" t="str">
        <f>+INPUT!B29</f>
        <v>GW CBCU Kansas</v>
      </c>
      <c r="B7" s="145">
        <f>+INPUT!C29</f>
        <v>0</v>
      </c>
      <c r="C7" s="145">
        <f>+INPUT!D29</f>
        <v>0</v>
      </c>
      <c r="D7" s="145">
        <f>+INPUT!E29</f>
        <v>0</v>
      </c>
      <c r="E7" s="145">
        <f>+INPUT!F29</f>
        <v>0</v>
      </c>
      <c r="F7" s="145">
        <f>+INPUT!G29</f>
        <v>0</v>
      </c>
      <c r="I7" s="99"/>
    </row>
    <row r="8" spans="1:9" ht="12" customHeight="1">
      <c r="A8" s="31" t="str">
        <f>+INPUT!B30</f>
        <v>GW CBCU Nebraska</v>
      </c>
      <c r="B8" s="145">
        <f>+INPUT!C30</f>
        <v>20695</v>
      </c>
      <c r="C8" s="145">
        <f>+INPUT!D30</f>
        <v>21374</v>
      </c>
      <c r="D8" s="145">
        <f>+INPUT!E30</f>
        <v>21376</v>
      </c>
      <c r="E8" s="145">
        <f>+INPUT!F30</f>
        <v>19867</v>
      </c>
      <c r="F8" s="145">
        <f>+INPUT!G30</f>
        <v>20562</v>
      </c>
    </row>
    <row r="9" spans="1:9" ht="12" customHeight="1">
      <c r="A9" s="31" t="s">
        <v>564</v>
      </c>
      <c r="B9" s="145">
        <f>RWS_CWSA!AA16</f>
        <v>11106</v>
      </c>
      <c r="C9" s="145">
        <f>RWS_CWSA!AA17</f>
        <v>0</v>
      </c>
      <c r="D9" s="145">
        <f>RWS_CWSA!AA18</f>
        <v>0</v>
      </c>
      <c r="E9" s="145">
        <f>RWS_CWSA!AA19</f>
        <v>0</v>
      </c>
      <c r="F9" s="145">
        <f>RWS_CWSA!AA20</f>
        <v>0</v>
      </c>
    </row>
    <row r="10" spans="1:9">
      <c r="A10" s="4" t="s">
        <v>160</v>
      </c>
      <c r="B10" s="145"/>
      <c r="C10" s="145"/>
      <c r="D10" s="145"/>
      <c r="E10" s="145"/>
      <c r="F10" s="145"/>
    </row>
    <row r="11" spans="1:9">
      <c r="A11" s="31" t="str">
        <f>+INPUT!B192</f>
        <v>Medicine Creek Below Harry Strunk</v>
      </c>
      <c r="B11" s="145">
        <f>+INPUT!C192</f>
        <v>41207</v>
      </c>
      <c r="C11" s="145">
        <f>+INPUT!D192</f>
        <v>25135</v>
      </c>
      <c r="D11" s="145">
        <f>+INPUT!E192</f>
        <v>48769</v>
      </c>
      <c r="E11" s="145">
        <f>+INPUT!F192</f>
        <v>39930.267768594946</v>
      </c>
      <c r="F11" s="145">
        <f>+INPUT!G192</f>
        <v>22871</v>
      </c>
    </row>
    <row r="12" spans="1:9">
      <c r="A12" s="31" t="str">
        <f>+INPUT!B221</f>
        <v>Harry Strunk Lake Evaporation</v>
      </c>
      <c r="B12" s="145">
        <f>+INPUT!C221</f>
        <v>2513</v>
      </c>
      <c r="C12" s="145">
        <f>+INPUT!D221</f>
        <v>2357</v>
      </c>
      <c r="D12" s="145">
        <f>+INPUT!E221</f>
        <v>857</v>
      </c>
      <c r="E12" s="145">
        <f>+INPUT!F221</f>
        <v>2924</v>
      </c>
      <c r="F12" s="145">
        <f>+INPUT!G221</f>
        <v>2452</v>
      </c>
    </row>
    <row r="13" spans="1:9">
      <c r="A13" s="31" t="str">
        <f>+INPUT!B222</f>
        <v>Harry Strunk Lake Change In Storage</v>
      </c>
      <c r="B13" s="145">
        <f>+INPUT!C222</f>
        <v>-5538</v>
      </c>
      <c r="C13" s="145">
        <f>+INPUT!D222</f>
        <v>5139</v>
      </c>
      <c r="D13" s="145">
        <f>+INPUT!E222</f>
        <v>5232</v>
      </c>
      <c r="E13" s="145">
        <f>+INPUT!F222</f>
        <v>-9530</v>
      </c>
      <c r="F13" s="145">
        <f>+INPUT!G222</f>
        <v>2950</v>
      </c>
    </row>
    <row r="14" spans="1:9">
      <c r="A14" s="50" t="str">
        <f>+INPUT!B105</f>
        <v>SW Diversions - Irrigation - Non-Federal Canals - Nebraska - Above Gage</v>
      </c>
      <c r="B14" s="151">
        <f>+INPUT!C105</f>
        <v>0</v>
      </c>
      <c r="C14" s="151">
        <f>+INPUT!D105</f>
        <v>0</v>
      </c>
      <c r="D14" s="151">
        <f>+INPUT!E105</f>
        <v>0</v>
      </c>
      <c r="E14" s="151">
        <f>+INPUT!F105</f>
        <v>0</v>
      </c>
      <c r="F14" s="151">
        <f>+INPUT!G105</f>
        <v>0</v>
      </c>
    </row>
    <row r="15" spans="1:9">
      <c r="A15" s="50" t="str">
        <f>+INPUT!B106</f>
        <v>SW Diversions - Irrigation - Small Pumps - Nebraska - Above Gage</v>
      </c>
      <c r="B15" s="151">
        <f>+INPUT!C106</f>
        <v>57.977699999999999</v>
      </c>
      <c r="C15" s="151">
        <f>+INPUT!D106</f>
        <v>11.0602718126858</v>
      </c>
      <c r="D15" s="151">
        <f>+INPUT!E106</f>
        <v>0</v>
      </c>
      <c r="E15" s="151">
        <f>+INPUT!F106</f>
        <v>57.2629921773772</v>
      </c>
      <c r="F15" s="151">
        <f>+INPUT!G106</f>
        <v>62</v>
      </c>
    </row>
    <row r="16" spans="1:9">
      <c r="A16" s="50" t="str">
        <f>+INPUT!B107</f>
        <v>SW Diversions - M&amp;I - Nebraska - Above Gage</v>
      </c>
      <c r="B16" s="151">
        <f>+INPUT!C107</f>
        <v>0</v>
      </c>
      <c r="C16" s="151">
        <f>+INPUT!D107</f>
        <v>0</v>
      </c>
      <c r="D16" s="151">
        <f>+INPUT!E107</f>
        <v>0</v>
      </c>
      <c r="E16" s="151">
        <f>+INPUT!F107</f>
        <v>0</v>
      </c>
      <c r="F16" s="151">
        <f>+INPUT!G107</f>
        <v>0</v>
      </c>
    </row>
    <row r="17" spans="1:6">
      <c r="A17" s="50" t="str">
        <f>+INPUT!B108</f>
        <v>SW Diversions - Irrigation - Non-Federal Canals - Nebraska -Below Gage</v>
      </c>
      <c r="B17" s="151">
        <f>+INPUT!C108</f>
        <v>0</v>
      </c>
      <c r="C17" s="151">
        <f>+INPUT!D108</f>
        <v>0</v>
      </c>
      <c r="D17" s="151">
        <f>+INPUT!E108</f>
        <v>0</v>
      </c>
      <c r="E17" s="151">
        <f>+INPUT!F108</f>
        <v>0</v>
      </c>
      <c r="F17" s="151">
        <f>+INPUT!G108</f>
        <v>0</v>
      </c>
    </row>
    <row r="18" spans="1:6">
      <c r="A18" s="50" t="str">
        <f>+INPUT!B109</f>
        <v>SW Diversions - Irrigation - Small Pumps -Nebraska - Below Gage</v>
      </c>
      <c r="B18" s="151">
        <f>+INPUT!C109</f>
        <v>55.893999999999998</v>
      </c>
      <c r="C18" s="151">
        <f>+INPUT!D109</f>
        <v>11</v>
      </c>
      <c r="D18" s="151">
        <f>+INPUT!E109</f>
        <v>160</v>
      </c>
      <c r="E18" s="151">
        <f>+INPUT!F109</f>
        <v>228.99992447728903</v>
      </c>
      <c r="F18" s="151">
        <f>+INPUT!G109</f>
        <v>61</v>
      </c>
    </row>
    <row r="19" spans="1:6">
      <c r="A19" s="50" t="str">
        <f>+INPUT!B110</f>
        <v>SW Diversions - M&amp;I - Nebraska - Below Gage</v>
      </c>
      <c r="B19" s="151">
        <f>+INPUT!C110</f>
        <v>0</v>
      </c>
      <c r="C19" s="151">
        <f>+INPUT!D110</f>
        <v>0</v>
      </c>
      <c r="D19" s="151">
        <f>+INPUT!E110</f>
        <v>0</v>
      </c>
      <c r="E19" s="151">
        <f>+INPUT!F110</f>
        <v>0</v>
      </c>
      <c r="F19" s="151">
        <f>+INPUT!G110</f>
        <v>0</v>
      </c>
    </row>
    <row r="20" spans="1:6">
      <c r="A20" s="50" t="str">
        <f>+INPUT!B168</f>
        <v>Non-Federal Reservoir Evaporation - Nebraska - Above Gage</v>
      </c>
      <c r="B20" s="151">
        <f>+INPUT!C168</f>
        <v>257.95853749999998</v>
      </c>
      <c r="C20" s="151">
        <f>+INPUT!D168</f>
        <v>162.38474375000001</v>
      </c>
      <c r="D20" s="151">
        <f>+INPUT!E168</f>
        <v>93</v>
      </c>
      <c r="E20" s="151">
        <f>+INPUT!F168</f>
        <v>303.91091875000001</v>
      </c>
      <c r="F20" s="151">
        <f>+INPUT!G168</f>
        <v>251</v>
      </c>
    </row>
    <row r="21" spans="1:6">
      <c r="A21" s="50" t="str">
        <f>+INPUT!B169</f>
        <v>Non-Federal Reservoir Evaporation - Nebraska - Below Gage</v>
      </c>
      <c r="B21" s="151">
        <f>+INPUT!C169</f>
        <v>1.5657000000000001</v>
      </c>
      <c r="C21" s="151">
        <f>+INPUT!D169</f>
        <v>2.1309499999999901</v>
      </c>
      <c r="D21" s="151">
        <f>+INPUT!E169</f>
        <v>1</v>
      </c>
      <c r="E21" s="151">
        <f>+INPUT!F169</f>
        <v>3.4787499999999998</v>
      </c>
      <c r="F21" s="151">
        <f>+INPUT!G169</f>
        <v>3</v>
      </c>
    </row>
    <row r="22" spans="1:6">
      <c r="A22" s="137" t="str">
        <f>+FLOOD!A65</f>
        <v>Medicine Creek Flood Flow</v>
      </c>
      <c r="B22" s="151">
        <f>+FLOOD!B65</f>
        <v>0</v>
      </c>
      <c r="C22" s="151">
        <f>+FLOOD!C65</f>
        <v>0</v>
      </c>
      <c r="D22" s="151">
        <f>+FLOOD!D65</f>
        <v>0</v>
      </c>
      <c r="E22" s="151">
        <f>+FLOOD!E65</f>
        <v>0</v>
      </c>
      <c r="F22" s="151">
        <f>+FLOOD!F65</f>
        <v>0</v>
      </c>
    </row>
    <row r="23" spans="1:6">
      <c r="A23" s="61" t="s">
        <v>66</v>
      </c>
      <c r="B23" s="151"/>
      <c r="C23" s="151"/>
      <c r="D23" s="151"/>
      <c r="E23" s="151"/>
      <c r="F23" s="151"/>
    </row>
    <row r="24" spans="1:6" ht="15.75">
      <c r="A24" s="9" t="s">
        <v>241</v>
      </c>
      <c r="B24" s="151"/>
      <c r="C24" s="151"/>
      <c r="D24" s="151"/>
      <c r="E24" s="151"/>
      <c r="F24" s="151"/>
    </row>
    <row r="25" spans="1:6">
      <c r="A25" s="7" t="s">
        <v>0</v>
      </c>
      <c r="B25" s="151"/>
      <c r="C25" s="151"/>
      <c r="D25" s="151"/>
      <c r="E25" s="151"/>
      <c r="F25" s="151"/>
    </row>
    <row r="26" spans="1:6">
      <c r="A26" s="13" t="str">
        <f>'NORTH FORK'!A38</f>
        <v>GW CBCU</v>
      </c>
      <c r="B26" s="151">
        <f>+B6</f>
        <v>0</v>
      </c>
      <c r="C26" s="151">
        <f>+C6</f>
        <v>0</v>
      </c>
      <c r="D26" s="151">
        <f>+D6</f>
        <v>0</v>
      </c>
      <c r="E26" s="151">
        <f>+E6</f>
        <v>0</v>
      </c>
      <c r="F26" s="151">
        <f>+F6</f>
        <v>0</v>
      </c>
    </row>
    <row r="27" spans="1:6">
      <c r="A27" s="13" t="str">
        <f>'NORTH FORK'!A39</f>
        <v>Total CBCU</v>
      </c>
      <c r="B27" s="151">
        <f>(ROUND(SUM(B26:B26),-1))</f>
        <v>0</v>
      </c>
      <c r="C27" s="151">
        <f>(ROUND(SUM(C26:C26),-1))</f>
        <v>0</v>
      </c>
      <c r="D27" s="151">
        <f>(ROUND(SUM(D26:D26),-1))</f>
        <v>0</v>
      </c>
      <c r="E27" s="151">
        <f>(ROUND(SUM(E26:E26),-1))</f>
        <v>0</v>
      </c>
      <c r="F27" s="151">
        <f>(ROUND(SUM(F26:F26),-1))</f>
        <v>0</v>
      </c>
    </row>
    <row r="28" spans="1:6">
      <c r="A28" s="13" t="s">
        <v>66</v>
      </c>
      <c r="B28" s="151"/>
      <c r="C28" s="151"/>
      <c r="D28" s="151"/>
      <c r="E28" s="151"/>
      <c r="F28" s="151"/>
    </row>
    <row r="29" spans="1:6">
      <c r="A29" s="7" t="s">
        <v>161</v>
      </c>
      <c r="B29" s="151"/>
      <c r="C29" s="151"/>
      <c r="D29" s="151"/>
      <c r="E29" s="151"/>
      <c r="F29" s="151"/>
    </row>
    <row r="30" spans="1:6">
      <c r="A30" s="13" t="str">
        <f>'NORTH FORK'!A38</f>
        <v>GW CBCU</v>
      </c>
      <c r="B30" s="151">
        <f>+B7</f>
        <v>0</v>
      </c>
      <c r="C30" s="151">
        <f>+C7</f>
        <v>0</v>
      </c>
      <c r="D30" s="151">
        <f>+D7</f>
        <v>0</v>
      </c>
      <c r="E30" s="151">
        <f>+E7</f>
        <v>0</v>
      </c>
      <c r="F30" s="151">
        <f>+F7</f>
        <v>0</v>
      </c>
    </row>
    <row r="31" spans="1:6">
      <c r="A31" s="13" t="str">
        <f>'NORTH FORK'!A39</f>
        <v>Total CBCU</v>
      </c>
      <c r="B31" s="151">
        <f>(ROUND(SUM(B30:B30),-1))</f>
        <v>0</v>
      </c>
      <c r="C31" s="151">
        <f>(ROUND(SUM(C30:C30),-1))</f>
        <v>0</v>
      </c>
      <c r="D31" s="151">
        <f>(ROUND(SUM(D30:D30),-1))</f>
        <v>0</v>
      </c>
      <c r="E31" s="151">
        <f>(ROUND(SUM(E30:E30),-1))</f>
        <v>0</v>
      </c>
      <c r="F31" s="151">
        <f>(ROUND(SUM(F30:F30),-1))</f>
        <v>0</v>
      </c>
    </row>
    <row r="32" spans="1:6">
      <c r="A32" s="13" t="s">
        <v>66</v>
      </c>
      <c r="B32" s="151"/>
      <c r="C32" s="151"/>
      <c r="D32" s="151"/>
      <c r="E32" s="151"/>
      <c r="F32" s="151"/>
    </row>
    <row r="33" spans="1:6">
      <c r="A33" s="7" t="s">
        <v>1</v>
      </c>
      <c r="B33" s="151"/>
      <c r="C33" s="151"/>
      <c r="D33" s="151"/>
      <c r="E33" s="151"/>
      <c r="F33" s="151"/>
    </row>
    <row r="34" spans="1:6">
      <c r="A34" s="13" t="str">
        <f>'NORTH FORK'!A23</f>
        <v>SW CBCU - Irrigation - Non Federal Canals</v>
      </c>
      <c r="B34" s="151">
        <f>B14*CanalCUPercent1</f>
        <v>0</v>
      </c>
      <c r="C34" s="151">
        <f>C14*CanalCUPercent2</f>
        <v>0</v>
      </c>
      <c r="D34" s="151">
        <f>D14*CanalCUPercent3</f>
        <v>0</v>
      </c>
      <c r="E34" s="151">
        <f>E14*CanalCUPercent4</f>
        <v>0</v>
      </c>
      <c r="F34" s="151">
        <f>F14*CanalCUPercent5</f>
        <v>0</v>
      </c>
    </row>
    <row r="35" spans="1:6">
      <c r="A35" s="13" t="str">
        <f>'NORTH FORK'!A24</f>
        <v>SW CBCU - Irrigation - Small Pumps</v>
      </c>
      <c r="B35" s="151">
        <f>B15*PumperCUPercent1</f>
        <v>43.483274999999999</v>
      </c>
      <c r="C35" s="151">
        <f>C15*PumperCUPercent2</f>
        <v>8.2952038595143502</v>
      </c>
      <c r="D35" s="151">
        <f>D15*PumperCUPercent3</f>
        <v>0</v>
      </c>
      <c r="E35" s="151">
        <f>E15*PumperCUPercent4</f>
        <v>42.947244133032896</v>
      </c>
      <c r="F35" s="151">
        <f>F15*PumperCUPercent5</f>
        <v>46.5</v>
      </c>
    </row>
    <row r="36" spans="1:6">
      <c r="A36" s="13" t="str">
        <f>'NORTH FORK'!A25</f>
        <v>SW CBCU - M&amp;I</v>
      </c>
      <c r="B36" s="151">
        <f>B16*MI_CUPercent1</f>
        <v>0</v>
      </c>
      <c r="C36" s="151">
        <f>C16*MI_CUPercent2</f>
        <v>0</v>
      </c>
      <c r="D36" s="151">
        <f>D16*MI_CUPercent3</f>
        <v>0</v>
      </c>
      <c r="E36" s="151">
        <f>E16*MI_CUPercent4</f>
        <v>0</v>
      </c>
      <c r="F36" s="151">
        <f>F16*MI_CUPercent5</f>
        <v>0</v>
      </c>
    </row>
    <row r="37" spans="1:6">
      <c r="A37" s="13" t="str">
        <f>'NORTH FORK'!A23&amp;" "&amp;"-"&amp;" "&amp;"Below Gage"</f>
        <v>SW CBCU - Irrigation - Non Federal Canals - Below Gage</v>
      </c>
      <c r="B37" s="151">
        <f>+B17*CanalCUPercent1</f>
        <v>0</v>
      </c>
      <c r="C37" s="151">
        <f>+C17*CanalCUPercent2</f>
        <v>0</v>
      </c>
      <c r="D37" s="151">
        <f>+D17*CanalCUPercent3</f>
        <v>0</v>
      </c>
      <c r="E37" s="151">
        <f>+E17*CanalCUPercent4</f>
        <v>0</v>
      </c>
      <c r="F37" s="151">
        <f>+F17*CanalCUPercent5</f>
        <v>0</v>
      </c>
    </row>
    <row r="38" spans="1:6">
      <c r="A38" s="13" t="str">
        <f>'NORTH FORK'!A24&amp;" "&amp;"-"&amp;" "&amp;"Below Gage"</f>
        <v>SW CBCU - Irrigation - Small Pumps - Below Gage</v>
      </c>
      <c r="B38" s="151">
        <f>+B18*PumperCUPercent1</f>
        <v>41.920499999999997</v>
      </c>
      <c r="C38" s="151">
        <f>+C18*PumperCUPercent2</f>
        <v>8.25</v>
      </c>
      <c r="D38" s="151">
        <f>+D18*PumperCUPercent3</f>
        <v>120</v>
      </c>
      <c r="E38" s="151">
        <f>+E18*PumperCUPercent4</f>
        <v>171.74994335796677</v>
      </c>
      <c r="F38" s="151">
        <f>+F18*PumperCUPercent5</f>
        <v>45.75</v>
      </c>
    </row>
    <row r="39" spans="1:6">
      <c r="A39" s="13" t="str">
        <f>'NORTH FORK'!A25&amp;" "&amp;"-"&amp;" "&amp;"Below Gage"</f>
        <v>SW CBCU - M&amp;I - Below Gage</v>
      </c>
      <c r="B39" s="151">
        <f>+B19*MI_CUPercent1</f>
        <v>0</v>
      </c>
      <c r="C39" s="151">
        <f>+C19*MI_CUPercent2</f>
        <v>0</v>
      </c>
      <c r="D39" s="151">
        <f>+D19*MI_CUPercent3</f>
        <v>0</v>
      </c>
      <c r="E39" s="151">
        <f>+E19*MI_CUPercent4</f>
        <v>0</v>
      </c>
      <c r="F39" s="151">
        <f>+F19*MI_CUPercent5</f>
        <v>0</v>
      </c>
    </row>
    <row r="40" spans="1:6">
      <c r="A40" s="45" t="str">
        <f>'NORTH FORK'!A26</f>
        <v>Non-Federal Reservoir Evaporation</v>
      </c>
      <c r="B40" s="151">
        <f t="shared" ref="B40:D41" si="0">B20</f>
        <v>257.95853749999998</v>
      </c>
      <c r="C40" s="151">
        <f t="shared" si="0"/>
        <v>162.38474375000001</v>
      </c>
      <c r="D40" s="151">
        <f t="shared" si="0"/>
        <v>93</v>
      </c>
      <c r="E40" s="151">
        <f>E20</f>
        <v>303.91091875000001</v>
      </c>
      <c r="F40" s="151">
        <f>F20</f>
        <v>251</v>
      </c>
    </row>
    <row r="41" spans="1:6">
      <c r="A41" s="45" t="str">
        <f>'NORTH FORK'!A26&amp;" "&amp;"-"&amp;" "&amp;"Below gage"</f>
        <v>Non-Federal Reservoir Evaporation - Below gage</v>
      </c>
      <c r="B41" s="151">
        <f t="shared" si="0"/>
        <v>1.5657000000000001</v>
      </c>
      <c r="C41" s="151">
        <f t="shared" si="0"/>
        <v>2.1309499999999901</v>
      </c>
      <c r="D41" s="151">
        <f t="shared" si="0"/>
        <v>1</v>
      </c>
      <c r="E41" s="151">
        <f>E21</f>
        <v>3.4787499999999998</v>
      </c>
      <c r="F41" s="151">
        <f>F21</f>
        <v>3</v>
      </c>
    </row>
    <row r="42" spans="1:6">
      <c r="A42" s="13" t="str">
        <f>'NORTH FORK'!A27</f>
        <v>SW CBCU</v>
      </c>
      <c r="B42" s="151">
        <f>B34+B35+B36+B37+B38+B39+B40+B41</f>
        <v>344.92801249999997</v>
      </c>
      <c r="C42" s="151">
        <f>C34+C35+C36+C37+C38+C39+C40+C41</f>
        <v>181.06089760951434</v>
      </c>
      <c r="D42" s="151">
        <f>D34+D35+D36+D37+D38+D39+D40+D41</f>
        <v>214</v>
      </c>
      <c r="E42" s="151">
        <f>E34+E35+E36+E37+E38+E39+E40+E41</f>
        <v>522.08685624099962</v>
      </c>
      <c r="F42" s="151">
        <f>F34+F35+F36+F37+F38+F39+F40+F41</f>
        <v>346.25</v>
      </c>
    </row>
    <row r="43" spans="1:6">
      <c r="A43" s="13" t="str">
        <f>'NORTH FORK'!A28</f>
        <v>GW CBCU</v>
      </c>
      <c r="B43" s="151">
        <f>+B8</f>
        <v>20695</v>
      </c>
      <c r="C43" s="151">
        <f>+C8</f>
        <v>21374</v>
      </c>
      <c r="D43" s="151">
        <f>+D8</f>
        <v>21376</v>
      </c>
      <c r="E43" s="151">
        <f>+E8</f>
        <v>19867</v>
      </c>
      <c r="F43" s="151">
        <f>+F8</f>
        <v>20562</v>
      </c>
    </row>
    <row r="44" spans="1:6">
      <c r="A44" s="13" t="str">
        <f>'NORTH FORK'!A29</f>
        <v>Total CBCU</v>
      </c>
      <c r="B44" s="151">
        <f>(ROUND(SUM(B42:B43),-1))</f>
        <v>21040</v>
      </c>
      <c r="C44" s="151">
        <f>(ROUND(SUM(C42:C43),-1))</f>
        <v>21560</v>
      </c>
      <c r="D44" s="151">
        <f>(ROUND(SUM(D42:D43),-1))</f>
        <v>21590</v>
      </c>
      <c r="E44" s="151">
        <f>(ROUND(SUM(E42:E43),-1))</f>
        <v>20390</v>
      </c>
      <c r="F44" s="151">
        <f>(ROUND(SUM(F42:F43),-1))</f>
        <v>20910</v>
      </c>
    </row>
    <row r="45" spans="1:6">
      <c r="A45" s="13" t="s">
        <v>66</v>
      </c>
      <c r="B45" s="151"/>
      <c r="C45" s="151"/>
      <c r="D45" s="151"/>
      <c r="E45" s="151"/>
      <c r="F45" s="151"/>
    </row>
    <row r="46" spans="1:6">
      <c r="A46" s="4" t="s">
        <v>162</v>
      </c>
      <c r="B46" s="151"/>
      <c r="C46" s="151"/>
      <c r="D46" s="151"/>
      <c r="E46" s="151"/>
      <c r="F46" s="151"/>
    </row>
    <row r="47" spans="1:6">
      <c r="A47" s="45" t="str">
        <f>'NORTH FORK'!A42</f>
        <v>Total SW CBCU</v>
      </c>
      <c r="B47" s="151">
        <f>+B42</f>
        <v>344.92801249999997</v>
      </c>
      <c r="C47" s="151">
        <f>+C42</f>
        <v>181.06089760951434</v>
      </c>
      <c r="D47" s="151">
        <f>+D42</f>
        <v>214</v>
      </c>
      <c r="E47" s="151">
        <f>+E42</f>
        <v>522.08685624099962</v>
      </c>
      <c r="F47" s="151">
        <f>+F42</f>
        <v>346.25</v>
      </c>
    </row>
    <row r="48" spans="1:6">
      <c r="A48" s="45" t="str">
        <f>'NORTH FORK'!A43</f>
        <v>Total GW CBCU</v>
      </c>
      <c r="B48" s="151">
        <f>+B26+B30+B43</f>
        <v>20695</v>
      </c>
      <c r="C48" s="151">
        <f>+C26+C30+C43</f>
        <v>21374</v>
      </c>
      <c r="D48" s="151">
        <f>+D26+D30+D43</f>
        <v>21376</v>
      </c>
      <c r="E48" s="151">
        <f>+E26+E30+E43</f>
        <v>19867</v>
      </c>
      <c r="F48" s="151">
        <f>+F26+F30+F43</f>
        <v>20562</v>
      </c>
    </row>
    <row r="49" spans="1:6">
      <c r="A49" s="45" t="str">
        <f>'NORTH FORK'!A44</f>
        <v>Total Basin CBCU</v>
      </c>
      <c r="B49" s="151">
        <f>(ROUND(SUM(B47:B48),-1))</f>
        <v>21040</v>
      </c>
      <c r="C49" s="151">
        <f>(ROUND(SUM(C47:C48),-1))</f>
        <v>21560</v>
      </c>
      <c r="D49" s="151">
        <f>(ROUND(SUM(D47:D48),-1))</f>
        <v>21590</v>
      </c>
      <c r="E49" s="151">
        <f>(ROUND(SUM(E47:E48),-1))</f>
        <v>20390</v>
      </c>
      <c r="F49" s="151">
        <f>(ROUND(SUM(F47:F48),-1))</f>
        <v>20910</v>
      </c>
    </row>
    <row r="50" spans="1:6">
      <c r="A50" s="45" t="s">
        <v>66</v>
      </c>
      <c r="B50" s="151"/>
      <c r="C50" s="151"/>
      <c r="D50" s="151"/>
      <c r="E50" s="151"/>
      <c r="F50" s="151"/>
    </row>
    <row r="51" spans="1:6">
      <c r="A51" s="4" t="s">
        <v>328</v>
      </c>
      <c r="B51" s="151"/>
      <c r="C51" s="151"/>
      <c r="D51" s="151"/>
      <c r="E51" s="151"/>
      <c r="F51" s="151"/>
    </row>
    <row r="52" spans="1:6">
      <c r="A52" s="13" t="s">
        <v>227</v>
      </c>
      <c r="B52" s="151">
        <f>B37+B38+B39+B41</f>
        <v>43.486199999999997</v>
      </c>
      <c r="C52" s="151">
        <f>C37+C38+C39+C41</f>
        <v>10.38094999999999</v>
      </c>
      <c r="D52" s="151">
        <f>D37+D38+D39+D41</f>
        <v>121</v>
      </c>
      <c r="E52" s="151">
        <f>E37+E38+E39+E41</f>
        <v>175.22869335796676</v>
      </c>
      <c r="F52" s="151">
        <f>F37+F38+F39+F41</f>
        <v>48.75</v>
      </c>
    </row>
    <row r="53" spans="1:6">
      <c r="A53" s="13" t="s">
        <v>4</v>
      </c>
      <c r="B53" s="151">
        <f>B52</f>
        <v>43.486199999999997</v>
      </c>
      <c r="C53" s="151">
        <f>C52</f>
        <v>10.38094999999999</v>
      </c>
      <c r="D53" s="151">
        <f>D52</f>
        <v>121</v>
      </c>
      <c r="E53" s="151">
        <f>E52</f>
        <v>175.22869335796676</v>
      </c>
      <c r="F53" s="151">
        <f>F52</f>
        <v>48.75</v>
      </c>
    </row>
    <row r="54" spans="1:6">
      <c r="A54" s="13" t="s">
        <v>66</v>
      </c>
      <c r="B54" s="151"/>
      <c r="C54" s="151"/>
      <c r="D54" s="151"/>
      <c r="E54" s="151"/>
      <c r="F54" s="151"/>
    </row>
    <row r="55" spans="1:6" ht="15.75">
      <c r="A55" s="10" t="s">
        <v>10</v>
      </c>
      <c r="B55" s="151"/>
      <c r="C55" s="151"/>
      <c r="D55" s="151"/>
      <c r="E55" s="151"/>
      <c r="F55" s="151"/>
    </row>
    <row r="56" spans="1:6">
      <c r="A56" s="42" t="str">
        <f t="shared" ref="A56:F56" si="1">A11</f>
        <v>Medicine Creek Below Harry Strunk</v>
      </c>
      <c r="B56" s="151">
        <f t="shared" si="1"/>
        <v>41207</v>
      </c>
      <c r="C56" s="151">
        <f t="shared" si="1"/>
        <v>25135</v>
      </c>
      <c r="D56" s="151">
        <f t="shared" si="1"/>
        <v>48769</v>
      </c>
      <c r="E56" s="151">
        <f t="shared" si="1"/>
        <v>39930.267768594946</v>
      </c>
      <c r="F56" s="151">
        <f t="shared" si="1"/>
        <v>22871</v>
      </c>
    </row>
    <row r="57" spans="1:6">
      <c r="A57" s="13" t="str">
        <f>'NORTH FORK'!A49</f>
        <v>Colorado CBCU</v>
      </c>
      <c r="B57" s="151">
        <f>+B27</f>
        <v>0</v>
      </c>
      <c r="C57" s="151">
        <f>+C27</f>
        <v>0</v>
      </c>
      <c r="D57" s="151">
        <f>+D27</f>
        <v>0</v>
      </c>
      <c r="E57" s="151">
        <f>+E27</f>
        <v>0</v>
      </c>
      <c r="F57" s="151">
        <f>+F27</f>
        <v>0</v>
      </c>
    </row>
    <row r="58" spans="1:6">
      <c r="A58" s="13" t="str">
        <f>'NORTH FORK'!A50</f>
        <v>Kansas CBCU</v>
      </c>
      <c r="B58" s="151">
        <f>+B31</f>
        <v>0</v>
      </c>
      <c r="C58" s="151">
        <f>+C31</f>
        <v>0</v>
      </c>
      <c r="D58" s="151">
        <f>+D31</f>
        <v>0</v>
      </c>
      <c r="E58" s="151">
        <f>+E31</f>
        <v>0</v>
      </c>
      <c r="F58" s="151">
        <f>+F31</f>
        <v>0</v>
      </c>
    </row>
    <row r="59" spans="1:6">
      <c r="A59" s="13" t="str">
        <f>'NORTH FORK'!A51</f>
        <v>Nebraska CBCU</v>
      </c>
      <c r="B59" s="151">
        <f>B44</f>
        <v>21040</v>
      </c>
      <c r="C59" s="151">
        <f>C44</f>
        <v>21560</v>
      </c>
      <c r="D59" s="151">
        <f>D44</f>
        <v>21590</v>
      </c>
      <c r="E59" s="151">
        <f>E44</f>
        <v>20390</v>
      </c>
      <c r="F59" s="151">
        <f>F44</f>
        <v>20910</v>
      </c>
    </row>
    <row r="60" spans="1:6">
      <c r="A60" s="13" t="s">
        <v>227</v>
      </c>
      <c r="B60" s="151">
        <f>B53</f>
        <v>43.486199999999997</v>
      </c>
      <c r="C60" s="151">
        <f>C53</f>
        <v>10.38094999999999</v>
      </c>
      <c r="D60" s="151">
        <f>D53</f>
        <v>121</v>
      </c>
      <c r="E60" s="151">
        <f>E53</f>
        <v>175.22869335796676</v>
      </c>
      <c r="F60" s="151">
        <f>F53</f>
        <v>48.75</v>
      </c>
    </row>
    <row r="61" spans="1:6">
      <c r="A61" s="13" t="str">
        <f>A13</f>
        <v>Harry Strunk Lake Change In Storage</v>
      </c>
      <c r="B61" s="151">
        <f>+B13</f>
        <v>-5538</v>
      </c>
      <c r="C61" s="151">
        <f>+C13</f>
        <v>5139</v>
      </c>
      <c r="D61" s="151">
        <f>+D13</f>
        <v>5232</v>
      </c>
      <c r="E61" s="151">
        <f>+E13</f>
        <v>-9530</v>
      </c>
      <c r="F61" s="151">
        <f>+F13</f>
        <v>2950</v>
      </c>
    </row>
    <row r="62" spans="1:6">
      <c r="A62" s="13" t="str">
        <f>A12</f>
        <v>Harry Strunk Lake Evaporation</v>
      </c>
      <c r="B62" s="151">
        <f>+B12</f>
        <v>2513</v>
      </c>
      <c r="C62" s="151">
        <f>+C12</f>
        <v>2357</v>
      </c>
      <c r="D62" s="151">
        <f>+D12</f>
        <v>857</v>
      </c>
      <c r="E62" s="151">
        <f>+E12</f>
        <v>2924</v>
      </c>
      <c r="F62" s="151">
        <f>+F12</f>
        <v>2452</v>
      </c>
    </row>
    <row r="63" spans="1:6">
      <c r="A63" s="13" t="str">
        <f>'NORTH FORK'!A52</f>
        <v>Imported Water</v>
      </c>
      <c r="B63" s="151">
        <f>B5</f>
        <v>10337</v>
      </c>
      <c r="C63" s="151">
        <f>C5</f>
        <v>11274</v>
      </c>
      <c r="D63" s="151">
        <f>D5</f>
        <v>11292</v>
      </c>
      <c r="E63" s="151">
        <f>E5</f>
        <v>10592</v>
      </c>
      <c r="F63" s="151">
        <f>F5</f>
        <v>10693</v>
      </c>
    </row>
    <row r="64" spans="1:6">
      <c r="A64" s="277" t="s">
        <v>564</v>
      </c>
      <c r="B64" s="278">
        <f>B9</f>
        <v>11106</v>
      </c>
      <c r="C64" s="278">
        <f>C9</f>
        <v>0</v>
      </c>
      <c r="D64" s="278">
        <f>D9</f>
        <v>0</v>
      </c>
      <c r="E64" s="278">
        <f>E9</f>
        <v>0</v>
      </c>
      <c r="F64" s="278">
        <f>F9</f>
        <v>0</v>
      </c>
    </row>
    <row r="65" spans="1:6">
      <c r="A65" s="13" t="str">
        <f>'NORTH FORK'!A54</f>
        <v>Virgin Water Supply</v>
      </c>
      <c r="B65" s="278">
        <f>ROUND(B56+B57+B58+B59-B60+B61+B62-B63-B64,-1)</f>
        <v>37740</v>
      </c>
      <c r="C65" s="278">
        <f>ROUND(C56+C57+C58+C59-C60+C61+C62-C63-C64,-1)</f>
        <v>42910</v>
      </c>
      <c r="D65" s="278">
        <f>ROUND(D56+D57+D58+D59-D60+D61+D62-D63-D64,-1)</f>
        <v>65040</v>
      </c>
      <c r="E65" s="278">
        <f>ROUND(E56+E57+E58+E59-E60+E61+E62-E63-E64,-1)</f>
        <v>42950</v>
      </c>
      <c r="F65" s="278">
        <f>ROUND(F56+F57+F58+F59-F60+F61+F62-F63-F64,-1)</f>
        <v>38440</v>
      </c>
    </row>
    <row r="66" spans="1:6">
      <c r="A66" s="13" t="str">
        <f>'NORTH FORK'!A55</f>
        <v>Adjustment For Flood Flows</v>
      </c>
      <c r="B66" s="151">
        <f>B22</f>
        <v>0</v>
      </c>
      <c r="C66" s="151">
        <f>C22</f>
        <v>0</v>
      </c>
      <c r="D66" s="151">
        <f>D22</f>
        <v>0</v>
      </c>
      <c r="E66" s="151">
        <f>E22</f>
        <v>0</v>
      </c>
      <c r="F66" s="151">
        <f>F22</f>
        <v>0</v>
      </c>
    </row>
    <row r="67" spans="1:6">
      <c r="A67" s="13" t="str">
        <f>'NORTH FORK'!A56</f>
        <v>Computed Water Supply</v>
      </c>
      <c r="B67" s="151">
        <f>+ROUND(B65-B66-B61,-1)</f>
        <v>43280</v>
      </c>
      <c r="C67" s="151">
        <f>+ROUND(C65-C66-C61,-1)</f>
        <v>37770</v>
      </c>
      <c r="D67" s="151">
        <f>+ROUND(D65-D66-D61,-1)</f>
        <v>59810</v>
      </c>
      <c r="E67" s="151">
        <f>+ROUND(E65-E66-E61,-1)</f>
        <v>52480</v>
      </c>
      <c r="F67" s="151">
        <f>+ROUND(F65-F66-F61,-1)</f>
        <v>35490</v>
      </c>
    </row>
    <row r="68" spans="1:6">
      <c r="A68" s="45" t="s">
        <v>66</v>
      </c>
      <c r="B68" s="151"/>
      <c r="C68" s="151"/>
      <c r="D68" s="151"/>
      <c r="E68" s="151"/>
      <c r="F68" s="151"/>
    </row>
    <row r="69" spans="1:6" ht="15.75">
      <c r="A69" s="10" t="s">
        <v>12</v>
      </c>
      <c r="B69" s="121"/>
      <c r="C69" s="121"/>
      <c r="D69" s="121"/>
      <c r="E69" s="121"/>
      <c r="F69" s="121"/>
    </row>
    <row r="70" spans="1:6">
      <c r="A70" s="13" t="str">
        <f>'NORTH FORK'!A59</f>
        <v>Colorado Percent Of Allocation</v>
      </c>
      <c r="B70" s="122">
        <f>'T2'!$D11</f>
        <v>0</v>
      </c>
      <c r="C70" s="122">
        <f>'T2'!$D11</f>
        <v>0</v>
      </c>
      <c r="D70" s="122">
        <f>'T2'!$D11</f>
        <v>0</v>
      </c>
      <c r="E70" s="122">
        <f>'T2'!$D11</f>
        <v>0</v>
      </c>
      <c r="F70" s="122">
        <f>'T2'!$D11</f>
        <v>0</v>
      </c>
    </row>
    <row r="71" spans="1:6">
      <c r="A71" s="13" t="str">
        <f>'NORTH FORK'!A60</f>
        <v>Colorado Allocation</v>
      </c>
      <c r="B71" s="151">
        <f>ROUND(+B67*B70,-1)</f>
        <v>0</v>
      </c>
      <c r="C71" s="151">
        <f>ROUND(+C67*C70,-1)</f>
        <v>0</v>
      </c>
      <c r="D71" s="151">
        <f>ROUND(+D67*D70,-1)</f>
        <v>0</v>
      </c>
      <c r="E71" s="151">
        <f>ROUND(+E67*E70,-1)</f>
        <v>0</v>
      </c>
      <c r="F71" s="151">
        <f>ROUND(+F67*F70,-1)</f>
        <v>0</v>
      </c>
    </row>
    <row r="72" spans="1:6">
      <c r="A72" s="13" t="str">
        <f>'NORTH FORK'!A61</f>
        <v>Kansas Percent Of Allocation</v>
      </c>
      <c r="B72" s="122">
        <f>'T2'!$F11</f>
        <v>0</v>
      </c>
      <c r="C72" s="122">
        <f>'T2'!$F11</f>
        <v>0</v>
      </c>
      <c r="D72" s="122">
        <f>'T2'!$F11</f>
        <v>0</v>
      </c>
      <c r="E72" s="122">
        <f>'T2'!$F11</f>
        <v>0</v>
      </c>
      <c r="F72" s="122">
        <f>'T2'!$F11</f>
        <v>0</v>
      </c>
    </row>
    <row r="73" spans="1:6">
      <c r="A73" s="13" t="str">
        <f>'NORTH FORK'!A62</f>
        <v>Kansas Allocation</v>
      </c>
      <c r="B73" s="151">
        <f>ROUND(B67*B72,-1)</f>
        <v>0</v>
      </c>
      <c r="C73" s="151">
        <f>ROUND(C67*C72,-1)</f>
        <v>0</v>
      </c>
      <c r="D73" s="151">
        <f>ROUND(D67*D72,-1)</f>
        <v>0</v>
      </c>
      <c r="E73" s="151">
        <f>ROUND(E67*E72,-1)</f>
        <v>0</v>
      </c>
      <c r="F73" s="151">
        <f>ROUND(F67*F72,-1)</f>
        <v>0</v>
      </c>
    </row>
    <row r="74" spans="1:6">
      <c r="A74" s="13" t="str">
        <f>'NORTH FORK'!A63</f>
        <v>Nebraska Percent Of Allocation</v>
      </c>
      <c r="B74" s="122">
        <f>'T2'!$H11</f>
        <v>9.0999999999999998E-2</v>
      </c>
      <c r="C74" s="122">
        <f>'T2'!$H11</f>
        <v>9.0999999999999998E-2</v>
      </c>
      <c r="D74" s="122">
        <f>'T2'!$H11</f>
        <v>9.0999999999999998E-2</v>
      </c>
      <c r="E74" s="122">
        <f>'T2'!$H11</f>
        <v>9.0999999999999998E-2</v>
      </c>
      <c r="F74" s="122">
        <f>'T2'!$H11</f>
        <v>9.0999999999999998E-2</v>
      </c>
    </row>
    <row r="75" spans="1:6">
      <c r="A75" s="13" t="str">
        <f>'NORTH FORK'!A64</f>
        <v>Nebraska Allocation</v>
      </c>
      <c r="B75" s="151">
        <f>ROUND(B67*B74,-1)</f>
        <v>3940</v>
      </c>
      <c r="C75" s="151">
        <f>ROUND(C67*C74,-1)</f>
        <v>3440</v>
      </c>
      <c r="D75" s="151">
        <f>ROUND(D67*D74,-1)</f>
        <v>5440</v>
      </c>
      <c r="E75" s="151">
        <f>ROUND(E67*E74,-1)</f>
        <v>4780</v>
      </c>
      <c r="F75" s="151">
        <f>ROUND(F67*F74,-1)</f>
        <v>3230</v>
      </c>
    </row>
    <row r="76" spans="1:6">
      <c r="A76" s="13" t="str">
        <f>'NORTH FORK'!A65</f>
        <v>Total Basin Allocation</v>
      </c>
      <c r="B76" s="151">
        <f>+B71+B73+B75</f>
        <v>3940</v>
      </c>
      <c r="C76" s="151">
        <f>+C71+C73+C75</f>
        <v>3440</v>
      </c>
      <c r="D76" s="151">
        <f>+D71+D73+D75</f>
        <v>5440</v>
      </c>
      <c r="E76" s="151">
        <f>+E71+E73+E75</f>
        <v>4780</v>
      </c>
      <c r="F76" s="151">
        <f>+F71+F73+F75</f>
        <v>3230</v>
      </c>
    </row>
    <row r="77" spans="1:6">
      <c r="A77" s="13" t="str">
        <f>'NORTH FORK'!A66</f>
        <v>Percent Of Supply Not Allocated</v>
      </c>
      <c r="B77" s="122">
        <f>'T2'!$J11</f>
        <v>0.90900000000000003</v>
      </c>
      <c r="C77" s="122">
        <f>'T2'!$J11</f>
        <v>0.90900000000000003</v>
      </c>
      <c r="D77" s="122">
        <f>'T2'!$J11</f>
        <v>0.90900000000000003</v>
      </c>
      <c r="E77" s="122">
        <f>'T2'!$J11</f>
        <v>0.90900000000000003</v>
      </c>
      <c r="F77" s="122">
        <f>'T2'!$J11</f>
        <v>0.90900000000000003</v>
      </c>
    </row>
    <row r="78" spans="1:6">
      <c r="A78" s="2" t="str">
        <f>'NORTH FORK'!A67</f>
        <v>Quantity Of Unallocated Supply</v>
      </c>
      <c r="B78" s="145">
        <f>+B67-B71-B73-B75</f>
        <v>39340</v>
      </c>
      <c r="C78" s="145">
        <f>+C67-C71-C73-C75</f>
        <v>34330</v>
      </c>
      <c r="D78" s="145">
        <f>+D67-D71-D73-D75</f>
        <v>54370</v>
      </c>
      <c r="E78" s="145">
        <f>+E67-E71-E73-E75</f>
        <v>47700</v>
      </c>
      <c r="F78" s="145">
        <f>+F67-F71-F73-F75</f>
        <v>32260</v>
      </c>
    </row>
    <row r="79" spans="1:6">
      <c r="E79" s="312"/>
      <c r="F79" s="312"/>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91"/>
  <sheetViews>
    <sheetView workbookViewId="0">
      <pane ySplit="1" topLeftCell="A20" activePane="bottomLeft" state="frozen"/>
      <selection pane="bottomLeft" activeCell="F59" sqref="F59"/>
    </sheetView>
  </sheetViews>
  <sheetFormatPr defaultRowHeight="12.75"/>
  <cols>
    <col min="1" max="1" width="69.42578125" customWidth="1"/>
    <col min="6" max="6" width="11.140625" bestFit="1" customWidth="1"/>
  </cols>
  <sheetData>
    <row r="1" spans="1:7" ht="15.75">
      <c r="A1" s="37" t="s">
        <v>203</v>
      </c>
      <c r="B1" s="194">
        <f>INPUT!C1</f>
        <v>2017</v>
      </c>
      <c r="C1" s="194">
        <f>INPUT!D1</f>
        <v>2018</v>
      </c>
      <c r="D1" s="194">
        <f>INPUT!E1</f>
        <v>2019</v>
      </c>
      <c r="E1" s="194">
        <f>INPUT!F1</f>
        <v>2020</v>
      </c>
      <c r="F1" s="194">
        <f>INPUT!G1</f>
        <v>2021</v>
      </c>
    </row>
    <row r="2" spans="1:7">
      <c r="A2" t="s">
        <v>66</v>
      </c>
      <c r="E2" s="312"/>
      <c r="F2" s="312"/>
    </row>
    <row r="3" spans="1:7" ht="15.75">
      <c r="A3" s="9" t="s">
        <v>157</v>
      </c>
      <c r="E3" s="312"/>
      <c r="F3" s="312"/>
    </row>
    <row r="4" spans="1:7">
      <c r="A4" s="7" t="s">
        <v>158</v>
      </c>
      <c r="E4" s="312"/>
      <c r="F4" s="312"/>
    </row>
    <row r="5" spans="1:7">
      <c r="A5" s="31" t="str">
        <f>+INPUT!B56</f>
        <v>Imported Water Nebraska</v>
      </c>
      <c r="B5" s="145">
        <f>+INPUT!C56</f>
        <v>0</v>
      </c>
      <c r="C5" s="145">
        <f>+INPUT!D56</f>
        <v>0</v>
      </c>
      <c r="D5" s="145">
        <f>+INPUT!E56</f>
        <v>0</v>
      </c>
      <c r="E5" s="145">
        <f>+INPUT!F56</f>
        <v>0</v>
      </c>
      <c r="F5" s="145">
        <f>+INPUT!G56</f>
        <v>0</v>
      </c>
      <c r="G5" s="102"/>
    </row>
    <row r="6" spans="1:7">
      <c r="A6" s="31" t="str">
        <f>+INPUT!B31</f>
        <v>GW CBCU Colorado</v>
      </c>
      <c r="B6" s="145">
        <f>+INPUT!C31</f>
        <v>0</v>
      </c>
      <c r="C6" s="145">
        <f>+INPUT!D31</f>
        <v>0</v>
      </c>
      <c r="D6" s="145">
        <f>+INPUT!E31</f>
        <v>0</v>
      </c>
      <c r="E6" s="145">
        <f>+INPUT!F31</f>
        <v>0</v>
      </c>
      <c r="F6" s="145">
        <f>+INPUT!G31</f>
        <v>0</v>
      </c>
      <c r="G6" s="102"/>
    </row>
    <row r="7" spans="1:7">
      <c r="A7" s="31" t="str">
        <f>+INPUT!B32</f>
        <v>GW CBCU Kansas</v>
      </c>
      <c r="B7" s="145">
        <f>+INPUT!C32</f>
        <v>6391</v>
      </c>
      <c r="C7" s="145">
        <f>+INPUT!D32</f>
        <v>6564</v>
      </c>
      <c r="D7" s="145">
        <f>+INPUT!E32</f>
        <v>6509</v>
      </c>
      <c r="E7" s="145">
        <f>+INPUT!F32</f>
        <v>6025</v>
      </c>
      <c r="F7" s="145">
        <f>+INPUT!G32</f>
        <v>5163</v>
      </c>
      <c r="G7" s="102"/>
    </row>
    <row r="8" spans="1:7" ht="12" customHeight="1">
      <c r="A8" s="31" t="str">
        <f>+INPUT!B33</f>
        <v>GW CBCU Nebraska</v>
      </c>
      <c r="B8" s="145">
        <f>+INPUT!C33</f>
        <v>4451</v>
      </c>
      <c r="C8" s="145">
        <f>+INPUT!D33</f>
        <v>4284</v>
      </c>
      <c r="D8" s="145">
        <f>+INPUT!E33</f>
        <v>4081</v>
      </c>
      <c r="E8" s="145">
        <f>+INPUT!F33</f>
        <v>3875</v>
      </c>
      <c r="F8" s="145">
        <f>+INPUT!G33</f>
        <v>3228</v>
      </c>
      <c r="G8" s="102"/>
    </row>
    <row r="9" spans="1:7">
      <c r="A9" s="2" t="s">
        <v>66</v>
      </c>
      <c r="B9" s="145"/>
      <c r="C9" s="145"/>
      <c r="D9" s="145"/>
      <c r="E9" s="145"/>
      <c r="F9" s="145"/>
      <c r="G9" s="102"/>
    </row>
    <row r="10" spans="1:7">
      <c r="A10" s="4" t="s">
        <v>160</v>
      </c>
      <c r="B10" s="145"/>
      <c r="C10" s="145"/>
      <c r="D10" s="145"/>
      <c r="E10" s="145"/>
      <c r="F10" s="145"/>
      <c r="G10" s="102"/>
    </row>
    <row r="11" spans="1:7">
      <c r="A11" s="31" t="str">
        <f>+INPUT!B193</f>
        <v>Beaver Creek Near Beaver City</v>
      </c>
      <c r="B11" s="145">
        <f>+INPUT!C193</f>
        <v>1082</v>
      </c>
      <c r="C11" s="145">
        <f>+INPUT!D193</f>
        <v>1023</v>
      </c>
      <c r="D11" s="145">
        <f>+INPUT!E193</f>
        <v>1632</v>
      </c>
      <c r="E11" s="145">
        <f>+INPUT!F193</f>
        <v>788</v>
      </c>
      <c r="F11" s="145">
        <f>+INPUT!G193</f>
        <v>796</v>
      </c>
      <c r="G11" s="102"/>
    </row>
    <row r="12" spans="1:7">
      <c r="A12" s="31" t="str">
        <f>+INPUT!B111</f>
        <v>SW Diversions - Irrigation -Non-Federal Canals- Colorado</v>
      </c>
      <c r="B12" s="145">
        <f>+INPUT!C111</f>
        <v>0</v>
      </c>
      <c r="C12" s="145">
        <f>+INPUT!D111</f>
        <v>0</v>
      </c>
      <c r="D12" s="145">
        <f>+INPUT!E111</f>
        <v>0</v>
      </c>
      <c r="E12" s="145">
        <f>+INPUT!F111</f>
        <v>0</v>
      </c>
      <c r="F12" s="145">
        <f>+INPUT!G111</f>
        <v>0</v>
      </c>
      <c r="G12" s="102"/>
    </row>
    <row r="13" spans="1:7">
      <c r="A13" s="50" t="str">
        <f>+INPUT!B112</f>
        <v>SW Diversions - Irrigation - Small Pumps - Colorado</v>
      </c>
      <c r="B13" s="151">
        <f>+INPUT!C112</f>
        <v>0</v>
      </c>
      <c r="C13" s="151">
        <f>+INPUT!D112</f>
        <v>0</v>
      </c>
      <c r="D13" s="151">
        <f>+INPUT!E112</f>
        <v>0</v>
      </c>
      <c r="E13" s="151">
        <f>+INPUT!F112</f>
        <v>0</v>
      </c>
      <c r="F13" s="151">
        <f>+INPUT!G112</f>
        <v>0</v>
      </c>
      <c r="G13" s="102"/>
    </row>
    <row r="14" spans="1:7">
      <c r="A14" s="50" t="str">
        <f>+INPUT!B113</f>
        <v>SW Diversions - M&amp;I - Colorado</v>
      </c>
      <c r="B14" s="151">
        <f>+INPUT!C113</f>
        <v>0</v>
      </c>
      <c r="C14" s="151">
        <f>+INPUT!D113</f>
        <v>0</v>
      </c>
      <c r="D14" s="151">
        <f>+INPUT!E113</f>
        <v>0</v>
      </c>
      <c r="E14" s="151">
        <f>+INPUT!F113</f>
        <v>0</v>
      </c>
      <c r="F14" s="151">
        <f>+INPUT!G113</f>
        <v>0</v>
      </c>
      <c r="G14" s="102"/>
    </row>
    <row r="15" spans="1:7">
      <c r="A15" s="50" t="str">
        <f>+INPUT!B114</f>
        <v>SW Diversions - Irrigation - Non-Federal Canals- Kansas</v>
      </c>
      <c r="B15" s="151">
        <f>+INPUT!C114</f>
        <v>0</v>
      </c>
      <c r="C15" s="151">
        <f>+INPUT!D114</f>
        <v>0</v>
      </c>
      <c r="D15" s="151">
        <f>+INPUT!E114</f>
        <v>0</v>
      </c>
      <c r="E15" s="151">
        <f>+INPUT!F114</f>
        <v>0</v>
      </c>
      <c r="F15" s="151">
        <f>+INPUT!G114</f>
        <v>0</v>
      </c>
      <c r="G15" s="102"/>
    </row>
    <row r="16" spans="1:7">
      <c r="A16" s="50" t="str">
        <f>+INPUT!B115</f>
        <v>SW Diversions - Irrigation - Small Pumps - Kansas</v>
      </c>
      <c r="B16" s="151">
        <f>+INPUT!C115</f>
        <v>11</v>
      </c>
      <c r="C16" s="151">
        <f>+INPUT!D115</f>
        <v>3</v>
      </c>
      <c r="D16" s="151">
        <f>+INPUT!E115</f>
        <v>2</v>
      </c>
      <c r="E16" s="151">
        <f>+INPUT!F115</f>
        <v>23.283000000000001</v>
      </c>
      <c r="F16" s="151">
        <f>+INPUT!G115</f>
        <v>14</v>
      </c>
      <c r="G16" s="102"/>
    </row>
    <row r="17" spans="1:7">
      <c r="A17" s="50" t="str">
        <f>+INPUT!B116</f>
        <v>SW Diversions - M&amp;I - Kansas</v>
      </c>
      <c r="B17" s="151">
        <f>+INPUT!C116</f>
        <v>0</v>
      </c>
      <c r="C17" s="151">
        <f>+INPUT!D116</f>
        <v>0</v>
      </c>
      <c r="D17" s="151">
        <f>+INPUT!E116</f>
        <v>0</v>
      </c>
      <c r="E17" s="151">
        <f>+INPUT!F116</f>
        <v>0</v>
      </c>
      <c r="F17" s="151">
        <f>+INPUT!G116</f>
        <v>0</v>
      </c>
      <c r="G17" s="102"/>
    </row>
    <row r="18" spans="1:7">
      <c r="A18" s="50" t="str">
        <f>+INPUT!B117</f>
        <v>SW Diversions - Irrigation - Non-Federal Canals - Nebraska - Above Gage</v>
      </c>
      <c r="B18" s="151">
        <f>+INPUT!C117</f>
        <v>0</v>
      </c>
      <c r="C18" s="151">
        <f>+INPUT!D117</f>
        <v>0</v>
      </c>
      <c r="D18" s="151">
        <f>+INPUT!E117</f>
        <v>0</v>
      </c>
      <c r="E18" s="151">
        <f>+INPUT!F117</f>
        <v>0</v>
      </c>
      <c r="F18" s="151">
        <f>+INPUT!G117</f>
        <v>0</v>
      </c>
      <c r="G18" s="102"/>
    </row>
    <row r="19" spans="1:7">
      <c r="A19" s="50" t="str">
        <f>+INPUT!B118</f>
        <v>SW Diversions - Irrigation - Small Pumps - Nebraska - Above Gage</v>
      </c>
      <c r="B19" s="151">
        <f>+INPUT!C118</f>
        <v>0</v>
      </c>
      <c r="C19" s="151">
        <f>+INPUT!D118</f>
        <v>0</v>
      </c>
      <c r="D19" s="151">
        <f>+INPUT!E118</f>
        <v>0</v>
      </c>
      <c r="E19" s="151">
        <f>+INPUT!F118</f>
        <v>0</v>
      </c>
      <c r="F19" s="151">
        <f>+INPUT!G118</f>
        <v>0</v>
      </c>
      <c r="G19" s="102"/>
    </row>
    <row r="20" spans="1:7">
      <c r="A20" s="50" t="str">
        <f>+INPUT!B119</f>
        <v>SW Diversions - M&amp;I - Nebraska - Above Gage</v>
      </c>
      <c r="B20" s="151">
        <f>+INPUT!C119</f>
        <v>0</v>
      </c>
      <c r="C20" s="151">
        <f>+INPUT!D119</f>
        <v>0</v>
      </c>
      <c r="D20" s="151">
        <f>+INPUT!E119</f>
        <v>0</v>
      </c>
      <c r="E20" s="151">
        <f>+INPUT!F119</f>
        <v>0</v>
      </c>
      <c r="F20" s="151">
        <f>+INPUT!G119</f>
        <v>0</v>
      </c>
      <c r="G20" s="102"/>
    </row>
    <row r="21" spans="1:7">
      <c r="A21" s="45" t="str">
        <f>INPUT!B120</f>
        <v>SW Diversions - Irrigation - Non-Federal Canals - Nebraska -Below Gage</v>
      </c>
      <c r="B21" s="151">
        <f>INPUT!C120</f>
        <v>0</v>
      </c>
      <c r="C21" s="151">
        <f>INPUT!D120</f>
        <v>0</v>
      </c>
      <c r="D21" s="151">
        <f>INPUT!E120</f>
        <v>0</v>
      </c>
      <c r="E21" s="151">
        <f>INPUT!F120</f>
        <v>0</v>
      </c>
      <c r="F21" s="151">
        <f>INPUT!G120</f>
        <v>0</v>
      </c>
      <c r="G21" s="102"/>
    </row>
    <row r="22" spans="1:7">
      <c r="A22" s="45" t="str">
        <f>INPUT!B121</f>
        <v>SW Diversions - Irrigation - Small Pumps -Nebraska - Below Gage</v>
      </c>
      <c r="B22" s="151">
        <f>INPUT!C121</f>
        <v>0</v>
      </c>
      <c r="C22" s="151">
        <f>INPUT!D121</f>
        <v>0</v>
      </c>
      <c r="D22" s="151">
        <f>INPUT!E121</f>
        <v>0</v>
      </c>
      <c r="E22" s="151">
        <f>INPUT!F121</f>
        <v>0</v>
      </c>
      <c r="F22" s="151">
        <f>INPUT!G121</f>
        <v>0</v>
      </c>
      <c r="G22" s="102"/>
    </row>
    <row r="23" spans="1:7">
      <c r="A23" s="45" t="str">
        <f>INPUT!B122</f>
        <v>SW Diversions - M&amp;I - Nebraska - Below Gage</v>
      </c>
      <c r="B23" s="151">
        <f>INPUT!C122</f>
        <v>0</v>
      </c>
      <c r="C23" s="151">
        <f>INPUT!D122</f>
        <v>0</v>
      </c>
      <c r="D23" s="151">
        <f>INPUT!E122</f>
        <v>0</v>
      </c>
      <c r="E23" s="151">
        <f>INPUT!F122</f>
        <v>0</v>
      </c>
      <c r="F23" s="151">
        <f>INPUT!G122</f>
        <v>0</v>
      </c>
      <c r="G23" s="102"/>
    </row>
    <row r="24" spans="1:7">
      <c r="A24" s="50" t="str">
        <f>+INPUT!B170</f>
        <v>Non-Federal Reservoir Evaporation - Colorado</v>
      </c>
      <c r="B24" s="151">
        <f>+INPUT!C170</f>
        <v>0</v>
      </c>
      <c r="C24" s="151">
        <f>+INPUT!D170</f>
        <v>0</v>
      </c>
      <c r="D24" s="151">
        <f>+INPUT!E170</f>
        <v>0</v>
      </c>
      <c r="E24" s="151">
        <f>+INPUT!F170</f>
        <v>0</v>
      </c>
      <c r="F24" s="151">
        <f>+INPUT!G170</f>
        <v>0</v>
      </c>
      <c r="G24" s="102"/>
    </row>
    <row r="25" spans="1:7">
      <c r="A25" s="50" t="str">
        <f>+INPUT!B171</f>
        <v>Non-Federal Reservoir Evaporation - Kansas</v>
      </c>
      <c r="B25" s="151">
        <f>+INPUT!C171</f>
        <v>213</v>
      </c>
      <c r="C25" s="151">
        <f>+INPUT!D171</f>
        <v>196.6141792039798</v>
      </c>
      <c r="D25" s="151">
        <f>+INPUT!E171</f>
        <v>252</v>
      </c>
      <c r="E25" s="151">
        <f>+INPUT!F171</f>
        <v>390.79</v>
      </c>
      <c r="F25" s="151">
        <f>+INPUT!G171</f>
        <v>373.29</v>
      </c>
      <c r="G25" s="102"/>
    </row>
    <row r="26" spans="1:7">
      <c r="A26" s="50" t="str">
        <f>+INPUT!B172</f>
        <v>Non-Federal Reservoir Evaporation - Nebraska - Above Gage</v>
      </c>
      <c r="B26" s="151">
        <f>+INPUT!C172</f>
        <v>84.291502500000007</v>
      </c>
      <c r="C26" s="151">
        <f>+INPUT!D172</f>
        <v>71.263358333333301</v>
      </c>
      <c r="D26" s="151">
        <f>+INPUT!E172</f>
        <v>70</v>
      </c>
      <c r="E26" s="151">
        <f>+INPUT!F172</f>
        <v>168.97670250000002</v>
      </c>
      <c r="F26" s="151">
        <f>+INPUT!G172</f>
        <v>126</v>
      </c>
      <c r="G26" s="102"/>
    </row>
    <row r="27" spans="1:7">
      <c r="A27" s="50" t="str">
        <f>+INPUT!B173</f>
        <v>Non-Federal Reservoir Evaporation - Nebraska - Below Gage</v>
      </c>
      <c r="B27" s="151">
        <f>+INPUT!C173</f>
        <v>0</v>
      </c>
      <c r="C27" s="151">
        <f>+INPUT!D173</f>
        <v>0</v>
      </c>
      <c r="D27" s="151">
        <f>+INPUT!E173</f>
        <v>0</v>
      </c>
      <c r="E27" s="151">
        <f>+INPUT!F173</f>
        <v>0</v>
      </c>
      <c r="F27" s="151">
        <f>+INPUT!G173</f>
        <v>0</v>
      </c>
      <c r="G27" s="102"/>
    </row>
    <row r="28" spans="1:7">
      <c r="A28" s="137" t="str">
        <f>+FLOOD!A66</f>
        <v>Beaver Flood Flow</v>
      </c>
      <c r="B28" s="151">
        <f>+FLOOD!B66</f>
        <v>0</v>
      </c>
      <c r="C28" s="151">
        <f>+FLOOD!C66</f>
        <v>0</v>
      </c>
      <c r="D28" s="151">
        <f>+FLOOD!D66</f>
        <v>0</v>
      </c>
      <c r="E28" s="151">
        <f>+FLOOD!E66</f>
        <v>0</v>
      </c>
      <c r="F28" s="151">
        <f>+FLOOD!F66</f>
        <v>0</v>
      </c>
      <c r="G28" s="102"/>
    </row>
    <row r="29" spans="1:7">
      <c r="A29" s="61" t="s">
        <v>66</v>
      </c>
      <c r="B29" s="151"/>
      <c r="C29" s="151"/>
      <c r="D29" s="151"/>
      <c r="E29" s="151"/>
      <c r="F29" s="151"/>
      <c r="G29" s="102"/>
    </row>
    <row r="30" spans="1:7" ht="15.75">
      <c r="A30" s="9" t="s">
        <v>241</v>
      </c>
      <c r="B30" s="151"/>
      <c r="C30" s="151"/>
      <c r="D30" s="151"/>
      <c r="E30" s="151"/>
      <c r="F30" s="151"/>
      <c r="G30" s="102"/>
    </row>
    <row r="31" spans="1:7">
      <c r="A31" s="7" t="s">
        <v>0</v>
      </c>
      <c r="B31" s="151"/>
      <c r="C31" s="151"/>
      <c r="D31" s="151"/>
      <c r="E31" s="151"/>
      <c r="F31" s="151"/>
      <c r="G31" s="102"/>
    </row>
    <row r="32" spans="1:7">
      <c r="A32" s="13" t="str">
        <f>'NORTH FORK'!A23</f>
        <v>SW CBCU - Irrigation - Non Federal Canals</v>
      </c>
      <c r="B32" s="151">
        <f>+B12*CanalCUPercent1</f>
        <v>0</v>
      </c>
      <c r="C32" s="151">
        <f>+C12*CanalCUPercent2</f>
        <v>0</v>
      </c>
      <c r="D32" s="151">
        <f>+D12*CanalCUPercent3</f>
        <v>0</v>
      </c>
      <c r="E32" s="151">
        <f>+E12*CanalCUPercent4</f>
        <v>0</v>
      </c>
      <c r="F32" s="151">
        <f>+F12*CanalCUPercent5</f>
        <v>0</v>
      </c>
      <c r="G32" s="102"/>
    </row>
    <row r="33" spans="1:7">
      <c r="A33" s="13" t="str">
        <f>'NORTH FORK'!A24</f>
        <v>SW CBCU - Irrigation - Small Pumps</v>
      </c>
      <c r="B33" s="151">
        <f>+B13*PumperCUPercent1</f>
        <v>0</v>
      </c>
      <c r="C33" s="151">
        <f>+C13*PumperCUPercent2</f>
        <v>0</v>
      </c>
      <c r="D33" s="151">
        <f>+D13*PumperCUPercent3</f>
        <v>0</v>
      </c>
      <c r="E33" s="151">
        <f>+E13*PumperCUPercent4</f>
        <v>0</v>
      </c>
      <c r="F33" s="151">
        <f>+F13*PumperCUPercent5</f>
        <v>0</v>
      </c>
      <c r="G33" s="102"/>
    </row>
    <row r="34" spans="1:7">
      <c r="A34" s="13" t="str">
        <f>'NORTH FORK'!A25</f>
        <v>SW CBCU - M&amp;I</v>
      </c>
      <c r="B34" s="151">
        <f>+B14*MI_CUPercent1</f>
        <v>0</v>
      </c>
      <c r="C34" s="151">
        <f>+C14*MI_CUPercent2</f>
        <v>0</v>
      </c>
      <c r="D34" s="151">
        <f>+D14*MI_CUPercent3</f>
        <v>0</v>
      </c>
      <c r="E34" s="151">
        <f>+E14*MI_CUPercent4</f>
        <v>0</v>
      </c>
      <c r="F34" s="151">
        <f>+F14*MI_CUPercent5</f>
        <v>0</v>
      </c>
      <c r="G34" s="102"/>
    </row>
    <row r="35" spans="1:7">
      <c r="A35" s="13" t="str">
        <f>'NORTH FORK'!A26</f>
        <v>Non-Federal Reservoir Evaporation</v>
      </c>
      <c r="B35" s="151">
        <f>+B24</f>
        <v>0</v>
      </c>
      <c r="C35" s="151">
        <f>+C24</f>
        <v>0</v>
      </c>
      <c r="D35" s="151">
        <f>+D24</f>
        <v>0</v>
      </c>
      <c r="E35" s="151">
        <f>+E24</f>
        <v>0</v>
      </c>
      <c r="F35" s="151">
        <f>+F24</f>
        <v>0</v>
      </c>
      <c r="G35" s="102"/>
    </row>
    <row r="36" spans="1:7">
      <c r="A36" s="13" t="str">
        <f>'NORTH FORK'!A27</f>
        <v>SW CBCU</v>
      </c>
      <c r="B36" s="151">
        <f>B32+B33+B34+B35</f>
        <v>0</v>
      </c>
      <c r="C36" s="151">
        <f>C32+C33+C34+C35</f>
        <v>0</v>
      </c>
      <c r="D36" s="151">
        <f>D32+D33+D34+D35</f>
        <v>0</v>
      </c>
      <c r="E36" s="151">
        <f>E32+E33+E34+E35</f>
        <v>0</v>
      </c>
      <c r="F36" s="151">
        <f>F32+F33+F34+F35</f>
        <v>0</v>
      </c>
      <c r="G36" s="102"/>
    </row>
    <row r="37" spans="1:7">
      <c r="A37" s="13" t="str">
        <f>'NORTH FORK'!A28</f>
        <v>GW CBCU</v>
      </c>
      <c r="B37" s="151">
        <f>+B6</f>
        <v>0</v>
      </c>
      <c r="C37" s="151">
        <f>+C6</f>
        <v>0</v>
      </c>
      <c r="D37" s="151">
        <f>+D6</f>
        <v>0</v>
      </c>
      <c r="E37" s="151">
        <f>+E6</f>
        <v>0</v>
      </c>
      <c r="F37" s="151">
        <f>+F6</f>
        <v>0</v>
      </c>
      <c r="G37" s="102"/>
    </row>
    <row r="38" spans="1:7">
      <c r="A38" s="13" t="str">
        <f>'NORTH FORK'!A29</f>
        <v>Total CBCU</v>
      </c>
      <c r="B38" s="151">
        <f>(ROUND(SUM(B36:B37),-1))</f>
        <v>0</v>
      </c>
      <c r="C38" s="151">
        <f>(ROUND(SUM(C36:C37),-1))</f>
        <v>0</v>
      </c>
      <c r="D38" s="151">
        <f>(ROUND(SUM(D36:D37),-1))</f>
        <v>0</v>
      </c>
      <c r="E38" s="151">
        <f>(ROUND(SUM(E36:E37),-1))</f>
        <v>0</v>
      </c>
      <c r="F38" s="151">
        <f>(ROUND(SUM(F36:F37),-1))</f>
        <v>0</v>
      </c>
      <c r="G38" s="102"/>
    </row>
    <row r="39" spans="1:7">
      <c r="A39" s="13" t="s">
        <v>66</v>
      </c>
      <c r="B39" s="151"/>
      <c r="C39" s="151"/>
      <c r="D39" s="151"/>
      <c r="E39" s="151"/>
      <c r="F39" s="151"/>
      <c r="G39" s="102"/>
    </row>
    <row r="40" spans="1:7">
      <c r="A40" s="7" t="s">
        <v>161</v>
      </c>
      <c r="B40" s="151"/>
      <c r="C40" s="151"/>
      <c r="D40" s="151"/>
      <c r="E40" s="151"/>
      <c r="F40" s="151"/>
      <c r="G40" s="102"/>
    </row>
    <row r="41" spans="1:7">
      <c r="A41" s="11" t="str">
        <f>'NORTH FORK'!A23</f>
        <v>SW CBCU - Irrigation - Non Federal Canals</v>
      </c>
      <c r="B41" s="151">
        <f>B15*CanalCUPercent1</f>
        <v>0</v>
      </c>
      <c r="C41" s="151">
        <f>C15*CanalCUPercent2</f>
        <v>0</v>
      </c>
      <c r="D41" s="151">
        <f>D15*CanalCUPercent3</f>
        <v>0</v>
      </c>
      <c r="E41" s="151">
        <f>E15*CanalCUPercent4</f>
        <v>0</v>
      </c>
      <c r="F41" s="151">
        <f>F15*CanalCUPercent5</f>
        <v>0</v>
      </c>
      <c r="G41" s="102"/>
    </row>
    <row r="42" spans="1:7">
      <c r="A42" s="11" t="str">
        <f>'NORTH FORK'!A24</f>
        <v>SW CBCU - Irrigation - Small Pumps</v>
      </c>
      <c r="B42" s="151">
        <f>+B16*PumperCUPercent1</f>
        <v>8.25</v>
      </c>
      <c r="C42" s="151">
        <f>+C16*PumperCUPercent2</f>
        <v>2.25</v>
      </c>
      <c r="D42" s="151">
        <f>+D16*PumperCUPercent3</f>
        <v>1.5</v>
      </c>
      <c r="E42" s="151">
        <f>+E16*PumperCUPercent4</f>
        <v>17.462250000000001</v>
      </c>
      <c r="F42" s="151">
        <f>+F16*PumperCUPercent5</f>
        <v>10.5</v>
      </c>
      <c r="G42" s="102"/>
    </row>
    <row r="43" spans="1:7">
      <c r="A43" s="11" t="str">
        <f>'NORTH FORK'!A25</f>
        <v>SW CBCU - M&amp;I</v>
      </c>
      <c r="B43" s="151">
        <f>+B17*MI_CUPercent1</f>
        <v>0</v>
      </c>
      <c r="C43" s="151">
        <f>+C17*MI_CUPercent2</f>
        <v>0</v>
      </c>
      <c r="D43" s="151">
        <f>+D17*MI_CUPercent3</f>
        <v>0</v>
      </c>
      <c r="E43" s="151">
        <f>+E17*MI_CUPercent4</f>
        <v>0</v>
      </c>
      <c r="F43" s="151">
        <f>+F17*MI_CUPercent5</f>
        <v>0</v>
      </c>
      <c r="G43" s="102"/>
    </row>
    <row r="44" spans="1:7">
      <c r="A44" s="13" t="str">
        <f>'NORTH FORK'!A26</f>
        <v>Non-Federal Reservoir Evaporation</v>
      </c>
      <c r="B44" s="151">
        <f>B25</f>
        <v>213</v>
      </c>
      <c r="C44" s="151">
        <f>C25</f>
        <v>196.6141792039798</v>
      </c>
      <c r="D44" s="151">
        <f>D25</f>
        <v>252</v>
      </c>
      <c r="E44" s="151">
        <f>E25</f>
        <v>390.79</v>
      </c>
      <c r="F44" s="151">
        <f>F25</f>
        <v>373.29</v>
      </c>
      <c r="G44" s="102"/>
    </row>
    <row r="45" spans="1:7">
      <c r="A45" s="13" t="str">
        <f>'NORTH FORK'!A27</f>
        <v>SW CBCU</v>
      </c>
      <c r="B45" s="151">
        <f>B41+B42+B43+B44</f>
        <v>221.25</v>
      </c>
      <c r="C45" s="151">
        <f>C41+C42+C43+C44</f>
        <v>198.8641792039798</v>
      </c>
      <c r="D45" s="151">
        <f>D41+D42+D43+D44</f>
        <v>253.5</v>
      </c>
      <c r="E45" s="151">
        <f>E41+E42+E43+E44</f>
        <v>408.25225</v>
      </c>
      <c r="F45" s="151">
        <f>F41+F42+F43+F44</f>
        <v>383.79</v>
      </c>
      <c r="G45" s="102"/>
    </row>
    <row r="46" spans="1:7">
      <c r="A46" s="13" t="str">
        <f>'NORTH FORK'!A28</f>
        <v>GW CBCU</v>
      </c>
      <c r="B46" s="151">
        <f>+B7</f>
        <v>6391</v>
      </c>
      <c r="C46" s="151">
        <f>+C7</f>
        <v>6564</v>
      </c>
      <c r="D46" s="151">
        <f>+D7</f>
        <v>6509</v>
      </c>
      <c r="E46" s="151">
        <f>+E7</f>
        <v>6025</v>
      </c>
      <c r="F46" s="151">
        <f>+F7</f>
        <v>5163</v>
      </c>
      <c r="G46" s="102"/>
    </row>
    <row r="47" spans="1:7">
      <c r="A47" s="13" t="str">
        <f>'NORTH FORK'!A29</f>
        <v>Total CBCU</v>
      </c>
      <c r="B47" s="151">
        <f>(ROUND(SUM(B45:B46),-1))</f>
        <v>6610</v>
      </c>
      <c r="C47" s="151">
        <f>(ROUND(SUM(C45:C46),-1))</f>
        <v>6760</v>
      </c>
      <c r="D47" s="151">
        <f>(ROUND(SUM(D45:D46),-1))</f>
        <v>6760</v>
      </c>
      <c r="E47" s="151">
        <f>(ROUND(SUM(E45:E46),-1))</f>
        <v>6430</v>
      </c>
      <c r="F47" s="151">
        <f>(ROUND(SUM(F45:F46),-1))</f>
        <v>5550</v>
      </c>
      <c r="G47" s="102"/>
    </row>
    <row r="48" spans="1:7">
      <c r="A48" s="13" t="s">
        <v>66</v>
      </c>
      <c r="B48" s="151"/>
      <c r="C48" s="151"/>
      <c r="D48" s="151"/>
      <c r="E48" s="151"/>
      <c r="F48" s="151"/>
      <c r="G48" s="102"/>
    </row>
    <row r="49" spans="1:7">
      <c r="A49" s="7" t="s">
        <v>1</v>
      </c>
      <c r="B49" s="151"/>
      <c r="C49" s="151"/>
      <c r="D49" s="151"/>
      <c r="E49" s="151"/>
      <c r="F49" s="151"/>
      <c r="G49" s="102"/>
    </row>
    <row r="50" spans="1:7">
      <c r="A50" s="13" t="str">
        <f>'NORTH FORK'!A23</f>
        <v>SW CBCU - Irrigation - Non Federal Canals</v>
      </c>
      <c r="B50" s="151">
        <f>B18*CanalCUPercent1</f>
        <v>0</v>
      </c>
      <c r="C50" s="151">
        <f>C18*CanalCUPercent2</f>
        <v>0</v>
      </c>
      <c r="D50" s="151">
        <f>D18*CanalCUPercent3</f>
        <v>0</v>
      </c>
      <c r="E50" s="151">
        <f>E18*CanalCUPercent4</f>
        <v>0</v>
      </c>
      <c r="F50" s="151">
        <f>F18*CanalCUPercent5</f>
        <v>0</v>
      </c>
      <c r="G50" s="102"/>
    </row>
    <row r="51" spans="1:7">
      <c r="A51" s="13" t="str">
        <f>'NORTH FORK'!A24</f>
        <v>SW CBCU - Irrigation - Small Pumps</v>
      </c>
      <c r="B51" s="151">
        <f>B19*PumperCUPercent1</f>
        <v>0</v>
      </c>
      <c r="C51" s="151">
        <f>C19*PumperCUPercent2</f>
        <v>0</v>
      </c>
      <c r="D51" s="151">
        <f>D19*PumperCUPercent3</f>
        <v>0</v>
      </c>
      <c r="E51" s="151">
        <f>E19*PumperCUPercent4</f>
        <v>0</v>
      </c>
      <c r="F51" s="151">
        <f>F19*PumperCUPercent5</f>
        <v>0</v>
      </c>
      <c r="G51" s="102"/>
    </row>
    <row r="52" spans="1:7">
      <c r="A52" s="13" t="str">
        <f>'NORTH FORK'!A25</f>
        <v>SW CBCU - M&amp;I</v>
      </c>
      <c r="B52" s="151">
        <f>B20*MI_CUPercent1</f>
        <v>0</v>
      </c>
      <c r="C52" s="151">
        <f>C20*MI_CUPercent2</f>
        <v>0</v>
      </c>
      <c r="D52" s="151">
        <f>D20*MI_CUPercent3</f>
        <v>0</v>
      </c>
      <c r="E52" s="151">
        <f>E20*MI_CUPercent4</f>
        <v>0</v>
      </c>
      <c r="F52" s="151">
        <f>F20*MI_CUPercent5</f>
        <v>0</v>
      </c>
      <c r="G52" s="102"/>
    </row>
    <row r="53" spans="1:7">
      <c r="A53" s="45" t="str">
        <f>'MEDICINE CREEK'!A37</f>
        <v>SW CBCU - Irrigation - Non Federal Canals - Below Gage</v>
      </c>
      <c r="B53" s="151">
        <f>B21*CanalCUPercent1</f>
        <v>0</v>
      </c>
      <c r="C53" s="151">
        <f>C21*CanalCUPercent2</f>
        <v>0</v>
      </c>
      <c r="D53" s="151">
        <f>D21*CanalCUPercent3</f>
        <v>0</v>
      </c>
      <c r="E53" s="151">
        <f>E21*CanalCUPercent4</f>
        <v>0</v>
      </c>
      <c r="F53" s="151">
        <f>F21*CanalCUPercent5</f>
        <v>0</v>
      </c>
      <c r="G53" s="102"/>
    </row>
    <row r="54" spans="1:7">
      <c r="A54" s="45" t="str">
        <f>'MEDICINE CREEK'!A38</f>
        <v>SW CBCU - Irrigation - Small Pumps - Below Gage</v>
      </c>
      <c r="B54" s="151">
        <f>B22*PumperCUPercent1</f>
        <v>0</v>
      </c>
      <c r="C54" s="151">
        <f>C22*PumperCUPercent2</f>
        <v>0</v>
      </c>
      <c r="D54" s="151">
        <f>D22*PumperCUPercent3</f>
        <v>0</v>
      </c>
      <c r="E54" s="151">
        <f>E22*PumperCUPercent4</f>
        <v>0</v>
      </c>
      <c r="F54" s="151">
        <f>F22*PumperCUPercent5</f>
        <v>0</v>
      </c>
      <c r="G54" s="102"/>
    </row>
    <row r="55" spans="1:7">
      <c r="A55" s="45" t="str">
        <f>'MEDICINE CREEK'!A39</f>
        <v>SW CBCU - M&amp;I - Below Gage</v>
      </c>
      <c r="B55" s="151">
        <f>B23*MI_CUPercent1</f>
        <v>0</v>
      </c>
      <c r="C55" s="151">
        <f>C23*MI_CUPercent2</f>
        <v>0</v>
      </c>
      <c r="D55" s="151">
        <f>D23*MI_CUPercent3</f>
        <v>0</v>
      </c>
      <c r="E55" s="151">
        <f>E23*MI_CUPercent4</f>
        <v>0</v>
      </c>
      <c r="F55" s="151">
        <f>F23*MI_CUPercent5</f>
        <v>0</v>
      </c>
      <c r="G55" s="102"/>
    </row>
    <row r="56" spans="1:7">
      <c r="A56" s="13" t="str">
        <f>'NORTH FORK'!A26</f>
        <v>Non-Federal Reservoir Evaporation</v>
      </c>
      <c r="B56" s="151">
        <f t="shared" ref="B56:D57" si="0">B26</f>
        <v>84.291502500000007</v>
      </c>
      <c r="C56" s="281">
        <f t="shared" si="0"/>
        <v>71.263358333333301</v>
      </c>
      <c r="D56" s="281">
        <f t="shared" si="0"/>
        <v>70</v>
      </c>
      <c r="E56" s="281">
        <f>E26</f>
        <v>168.97670250000002</v>
      </c>
      <c r="F56" s="281">
        <f>F26</f>
        <v>126</v>
      </c>
      <c r="G56" s="280"/>
    </row>
    <row r="57" spans="1:7">
      <c r="A57" s="13" t="str">
        <f>'MEDICINE CREEK'!A41</f>
        <v>Non-Federal Reservoir Evaporation - Below gage</v>
      </c>
      <c r="B57" s="151">
        <f t="shared" si="0"/>
        <v>0</v>
      </c>
      <c r="C57" s="281">
        <f t="shared" si="0"/>
        <v>0</v>
      </c>
      <c r="D57" s="281">
        <f t="shared" si="0"/>
        <v>0</v>
      </c>
      <c r="E57" s="281">
        <f>E27</f>
        <v>0</v>
      </c>
      <c r="F57" s="281">
        <f>F27</f>
        <v>0</v>
      </c>
      <c r="G57" s="280"/>
    </row>
    <row r="58" spans="1:7">
      <c r="A58" s="13" t="str">
        <f>'NORTH FORK'!A27</f>
        <v>SW CBCU</v>
      </c>
      <c r="B58" s="151">
        <f>B50+B51+B52+B53+B54+B55+B56+B57</f>
        <v>84.291502500000007</v>
      </c>
      <c r="C58" s="281">
        <f>C50+C51+C52+C53+C54+C55+C56+C57</f>
        <v>71.263358333333301</v>
      </c>
      <c r="D58" s="281">
        <f>D50+D51+D52+D53+D54+D55+D56+D57</f>
        <v>70</v>
      </c>
      <c r="E58" s="281">
        <f>E50+E51+E52+E53+E54+E55+E56+E57</f>
        <v>168.97670250000002</v>
      </c>
      <c r="F58" s="450">
        <f>F50+F51+F52+F53+F54+F55+F56+F57</f>
        <v>126</v>
      </c>
      <c r="G58" s="280"/>
    </row>
    <row r="59" spans="1:7">
      <c r="A59" s="13" t="str">
        <f>'NORTH FORK'!A28</f>
        <v>GW CBCU</v>
      </c>
      <c r="B59" s="151">
        <f>+B8</f>
        <v>4451</v>
      </c>
      <c r="C59" s="281">
        <f>+C8</f>
        <v>4284</v>
      </c>
      <c r="D59" s="281">
        <f>+D8</f>
        <v>4081</v>
      </c>
      <c r="E59" s="281">
        <f>+E8</f>
        <v>3875</v>
      </c>
      <c r="F59" s="281">
        <f>+F8</f>
        <v>3228</v>
      </c>
      <c r="G59" s="280"/>
    </row>
    <row r="60" spans="1:7">
      <c r="A60" s="13" t="str">
        <f>'NORTH FORK'!A29</f>
        <v>Total CBCU</v>
      </c>
      <c r="B60" s="151">
        <f>(ROUND(SUM(B58:B59),-1))</f>
        <v>4540</v>
      </c>
      <c r="C60" s="151">
        <f>(ROUND(SUM(C58:C59),-1))</f>
        <v>4360</v>
      </c>
      <c r="D60" s="151">
        <f>(ROUND(SUM(D58:D59),-1))</f>
        <v>4150</v>
      </c>
      <c r="E60" s="151">
        <f>(ROUND(SUM(E58:E59),-1))</f>
        <v>4040</v>
      </c>
      <c r="F60" s="151">
        <f>(ROUND(SUM(F58:F59),-1))</f>
        <v>3350</v>
      </c>
      <c r="G60" s="102"/>
    </row>
    <row r="61" spans="1:7">
      <c r="A61" s="45" t="s">
        <v>66</v>
      </c>
      <c r="B61" s="151"/>
      <c r="C61" s="151"/>
      <c r="D61" s="151"/>
      <c r="E61" s="151"/>
      <c r="F61" s="151"/>
      <c r="G61" s="102"/>
    </row>
    <row r="62" spans="1:7">
      <c r="A62" s="29" t="s">
        <v>328</v>
      </c>
      <c r="B62" s="151"/>
      <c r="C62" s="151"/>
      <c r="D62" s="151"/>
      <c r="E62" s="151"/>
      <c r="F62" s="151"/>
      <c r="G62" s="102"/>
    </row>
    <row r="63" spans="1:7">
      <c r="A63" s="13" t="s">
        <v>227</v>
      </c>
      <c r="B63" s="151">
        <f>SUM(B53:B55)+B57</f>
        <v>0</v>
      </c>
      <c r="C63" s="151">
        <f>SUM(C53:C55)+C57</f>
        <v>0</v>
      </c>
      <c r="D63" s="151">
        <f>SUM(D53:D55)+D57</f>
        <v>0</v>
      </c>
      <c r="E63" s="151">
        <f>SUM(E53:E55)+E57</f>
        <v>0</v>
      </c>
      <c r="F63" s="151">
        <f>SUM(F53:F55)+F57</f>
        <v>0</v>
      </c>
      <c r="G63" s="102"/>
    </row>
    <row r="64" spans="1:7">
      <c r="A64" s="45" t="s">
        <v>329</v>
      </c>
      <c r="B64" s="151">
        <f>B63</f>
        <v>0</v>
      </c>
      <c r="C64" s="151">
        <f>C63</f>
        <v>0</v>
      </c>
      <c r="D64" s="151">
        <f>D63</f>
        <v>0</v>
      </c>
      <c r="E64" s="151">
        <f>E63</f>
        <v>0</v>
      </c>
      <c r="F64" s="151">
        <f>F63</f>
        <v>0</v>
      </c>
      <c r="G64" s="102"/>
    </row>
    <row r="65" spans="1:7">
      <c r="A65" s="45"/>
      <c r="B65" s="151"/>
      <c r="C65" s="151"/>
      <c r="D65" s="151"/>
      <c r="E65" s="151"/>
      <c r="F65" s="151"/>
      <c r="G65" s="102"/>
    </row>
    <row r="66" spans="1:7">
      <c r="A66" s="4" t="s">
        <v>162</v>
      </c>
      <c r="B66" s="151"/>
      <c r="C66" s="151"/>
      <c r="D66" s="151"/>
      <c r="E66" s="151"/>
      <c r="F66" s="151"/>
      <c r="G66" s="102"/>
    </row>
    <row r="67" spans="1:7">
      <c r="A67" s="45" t="str">
        <f>'NORTH FORK'!A42</f>
        <v>Total SW CBCU</v>
      </c>
      <c r="B67" s="151">
        <f>+B45+B58+B36</f>
        <v>305.54150249999998</v>
      </c>
      <c r="C67" s="151">
        <f>+C45+C58+C36</f>
        <v>270.12753753731312</v>
      </c>
      <c r="D67" s="151">
        <f>+D45+D58+D36</f>
        <v>323.5</v>
      </c>
      <c r="E67" s="151">
        <f>+E45+E58+E36</f>
        <v>577.22895249999999</v>
      </c>
      <c r="F67" s="151">
        <f>+F45+F58+F36</f>
        <v>509.79</v>
      </c>
      <c r="G67" s="102"/>
    </row>
    <row r="68" spans="1:7">
      <c r="A68" s="45" t="str">
        <f>'NORTH FORK'!A43</f>
        <v>Total GW CBCU</v>
      </c>
      <c r="B68" s="151">
        <f>+B37+B46+B59</f>
        <v>10842</v>
      </c>
      <c r="C68" s="151">
        <f>+C37+C46+C59</f>
        <v>10848</v>
      </c>
      <c r="D68" s="151">
        <f>+D37+D46+D59</f>
        <v>10590</v>
      </c>
      <c r="E68" s="151">
        <f>+E37+E46+E59</f>
        <v>9900</v>
      </c>
      <c r="F68" s="151">
        <f>+F37+F46+F59</f>
        <v>8391</v>
      </c>
      <c r="G68" s="102"/>
    </row>
    <row r="69" spans="1:7">
      <c r="A69" s="45" t="str">
        <f>'NORTH FORK'!A44</f>
        <v>Total Basin CBCU</v>
      </c>
      <c r="B69" s="151">
        <f>(ROUND(SUM(B67:B68),-1))</f>
        <v>11150</v>
      </c>
      <c r="C69" s="151">
        <f>(ROUND(SUM(C67:C68),-1))</f>
        <v>11120</v>
      </c>
      <c r="D69" s="151">
        <f>(ROUND(SUM(D67:D68),-1))</f>
        <v>10910</v>
      </c>
      <c r="E69" s="151">
        <f>(ROUND(SUM(E67:E68),-1))</f>
        <v>10480</v>
      </c>
      <c r="F69" s="151">
        <f>(ROUND(SUM(F67:F68),-1))</f>
        <v>8900</v>
      </c>
      <c r="G69" s="102"/>
    </row>
    <row r="70" spans="1:7">
      <c r="A70" s="45" t="s">
        <v>66</v>
      </c>
      <c r="B70" s="151"/>
      <c r="C70" s="151"/>
      <c r="D70" s="151"/>
      <c r="E70" s="151"/>
      <c r="F70" s="151"/>
      <c r="G70" s="102"/>
    </row>
    <row r="71" spans="1:7" ht="15.75">
      <c r="A71" s="10" t="s">
        <v>10</v>
      </c>
      <c r="B71" s="151"/>
      <c r="C71" s="151"/>
      <c r="D71" s="151"/>
      <c r="E71" s="151"/>
      <c r="F71" s="151"/>
      <c r="G71" s="102"/>
    </row>
    <row r="72" spans="1:7">
      <c r="A72" s="42" t="str">
        <f t="shared" ref="A72:F72" si="1">A11</f>
        <v>Beaver Creek Near Beaver City</v>
      </c>
      <c r="B72" s="151">
        <f t="shared" si="1"/>
        <v>1082</v>
      </c>
      <c r="C72" s="151">
        <f t="shared" si="1"/>
        <v>1023</v>
      </c>
      <c r="D72" s="151">
        <f t="shared" si="1"/>
        <v>1632</v>
      </c>
      <c r="E72" s="151">
        <f t="shared" si="1"/>
        <v>788</v>
      </c>
      <c r="F72" s="151">
        <f t="shared" si="1"/>
        <v>796</v>
      </c>
      <c r="G72" s="102"/>
    </row>
    <row r="73" spans="1:7">
      <c r="A73" s="13" t="str">
        <f>'NORTH FORK'!A49</f>
        <v>Colorado CBCU</v>
      </c>
      <c r="B73" s="151">
        <f>+B38</f>
        <v>0</v>
      </c>
      <c r="C73" s="151">
        <f>+C38</f>
        <v>0</v>
      </c>
      <c r="D73" s="151">
        <f>+D38</f>
        <v>0</v>
      </c>
      <c r="E73" s="151">
        <f>+E38</f>
        <v>0</v>
      </c>
      <c r="F73" s="151">
        <f>+F38</f>
        <v>0</v>
      </c>
      <c r="G73" s="102"/>
    </row>
    <row r="74" spans="1:7">
      <c r="A74" s="13" t="str">
        <f>'NORTH FORK'!A50</f>
        <v>Kansas CBCU</v>
      </c>
      <c r="B74" s="151">
        <f>+B47</f>
        <v>6610</v>
      </c>
      <c r="C74" s="151">
        <f>+C47</f>
        <v>6760</v>
      </c>
      <c r="D74" s="151">
        <f>+D47</f>
        <v>6760</v>
      </c>
      <c r="E74" s="151">
        <f>+E47</f>
        <v>6430</v>
      </c>
      <c r="F74" s="151">
        <f>+F47</f>
        <v>5550</v>
      </c>
      <c r="G74" s="102"/>
    </row>
    <row r="75" spans="1:7">
      <c r="A75" s="13" t="str">
        <f>'NORTH FORK'!A51</f>
        <v>Nebraska CBCU</v>
      </c>
      <c r="B75" s="151">
        <f>+B60</f>
        <v>4540</v>
      </c>
      <c r="C75" s="151">
        <f>+C60</f>
        <v>4360</v>
      </c>
      <c r="D75" s="151">
        <f>+D60</f>
        <v>4150</v>
      </c>
      <c r="E75" s="151">
        <f>+E60</f>
        <v>4040</v>
      </c>
      <c r="F75" s="151">
        <f>+F60</f>
        <v>3350</v>
      </c>
      <c r="G75" s="102"/>
    </row>
    <row r="76" spans="1:7">
      <c r="A76" s="13" t="s">
        <v>227</v>
      </c>
      <c r="B76" s="151">
        <f>B63</f>
        <v>0</v>
      </c>
      <c r="C76" s="151">
        <f>C63</f>
        <v>0</v>
      </c>
      <c r="D76" s="151">
        <f>D63</f>
        <v>0</v>
      </c>
      <c r="E76" s="151">
        <f>E63</f>
        <v>0</v>
      </c>
      <c r="F76" s="151">
        <f>F63</f>
        <v>0</v>
      </c>
      <c r="G76" s="102"/>
    </row>
    <row r="77" spans="1:7">
      <c r="A77" s="13" t="str">
        <f>'NORTH FORK'!A52</f>
        <v>Imported Water</v>
      </c>
      <c r="B77" s="151">
        <f>B5</f>
        <v>0</v>
      </c>
      <c r="C77" s="151">
        <f>C5</f>
        <v>0</v>
      </c>
      <c r="D77" s="151">
        <f>D5</f>
        <v>0</v>
      </c>
      <c r="E77" s="151">
        <f>E5</f>
        <v>0</v>
      </c>
      <c r="F77" s="151">
        <f>F5</f>
        <v>0</v>
      </c>
      <c r="G77" s="102"/>
    </row>
    <row r="78" spans="1:7">
      <c r="A78" s="13" t="str">
        <f>'NORTH FORK'!A54</f>
        <v>Virgin Water Supply</v>
      </c>
      <c r="B78" s="151">
        <f>ROUND(SUM(B72:B75)-B77-B76,-1)</f>
        <v>12230</v>
      </c>
      <c r="C78" s="151">
        <f>ROUND(SUM(C72:C75)-C77-C76,-1)</f>
        <v>12140</v>
      </c>
      <c r="D78" s="151">
        <f>ROUND(SUM(D72:D75)-D77-D76,-1)</f>
        <v>12540</v>
      </c>
      <c r="E78" s="151">
        <f>ROUND(SUM(E72:E75)-E77-E76,-1)</f>
        <v>11260</v>
      </c>
      <c r="F78" s="151">
        <f>ROUND(SUM(F72:F75)-F77-F76,-1)</f>
        <v>9700</v>
      </c>
      <c r="G78" s="102"/>
    </row>
    <row r="79" spans="1:7">
      <c r="A79" s="13" t="str">
        <f>'NORTH FORK'!A55</f>
        <v>Adjustment For Flood Flows</v>
      </c>
      <c r="B79" s="151">
        <f>B28</f>
        <v>0</v>
      </c>
      <c r="C79" s="151">
        <f>C28</f>
        <v>0</v>
      </c>
      <c r="D79" s="151">
        <f>D28</f>
        <v>0</v>
      </c>
      <c r="E79" s="151">
        <f>E28</f>
        <v>0</v>
      </c>
      <c r="F79" s="151">
        <f>F28</f>
        <v>0</v>
      </c>
      <c r="G79" s="102"/>
    </row>
    <row r="80" spans="1:7">
      <c r="A80" s="13" t="str">
        <f>'NORTH FORK'!A56</f>
        <v>Computed Water Supply</v>
      </c>
      <c r="B80" s="151">
        <f>+ROUND(B78-B79,-1)</f>
        <v>12230</v>
      </c>
      <c r="C80" s="151">
        <f>+ROUND(C78-C79,-1)</f>
        <v>12140</v>
      </c>
      <c r="D80" s="151">
        <f>+ROUND(D78-D79,-1)</f>
        <v>12540</v>
      </c>
      <c r="E80" s="151">
        <f>+ROUND(E78-E79,-1)</f>
        <v>11260</v>
      </c>
      <c r="F80" s="151">
        <f>+ROUND(F78-F79,-1)</f>
        <v>9700</v>
      </c>
      <c r="G80" s="102"/>
    </row>
    <row r="81" spans="1:7">
      <c r="A81" s="45" t="s">
        <v>66</v>
      </c>
      <c r="B81" s="151"/>
      <c r="C81" s="151"/>
      <c r="D81" s="151"/>
      <c r="E81" s="151"/>
      <c r="F81" s="151"/>
      <c r="G81" s="102"/>
    </row>
    <row r="82" spans="1:7" ht="15.75">
      <c r="A82" s="10" t="s">
        <v>12</v>
      </c>
      <c r="B82" s="121"/>
      <c r="C82" s="121"/>
      <c r="D82" s="121"/>
      <c r="E82" s="121"/>
      <c r="F82" s="121"/>
      <c r="G82" s="102"/>
    </row>
    <row r="83" spans="1:7">
      <c r="A83" s="13" t="str">
        <f>'NORTH FORK'!A59</f>
        <v>Colorado Percent Of Allocation</v>
      </c>
      <c r="B83" s="122">
        <f>'T2'!$D12</f>
        <v>0.2</v>
      </c>
      <c r="C83" s="122">
        <f>'T2'!$D12</f>
        <v>0.2</v>
      </c>
      <c r="D83" s="122">
        <f>'T2'!$D12</f>
        <v>0.2</v>
      </c>
      <c r="E83" s="122">
        <f>'T2'!$D12</f>
        <v>0.2</v>
      </c>
      <c r="F83" s="122">
        <f>'T2'!$D12</f>
        <v>0.2</v>
      </c>
      <c r="G83" s="102"/>
    </row>
    <row r="84" spans="1:7">
      <c r="A84" s="13" t="str">
        <f>'NORTH FORK'!A60</f>
        <v>Colorado Allocation</v>
      </c>
      <c r="B84" s="151">
        <f>ROUND(+B80*B83,-1)</f>
        <v>2450</v>
      </c>
      <c r="C84" s="151">
        <f>ROUND(+C80*C83,-1)</f>
        <v>2430</v>
      </c>
      <c r="D84" s="151">
        <f>ROUND(+D80*D83,-1)</f>
        <v>2510</v>
      </c>
      <c r="E84" s="151">
        <f>ROUND(+E80*E83,-1)</f>
        <v>2250</v>
      </c>
      <c r="F84" s="151">
        <f>ROUND(+F80*F83,-1)</f>
        <v>1940</v>
      </c>
      <c r="G84" s="102"/>
    </row>
    <row r="85" spans="1:7">
      <c r="A85" s="13" t="str">
        <f>'NORTH FORK'!A61</f>
        <v>Kansas Percent Of Allocation</v>
      </c>
      <c r="B85" s="122">
        <f>'T2'!$F12</f>
        <v>0.38800000000000001</v>
      </c>
      <c r="C85" s="122">
        <f>'T2'!$F12</f>
        <v>0.38800000000000001</v>
      </c>
      <c r="D85" s="122">
        <f>'T2'!$F12</f>
        <v>0.38800000000000001</v>
      </c>
      <c r="E85" s="122">
        <f>'T2'!$F12</f>
        <v>0.38800000000000001</v>
      </c>
      <c r="F85" s="122">
        <f>'T2'!$F12</f>
        <v>0.38800000000000001</v>
      </c>
      <c r="G85" s="102"/>
    </row>
    <row r="86" spans="1:7">
      <c r="A86" s="13" t="str">
        <f>'NORTH FORK'!A62</f>
        <v>Kansas Allocation</v>
      </c>
      <c r="B86" s="151">
        <f>ROUND(B80*B85,-1)</f>
        <v>4750</v>
      </c>
      <c r="C86" s="151">
        <f>ROUND(C80*C85,-1)</f>
        <v>4710</v>
      </c>
      <c r="D86" s="151">
        <f>ROUND(D80*D85,-1)</f>
        <v>4870</v>
      </c>
      <c r="E86" s="151">
        <f>ROUND(E80*E85,-1)</f>
        <v>4370</v>
      </c>
      <c r="F86" s="151">
        <f>ROUND(F80*F85,-1)</f>
        <v>3760</v>
      </c>
      <c r="G86" s="102"/>
    </row>
    <row r="87" spans="1:7">
      <c r="A87" s="13" t="str">
        <f>'NORTH FORK'!A63</f>
        <v>Nebraska Percent Of Allocation</v>
      </c>
      <c r="B87" s="122">
        <f>'T2'!$H12</f>
        <v>0.40600000000000003</v>
      </c>
      <c r="C87" s="122">
        <f>'T2'!$H12</f>
        <v>0.40600000000000003</v>
      </c>
      <c r="D87" s="122">
        <f>'T2'!$H12</f>
        <v>0.40600000000000003</v>
      </c>
      <c r="E87" s="122">
        <f>'T2'!$H12</f>
        <v>0.40600000000000003</v>
      </c>
      <c r="F87" s="122">
        <f>'T2'!$H12</f>
        <v>0.40600000000000003</v>
      </c>
      <c r="G87" s="102"/>
    </row>
    <row r="88" spans="1:7">
      <c r="A88" s="2" t="str">
        <f>'NORTH FORK'!A64</f>
        <v>Nebraska Allocation</v>
      </c>
      <c r="B88" s="145">
        <f>ROUND(B80*B87,-1)</f>
        <v>4970</v>
      </c>
      <c r="C88" s="145">
        <f>ROUND(C80*C87,-1)</f>
        <v>4930</v>
      </c>
      <c r="D88" s="145">
        <f>ROUND(D80*D87,-1)</f>
        <v>5090</v>
      </c>
      <c r="E88" s="145">
        <f>ROUND(E80*E87,-1)</f>
        <v>4570</v>
      </c>
      <c r="F88" s="145">
        <f>ROUND(F80*F87,-1)</f>
        <v>3940</v>
      </c>
      <c r="G88" s="102"/>
    </row>
    <row r="89" spans="1:7">
      <c r="A89" s="2" t="str">
        <f>'NORTH FORK'!A65</f>
        <v>Total Basin Allocation</v>
      </c>
      <c r="B89" s="145">
        <f>+B84+B86+B88</f>
        <v>12170</v>
      </c>
      <c r="C89" s="145">
        <f>+C84+C86+C88</f>
        <v>12070</v>
      </c>
      <c r="D89" s="145">
        <f>+D84+D86+D88</f>
        <v>12470</v>
      </c>
      <c r="E89" s="145">
        <f>+E84+E86+E88</f>
        <v>11190</v>
      </c>
      <c r="F89" s="145">
        <f>+F84+F86+F88</f>
        <v>9640</v>
      </c>
      <c r="G89" s="102"/>
    </row>
    <row r="90" spans="1:7">
      <c r="A90" s="2" t="s">
        <v>170</v>
      </c>
      <c r="B90" s="117">
        <f>'T2'!$J12</f>
        <v>6.0000000000000001E-3</v>
      </c>
      <c r="C90" s="117">
        <f>'T2'!$J12</f>
        <v>6.0000000000000001E-3</v>
      </c>
      <c r="D90" s="117">
        <f>'T2'!$J12</f>
        <v>6.0000000000000001E-3</v>
      </c>
      <c r="E90" s="117">
        <f>'T2'!$J12</f>
        <v>6.0000000000000001E-3</v>
      </c>
      <c r="F90" s="117">
        <f>'T2'!$J12</f>
        <v>6.0000000000000001E-3</v>
      </c>
      <c r="G90" s="102"/>
    </row>
    <row r="91" spans="1:7">
      <c r="A91" s="2" t="str">
        <f>'NORTH FORK'!A67</f>
        <v>Quantity Of Unallocated Supply</v>
      </c>
      <c r="B91" s="145">
        <f>+B80-B84-B86-B88</f>
        <v>60</v>
      </c>
      <c r="C91" s="145">
        <f>+C80-C84-C86-C88</f>
        <v>70</v>
      </c>
      <c r="D91" s="145">
        <f>+D80-D84-D86-D88</f>
        <v>70</v>
      </c>
      <c r="E91" s="145">
        <f>+E80-E84-E86-E88</f>
        <v>70</v>
      </c>
      <c r="F91" s="145">
        <f>+F80-F84-F86-F88</f>
        <v>60</v>
      </c>
      <c r="G91" s="102"/>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5"/>
  <sheetViews>
    <sheetView workbookViewId="0">
      <pane ySplit="1" topLeftCell="A14" activePane="bottomLeft" state="frozen"/>
      <selection pane="bottomLeft" activeCell="M49" sqref="M49"/>
    </sheetView>
  </sheetViews>
  <sheetFormatPr defaultRowHeight="12.75"/>
  <cols>
    <col min="1" max="1" width="69.85546875" customWidth="1"/>
  </cols>
  <sheetData>
    <row r="1" spans="1:15" ht="15.75">
      <c r="A1" s="37" t="s">
        <v>202</v>
      </c>
      <c r="B1" s="194">
        <f>INPUT!C1</f>
        <v>2017</v>
      </c>
      <c r="C1" s="194">
        <f>INPUT!D1</f>
        <v>2018</v>
      </c>
      <c r="D1" s="194">
        <f>INPUT!E1</f>
        <v>2019</v>
      </c>
      <c r="E1" s="194">
        <f>INPUT!F1</f>
        <v>2020</v>
      </c>
      <c r="F1" s="194">
        <f>INPUT!G1</f>
        <v>2021</v>
      </c>
    </row>
    <row r="2" spans="1:15">
      <c r="A2" t="s">
        <v>66</v>
      </c>
      <c r="E2" s="312"/>
      <c r="F2" s="312"/>
    </row>
    <row r="3" spans="1:15" ht="15.75">
      <c r="A3" s="9" t="s">
        <v>157</v>
      </c>
      <c r="E3" s="312"/>
      <c r="F3" s="312"/>
    </row>
    <row r="4" spans="1:15">
      <c r="A4" s="7" t="s">
        <v>158</v>
      </c>
      <c r="E4" s="312"/>
      <c r="F4" s="312"/>
    </row>
    <row r="5" spans="1:15">
      <c r="A5" s="31" t="str">
        <f>+INPUT!B57</f>
        <v>Imported Water Nebraska</v>
      </c>
      <c r="B5" s="145">
        <f>+INPUT!C57</f>
        <v>62</v>
      </c>
      <c r="C5" s="145">
        <f>+INPUT!D57</f>
        <v>58</v>
      </c>
      <c r="D5" s="145">
        <f>+INPUT!E57</f>
        <v>32</v>
      </c>
      <c r="E5" s="145">
        <f>+INPUT!F57</f>
        <v>27</v>
      </c>
      <c r="F5" s="145">
        <f>+INPUT!G57</f>
        <v>29</v>
      </c>
      <c r="K5" s="102"/>
      <c r="L5" s="102"/>
      <c r="M5" s="102"/>
      <c r="N5" s="102"/>
      <c r="O5" s="102"/>
    </row>
    <row r="6" spans="1:15">
      <c r="A6" s="31" t="str">
        <f>+INPUT!B34</f>
        <v>GW CBCU Colorado</v>
      </c>
      <c r="B6" s="145">
        <f>+INPUT!C34</f>
        <v>0</v>
      </c>
      <c r="C6" s="145">
        <f>+INPUT!D34</f>
        <v>0</v>
      </c>
      <c r="D6" s="145">
        <f>+INPUT!E34</f>
        <v>0</v>
      </c>
      <c r="E6" s="145">
        <f>+INPUT!F34</f>
        <v>0</v>
      </c>
      <c r="F6" s="145">
        <f>+INPUT!G34</f>
        <v>0</v>
      </c>
      <c r="K6" s="102"/>
      <c r="L6" s="102"/>
      <c r="M6" s="102"/>
      <c r="N6" s="102"/>
      <c r="O6" s="102"/>
    </row>
    <row r="7" spans="1:15">
      <c r="A7" s="31" t="str">
        <f>+INPUT!B35</f>
        <v>GW CBCU Kansas</v>
      </c>
      <c r="B7" s="145">
        <f>+INPUT!C35</f>
        <v>2305</v>
      </c>
      <c r="C7" s="145">
        <f>+INPUT!D35</f>
        <v>2960</v>
      </c>
      <c r="D7" s="145">
        <f>+INPUT!E35</f>
        <v>2675</v>
      </c>
      <c r="E7" s="145">
        <f>+INPUT!F35</f>
        <v>2075</v>
      </c>
      <c r="F7" s="145">
        <f>+INPUT!G35</f>
        <v>1241</v>
      </c>
      <c r="G7" s="21"/>
      <c r="I7" s="21"/>
      <c r="K7" s="102"/>
      <c r="L7" s="102"/>
      <c r="M7" s="102"/>
      <c r="N7" s="102"/>
      <c r="O7" s="102"/>
    </row>
    <row r="8" spans="1:15" ht="12" customHeight="1">
      <c r="A8" s="31" t="str">
        <f>+INPUT!B36</f>
        <v>GW CBCU Nebraska</v>
      </c>
      <c r="B8" s="145">
        <f>+INPUT!C36</f>
        <v>2183</v>
      </c>
      <c r="C8" s="145">
        <f>+INPUT!D36</f>
        <v>2144</v>
      </c>
      <c r="D8" s="145">
        <f>+INPUT!E36</f>
        <v>1886</v>
      </c>
      <c r="E8" s="145">
        <f>+INPUT!F36</f>
        <v>1654</v>
      </c>
      <c r="F8" s="145">
        <f>+INPUT!G36</f>
        <v>1560</v>
      </c>
      <c r="H8" s="21"/>
      <c r="I8" s="21"/>
      <c r="K8" s="102"/>
      <c r="L8" s="102"/>
      <c r="M8" s="102"/>
      <c r="N8" s="102"/>
      <c r="O8" s="102"/>
    </row>
    <row r="9" spans="1:15">
      <c r="A9" s="2"/>
      <c r="B9" s="145"/>
      <c r="C9" s="145"/>
      <c r="D9" s="145"/>
      <c r="E9" s="145"/>
      <c r="F9" s="145"/>
      <c r="K9" s="102"/>
      <c r="L9" s="102"/>
      <c r="M9" s="102"/>
      <c r="N9" s="102"/>
      <c r="O9" s="102"/>
    </row>
    <row r="10" spans="1:15">
      <c r="A10" s="4" t="s">
        <v>160</v>
      </c>
      <c r="B10" s="145"/>
      <c r="C10" s="145"/>
      <c r="D10" s="145"/>
      <c r="E10" s="145"/>
      <c r="F10" s="145"/>
      <c r="K10" s="102"/>
      <c r="L10" s="102"/>
      <c r="M10" s="102"/>
      <c r="N10" s="102"/>
      <c r="O10" s="102"/>
    </row>
    <row r="11" spans="1:15">
      <c r="A11" s="31" t="str">
        <f>+INPUT!B194</f>
        <v>Sappa Creek Near Stamford</v>
      </c>
      <c r="B11" s="145">
        <f>+INPUT!C194</f>
        <v>8238</v>
      </c>
      <c r="C11" s="145">
        <f>+INPUT!D194</f>
        <v>12574</v>
      </c>
      <c r="D11" s="145">
        <f>+INPUT!E194</f>
        <v>42888</v>
      </c>
      <c r="E11" s="145">
        <f>+INPUT!F194</f>
        <v>16223</v>
      </c>
      <c r="F11" s="145">
        <f>+INPUT!G194</f>
        <v>14925</v>
      </c>
      <c r="G11" s="21"/>
      <c r="H11" s="21"/>
      <c r="I11" s="21"/>
      <c r="K11" s="102"/>
      <c r="L11" s="102"/>
      <c r="M11" s="102"/>
      <c r="N11" s="102"/>
      <c r="O11" s="102"/>
    </row>
    <row r="12" spans="1:15">
      <c r="A12" s="31" t="str">
        <f>+INPUT!B193</f>
        <v>Beaver Creek Near Beaver City</v>
      </c>
      <c r="B12" s="145">
        <f>+INPUT!C193</f>
        <v>1082</v>
      </c>
      <c r="C12" s="145">
        <f>+INPUT!D193</f>
        <v>1023</v>
      </c>
      <c r="D12" s="145">
        <f>+INPUT!E193</f>
        <v>1632</v>
      </c>
      <c r="E12" s="145">
        <f>+INPUT!F193</f>
        <v>788</v>
      </c>
      <c r="F12" s="145">
        <f>+INPUT!G193</f>
        <v>796</v>
      </c>
      <c r="K12" s="102"/>
      <c r="L12" s="102"/>
      <c r="M12" s="102"/>
      <c r="N12" s="102"/>
      <c r="O12" s="102"/>
    </row>
    <row r="13" spans="1:15">
      <c r="A13" s="50" t="str">
        <f>+INPUT!B123</f>
        <v>SW Diversions - Irrigation - Non-Federal Canals- Kansas</v>
      </c>
      <c r="B13" s="151">
        <f>+INPUT!C123</f>
        <v>0</v>
      </c>
      <c r="C13" s="151">
        <f>+INPUT!D123</f>
        <v>0</v>
      </c>
      <c r="D13" s="151">
        <f>+INPUT!E123</f>
        <v>0</v>
      </c>
      <c r="E13" s="151">
        <f>+INPUT!F123</f>
        <v>0</v>
      </c>
      <c r="F13" s="151">
        <f>+INPUT!G123</f>
        <v>0</v>
      </c>
      <c r="K13" s="102"/>
      <c r="L13" s="102"/>
      <c r="M13" s="102"/>
      <c r="N13" s="102"/>
      <c r="O13" s="102"/>
    </row>
    <row r="14" spans="1:15">
      <c r="A14" s="50" t="str">
        <f>+INPUT!B124</f>
        <v>SW Diversions - Irrigation - Small Pumps - Kansas</v>
      </c>
      <c r="B14" s="151">
        <f>+INPUT!C124</f>
        <v>0</v>
      </c>
      <c r="C14" s="151">
        <f>+INPUT!D124</f>
        <v>0</v>
      </c>
      <c r="D14" s="151">
        <f>+INPUT!E124</f>
        <v>0</v>
      </c>
      <c r="E14" s="151">
        <f>+INPUT!F124</f>
        <v>0</v>
      </c>
      <c r="F14" s="151">
        <f>+INPUT!G124</f>
        <v>0</v>
      </c>
      <c r="K14" s="102"/>
      <c r="L14" s="102"/>
      <c r="M14" s="102"/>
      <c r="N14" s="102"/>
      <c r="O14" s="102"/>
    </row>
    <row r="15" spans="1:15">
      <c r="A15" s="50" t="str">
        <f>+INPUT!B125</f>
        <v>SW Diversions - M&amp;I - Kansas</v>
      </c>
      <c r="B15" s="151">
        <f>+INPUT!C125</f>
        <v>0</v>
      </c>
      <c r="C15" s="151">
        <f>+INPUT!D125</f>
        <v>0</v>
      </c>
      <c r="D15" s="151">
        <f>+INPUT!E125</f>
        <v>0</v>
      </c>
      <c r="E15" s="151">
        <f>+INPUT!F125</f>
        <v>0</v>
      </c>
      <c r="F15" s="151">
        <f>+INPUT!G125</f>
        <v>0</v>
      </c>
      <c r="K15" s="102"/>
      <c r="L15" s="102"/>
      <c r="M15" s="102"/>
      <c r="N15" s="102"/>
      <c r="O15" s="102"/>
    </row>
    <row r="16" spans="1:15">
      <c r="A16" s="50" t="str">
        <f>+INPUT!B126</f>
        <v>SW Diversions - Irrigation - Non-Federal Canals - Nebraska - Above Gage</v>
      </c>
      <c r="B16" s="151">
        <f>+INPUT!C126</f>
        <v>0</v>
      </c>
      <c r="C16" s="151">
        <f>+INPUT!D126</f>
        <v>0</v>
      </c>
      <c r="D16" s="151">
        <f>+INPUT!E126</f>
        <v>0</v>
      </c>
      <c r="E16" s="151">
        <f>+INPUT!F126</f>
        <v>0</v>
      </c>
      <c r="F16" s="151">
        <f>+INPUT!G126</f>
        <v>0</v>
      </c>
      <c r="K16" s="102"/>
      <c r="L16" s="102"/>
      <c r="M16" s="102"/>
      <c r="N16" s="102"/>
      <c r="O16" s="102"/>
    </row>
    <row r="17" spans="1:15">
      <c r="A17" s="50" t="str">
        <f>+INPUT!B127</f>
        <v>SW Diversions - Irrigation - Small Pumps - Nebraska - Above Gage</v>
      </c>
      <c r="B17" s="151">
        <f>+INPUT!C127</f>
        <v>0</v>
      </c>
      <c r="C17" s="151">
        <f>+INPUT!D127</f>
        <v>0</v>
      </c>
      <c r="D17" s="151">
        <f>+INPUT!E127</f>
        <v>0</v>
      </c>
      <c r="E17" s="151">
        <f>+INPUT!F127</f>
        <v>0</v>
      </c>
      <c r="F17" s="151">
        <f>+INPUT!G127</f>
        <v>0</v>
      </c>
      <c r="K17" s="102"/>
      <c r="L17" s="102"/>
      <c r="M17" s="102"/>
      <c r="N17" s="102"/>
      <c r="O17" s="102"/>
    </row>
    <row r="18" spans="1:15">
      <c r="A18" s="50" t="str">
        <f>+INPUT!B128</f>
        <v>SW Diversions - M&amp;I - Nebraska - Above Gage</v>
      </c>
      <c r="B18" s="151">
        <f>+INPUT!C128</f>
        <v>0</v>
      </c>
      <c r="C18" s="151">
        <f>+INPUT!D128</f>
        <v>0</v>
      </c>
      <c r="D18" s="151">
        <f>+INPUT!E128</f>
        <v>0</v>
      </c>
      <c r="E18" s="151">
        <f>+INPUT!F128</f>
        <v>0</v>
      </c>
      <c r="F18" s="151">
        <f>+INPUT!G128</f>
        <v>0</v>
      </c>
      <c r="K18" s="102"/>
      <c r="L18" s="102"/>
      <c r="M18" s="102"/>
      <c r="N18" s="102"/>
      <c r="O18" s="102"/>
    </row>
    <row r="19" spans="1:15">
      <c r="A19" s="50" t="str">
        <f>+INPUT!B129</f>
        <v>SW Diversions - Irrigation - Non-Federal Canals - Nebraska -Below Gage</v>
      </c>
      <c r="B19" s="151">
        <f>+INPUT!C129</f>
        <v>0</v>
      </c>
      <c r="C19" s="151">
        <f>+INPUT!D129</f>
        <v>0</v>
      </c>
      <c r="D19" s="151">
        <f>+INPUT!E129</f>
        <v>0</v>
      </c>
      <c r="E19" s="151">
        <f>+INPUT!F129</f>
        <v>0</v>
      </c>
      <c r="F19" s="151">
        <f>+INPUT!G129</f>
        <v>0</v>
      </c>
      <c r="K19" s="102"/>
      <c r="L19" s="102"/>
      <c r="M19" s="102"/>
      <c r="N19" s="102"/>
      <c r="O19" s="102"/>
    </row>
    <row r="20" spans="1:15">
      <c r="A20" s="50" t="str">
        <f>+INPUT!B130</f>
        <v>SW Diversions - Irrigation - Small Pumps -Nebraska - Below Gage</v>
      </c>
      <c r="B20" s="151">
        <f>+INPUT!C130</f>
        <v>0</v>
      </c>
      <c r="C20" s="151">
        <f>+INPUT!D130</f>
        <v>0.31364033830646271</v>
      </c>
      <c r="D20" s="151">
        <f>+INPUT!E130</f>
        <v>0.31364033830646271</v>
      </c>
      <c r="E20" s="151">
        <f>+INPUT!F130</f>
        <v>0</v>
      </c>
      <c r="F20" s="151">
        <f>+INPUT!G130</f>
        <v>0</v>
      </c>
      <c r="K20" s="102"/>
      <c r="L20" s="102"/>
      <c r="M20" s="102"/>
      <c r="N20" s="102"/>
      <c r="O20" s="102"/>
    </row>
    <row r="21" spans="1:15">
      <c r="A21" s="50" t="str">
        <f>+INPUT!B131</f>
        <v>SW Diversions - M&amp;I - Nebraska - Below Gage</v>
      </c>
      <c r="B21" s="151">
        <f>+INPUT!C131</f>
        <v>0</v>
      </c>
      <c r="C21" s="151">
        <f>+INPUT!D131</f>
        <v>0</v>
      </c>
      <c r="D21" s="151">
        <f>+INPUT!E131</f>
        <v>0</v>
      </c>
      <c r="E21" s="151">
        <f>+INPUT!F131</f>
        <v>0</v>
      </c>
      <c r="F21" s="151">
        <f>+INPUT!G131</f>
        <v>0</v>
      </c>
      <c r="K21" s="102"/>
      <c r="L21" s="102"/>
      <c r="M21" s="102"/>
      <c r="N21" s="102"/>
      <c r="O21" s="102"/>
    </row>
    <row r="22" spans="1:15">
      <c r="A22" s="50" t="str">
        <f>+INPUT!B174</f>
        <v>Non-Federal Reservoir Evaporation - Kansas</v>
      </c>
      <c r="B22" s="151">
        <f>+INPUT!C174</f>
        <v>228</v>
      </c>
      <c r="C22" s="151">
        <f>+INPUT!D174</f>
        <v>211.12234948125001</v>
      </c>
      <c r="D22" s="151">
        <f>+INPUT!E174</f>
        <v>271</v>
      </c>
      <c r="E22" s="151">
        <f>+INPUT!F174</f>
        <v>419.62</v>
      </c>
      <c r="F22" s="151">
        <f>+INPUT!G174</f>
        <v>400.84</v>
      </c>
      <c r="K22" s="102"/>
      <c r="L22" s="102"/>
      <c r="M22" s="102"/>
      <c r="N22" s="102"/>
      <c r="O22" s="102"/>
    </row>
    <row r="23" spans="1:15">
      <c r="A23" s="50" t="str">
        <f>+INPUT!B175</f>
        <v>Non-Federal Reservoir Evaporation - Nebraska - Above Gage</v>
      </c>
      <c r="B23" s="151">
        <f>+INPUT!C175</f>
        <v>36.86540875</v>
      </c>
      <c r="C23" s="151">
        <f>+INPUT!D175</f>
        <v>27.117141666666601</v>
      </c>
      <c r="D23" s="151">
        <f>+INPUT!E175</f>
        <v>42</v>
      </c>
      <c r="E23" s="151">
        <f>+INPUT!F175</f>
        <v>79.426739583333315</v>
      </c>
      <c r="F23" s="151">
        <f>+INPUT!G175</f>
        <v>46</v>
      </c>
      <c r="K23" s="102"/>
      <c r="L23" s="102"/>
      <c r="M23" s="102"/>
      <c r="N23" s="102"/>
      <c r="O23" s="102"/>
    </row>
    <row r="24" spans="1:15">
      <c r="A24" s="50" t="str">
        <f>+INPUT!B176</f>
        <v>Non-Federal Reservoir Evaporation - Nebraska - Below Gage</v>
      </c>
      <c r="B24" s="151">
        <f>+INPUT!C176</f>
        <v>1.97085</v>
      </c>
      <c r="C24" s="151">
        <f>+INPUT!D176</f>
        <v>1.4910000000000001</v>
      </c>
      <c r="D24" s="151">
        <f>+INPUT!E176</f>
        <v>2</v>
      </c>
      <c r="E24" s="151">
        <f>+INPUT!F176</f>
        <v>4.6528687499999997</v>
      </c>
      <c r="F24" s="151">
        <f>+INPUT!G176</f>
        <v>2</v>
      </c>
      <c r="K24" s="102"/>
      <c r="L24" s="102"/>
      <c r="M24" s="102"/>
      <c r="N24" s="102"/>
      <c r="O24" s="102"/>
    </row>
    <row r="25" spans="1:15">
      <c r="A25" s="137" t="str">
        <f>+FLOOD!A67</f>
        <v>Sappa Flood Flow</v>
      </c>
      <c r="B25" s="151">
        <f>+FLOOD!B67</f>
        <v>0</v>
      </c>
      <c r="C25" s="151">
        <f>+FLOOD!C67</f>
        <v>0</v>
      </c>
      <c r="D25" s="151">
        <f>+FLOOD!D67</f>
        <v>15988</v>
      </c>
      <c r="E25" s="151">
        <f>+FLOOD!E67</f>
        <v>0</v>
      </c>
      <c r="F25" s="151">
        <f>+FLOOD!F67</f>
        <v>0</v>
      </c>
      <c r="K25" s="102"/>
      <c r="L25" s="102"/>
      <c r="M25" s="102"/>
      <c r="N25" s="102"/>
      <c r="O25" s="102"/>
    </row>
    <row r="26" spans="1:15">
      <c r="A26" s="61" t="s">
        <v>66</v>
      </c>
      <c r="B26" s="151"/>
      <c r="C26" s="151"/>
      <c r="D26" s="151"/>
      <c r="E26" s="151"/>
      <c r="F26" s="151"/>
      <c r="K26" s="102"/>
      <c r="L26" s="102"/>
      <c r="M26" s="102"/>
      <c r="N26" s="102"/>
      <c r="O26" s="102"/>
    </row>
    <row r="27" spans="1:15" ht="15.75">
      <c r="A27" s="9" t="s">
        <v>241</v>
      </c>
      <c r="B27" s="151"/>
      <c r="C27" s="151"/>
      <c r="D27" s="151"/>
      <c r="E27" s="151"/>
      <c r="F27" s="151"/>
      <c r="K27" s="102"/>
      <c r="L27" s="102"/>
      <c r="M27" s="102"/>
      <c r="N27" s="102"/>
      <c r="O27" s="102"/>
    </row>
    <row r="28" spans="1:15">
      <c r="A28" s="7" t="s">
        <v>0</v>
      </c>
      <c r="B28" s="151"/>
      <c r="C28" s="151"/>
      <c r="D28" s="151"/>
      <c r="E28" s="151"/>
      <c r="F28" s="151"/>
      <c r="K28" s="102"/>
      <c r="L28" s="102"/>
      <c r="M28" s="102"/>
      <c r="N28" s="102"/>
      <c r="O28" s="102"/>
    </row>
    <row r="29" spans="1:15">
      <c r="A29" s="13" t="str">
        <f>'NORTH FORK'!A28</f>
        <v>GW CBCU</v>
      </c>
      <c r="B29" s="151">
        <f>+B6</f>
        <v>0</v>
      </c>
      <c r="C29" s="151">
        <f>+C6</f>
        <v>0</v>
      </c>
      <c r="D29" s="151">
        <f>+D6</f>
        <v>0</v>
      </c>
      <c r="E29" s="151">
        <f>+E6</f>
        <v>0</v>
      </c>
      <c r="F29" s="151">
        <f>+F6</f>
        <v>0</v>
      </c>
      <c r="K29" s="102"/>
      <c r="L29" s="102"/>
      <c r="M29" s="102"/>
      <c r="N29" s="102"/>
      <c r="O29" s="102"/>
    </row>
    <row r="30" spans="1:15">
      <c r="A30" s="13" t="str">
        <f>'NORTH FORK'!A29</f>
        <v>Total CBCU</v>
      </c>
      <c r="B30" s="151">
        <f>(ROUND(SUM(B29:B29),-1))</f>
        <v>0</v>
      </c>
      <c r="C30" s="151">
        <f>(ROUND(SUM(C29:C29),-1))</f>
        <v>0</v>
      </c>
      <c r="D30" s="151">
        <f>(ROUND(SUM(D29:D29),-1))</f>
        <v>0</v>
      </c>
      <c r="E30" s="151">
        <f>(ROUND(SUM(E29:E29),-1))</f>
        <v>0</v>
      </c>
      <c r="F30" s="151">
        <f>(ROUND(SUM(F29:F29),-1))</f>
        <v>0</v>
      </c>
      <c r="K30" s="102"/>
      <c r="L30" s="102"/>
      <c r="M30" s="102"/>
      <c r="N30" s="102"/>
      <c r="O30" s="102"/>
    </row>
    <row r="31" spans="1:15">
      <c r="A31" s="13" t="s">
        <v>66</v>
      </c>
      <c r="B31" s="151"/>
      <c r="C31" s="151"/>
      <c r="D31" s="151"/>
      <c r="E31" s="151"/>
      <c r="F31" s="151"/>
      <c r="K31" s="102"/>
      <c r="L31" s="102"/>
      <c r="M31" s="102"/>
      <c r="N31" s="102"/>
      <c r="O31" s="102"/>
    </row>
    <row r="32" spans="1:15">
      <c r="A32" s="7" t="s">
        <v>161</v>
      </c>
      <c r="B32" s="151"/>
      <c r="C32" s="151"/>
      <c r="D32" s="151"/>
      <c r="E32" s="151"/>
      <c r="F32" s="151"/>
      <c r="K32" s="102"/>
      <c r="L32" s="102"/>
      <c r="M32" s="102"/>
      <c r="N32" s="102"/>
      <c r="O32" s="102"/>
    </row>
    <row r="33" spans="1:15">
      <c r="A33" s="11" t="str">
        <f>'NORTH FORK'!A23</f>
        <v>SW CBCU - Irrigation - Non Federal Canals</v>
      </c>
      <c r="B33" s="151">
        <f>+B13*CanalCUPercent1</f>
        <v>0</v>
      </c>
      <c r="C33" s="151">
        <f>+C13*CanalCUPercent2</f>
        <v>0</v>
      </c>
      <c r="D33" s="151">
        <f>+D13*CanalCUPercent3</f>
        <v>0</v>
      </c>
      <c r="E33" s="151">
        <f>+E13*CanalCUPercent4</f>
        <v>0</v>
      </c>
      <c r="F33" s="151">
        <f>+F13*CanalCUPercent5</f>
        <v>0</v>
      </c>
      <c r="K33" s="102"/>
      <c r="L33" s="102"/>
      <c r="M33" s="102"/>
      <c r="N33" s="102"/>
      <c r="O33" s="102"/>
    </row>
    <row r="34" spans="1:15">
      <c r="A34" s="11" t="str">
        <f>'NORTH FORK'!A24</f>
        <v>SW CBCU - Irrigation - Small Pumps</v>
      </c>
      <c r="B34" s="151">
        <f>+B14*PumperCUPercent1</f>
        <v>0</v>
      </c>
      <c r="C34" s="151">
        <f>+C14*PumperCUPercent2</f>
        <v>0</v>
      </c>
      <c r="D34" s="151">
        <f>+D14*PumperCUPercent3</f>
        <v>0</v>
      </c>
      <c r="E34" s="151">
        <f>+E14*PumperCUPercent4</f>
        <v>0</v>
      </c>
      <c r="F34" s="151">
        <f>+F14*PumperCUPercent5</f>
        <v>0</v>
      </c>
      <c r="K34" s="102"/>
      <c r="L34" s="102"/>
      <c r="M34" s="102"/>
      <c r="N34" s="102"/>
      <c r="O34" s="102"/>
    </row>
    <row r="35" spans="1:15">
      <c r="A35" s="11" t="str">
        <f>'NORTH FORK'!A25</f>
        <v>SW CBCU - M&amp;I</v>
      </c>
      <c r="B35" s="151">
        <f>+B15*MI_CUPercent1</f>
        <v>0</v>
      </c>
      <c r="C35" s="151">
        <f>+C15*MI_CUPercent2</f>
        <v>0</v>
      </c>
      <c r="D35" s="151">
        <f>+D15*MI_CUPercent3</f>
        <v>0</v>
      </c>
      <c r="E35" s="151">
        <f>+E15*MI_CUPercent4</f>
        <v>0</v>
      </c>
      <c r="F35" s="151">
        <f>+F15*MI_CUPercent5</f>
        <v>0</v>
      </c>
      <c r="K35" s="102"/>
      <c r="L35" s="102"/>
      <c r="M35" s="102"/>
      <c r="N35" s="102"/>
      <c r="O35" s="102"/>
    </row>
    <row r="36" spans="1:15">
      <c r="A36" s="11" t="str">
        <f>'NORTH FORK'!A26</f>
        <v>Non-Federal Reservoir Evaporation</v>
      </c>
      <c r="B36" s="151">
        <f>B22</f>
        <v>228</v>
      </c>
      <c r="C36" s="151">
        <f>C22</f>
        <v>211.12234948125001</v>
      </c>
      <c r="D36" s="151">
        <f>D22</f>
        <v>271</v>
      </c>
      <c r="E36" s="151">
        <f>E22</f>
        <v>419.62</v>
      </c>
      <c r="F36" s="151">
        <f>F22</f>
        <v>400.84</v>
      </c>
      <c r="K36" s="102"/>
      <c r="L36" s="102"/>
      <c r="M36" s="102"/>
      <c r="N36" s="102"/>
      <c r="O36" s="102"/>
    </row>
    <row r="37" spans="1:15">
      <c r="A37" s="11" t="str">
        <f>'NORTH FORK'!A27</f>
        <v>SW CBCU</v>
      </c>
      <c r="B37" s="151">
        <f>B33+B34+B35+B36</f>
        <v>228</v>
      </c>
      <c r="C37" s="151">
        <f>C33+C34+C35+C36</f>
        <v>211.12234948125001</v>
      </c>
      <c r="D37" s="151">
        <f>D33+D34+D35+D36</f>
        <v>271</v>
      </c>
      <c r="E37" s="151">
        <f>E33+E34+E35+E36</f>
        <v>419.62</v>
      </c>
      <c r="F37" s="151">
        <f>F33+F34+F35+F36</f>
        <v>400.84</v>
      </c>
      <c r="K37" s="102"/>
      <c r="L37" s="102"/>
      <c r="M37" s="102"/>
      <c r="N37" s="102"/>
      <c r="O37" s="102"/>
    </row>
    <row r="38" spans="1:15">
      <c r="A38" s="11" t="str">
        <f>'NORTH FORK'!A28</f>
        <v>GW CBCU</v>
      </c>
      <c r="B38" s="151">
        <f>+B7</f>
        <v>2305</v>
      </c>
      <c r="C38" s="151">
        <f>+C7</f>
        <v>2960</v>
      </c>
      <c r="D38" s="151">
        <f>+D7</f>
        <v>2675</v>
      </c>
      <c r="E38" s="151">
        <f>+E7</f>
        <v>2075</v>
      </c>
      <c r="F38" s="151">
        <f>+F7</f>
        <v>1241</v>
      </c>
      <c r="G38" s="21"/>
      <c r="I38" s="21"/>
      <c r="K38" s="102"/>
      <c r="L38" s="102"/>
      <c r="M38" s="102"/>
      <c r="N38" s="102"/>
      <c r="O38" s="102"/>
    </row>
    <row r="39" spans="1:15">
      <c r="A39" s="11" t="str">
        <f>'NORTH FORK'!A29</f>
        <v>Total CBCU</v>
      </c>
      <c r="B39" s="151">
        <f>(ROUND(SUM(B37:B38),-1))</f>
        <v>2530</v>
      </c>
      <c r="C39" s="151">
        <f>(ROUND(SUM(C37:C38),-1))</f>
        <v>3170</v>
      </c>
      <c r="D39" s="151">
        <f>(ROUND(SUM(D37:D38),-1))</f>
        <v>2950</v>
      </c>
      <c r="E39" s="151">
        <f>(ROUND(SUM(E37:E38),-1))</f>
        <v>2490</v>
      </c>
      <c r="F39" s="151">
        <f>(ROUND(SUM(F37:F38),-1))</f>
        <v>1640</v>
      </c>
      <c r="I39" s="21"/>
      <c r="K39" s="102"/>
      <c r="L39" s="102"/>
      <c r="M39" s="102"/>
      <c r="N39" s="102"/>
      <c r="O39" s="102"/>
    </row>
    <row r="40" spans="1:15">
      <c r="A40" s="13" t="s">
        <v>66</v>
      </c>
      <c r="B40" s="151"/>
      <c r="C40" s="151"/>
      <c r="D40" s="151"/>
      <c r="E40" s="151"/>
      <c r="F40" s="151"/>
      <c r="K40" s="102"/>
      <c r="L40" s="102"/>
      <c r="M40" s="102"/>
      <c r="N40" s="102"/>
      <c r="O40" s="102"/>
    </row>
    <row r="41" spans="1:15">
      <c r="A41" s="7" t="s">
        <v>1</v>
      </c>
      <c r="B41" s="151"/>
      <c r="C41" s="151"/>
      <c r="D41" s="151"/>
      <c r="E41" s="151"/>
      <c r="F41" s="151"/>
      <c r="K41" s="102"/>
      <c r="L41" s="102"/>
      <c r="M41" s="102"/>
      <c r="N41" s="102"/>
      <c r="O41" s="102"/>
    </row>
    <row r="42" spans="1:15">
      <c r="A42" s="7"/>
      <c r="B42" s="151"/>
      <c r="C42" s="151"/>
      <c r="D42" s="151"/>
      <c r="E42" s="151"/>
      <c r="F42" s="151"/>
      <c r="K42" s="102"/>
      <c r="L42" s="102"/>
      <c r="M42" s="102"/>
      <c r="N42" s="102"/>
      <c r="O42" s="102"/>
    </row>
    <row r="43" spans="1:15">
      <c r="A43" s="13" t="str">
        <f>'MEDICINE CREEK'!A34</f>
        <v>SW CBCU - Irrigation - Non Federal Canals</v>
      </c>
      <c r="B43" s="151">
        <f>B16*CanalCUPercent1</f>
        <v>0</v>
      </c>
      <c r="C43" s="151">
        <f>C16*CanalCUPercent2</f>
        <v>0</v>
      </c>
      <c r="D43" s="151">
        <f>D16*CanalCUPercent3</f>
        <v>0</v>
      </c>
      <c r="E43" s="151">
        <f>E16*CanalCUPercent4</f>
        <v>0</v>
      </c>
      <c r="F43" s="151">
        <f>F16*CanalCUPercent5</f>
        <v>0</v>
      </c>
      <c r="K43" s="102"/>
      <c r="L43" s="102"/>
      <c r="M43" s="102"/>
      <c r="N43" s="102"/>
      <c r="O43" s="102"/>
    </row>
    <row r="44" spans="1:15">
      <c r="A44" s="13" t="str">
        <f>'MEDICINE CREEK'!A35</f>
        <v>SW CBCU - Irrigation - Small Pumps</v>
      </c>
      <c r="B44" s="151">
        <f>B17*PumperCUPercent1</f>
        <v>0</v>
      </c>
      <c r="C44" s="151">
        <f>C17*PumperCUPercent2</f>
        <v>0</v>
      </c>
      <c r="D44" s="151">
        <f>D17*PumperCUPercent3</f>
        <v>0</v>
      </c>
      <c r="E44" s="151">
        <f>E17*PumperCUPercent4</f>
        <v>0</v>
      </c>
      <c r="F44" s="151">
        <f>F17*PumperCUPercent5</f>
        <v>0</v>
      </c>
      <c r="K44" s="102"/>
      <c r="L44" s="102"/>
      <c r="M44" s="102"/>
      <c r="N44" s="102"/>
      <c r="O44" s="102"/>
    </row>
    <row r="45" spans="1:15">
      <c r="A45" s="13" t="str">
        <f>'MEDICINE CREEK'!A36</f>
        <v>SW CBCU - M&amp;I</v>
      </c>
      <c r="B45" s="151">
        <f>B18*MI_CUPercent1</f>
        <v>0</v>
      </c>
      <c r="C45" s="151">
        <f>C18*MI_CUPercent2</f>
        <v>0</v>
      </c>
      <c r="D45" s="151">
        <f>D18*MI_CUPercent3</f>
        <v>0</v>
      </c>
      <c r="E45" s="151">
        <f>E18*MI_CUPercent4</f>
        <v>0</v>
      </c>
      <c r="F45" s="151">
        <f>F18*MI_CUPercent5</f>
        <v>0</v>
      </c>
      <c r="K45" s="102"/>
      <c r="L45" s="102"/>
      <c r="M45" s="102"/>
      <c r="N45" s="102"/>
      <c r="O45" s="102"/>
    </row>
    <row r="46" spans="1:15">
      <c r="A46" s="13" t="str">
        <f>'MEDICINE CREEK'!A37</f>
        <v>SW CBCU - Irrigation - Non Federal Canals - Below Gage</v>
      </c>
      <c r="B46" s="151">
        <f>B19*CanalCUPercent1</f>
        <v>0</v>
      </c>
      <c r="C46" s="151">
        <f>C19*CanalCUPercent2</f>
        <v>0</v>
      </c>
      <c r="D46" s="151">
        <f>D19*CanalCUPercent3</f>
        <v>0</v>
      </c>
      <c r="E46" s="151">
        <f>E19*CanalCUPercent4</f>
        <v>0</v>
      </c>
      <c r="F46" s="151">
        <f>F19*CanalCUPercent5</f>
        <v>0</v>
      </c>
      <c r="K46" s="102"/>
      <c r="L46" s="102"/>
      <c r="M46" s="102"/>
      <c r="N46" s="102"/>
      <c r="O46" s="102"/>
    </row>
    <row r="47" spans="1:15">
      <c r="A47" s="13" t="str">
        <f>'MEDICINE CREEK'!A38</f>
        <v>SW CBCU - Irrigation - Small Pumps - Below Gage</v>
      </c>
      <c r="B47" s="151">
        <f>B20*PumperCUPercent1</f>
        <v>0</v>
      </c>
      <c r="C47" s="151">
        <f>C20*PumperCUPercent2</f>
        <v>0.23523025372984702</v>
      </c>
      <c r="D47" s="151">
        <f>D20*PumperCUPercent3</f>
        <v>0.23523025372984702</v>
      </c>
      <c r="E47" s="151">
        <f>E20*PumperCUPercent4</f>
        <v>0</v>
      </c>
      <c r="F47" s="151">
        <f>F20*PumperCUPercent5</f>
        <v>0</v>
      </c>
      <c r="K47" s="102"/>
      <c r="L47" s="102"/>
      <c r="M47" s="102"/>
      <c r="N47" s="102"/>
      <c r="O47" s="102"/>
    </row>
    <row r="48" spans="1:15">
      <c r="A48" s="13" t="str">
        <f>'MEDICINE CREEK'!A39</f>
        <v>SW CBCU - M&amp;I - Below Gage</v>
      </c>
      <c r="B48" s="151">
        <f>B21*MI_CUPercent1</f>
        <v>0</v>
      </c>
      <c r="C48" s="151">
        <f>C21*MI_CUPercent2</f>
        <v>0</v>
      </c>
      <c r="D48" s="151">
        <f>D21*MI_CUPercent3</f>
        <v>0</v>
      </c>
      <c r="E48" s="151">
        <f>E21*MI_CUPercent4</f>
        <v>0</v>
      </c>
      <c r="F48" s="151">
        <f>F21*MI_CUPercent5</f>
        <v>0</v>
      </c>
      <c r="K48" s="102"/>
      <c r="L48" s="102"/>
      <c r="M48" s="102"/>
      <c r="N48" s="102"/>
      <c r="O48" s="102"/>
    </row>
    <row r="49" spans="1:15">
      <c r="A49" s="45" t="str">
        <f>'MEDICINE CREEK'!A40</f>
        <v>Non-Federal Reservoir Evaporation</v>
      </c>
      <c r="B49" s="151">
        <f t="shared" ref="B49:D50" si="0">B23</f>
        <v>36.86540875</v>
      </c>
      <c r="C49" s="151">
        <f t="shared" si="0"/>
        <v>27.117141666666601</v>
      </c>
      <c r="D49" s="151">
        <f t="shared" si="0"/>
        <v>42</v>
      </c>
      <c r="E49" s="151">
        <f>E23</f>
        <v>79.426739583333315</v>
      </c>
      <c r="F49" s="151">
        <f>F23</f>
        <v>46</v>
      </c>
      <c r="K49" s="102"/>
      <c r="L49" s="102"/>
      <c r="M49" s="102"/>
      <c r="N49" s="102"/>
      <c r="O49" s="102"/>
    </row>
    <row r="50" spans="1:15">
      <c r="A50" s="45" t="str">
        <f>'MEDICINE CREEK'!A41</f>
        <v>Non-Federal Reservoir Evaporation - Below gage</v>
      </c>
      <c r="B50" s="151">
        <f t="shared" si="0"/>
        <v>1.97085</v>
      </c>
      <c r="C50" s="151">
        <f t="shared" si="0"/>
        <v>1.4910000000000001</v>
      </c>
      <c r="D50" s="151">
        <f t="shared" si="0"/>
        <v>2</v>
      </c>
      <c r="E50" s="151">
        <f>E24</f>
        <v>4.6528687499999997</v>
      </c>
      <c r="F50" s="151">
        <f>F24</f>
        <v>2</v>
      </c>
      <c r="K50" s="102"/>
      <c r="L50" s="102"/>
      <c r="M50" s="102"/>
      <c r="N50" s="102"/>
      <c r="O50" s="102"/>
    </row>
    <row r="51" spans="1:15">
      <c r="A51" s="13" t="str">
        <f>'MEDICINE CREEK'!A42</f>
        <v>SW CBCU</v>
      </c>
      <c r="B51" s="151">
        <f>B43+B44+B45+B46+B47+B48+B49+B50</f>
        <v>38.836258749999999</v>
      </c>
      <c r="C51" s="151">
        <f>C43+C44+C45+C46+C47+C48+C49+C50</f>
        <v>28.843371920396446</v>
      </c>
      <c r="D51" s="151">
        <f>D43+D44+D45+D46+D47+D48+D49+D50</f>
        <v>44.235230253729846</v>
      </c>
      <c r="E51" s="151">
        <f>E43+E44+E45+E46+E47+E48+E49+E50</f>
        <v>84.079608333333312</v>
      </c>
      <c r="F51" s="151">
        <f>F43+F44+F45+F46+F47+F48+F49+F50</f>
        <v>48</v>
      </c>
      <c r="K51" s="102"/>
      <c r="L51" s="102"/>
      <c r="M51" s="102"/>
      <c r="N51" s="102"/>
      <c r="O51" s="102"/>
    </row>
    <row r="52" spans="1:15">
      <c r="A52" s="13" t="str">
        <f>'MEDICINE CREEK'!A43</f>
        <v>GW CBCU</v>
      </c>
      <c r="B52" s="151">
        <f>+B8</f>
        <v>2183</v>
      </c>
      <c r="C52" s="151">
        <f>+C8</f>
        <v>2144</v>
      </c>
      <c r="D52" s="151">
        <f>+D8</f>
        <v>1886</v>
      </c>
      <c r="E52" s="151">
        <f>+E8</f>
        <v>1654</v>
      </c>
      <c r="F52" s="151">
        <f>+F8</f>
        <v>1560</v>
      </c>
      <c r="H52" s="21"/>
      <c r="I52" s="21"/>
      <c r="K52" s="102"/>
      <c r="L52" s="102"/>
      <c r="M52" s="102"/>
      <c r="N52" s="102"/>
      <c r="O52" s="102"/>
    </row>
    <row r="53" spans="1:15">
      <c r="A53" s="13" t="str">
        <f>'MEDICINE CREEK'!A44</f>
        <v>Total CBCU</v>
      </c>
      <c r="B53" s="151">
        <f>(ROUND(SUM(B51:B52),-1))</f>
        <v>2220</v>
      </c>
      <c r="C53" s="151">
        <f>(ROUND(SUM(C51:C52),-1))</f>
        <v>2170</v>
      </c>
      <c r="D53" s="151">
        <f>(ROUND(SUM(D51:D52),-1))</f>
        <v>1930</v>
      </c>
      <c r="E53" s="151">
        <f>(ROUND(SUM(E51:E52),-1))</f>
        <v>1740</v>
      </c>
      <c r="F53" s="151">
        <f>(ROUND(SUM(F51:F52),-1))</f>
        <v>1610</v>
      </c>
      <c r="G53" s="21"/>
      <c r="H53" s="21"/>
      <c r="I53" s="21"/>
      <c r="K53" s="102"/>
      <c r="L53" s="102"/>
      <c r="M53" s="102"/>
      <c r="N53" s="102"/>
      <c r="O53" s="102"/>
    </row>
    <row r="54" spans="1:15">
      <c r="A54" s="45" t="s">
        <v>66</v>
      </c>
      <c r="B54" s="151"/>
      <c r="C54" s="151"/>
      <c r="D54" s="151"/>
      <c r="E54" s="151"/>
      <c r="F54" s="151"/>
      <c r="K54" s="102"/>
      <c r="L54" s="102"/>
      <c r="M54" s="102"/>
      <c r="N54" s="102"/>
      <c r="O54" s="102"/>
    </row>
    <row r="55" spans="1:15">
      <c r="A55" s="29" t="s">
        <v>328</v>
      </c>
      <c r="B55" s="151"/>
      <c r="C55" s="151"/>
      <c r="D55" s="151"/>
      <c r="E55" s="151"/>
      <c r="F55" s="151"/>
      <c r="K55" s="102"/>
      <c r="L55" s="102"/>
      <c r="M55" s="102"/>
      <c r="N55" s="102"/>
      <c r="O55" s="102"/>
    </row>
    <row r="56" spans="1:15">
      <c r="A56" s="13" t="s">
        <v>227</v>
      </c>
      <c r="B56" s="151">
        <f>B46+B47+B48+B50</f>
        <v>1.97085</v>
      </c>
      <c r="C56" s="151">
        <f>C46+C47+C48+C50</f>
        <v>1.7262302537298471</v>
      </c>
      <c r="D56" s="151">
        <f>D46+D47+D48+D50</f>
        <v>2.235230253729847</v>
      </c>
      <c r="E56" s="151">
        <f>E46+E47+E48+E50</f>
        <v>4.6528687499999997</v>
      </c>
      <c r="F56" s="151">
        <f>F46+F47+F48+F50</f>
        <v>2</v>
      </c>
      <c r="K56" s="102"/>
      <c r="L56" s="102"/>
      <c r="M56" s="102"/>
      <c r="N56" s="102"/>
      <c r="O56" s="102"/>
    </row>
    <row r="57" spans="1:15">
      <c r="A57" s="45" t="str">
        <f>'MEDICINE CREEK'!A53</f>
        <v>Total</v>
      </c>
      <c r="B57" s="151">
        <f>B56</f>
        <v>1.97085</v>
      </c>
      <c r="C57" s="151">
        <f>C56</f>
        <v>1.7262302537298471</v>
      </c>
      <c r="D57" s="151">
        <f>D56</f>
        <v>2.235230253729847</v>
      </c>
      <c r="E57" s="151">
        <f>E56</f>
        <v>4.6528687499999997</v>
      </c>
      <c r="F57" s="151">
        <f>F56</f>
        <v>2</v>
      </c>
      <c r="K57" s="102"/>
      <c r="L57" s="102"/>
      <c r="M57" s="102"/>
      <c r="N57" s="102"/>
      <c r="O57" s="102"/>
    </row>
    <row r="58" spans="1:15">
      <c r="A58" s="45" t="s">
        <v>66</v>
      </c>
      <c r="B58" s="151"/>
      <c r="C58" s="151"/>
      <c r="D58" s="151"/>
      <c r="E58" s="151"/>
      <c r="F58" s="151"/>
      <c r="K58" s="102"/>
      <c r="L58" s="102"/>
      <c r="M58" s="102"/>
      <c r="N58" s="102"/>
      <c r="O58" s="102"/>
    </row>
    <row r="59" spans="1:15">
      <c r="A59" s="4" t="s">
        <v>162</v>
      </c>
      <c r="B59" s="151"/>
      <c r="C59" s="151"/>
      <c r="D59" s="151"/>
      <c r="E59" s="151"/>
      <c r="F59" s="151"/>
      <c r="K59" s="102"/>
      <c r="L59" s="102"/>
      <c r="M59" s="102"/>
      <c r="N59" s="102"/>
      <c r="O59" s="102"/>
    </row>
    <row r="60" spans="1:15">
      <c r="A60" s="45" t="str">
        <f>'NORTH FORK'!A42</f>
        <v>Total SW CBCU</v>
      </c>
      <c r="B60" s="151">
        <f>+B37+B51</f>
        <v>266.83625875000001</v>
      </c>
      <c r="C60" s="151">
        <f>+C37+C51</f>
        <v>239.96572140164645</v>
      </c>
      <c r="D60" s="151">
        <f>+D37+D51</f>
        <v>315.23523025372987</v>
      </c>
      <c r="E60" s="151">
        <f>+E37+E51</f>
        <v>503.69960833333334</v>
      </c>
      <c r="F60" s="151">
        <f>+F37+F51</f>
        <v>448.84</v>
      </c>
      <c r="K60" s="102"/>
      <c r="L60" s="102"/>
      <c r="M60" s="102"/>
      <c r="N60" s="102"/>
      <c r="O60" s="102"/>
    </row>
    <row r="61" spans="1:15">
      <c r="A61" s="45" t="str">
        <f>'NORTH FORK'!A43</f>
        <v>Total GW CBCU</v>
      </c>
      <c r="B61" s="151">
        <f>+B29+B38+B52</f>
        <v>4488</v>
      </c>
      <c r="C61" s="151">
        <f>+C29+C38+C52</f>
        <v>5104</v>
      </c>
      <c r="D61" s="151">
        <f>+D29+D38+D52</f>
        <v>4561</v>
      </c>
      <c r="E61" s="151">
        <f>+E29+E38+E52</f>
        <v>3729</v>
      </c>
      <c r="F61" s="151">
        <f>+F29+F38+F52</f>
        <v>2801</v>
      </c>
      <c r="H61" s="21"/>
      <c r="I61" s="21"/>
      <c r="K61" s="102"/>
      <c r="L61" s="102"/>
      <c r="M61" s="102"/>
      <c r="N61" s="102"/>
      <c r="O61" s="102"/>
    </row>
    <row r="62" spans="1:15">
      <c r="A62" s="45" t="str">
        <f>'NORTH FORK'!A44</f>
        <v>Total Basin CBCU</v>
      </c>
      <c r="B62" s="151">
        <f>SUM(B60:B61)</f>
        <v>4754.8362587499996</v>
      </c>
      <c r="C62" s="151">
        <f>SUM(C60:C61)</f>
        <v>5343.9657214016461</v>
      </c>
      <c r="D62" s="151">
        <f>SUM(D60:D61)</f>
        <v>4876.2352302537302</v>
      </c>
      <c r="E62" s="151">
        <f>SUM(E60:E61)</f>
        <v>4232.6996083333333</v>
      </c>
      <c r="F62" s="151">
        <f>SUM(F60:F61)</f>
        <v>3249.84</v>
      </c>
      <c r="H62" s="21"/>
      <c r="I62" s="21"/>
      <c r="K62" s="102"/>
      <c r="L62" s="102"/>
      <c r="M62" s="102"/>
      <c r="N62" s="102"/>
      <c r="O62" s="102"/>
    </row>
    <row r="63" spans="1:15">
      <c r="A63" s="45" t="s">
        <v>66</v>
      </c>
      <c r="B63" s="151"/>
      <c r="C63" s="151"/>
      <c r="D63" s="151"/>
      <c r="E63" s="151"/>
      <c r="F63" s="151"/>
      <c r="K63" s="102"/>
      <c r="L63" s="102"/>
      <c r="M63" s="102"/>
      <c r="N63" s="102"/>
      <c r="O63" s="102"/>
    </row>
    <row r="64" spans="1:15" ht="15.75">
      <c r="A64" s="10" t="s">
        <v>10</v>
      </c>
      <c r="B64" s="151"/>
      <c r="C64" s="151"/>
      <c r="D64" s="151"/>
      <c r="E64" s="151"/>
      <c r="F64" s="151"/>
      <c r="K64" s="102"/>
      <c r="L64" s="102"/>
      <c r="M64" s="102"/>
      <c r="N64" s="102"/>
      <c r="O64" s="102"/>
    </row>
    <row r="65" spans="1:15">
      <c r="A65" s="42" t="str">
        <f t="shared" ref="A65:D66" si="1">A11</f>
        <v>Sappa Creek Near Stamford</v>
      </c>
      <c r="B65" s="151">
        <f t="shared" si="1"/>
        <v>8238</v>
      </c>
      <c r="C65" s="151">
        <f t="shared" si="1"/>
        <v>12574</v>
      </c>
      <c r="D65" s="151">
        <f t="shared" si="1"/>
        <v>42888</v>
      </c>
      <c r="E65" s="151">
        <f>E11</f>
        <v>16223</v>
      </c>
      <c r="F65" s="151">
        <f>F11</f>
        <v>14925</v>
      </c>
      <c r="G65" s="21"/>
      <c r="H65" s="21"/>
      <c r="I65" s="21"/>
      <c r="K65" s="102"/>
      <c r="L65" s="102"/>
      <c r="M65" s="102"/>
      <c r="N65" s="102"/>
      <c r="O65" s="102"/>
    </row>
    <row r="66" spans="1:15">
      <c r="A66" s="42" t="str">
        <f t="shared" si="1"/>
        <v>Beaver Creek Near Beaver City</v>
      </c>
      <c r="B66" s="151">
        <f t="shared" si="1"/>
        <v>1082</v>
      </c>
      <c r="C66" s="151">
        <f t="shared" si="1"/>
        <v>1023</v>
      </c>
      <c r="D66" s="151">
        <f t="shared" si="1"/>
        <v>1632</v>
      </c>
      <c r="E66" s="151">
        <f>E12</f>
        <v>788</v>
      </c>
      <c r="F66" s="151">
        <f>F12</f>
        <v>796</v>
      </c>
      <c r="K66" s="102"/>
      <c r="L66" s="102"/>
      <c r="M66" s="102"/>
      <c r="N66" s="102"/>
      <c r="O66" s="102"/>
    </row>
    <row r="67" spans="1:15">
      <c r="A67" s="13" t="str">
        <f>'NORTH FORK'!A49</f>
        <v>Colorado CBCU</v>
      </c>
      <c r="B67" s="151">
        <f>+B30</f>
        <v>0</v>
      </c>
      <c r="C67" s="151">
        <f>+C30</f>
        <v>0</v>
      </c>
      <c r="D67" s="151">
        <f>+D30</f>
        <v>0</v>
      </c>
      <c r="E67" s="151">
        <f>+E30</f>
        <v>0</v>
      </c>
      <c r="F67" s="151">
        <f>+F30</f>
        <v>0</v>
      </c>
      <c r="K67" s="102"/>
      <c r="L67" s="102"/>
      <c r="M67" s="102"/>
      <c r="N67" s="102"/>
      <c r="O67" s="102"/>
    </row>
    <row r="68" spans="1:15">
      <c r="A68" s="13" t="str">
        <f>'NORTH FORK'!A50</f>
        <v>Kansas CBCU</v>
      </c>
      <c r="B68" s="151">
        <f>+B39</f>
        <v>2530</v>
      </c>
      <c r="C68" s="151">
        <f>+C39</f>
        <v>3170</v>
      </c>
      <c r="D68" s="151">
        <f>+D39</f>
        <v>2950</v>
      </c>
      <c r="E68" s="151">
        <f>+E39</f>
        <v>2490</v>
      </c>
      <c r="F68" s="151">
        <f>+F39</f>
        <v>1640</v>
      </c>
      <c r="I68" s="21"/>
      <c r="K68" s="102"/>
      <c r="L68" s="102"/>
      <c r="M68" s="102"/>
      <c r="N68" s="102"/>
      <c r="O68" s="102"/>
    </row>
    <row r="69" spans="1:15">
      <c r="A69" s="13" t="str">
        <f>'NORTH FORK'!A51</f>
        <v>Nebraska CBCU</v>
      </c>
      <c r="B69" s="151">
        <f>B53</f>
        <v>2220</v>
      </c>
      <c r="C69" s="151">
        <f>C53</f>
        <v>2170</v>
      </c>
      <c r="D69" s="151">
        <f>D53</f>
        <v>1930</v>
      </c>
      <c r="E69" s="151">
        <f>E53</f>
        <v>1740</v>
      </c>
      <c r="F69" s="151">
        <f>F53</f>
        <v>1610</v>
      </c>
      <c r="G69" s="21"/>
      <c r="H69" s="21"/>
      <c r="I69" s="21"/>
      <c r="K69" s="102"/>
      <c r="L69" s="102"/>
      <c r="M69" s="102"/>
      <c r="N69" s="102"/>
      <c r="O69" s="102"/>
    </row>
    <row r="70" spans="1:15">
      <c r="A70" s="13" t="str">
        <f>A56</f>
        <v>SW CBCU Below The Gage</v>
      </c>
      <c r="B70" s="151">
        <f>B57</f>
        <v>1.97085</v>
      </c>
      <c r="C70" s="151">
        <f>C57</f>
        <v>1.7262302537298471</v>
      </c>
      <c r="D70" s="151">
        <f>D57</f>
        <v>2.235230253729847</v>
      </c>
      <c r="E70" s="151">
        <f>E57</f>
        <v>4.6528687499999997</v>
      </c>
      <c r="F70" s="151">
        <f>F57</f>
        <v>2</v>
      </c>
      <c r="K70" s="102"/>
      <c r="L70" s="102"/>
      <c r="M70" s="102"/>
      <c r="N70" s="102"/>
      <c r="O70" s="102"/>
    </row>
    <row r="71" spans="1:15">
      <c r="A71" s="13" t="str">
        <f>'NORTH FORK'!A52</f>
        <v>Imported Water</v>
      </c>
      <c r="B71" s="151">
        <f>+B5</f>
        <v>62</v>
      </c>
      <c r="C71" s="151">
        <f>+C5</f>
        <v>58</v>
      </c>
      <c r="D71" s="151">
        <f>+D5</f>
        <v>32</v>
      </c>
      <c r="E71" s="151">
        <f>+E5</f>
        <v>27</v>
      </c>
      <c r="F71" s="151">
        <f>+F5</f>
        <v>29</v>
      </c>
      <c r="K71" s="102"/>
      <c r="L71" s="102"/>
      <c r="M71" s="102"/>
      <c r="N71" s="102"/>
      <c r="O71" s="102"/>
    </row>
    <row r="72" spans="1:15">
      <c r="A72" s="13" t="str">
        <f>'NORTH FORK'!A54</f>
        <v>Virgin Water Supply</v>
      </c>
      <c r="B72" s="151">
        <f>ROUND(B65-B66+B67+B68+B69-B70-B71,-1)</f>
        <v>11840</v>
      </c>
      <c r="C72" s="151">
        <f>ROUND(C65-C66+C67+C68+C69-C70-C71,-1)</f>
        <v>16830</v>
      </c>
      <c r="D72" s="151">
        <f>ROUND(D65-D66+D67+D68+D69-D70-D71,-1)</f>
        <v>46100</v>
      </c>
      <c r="E72" s="151">
        <f>ROUND(E65-E66+E67+E68+E69-E70-E71,-1)</f>
        <v>19630</v>
      </c>
      <c r="F72" s="151">
        <f>ROUND(F65-F66+F67+F68+F69-F70-F71,-1)</f>
        <v>17350</v>
      </c>
      <c r="G72" s="21"/>
      <c r="H72" s="21"/>
      <c r="I72" s="21"/>
      <c r="K72" s="102"/>
      <c r="L72" s="102"/>
      <c r="M72" s="102"/>
      <c r="N72" s="102"/>
      <c r="O72" s="102"/>
    </row>
    <row r="73" spans="1:15">
      <c r="A73" s="13" t="str">
        <f>'NORTH FORK'!A55</f>
        <v>Adjustment For Flood Flows</v>
      </c>
      <c r="B73" s="151">
        <f>B25</f>
        <v>0</v>
      </c>
      <c r="C73" s="151">
        <f>C25</f>
        <v>0</v>
      </c>
      <c r="D73" s="151">
        <f>D25</f>
        <v>15988</v>
      </c>
      <c r="E73" s="151">
        <f>E25</f>
        <v>0</v>
      </c>
      <c r="F73" s="151">
        <f>F25</f>
        <v>0</v>
      </c>
      <c r="K73" s="102"/>
      <c r="L73" s="102"/>
      <c r="M73" s="102"/>
      <c r="N73" s="102"/>
      <c r="O73" s="102"/>
    </row>
    <row r="74" spans="1:15">
      <c r="A74" s="2" t="str">
        <f>'NORTH FORK'!A56</f>
        <v>Computed Water Supply</v>
      </c>
      <c r="B74" s="145">
        <f>+ROUND(B72-B73,-1)</f>
        <v>11840</v>
      </c>
      <c r="C74" s="145">
        <f>+ROUND(C72-C73,-1)</f>
        <v>16830</v>
      </c>
      <c r="D74" s="145">
        <f>+ROUND(D72-D73,-1)</f>
        <v>30110</v>
      </c>
      <c r="E74" s="145">
        <f>+ROUND(E72-E73,-1)</f>
        <v>19630</v>
      </c>
      <c r="F74" s="145">
        <f>+ROUND(F72-F73,-1)</f>
        <v>17350</v>
      </c>
      <c r="G74" s="21"/>
      <c r="H74" s="21"/>
      <c r="I74" s="21"/>
      <c r="K74" s="102"/>
      <c r="L74" s="102"/>
      <c r="M74" s="102"/>
      <c r="N74" s="102"/>
      <c r="O74" s="102"/>
    </row>
    <row r="75" spans="1:15">
      <c r="A75" s="8" t="s">
        <v>66</v>
      </c>
      <c r="B75" s="145"/>
      <c r="C75" s="145"/>
      <c r="D75" s="145"/>
      <c r="E75" s="145"/>
      <c r="F75" s="145"/>
      <c r="K75" s="102"/>
      <c r="L75" s="102"/>
      <c r="M75" s="102"/>
      <c r="N75" s="102"/>
      <c r="O75" s="102"/>
    </row>
    <row r="76" spans="1:15" ht="15.75">
      <c r="A76" s="10" t="s">
        <v>12</v>
      </c>
      <c r="B76" s="121"/>
      <c r="C76" s="121"/>
      <c r="D76" s="121"/>
      <c r="E76" s="121"/>
      <c r="F76" s="121"/>
      <c r="K76" s="102"/>
      <c r="L76" s="102"/>
      <c r="M76" s="102"/>
      <c r="N76" s="102"/>
      <c r="O76" s="102"/>
    </row>
    <row r="77" spans="1:15">
      <c r="A77" s="2" t="str">
        <f>'NORTH FORK'!A59</f>
        <v>Colorado Percent Of Allocation</v>
      </c>
      <c r="B77" s="117">
        <f>'T2'!$D13</f>
        <v>0</v>
      </c>
      <c r="C77" s="117">
        <f>'T2'!$D13</f>
        <v>0</v>
      </c>
      <c r="D77" s="117">
        <f>'T2'!$D13</f>
        <v>0</v>
      </c>
      <c r="E77" s="117">
        <f>'T2'!$D13</f>
        <v>0</v>
      </c>
      <c r="F77" s="117">
        <f>'T2'!$D13</f>
        <v>0</v>
      </c>
      <c r="G77" s="274"/>
      <c r="H77" s="274"/>
      <c r="I77" s="274"/>
      <c r="K77" s="102"/>
      <c r="L77" s="102"/>
      <c r="M77" s="102"/>
      <c r="N77" s="102"/>
      <c r="O77" s="102"/>
    </row>
    <row r="78" spans="1:15">
      <c r="A78" s="2" t="str">
        <f>'NORTH FORK'!A60</f>
        <v>Colorado Allocation</v>
      </c>
      <c r="B78" s="145">
        <f>ROUND(+B74*B77,-1)</f>
        <v>0</v>
      </c>
      <c r="C78" s="145">
        <f>ROUND(+C74*C77,-1)</f>
        <v>0</v>
      </c>
      <c r="D78" s="145">
        <f>ROUND(+D74*D77,-1)</f>
        <v>0</v>
      </c>
      <c r="E78" s="145">
        <f>ROUND(+E74*E77,-1)</f>
        <v>0</v>
      </c>
      <c r="F78" s="145">
        <f>ROUND(+F74*F77,-1)</f>
        <v>0</v>
      </c>
      <c r="K78" s="102"/>
      <c r="L78" s="102"/>
      <c r="M78" s="102"/>
      <c r="N78" s="102"/>
      <c r="O78" s="102"/>
    </row>
    <row r="79" spans="1:15">
      <c r="A79" s="2" t="str">
        <f>'NORTH FORK'!A61</f>
        <v>Kansas Percent Of Allocation</v>
      </c>
      <c r="B79" s="117">
        <f>'T2'!$F13</f>
        <v>0.41099999999999998</v>
      </c>
      <c r="C79" s="117">
        <f>'T2'!$F13</f>
        <v>0.41099999999999998</v>
      </c>
      <c r="D79" s="117">
        <f>'T2'!$F13</f>
        <v>0.41099999999999998</v>
      </c>
      <c r="E79" s="117">
        <f>'T2'!$F13</f>
        <v>0.41099999999999998</v>
      </c>
      <c r="F79" s="117">
        <f>'T2'!$F13</f>
        <v>0.41099999999999998</v>
      </c>
      <c r="G79" s="274"/>
      <c r="H79" s="274"/>
      <c r="I79" s="274"/>
      <c r="K79" s="102"/>
      <c r="L79" s="102"/>
      <c r="M79" s="102"/>
      <c r="N79" s="102"/>
      <c r="O79" s="102"/>
    </row>
    <row r="80" spans="1:15">
      <c r="A80" s="2" t="str">
        <f>'NORTH FORK'!A62</f>
        <v>Kansas Allocation</v>
      </c>
      <c r="B80" s="145">
        <f>ROUND(B74*B79,-1)</f>
        <v>4870</v>
      </c>
      <c r="C80" s="145">
        <f>ROUND(C74*C79,-1)</f>
        <v>6920</v>
      </c>
      <c r="D80" s="145">
        <f>ROUND(D74*D79,-1)</f>
        <v>12380</v>
      </c>
      <c r="E80" s="145">
        <f>ROUND(E74*E79,-1)</f>
        <v>8070</v>
      </c>
      <c r="F80" s="145">
        <f>ROUND(F74*F79,-1)</f>
        <v>7130</v>
      </c>
      <c r="H80" s="21"/>
      <c r="I80" s="21"/>
      <c r="K80" s="102"/>
      <c r="L80" s="102"/>
      <c r="M80" s="102"/>
      <c r="N80" s="102"/>
      <c r="O80" s="102"/>
    </row>
    <row r="81" spans="1:15">
      <c r="A81" s="2" t="str">
        <f>'NORTH FORK'!A63</f>
        <v>Nebraska Percent Of Allocation</v>
      </c>
      <c r="B81" s="117">
        <f>'T2'!$H13</f>
        <v>0.41099999999999998</v>
      </c>
      <c r="C81" s="117">
        <f>'T2'!$H13</f>
        <v>0.41099999999999998</v>
      </c>
      <c r="D81" s="117">
        <f>'T2'!$H13</f>
        <v>0.41099999999999998</v>
      </c>
      <c r="E81" s="117">
        <f>'T2'!$H13</f>
        <v>0.41099999999999998</v>
      </c>
      <c r="F81" s="117">
        <f>'T2'!$H13</f>
        <v>0.41099999999999998</v>
      </c>
      <c r="G81" s="274"/>
      <c r="H81" s="274"/>
      <c r="I81" s="274"/>
      <c r="K81" s="102"/>
      <c r="L81" s="102"/>
      <c r="M81" s="102"/>
      <c r="N81" s="102"/>
      <c r="O81" s="102"/>
    </row>
    <row r="82" spans="1:15">
      <c r="A82" s="2" t="str">
        <f>'NORTH FORK'!A64</f>
        <v>Nebraska Allocation</v>
      </c>
      <c r="B82" s="145">
        <f>ROUND(B74*B81,-1)</f>
        <v>4870</v>
      </c>
      <c r="C82" s="145">
        <f>ROUND(C74*C81,-1)</f>
        <v>6920</v>
      </c>
      <c r="D82" s="145">
        <f>ROUND(D74*D81,-1)</f>
        <v>12380</v>
      </c>
      <c r="E82" s="145">
        <f>ROUND(E74*E81,-1)</f>
        <v>8070</v>
      </c>
      <c r="F82" s="145">
        <f>ROUND(F74*F81,-1)</f>
        <v>7130</v>
      </c>
      <c r="H82" s="21"/>
      <c r="I82" s="21"/>
      <c r="K82" s="102"/>
      <c r="L82" s="102"/>
      <c r="M82" s="102"/>
      <c r="N82" s="102"/>
      <c r="O82" s="102"/>
    </row>
    <row r="83" spans="1:15">
      <c r="A83" s="2" t="str">
        <f>'NORTH FORK'!A65</f>
        <v>Total Basin Allocation</v>
      </c>
      <c r="B83" s="145">
        <f>+B78+B80+B82</f>
        <v>9740</v>
      </c>
      <c r="C83" s="145">
        <f>+C78+C80+C82</f>
        <v>13840</v>
      </c>
      <c r="D83" s="145">
        <f>+D78+D80+D82</f>
        <v>24760</v>
      </c>
      <c r="E83" s="145">
        <f>+E78+E80+E82</f>
        <v>16140</v>
      </c>
      <c r="F83" s="145">
        <f>+F78+F80+F82</f>
        <v>14260</v>
      </c>
      <c r="G83" s="21"/>
      <c r="H83" s="21"/>
      <c r="I83" s="21"/>
      <c r="K83" s="102"/>
      <c r="L83" s="102"/>
      <c r="M83" s="102"/>
      <c r="N83" s="102"/>
      <c r="O83" s="102"/>
    </row>
    <row r="84" spans="1:15">
      <c r="A84" s="2" t="str">
        <f>'NORTH FORK'!A66</f>
        <v>Percent Of Supply Not Allocated</v>
      </c>
      <c r="B84" s="117">
        <f>'T2'!$J13</f>
        <v>0.17799999999999999</v>
      </c>
      <c r="C84" s="117">
        <f>'T2'!$J13</f>
        <v>0.17799999999999999</v>
      </c>
      <c r="D84" s="117">
        <f>'T2'!$J13</f>
        <v>0.17799999999999999</v>
      </c>
      <c r="E84" s="117">
        <f>'T2'!$J13</f>
        <v>0.17799999999999999</v>
      </c>
      <c r="F84" s="117">
        <f>'T2'!$J13</f>
        <v>0.17799999999999999</v>
      </c>
      <c r="G84" s="274"/>
      <c r="H84" s="274"/>
      <c r="I84" s="274"/>
      <c r="K84" s="102"/>
      <c r="L84" s="102"/>
      <c r="M84" s="102"/>
      <c r="N84" s="102"/>
      <c r="O84" s="102"/>
    </row>
    <row r="85" spans="1:15">
      <c r="A85" s="2" t="str">
        <f>'NORTH FORK'!A67</f>
        <v>Quantity Of Unallocated Supply</v>
      </c>
      <c r="B85" s="145">
        <f>+B74-B78-B80-B82</f>
        <v>2100</v>
      </c>
      <c r="C85" s="145">
        <f>+C74-C78-C80-C82</f>
        <v>2990</v>
      </c>
      <c r="D85" s="145">
        <f>+D74-D78-D80-D82</f>
        <v>5350</v>
      </c>
      <c r="E85" s="145">
        <f>+E74-E78-E80-E82</f>
        <v>3490</v>
      </c>
      <c r="F85" s="145">
        <f>+F74-F78-F80-F82</f>
        <v>3090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3"/>
  <sheetViews>
    <sheetView workbookViewId="0">
      <pane ySplit="1" topLeftCell="A14" activePane="bottomLeft" state="frozen"/>
      <selection pane="bottomLeft" activeCell="F26" sqref="F26"/>
    </sheetView>
  </sheetViews>
  <sheetFormatPr defaultRowHeight="12.75"/>
  <cols>
    <col min="1" max="1" width="69" customWidth="1"/>
  </cols>
  <sheetData>
    <row r="1" spans="1:6" ht="15.75">
      <c r="A1" s="37" t="s">
        <v>200</v>
      </c>
      <c r="B1" s="194">
        <f>INPUT!C1</f>
        <v>2017</v>
      </c>
      <c r="C1" s="194">
        <f>INPUT!D1</f>
        <v>2018</v>
      </c>
      <c r="D1" s="194">
        <f>INPUT!E1</f>
        <v>2019</v>
      </c>
      <c r="E1" s="194">
        <f>INPUT!F1</f>
        <v>2020</v>
      </c>
      <c r="F1" s="194">
        <f>INPUT!G1</f>
        <v>2021</v>
      </c>
    </row>
    <row r="2" spans="1:6">
      <c r="A2" t="s">
        <v>66</v>
      </c>
      <c r="E2" s="312"/>
      <c r="F2" s="312"/>
    </row>
    <row r="3" spans="1:6" ht="15.75">
      <c r="A3" s="9" t="s">
        <v>157</v>
      </c>
      <c r="E3" s="312"/>
      <c r="F3" s="312"/>
    </row>
    <row r="4" spans="1:6">
      <c r="A4" s="7" t="s">
        <v>158</v>
      </c>
      <c r="E4" s="312"/>
      <c r="F4" s="312"/>
    </row>
    <row r="5" spans="1:6">
      <c r="A5" s="31" t="str">
        <f>+INPUT!B58</f>
        <v>Imported Water Nebraska</v>
      </c>
      <c r="B5" s="145">
        <f>+INPUT!C58</f>
        <v>0</v>
      </c>
      <c r="C5" s="145">
        <f>+INPUT!D58</f>
        <v>0</v>
      </c>
      <c r="D5" s="145">
        <f>+INPUT!E58</f>
        <v>0</v>
      </c>
      <c r="E5" s="145">
        <f>+INPUT!F58</f>
        <v>0</v>
      </c>
      <c r="F5" s="145">
        <f>+INPUT!G58</f>
        <v>0</v>
      </c>
    </row>
    <row r="6" spans="1:6">
      <c r="A6" s="31" t="str">
        <f>+INPUT!B37</f>
        <v>GW CBCU Colorado</v>
      </c>
      <c r="B6" s="145">
        <f>+INPUT!C37</f>
        <v>0</v>
      </c>
      <c r="C6" s="145">
        <f>+INPUT!D37</f>
        <v>0</v>
      </c>
      <c r="D6" s="145">
        <f>+INPUT!E37</f>
        <v>0</v>
      </c>
      <c r="E6" s="145">
        <f>+INPUT!F37</f>
        <v>0</v>
      </c>
      <c r="F6" s="145">
        <f>+INPUT!G37</f>
        <v>0</v>
      </c>
    </row>
    <row r="7" spans="1:6">
      <c r="A7" s="31" t="str">
        <f>+INPUT!B38</f>
        <v>GW CBCU Kansas</v>
      </c>
      <c r="B7" s="145">
        <f>+INPUT!C38</f>
        <v>7551</v>
      </c>
      <c r="C7" s="145">
        <f>+INPUT!D38</f>
        <v>9886</v>
      </c>
      <c r="D7" s="145">
        <f>+INPUT!E38</f>
        <v>8738</v>
      </c>
      <c r="E7" s="145">
        <f>+INPUT!F38</f>
        <v>3668</v>
      </c>
      <c r="F7" s="145">
        <f>+INPUT!G38</f>
        <v>2724</v>
      </c>
    </row>
    <row r="8" spans="1:6" ht="12" customHeight="1">
      <c r="A8" s="31" t="str">
        <f>+INPUT!B39</f>
        <v>GW CBCU Nebraska</v>
      </c>
      <c r="B8" s="145">
        <f>+INPUT!C39</f>
        <v>0</v>
      </c>
      <c r="C8" s="145">
        <f>+INPUT!D39</f>
        <v>0</v>
      </c>
      <c r="D8" s="145">
        <f>+INPUT!E39</f>
        <v>23</v>
      </c>
      <c r="E8" s="145">
        <f>+INPUT!F39</f>
        <v>0</v>
      </c>
      <c r="F8" s="145">
        <f>+INPUT!G39</f>
        <v>0</v>
      </c>
    </row>
    <row r="9" spans="1:6">
      <c r="A9" s="2" t="s">
        <v>66</v>
      </c>
      <c r="B9" s="145"/>
      <c r="C9" s="145"/>
      <c r="D9" s="145"/>
      <c r="E9" s="145"/>
      <c r="F9" s="145"/>
    </row>
    <row r="10" spans="1:6">
      <c r="A10" s="4" t="s">
        <v>192</v>
      </c>
      <c r="B10" s="145"/>
      <c r="C10" s="145"/>
      <c r="D10" s="145"/>
      <c r="E10" s="145"/>
      <c r="F10" s="145"/>
    </row>
    <row r="11" spans="1:6">
      <c r="A11" s="35" t="str">
        <f>+INPUT!B248</f>
        <v>Almena Canal % Return Flow</v>
      </c>
      <c r="B11" s="162">
        <f>+INPUT!C248</f>
        <v>0.60558754863813224</v>
      </c>
      <c r="C11" s="162">
        <f>+INPUT!D248</f>
        <v>1</v>
      </c>
      <c r="D11" s="162">
        <f>+INPUT!E248</f>
        <v>0.5660484848484848</v>
      </c>
      <c r="E11" s="162">
        <f>+INPUT!F248</f>
        <v>0.61305396618985686</v>
      </c>
      <c r="F11" s="162">
        <f>+INPUT!G248</f>
        <v>0.57981874276899337</v>
      </c>
    </row>
    <row r="12" spans="1:6">
      <c r="A12" s="2" t="s">
        <v>66</v>
      </c>
      <c r="B12" s="145"/>
      <c r="C12" s="145"/>
      <c r="D12" s="145"/>
      <c r="E12" s="145"/>
      <c r="F12" s="145"/>
    </row>
    <row r="13" spans="1:6">
      <c r="A13" s="4" t="s">
        <v>160</v>
      </c>
      <c r="B13" s="145"/>
      <c r="C13" s="145"/>
      <c r="D13" s="145"/>
      <c r="E13" s="145"/>
      <c r="F13" s="145"/>
    </row>
    <row r="14" spans="1:6">
      <c r="A14" s="31" t="str">
        <f>+INPUT!B195</f>
        <v>Prairie Dog Creek Near Woodruff</v>
      </c>
      <c r="B14" s="145">
        <f>+INPUT!C195</f>
        <v>2181</v>
      </c>
      <c r="C14" s="145">
        <f>+INPUT!D195</f>
        <v>4205</v>
      </c>
      <c r="D14" s="145">
        <f>+INPUT!E195</f>
        <v>40960</v>
      </c>
      <c r="E14" s="145">
        <f>+INPUT!F195</f>
        <v>8281.6859504132335</v>
      </c>
      <c r="F14" s="145">
        <f>+INPUT!G195</f>
        <v>6646</v>
      </c>
    </row>
    <row r="15" spans="1:6">
      <c r="A15" s="31" t="str">
        <f>+INPUT!B223</f>
        <v>Keith Sebelius Lake Evaporation</v>
      </c>
      <c r="B15" s="145">
        <f>+INPUT!C223</f>
        <v>2203</v>
      </c>
      <c r="C15" s="145">
        <f>+INPUT!D223</f>
        <v>1399</v>
      </c>
      <c r="D15" s="145">
        <f>+INPUT!E223</f>
        <v>2714</v>
      </c>
      <c r="E15" s="145">
        <f>+INPUT!F223</f>
        <v>4594</v>
      </c>
      <c r="F15" s="145">
        <f>+INPUT!G223</f>
        <v>3342</v>
      </c>
    </row>
    <row r="16" spans="1:6">
      <c r="A16" s="31" t="str">
        <f>+INPUT!B224</f>
        <v>Keith Sebelius Lake Change In Storage</v>
      </c>
      <c r="B16" s="145">
        <f>+INPUT!C224</f>
        <v>340</v>
      </c>
      <c r="C16" s="145">
        <f>+INPUT!D224</f>
        <v>3191</v>
      </c>
      <c r="D16" s="145">
        <f>+INPUT!E224</f>
        <v>9259</v>
      </c>
      <c r="E16" s="145">
        <f>+INPUT!F224</f>
        <v>-4632</v>
      </c>
      <c r="F16" s="145">
        <f>+INPUT!G224</f>
        <v>-3444</v>
      </c>
    </row>
    <row r="17" spans="1:6">
      <c r="A17" s="63" t="str">
        <f>+INPUT!B247</f>
        <v>Almena Canal Diversions</v>
      </c>
      <c r="B17" s="146">
        <f>+INPUT!C247</f>
        <v>771</v>
      </c>
      <c r="C17" s="146">
        <f>+INPUT!D247</f>
        <v>0</v>
      </c>
      <c r="D17" s="146">
        <f>+INPUT!E247</f>
        <v>1320</v>
      </c>
      <c r="E17" s="146">
        <f>+INPUT!F247</f>
        <v>3076</v>
      </c>
      <c r="F17" s="146">
        <f>+INPUT!G247</f>
        <v>2593</v>
      </c>
    </row>
    <row r="18" spans="1:6">
      <c r="A18" s="63" t="str">
        <f>+INPUT!B132</f>
        <v>SW Diversions - Irrigation - Non-Federal Canals- Kansas</v>
      </c>
      <c r="B18" s="146">
        <f>+INPUT!C132</f>
        <v>0</v>
      </c>
      <c r="C18" s="146">
        <f>+INPUT!D132</f>
        <v>0</v>
      </c>
      <c r="D18" s="146">
        <f>+INPUT!E132</f>
        <v>0</v>
      </c>
      <c r="E18" s="146">
        <f>+INPUT!F132</f>
        <v>0</v>
      </c>
      <c r="F18" s="146">
        <f>+INPUT!G132</f>
        <v>0</v>
      </c>
    </row>
    <row r="19" spans="1:6">
      <c r="A19" s="63" t="str">
        <f>+INPUT!B133</f>
        <v>SW Diversions - Irrigation - Small Pumps - Kansas</v>
      </c>
      <c r="B19" s="146">
        <f>+INPUT!C133</f>
        <v>412</v>
      </c>
      <c r="C19" s="146">
        <f>+INPUT!D133</f>
        <v>436</v>
      </c>
      <c r="D19" s="146">
        <f>+INPUT!E133</f>
        <v>908</v>
      </c>
      <c r="E19" s="146">
        <f>+INPUT!F133</f>
        <v>1392.21</v>
      </c>
      <c r="F19" s="146">
        <f>+INPUT!G133</f>
        <v>519</v>
      </c>
    </row>
    <row r="20" spans="1:6">
      <c r="A20" s="63" t="str">
        <f>+INPUT!B134</f>
        <v>SW Diversions - M&amp;I - Kansas</v>
      </c>
      <c r="B20" s="146">
        <f>+INPUT!C134</f>
        <v>369</v>
      </c>
      <c r="C20" s="146">
        <f>+INPUT!D134</f>
        <v>307</v>
      </c>
      <c r="D20" s="146">
        <f>+INPUT!E134</f>
        <v>288</v>
      </c>
      <c r="E20" s="146">
        <f>+INPUT!F134</f>
        <v>361</v>
      </c>
      <c r="F20" s="146">
        <f>+INPUT!G134</f>
        <v>376</v>
      </c>
    </row>
    <row r="21" spans="1:6">
      <c r="A21" s="63" t="str">
        <f>+INPUT!B135</f>
        <v>SW Diversions - Irrigation - Non-Federal Canals - Nebraska -Below Gage</v>
      </c>
      <c r="B21" s="146">
        <f>+INPUT!C135</f>
        <v>0</v>
      </c>
      <c r="C21" s="146">
        <f>+INPUT!D135</f>
        <v>0</v>
      </c>
      <c r="D21" s="146">
        <f>+INPUT!E135</f>
        <v>0</v>
      </c>
      <c r="E21" s="146">
        <f>+INPUT!F135</f>
        <v>0</v>
      </c>
      <c r="F21" s="146">
        <f>+INPUT!G135</f>
        <v>0</v>
      </c>
    </row>
    <row r="22" spans="1:6">
      <c r="A22" s="63" t="str">
        <f>+INPUT!B136</f>
        <v>SW Diversions - Irrigation - Small Pumps -Nebraska - Below Gage</v>
      </c>
      <c r="B22" s="146">
        <f>+INPUT!C136</f>
        <v>96.929900000000004</v>
      </c>
      <c r="C22" s="146">
        <f>+INPUT!D136</f>
        <v>110.24238380341461</v>
      </c>
      <c r="D22" s="146">
        <f>+INPUT!E136</f>
        <v>196</v>
      </c>
      <c r="E22" s="146">
        <f>+INPUT!F136</f>
        <v>171.77234913286273</v>
      </c>
      <c r="F22" s="146">
        <f>+INPUT!G136</f>
        <v>92</v>
      </c>
    </row>
    <row r="23" spans="1:6">
      <c r="A23" s="63" t="str">
        <f>+INPUT!B137</f>
        <v>SW Diversions - M&amp;I - Nebraska - Below Gage</v>
      </c>
      <c r="B23" s="146">
        <f>+INPUT!C137</f>
        <v>0</v>
      </c>
      <c r="C23" s="146">
        <f>+INPUT!D137</f>
        <v>0</v>
      </c>
      <c r="D23" s="146">
        <f>+INPUT!E137</f>
        <v>0</v>
      </c>
      <c r="E23" s="146">
        <f>+INPUT!F137</f>
        <v>0</v>
      </c>
      <c r="F23" s="146">
        <f>+INPUT!G137</f>
        <v>0</v>
      </c>
    </row>
    <row r="24" spans="1:6">
      <c r="A24" s="63" t="str">
        <f>+INPUT!B177</f>
        <v>Non-Federal Reservoir Evaporation - Kansas</v>
      </c>
      <c r="B24" s="146">
        <f>+INPUT!C177</f>
        <v>227</v>
      </c>
      <c r="C24" s="146">
        <f>+INPUT!D177</f>
        <v>140.60064060333332</v>
      </c>
      <c r="D24" s="146">
        <f>+INPUT!E177</f>
        <v>194</v>
      </c>
      <c r="E24" s="146">
        <f>+INPUT!F177</f>
        <v>333.31</v>
      </c>
      <c r="F24" s="146">
        <f>+INPUT!G177</f>
        <v>270.39</v>
      </c>
    </row>
    <row r="25" spans="1:6">
      <c r="A25" s="63" t="str">
        <f>+INPUT!B178</f>
        <v>Non-Federal Reservoir Evaporation - Nebraska</v>
      </c>
      <c r="B25" s="146">
        <f>+INPUT!C178</f>
        <v>9.5476733330000005</v>
      </c>
      <c r="C25" s="146">
        <f>+INPUT!D178</f>
        <v>7.2230666666666599</v>
      </c>
      <c r="D25" s="146">
        <f>+INPUT!E178</f>
        <v>13</v>
      </c>
      <c r="E25" s="146">
        <f>+INPUT!F178</f>
        <v>26.417954791666659</v>
      </c>
      <c r="F25" s="146">
        <f>+INPUT!G178</f>
        <v>12</v>
      </c>
    </row>
    <row r="26" spans="1:6">
      <c r="A26" s="138" t="str">
        <f>+FLOOD!A68</f>
        <v>Prairie Dog Flood Flow</v>
      </c>
      <c r="B26" s="146">
        <f>+FLOOD!B68</f>
        <v>0</v>
      </c>
      <c r="C26" s="146">
        <f>+FLOOD!C68</f>
        <v>0</v>
      </c>
      <c r="D26" s="146">
        <f>+FLOOD!D68</f>
        <v>25260</v>
      </c>
      <c r="E26" s="146">
        <f>+FLOOD!E68</f>
        <v>0</v>
      </c>
      <c r="F26" s="146">
        <f>+FLOOD!F68</f>
        <v>0</v>
      </c>
    </row>
    <row r="27" spans="1:6">
      <c r="A27" s="64" t="s">
        <v>66</v>
      </c>
      <c r="B27" s="146"/>
      <c r="C27" s="146"/>
      <c r="D27" s="146"/>
      <c r="E27" s="146"/>
      <c r="F27" s="146"/>
    </row>
    <row r="28" spans="1:6" ht="15.75">
      <c r="A28" s="65" t="s">
        <v>241</v>
      </c>
      <c r="B28" s="157"/>
      <c r="C28" s="157"/>
      <c r="D28" s="157"/>
      <c r="E28" s="157"/>
      <c r="F28" s="157"/>
    </row>
    <row r="29" spans="1:6">
      <c r="A29" s="51" t="s">
        <v>0</v>
      </c>
      <c r="B29" s="156"/>
      <c r="C29" s="156"/>
      <c r="D29" s="156"/>
      <c r="E29" s="156"/>
      <c r="F29" s="156"/>
    </row>
    <row r="30" spans="1:6">
      <c r="A30" s="52" t="str">
        <f>'NORTH FORK'!A38</f>
        <v>GW CBCU</v>
      </c>
      <c r="B30" s="156">
        <f>+B6</f>
        <v>0</v>
      </c>
      <c r="C30" s="156">
        <f>+C6</f>
        <v>0</v>
      </c>
      <c r="D30" s="156">
        <f>+D6</f>
        <v>0</v>
      </c>
      <c r="E30" s="156">
        <f>+E6</f>
        <v>0</v>
      </c>
      <c r="F30" s="156">
        <f>+F6</f>
        <v>0</v>
      </c>
    </row>
    <row r="31" spans="1:6">
      <c r="A31" s="52" t="str">
        <f>'NORTH FORK'!A39</f>
        <v>Total CBCU</v>
      </c>
      <c r="B31" s="156">
        <f>(ROUND(SUM(B30:B30),-1))</f>
        <v>0</v>
      </c>
      <c r="C31" s="156">
        <f>(ROUND(SUM(C30:C30),-1))</f>
        <v>0</v>
      </c>
      <c r="D31" s="156">
        <f>(ROUND(SUM(D30:D30),-1))</f>
        <v>0</v>
      </c>
      <c r="E31" s="156">
        <f>(ROUND(SUM(E30:E30),-1))</f>
        <v>0</v>
      </c>
      <c r="F31" s="156">
        <f>(ROUND(SUM(F30:F30),-1))</f>
        <v>0</v>
      </c>
    </row>
    <row r="32" spans="1:6">
      <c r="A32" s="52" t="s">
        <v>66</v>
      </c>
      <c r="B32" s="156"/>
      <c r="C32" s="156"/>
      <c r="D32" s="156"/>
      <c r="E32" s="156"/>
      <c r="F32" s="156"/>
    </row>
    <row r="33" spans="1:6">
      <c r="A33" s="51" t="s">
        <v>161</v>
      </c>
      <c r="B33" s="156"/>
      <c r="C33" s="156"/>
      <c r="D33" s="156"/>
      <c r="E33" s="156"/>
      <c r="F33" s="156"/>
    </row>
    <row r="34" spans="1:6">
      <c r="A34" s="52" t="str">
        <f>(LEFT(A17,13))&amp;" "&amp;"CBCU"</f>
        <v>Almena Canal  CBCU</v>
      </c>
      <c r="B34" s="156">
        <f>+B17*(1-B11)</f>
        <v>304.09200000000004</v>
      </c>
      <c r="C34" s="156">
        <f>+C17*(1-C11)</f>
        <v>0</v>
      </c>
      <c r="D34" s="156">
        <f>+D17*(1-D11)</f>
        <v>572.81600000000003</v>
      </c>
      <c r="E34" s="156">
        <f>+E17*(1-E11)</f>
        <v>1190.2460000000003</v>
      </c>
      <c r="F34" s="156">
        <f>+F17*(1-F11)</f>
        <v>1089.5300000000002</v>
      </c>
    </row>
    <row r="35" spans="1:6">
      <c r="A35" s="52" t="str">
        <f>'NORTH FORK'!A23</f>
        <v>SW CBCU - Irrigation - Non Federal Canals</v>
      </c>
      <c r="B35" s="156">
        <f>+B18*CanalCUPercent1</f>
        <v>0</v>
      </c>
      <c r="C35" s="156">
        <f>+C18*CanalCUPercent2</f>
        <v>0</v>
      </c>
      <c r="D35" s="156">
        <f>+D18*CanalCUPercent3</f>
        <v>0</v>
      </c>
      <c r="E35" s="156">
        <f>+E18*CanalCUPercent4</f>
        <v>0</v>
      </c>
      <c r="F35" s="156">
        <f>+F18*CanalCUPercent5</f>
        <v>0</v>
      </c>
    </row>
    <row r="36" spans="1:6">
      <c r="A36" s="52" t="str">
        <f>'NORTH FORK'!A24</f>
        <v>SW CBCU - Irrigation - Small Pumps</v>
      </c>
      <c r="B36" s="156">
        <f>+B19*PumperCUPercent1</f>
        <v>309</v>
      </c>
      <c r="C36" s="156">
        <f>+C19*PumperCUPercent2</f>
        <v>327</v>
      </c>
      <c r="D36" s="156">
        <f>+D19*PumperCUPercent3</f>
        <v>681</v>
      </c>
      <c r="E36" s="156">
        <f>+E19*PumperCUPercent4</f>
        <v>1044.1575</v>
      </c>
      <c r="F36" s="156">
        <f>+F19*PumperCUPercent5</f>
        <v>389.25</v>
      </c>
    </row>
    <row r="37" spans="1:6">
      <c r="A37" s="52" t="str">
        <f>'NORTH FORK'!A25</f>
        <v>SW CBCU - M&amp;I</v>
      </c>
      <c r="B37" s="156">
        <f>+B20*MI_CUPercent1</f>
        <v>184.5</v>
      </c>
      <c r="C37" s="156">
        <f>+C20*MI_CUPercent2</f>
        <v>153.5</v>
      </c>
      <c r="D37" s="156">
        <f>+D20*MI_CUPercent3</f>
        <v>144</v>
      </c>
      <c r="E37" s="156">
        <f>+E20*MI_CUPercent4</f>
        <v>180.5</v>
      </c>
      <c r="F37" s="156">
        <f>+F20*MI_CUPercent5</f>
        <v>188</v>
      </c>
    </row>
    <row r="38" spans="1:6">
      <c r="A38" s="52" t="str">
        <f>A15</f>
        <v>Keith Sebelius Lake Evaporation</v>
      </c>
      <c r="B38" s="156">
        <f>+B15</f>
        <v>2203</v>
      </c>
      <c r="C38" s="156">
        <f>+C15</f>
        <v>1399</v>
      </c>
      <c r="D38" s="156">
        <f>+D15</f>
        <v>2714</v>
      </c>
      <c r="E38" s="156">
        <f>+E15</f>
        <v>4594</v>
      </c>
      <c r="F38" s="156">
        <f>+F15</f>
        <v>3342</v>
      </c>
    </row>
    <row r="39" spans="1:6">
      <c r="A39" s="55" t="str">
        <f>'NORTH FORK'!A26</f>
        <v>Non-Federal Reservoir Evaporation</v>
      </c>
      <c r="B39" s="156">
        <f>B24</f>
        <v>227</v>
      </c>
      <c r="C39" s="156">
        <f>C24</f>
        <v>140.60064060333332</v>
      </c>
      <c r="D39" s="156">
        <f>D24</f>
        <v>194</v>
      </c>
      <c r="E39" s="156">
        <f>E24</f>
        <v>333.31</v>
      </c>
      <c r="F39" s="156">
        <f>F24</f>
        <v>270.39</v>
      </c>
    </row>
    <row r="40" spans="1:6">
      <c r="A40" s="55" t="str">
        <f>'NORTH FORK'!A27</f>
        <v>SW CBCU</v>
      </c>
      <c r="B40" s="156">
        <f>B34+B35+B36+B37+B38+B39</f>
        <v>3227.5920000000001</v>
      </c>
      <c r="C40" s="156">
        <f>C34+C35+C36+C37+C38+C39</f>
        <v>2020.1006406033334</v>
      </c>
      <c r="D40" s="156">
        <f>D34+D35+D36+D37+D38+D39</f>
        <v>4305.8159999999998</v>
      </c>
      <c r="E40" s="156">
        <f>E34+E35+E36+E37+E38+E39</f>
        <v>7342.2135000000007</v>
      </c>
      <c r="F40" s="156">
        <f>F34+F35+F36+F37+F38+F39</f>
        <v>5279.170000000001</v>
      </c>
    </row>
    <row r="41" spans="1:6">
      <c r="A41" s="55" t="str">
        <f>'NORTH FORK'!A28</f>
        <v>GW CBCU</v>
      </c>
      <c r="B41" s="156">
        <f>+B7</f>
        <v>7551</v>
      </c>
      <c r="C41" s="156">
        <f>+C7</f>
        <v>9886</v>
      </c>
      <c r="D41" s="156">
        <f>+D7</f>
        <v>8738</v>
      </c>
      <c r="E41" s="156">
        <f>+E7</f>
        <v>3668</v>
      </c>
      <c r="F41" s="156">
        <f>+F7</f>
        <v>2724</v>
      </c>
    </row>
    <row r="42" spans="1:6">
      <c r="A42" s="55" t="str">
        <f>'NORTH FORK'!A29</f>
        <v>Total CBCU</v>
      </c>
      <c r="B42" s="156">
        <f>(ROUND(SUM(B40:B41),-1))</f>
        <v>10780</v>
      </c>
      <c r="C42" s="156">
        <f>(ROUND(SUM(C40:C41),-1))</f>
        <v>11910</v>
      </c>
      <c r="D42" s="156">
        <f>(ROUND(SUM(D40:D41),-1))</f>
        <v>13040</v>
      </c>
      <c r="E42" s="156">
        <f>(ROUND(SUM(E40:E41),-1))</f>
        <v>11010</v>
      </c>
      <c r="F42" s="156">
        <f>(ROUND(SUM(F40:F41),-1))</f>
        <v>8000</v>
      </c>
    </row>
    <row r="43" spans="1:6">
      <c r="A43" s="52" t="s">
        <v>66</v>
      </c>
      <c r="B43" s="156"/>
      <c r="C43" s="156"/>
      <c r="D43" s="156"/>
      <c r="E43" s="156"/>
      <c r="F43" s="156"/>
    </row>
    <row r="44" spans="1:6">
      <c r="A44" s="51" t="s">
        <v>1</v>
      </c>
      <c r="B44" s="156"/>
      <c r="C44" s="156"/>
      <c r="D44" s="156"/>
      <c r="E44" s="156"/>
      <c r="F44" s="156"/>
    </row>
    <row r="45" spans="1:6">
      <c r="A45" s="55" t="s">
        <v>217</v>
      </c>
      <c r="B45" s="156">
        <f>B21*CanalCUPercent1</f>
        <v>0</v>
      </c>
      <c r="C45" s="156">
        <f>C21*CanalCUPercent2</f>
        <v>0</v>
      </c>
      <c r="D45" s="156">
        <f>D21*CanalCUPercent3</f>
        <v>0</v>
      </c>
      <c r="E45" s="156">
        <f>E21*CanalCUPercent4</f>
        <v>0</v>
      </c>
      <c r="F45" s="156">
        <f>F21*CanalCUPercent5</f>
        <v>0</v>
      </c>
    </row>
    <row r="46" spans="1:6">
      <c r="A46" s="55" t="s">
        <v>409</v>
      </c>
      <c r="B46" s="156">
        <f>B22*PumperCUPercent1</f>
        <v>72.69742500000001</v>
      </c>
      <c r="C46" s="156">
        <f>C22*PumperCUPercent2</f>
        <v>82.681787852560959</v>
      </c>
      <c r="D46" s="156">
        <f>D22*PumperCUPercent3</f>
        <v>147</v>
      </c>
      <c r="E46" s="156">
        <f>E22*PumperCUPercent4</f>
        <v>128.82926184964705</v>
      </c>
      <c r="F46" s="156">
        <f>F22*PumperCUPercent5</f>
        <v>69</v>
      </c>
    </row>
    <row r="47" spans="1:6">
      <c r="A47" s="55" t="s">
        <v>175</v>
      </c>
      <c r="B47" s="156">
        <f>B23*MI_CUPercent1</f>
        <v>0</v>
      </c>
      <c r="C47" s="156">
        <f>C23*MI_CUPercent2</f>
        <v>0</v>
      </c>
      <c r="D47" s="156">
        <f>D23*MI_CUPercent3</f>
        <v>0</v>
      </c>
      <c r="E47" s="156">
        <f>E23*MI_CUPercent4</f>
        <v>0</v>
      </c>
      <c r="F47" s="156">
        <f>F23*MI_CUPercent5</f>
        <v>0</v>
      </c>
    </row>
    <row r="48" spans="1:6">
      <c r="A48" s="55" t="str">
        <f>'NORTH FORK'!A26</f>
        <v>Non-Federal Reservoir Evaporation</v>
      </c>
      <c r="B48" s="156">
        <f>B25</f>
        <v>9.5476733330000005</v>
      </c>
      <c r="C48" s="156">
        <f>C25</f>
        <v>7.2230666666666599</v>
      </c>
      <c r="D48" s="156">
        <f>D25</f>
        <v>13</v>
      </c>
      <c r="E48" s="156">
        <f>E25</f>
        <v>26.417954791666659</v>
      </c>
      <c r="F48" s="156">
        <f>F25</f>
        <v>12</v>
      </c>
    </row>
    <row r="49" spans="1:6">
      <c r="A49" s="55" t="str">
        <f>'NORTH FORK'!A27</f>
        <v>SW CBCU</v>
      </c>
      <c r="B49" s="156">
        <f>B45+B46+B47+B48</f>
        <v>82.245098333000016</v>
      </c>
      <c r="C49" s="156">
        <f>C45+C46+C47+C48</f>
        <v>89.904854519227612</v>
      </c>
      <c r="D49" s="156">
        <f>D45+D46+D47+D48</f>
        <v>160</v>
      </c>
      <c r="E49" s="156">
        <f>E45+E46+E47+E48</f>
        <v>155.24721664131371</v>
      </c>
      <c r="F49" s="156">
        <f>F45+F46+F47+F48</f>
        <v>81</v>
      </c>
    </row>
    <row r="50" spans="1:6">
      <c r="A50" s="55" t="str">
        <f>'NORTH FORK'!A28</f>
        <v>GW CBCU</v>
      </c>
      <c r="B50" s="156">
        <f>+B8</f>
        <v>0</v>
      </c>
      <c r="C50" s="156">
        <f>+C8</f>
        <v>0</v>
      </c>
      <c r="D50" s="156">
        <f>+D8</f>
        <v>23</v>
      </c>
      <c r="E50" s="156">
        <f>+E8</f>
        <v>0</v>
      </c>
      <c r="F50" s="156">
        <f>+F8</f>
        <v>0</v>
      </c>
    </row>
    <row r="51" spans="1:6">
      <c r="A51" s="55" t="str">
        <f>'NORTH FORK'!A29</f>
        <v>Total CBCU</v>
      </c>
      <c r="B51" s="156">
        <f>(ROUND(SUM(B49:B50),-1))</f>
        <v>80</v>
      </c>
      <c r="C51" s="156">
        <f>(ROUND(SUM(C49:C50),-1))</f>
        <v>90</v>
      </c>
      <c r="D51" s="156">
        <f>(ROUND(SUM(D49:D50),-1))</f>
        <v>180</v>
      </c>
      <c r="E51" s="156">
        <f>(ROUND(SUM(E49:E50),-1))</f>
        <v>160</v>
      </c>
      <c r="F51" s="156">
        <f>(ROUND(SUM(F49:F50),-1))</f>
        <v>80</v>
      </c>
    </row>
    <row r="52" spans="1:6">
      <c r="A52" s="55" t="s">
        <v>66</v>
      </c>
      <c r="B52" s="156"/>
      <c r="C52" s="156"/>
      <c r="D52" s="156"/>
      <c r="E52" s="156"/>
      <c r="F52" s="156"/>
    </row>
    <row r="53" spans="1:6">
      <c r="A53" s="56" t="s">
        <v>328</v>
      </c>
      <c r="B53" s="156"/>
      <c r="C53" s="156"/>
      <c r="D53" s="156"/>
      <c r="E53" s="156"/>
      <c r="F53" s="156"/>
    </row>
    <row r="54" spans="1:6">
      <c r="A54" s="52" t="s">
        <v>227</v>
      </c>
      <c r="B54" s="156">
        <f>B45+B46+B47+B48</f>
        <v>82.245098333000016</v>
      </c>
      <c r="C54" s="156">
        <f>C45+C46+C47+C48</f>
        <v>89.904854519227612</v>
      </c>
      <c r="D54" s="156">
        <f>D45+D46+D47+D48</f>
        <v>160</v>
      </c>
      <c r="E54" s="156">
        <f>E45+E46+E47+E48</f>
        <v>155.24721664131371</v>
      </c>
      <c r="F54" s="156">
        <f>F45+F46+F47+F48</f>
        <v>81</v>
      </c>
    </row>
    <row r="55" spans="1:6">
      <c r="A55" s="55" t="s">
        <v>201</v>
      </c>
      <c r="B55" s="156">
        <f>SUM(B54:B54)</f>
        <v>82.245098333000016</v>
      </c>
      <c r="C55" s="156">
        <f>SUM(C54:C54)</f>
        <v>89.904854519227612</v>
      </c>
      <c r="D55" s="156">
        <f>SUM(D54:D54)</f>
        <v>160</v>
      </c>
      <c r="E55" s="156">
        <f>SUM(E54:E54)</f>
        <v>155.24721664131371</v>
      </c>
      <c r="F55" s="156">
        <f>SUM(F54:F54)</f>
        <v>81</v>
      </c>
    </row>
    <row r="56" spans="1:6">
      <c r="A56" s="55" t="s">
        <v>66</v>
      </c>
      <c r="B56" s="156"/>
      <c r="C56" s="156"/>
      <c r="D56" s="156"/>
      <c r="E56" s="156"/>
      <c r="F56" s="156"/>
    </row>
    <row r="57" spans="1:6">
      <c r="A57" s="56" t="s">
        <v>162</v>
      </c>
      <c r="B57" s="156"/>
      <c r="C57" s="156"/>
      <c r="D57" s="156"/>
      <c r="E57" s="156"/>
      <c r="F57" s="156"/>
    </row>
    <row r="58" spans="1:6">
      <c r="A58" s="55" t="str">
        <f>'NORTH FORK'!A42</f>
        <v>Total SW CBCU</v>
      </c>
      <c r="B58" s="156">
        <f>+B40+B49</f>
        <v>3309.8370983330001</v>
      </c>
      <c r="C58" s="156">
        <f>+C40+C49</f>
        <v>2110.0054951225611</v>
      </c>
      <c r="D58" s="156">
        <f>+D40+D49</f>
        <v>4465.8159999999998</v>
      </c>
      <c r="E58" s="156">
        <f>+E40+E49</f>
        <v>7497.4607166413143</v>
      </c>
      <c r="F58" s="156">
        <f>+F40+F49</f>
        <v>5360.170000000001</v>
      </c>
    </row>
    <row r="59" spans="1:6">
      <c r="A59" s="55" t="str">
        <f>'NORTH FORK'!A43</f>
        <v>Total GW CBCU</v>
      </c>
      <c r="B59" s="156">
        <f>+B30+B41+B50</f>
        <v>7551</v>
      </c>
      <c r="C59" s="156">
        <f>+C30+C41+C50</f>
        <v>9886</v>
      </c>
      <c r="D59" s="156">
        <f>+D30+D41+D50</f>
        <v>8761</v>
      </c>
      <c r="E59" s="156">
        <f>+E30+E41+E50</f>
        <v>3668</v>
      </c>
      <c r="F59" s="156">
        <f>+F30+F41+F50</f>
        <v>2724</v>
      </c>
    </row>
    <row r="60" spans="1:6">
      <c r="A60" s="55" t="str">
        <f>'NORTH FORK'!A44</f>
        <v>Total Basin CBCU</v>
      </c>
      <c r="B60" s="156">
        <f>SUM(B58:B59)</f>
        <v>10860.837098333001</v>
      </c>
      <c r="C60" s="156">
        <f>SUM(C58:C59)</f>
        <v>11996.005495122561</v>
      </c>
      <c r="D60" s="156">
        <f>SUM(D58:D59)</f>
        <v>13226.815999999999</v>
      </c>
      <c r="E60" s="156">
        <f>SUM(E58:E59)</f>
        <v>11165.460716641315</v>
      </c>
      <c r="F60" s="156">
        <f>SUM(F58:F59)</f>
        <v>8084.170000000001</v>
      </c>
    </row>
    <row r="61" spans="1:6">
      <c r="A61" s="55" t="s">
        <v>66</v>
      </c>
      <c r="B61" s="156"/>
      <c r="C61" s="156"/>
      <c r="D61" s="156"/>
      <c r="E61" s="156"/>
      <c r="F61" s="156"/>
    </row>
    <row r="62" spans="1:6" ht="15.75">
      <c r="A62" s="57" t="s">
        <v>10</v>
      </c>
      <c r="B62" s="157"/>
      <c r="C62" s="157"/>
      <c r="D62" s="157"/>
      <c r="E62" s="157"/>
      <c r="F62" s="157"/>
    </row>
    <row r="63" spans="1:6">
      <c r="A63" s="59" t="str">
        <f t="shared" ref="A63:F63" si="0">A14</f>
        <v>Prairie Dog Creek Near Woodruff</v>
      </c>
      <c r="B63" s="157">
        <f t="shared" si="0"/>
        <v>2181</v>
      </c>
      <c r="C63" s="157">
        <f t="shared" si="0"/>
        <v>4205</v>
      </c>
      <c r="D63" s="157">
        <f t="shared" si="0"/>
        <v>40960</v>
      </c>
      <c r="E63" s="157">
        <f t="shared" si="0"/>
        <v>8281.6859504132335</v>
      </c>
      <c r="F63" s="157">
        <f t="shared" si="0"/>
        <v>6646</v>
      </c>
    </row>
    <row r="64" spans="1:6">
      <c r="A64" s="58" t="str">
        <f>'NORTH FORK'!A49</f>
        <v>Colorado CBCU</v>
      </c>
      <c r="B64" s="157">
        <f>+B31</f>
        <v>0</v>
      </c>
      <c r="C64" s="157">
        <f>+C31</f>
        <v>0</v>
      </c>
      <c r="D64" s="157">
        <f>+D31</f>
        <v>0</v>
      </c>
      <c r="E64" s="157">
        <f>+E31</f>
        <v>0</v>
      </c>
      <c r="F64" s="157">
        <f>+F31</f>
        <v>0</v>
      </c>
    </row>
    <row r="65" spans="1:6">
      <c r="A65" s="58" t="str">
        <f>'NORTH FORK'!A50</f>
        <v>Kansas CBCU</v>
      </c>
      <c r="B65" s="163">
        <f>+B42</f>
        <v>10780</v>
      </c>
      <c r="C65" s="163">
        <f>+C42</f>
        <v>11910</v>
      </c>
      <c r="D65" s="163">
        <f>+D42</f>
        <v>13040</v>
      </c>
      <c r="E65" s="163">
        <f>+E42</f>
        <v>11010</v>
      </c>
      <c r="F65" s="163">
        <f>+F42</f>
        <v>8000</v>
      </c>
    </row>
    <row r="66" spans="1:6">
      <c r="A66" s="58" t="str">
        <f>'NORTH FORK'!A51</f>
        <v>Nebraska CBCU</v>
      </c>
      <c r="B66" s="157">
        <f>B51</f>
        <v>80</v>
      </c>
      <c r="C66" s="157">
        <f>C51</f>
        <v>90</v>
      </c>
      <c r="D66" s="157">
        <f>D51</f>
        <v>180</v>
      </c>
      <c r="E66" s="157">
        <f>E51</f>
        <v>160</v>
      </c>
      <c r="F66" s="157">
        <f>F51</f>
        <v>80</v>
      </c>
    </row>
    <row r="67" spans="1:6">
      <c r="A67" s="58" t="s">
        <v>227</v>
      </c>
      <c r="B67" s="157">
        <f>B54</f>
        <v>82.245098333000016</v>
      </c>
      <c r="C67" s="157">
        <f>C54</f>
        <v>89.904854519227612</v>
      </c>
      <c r="D67" s="157">
        <f>D54</f>
        <v>160</v>
      </c>
      <c r="E67" s="157">
        <f>E54</f>
        <v>155.24721664131371</v>
      </c>
      <c r="F67" s="157">
        <f>F54</f>
        <v>81</v>
      </c>
    </row>
    <row r="68" spans="1:6">
      <c r="A68" s="58" t="str">
        <f>A16</f>
        <v>Keith Sebelius Lake Change In Storage</v>
      </c>
      <c r="B68" s="157">
        <f>+B16</f>
        <v>340</v>
      </c>
      <c r="C68" s="157">
        <f>+C16</f>
        <v>3191</v>
      </c>
      <c r="D68" s="157">
        <f>+D16</f>
        <v>9259</v>
      </c>
      <c r="E68" s="157">
        <f>+E16</f>
        <v>-4632</v>
      </c>
      <c r="F68" s="157">
        <f>+F16</f>
        <v>-3444</v>
      </c>
    </row>
    <row r="69" spans="1:6">
      <c r="A69" s="58" t="str">
        <f>'NORTH FORK'!A52</f>
        <v>Imported Water</v>
      </c>
      <c r="B69" s="157">
        <f>+B5</f>
        <v>0</v>
      </c>
      <c r="C69" s="157">
        <f>+C5</f>
        <v>0</v>
      </c>
      <c r="D69" s="157">
        <f>+D5</f>
        <v>0</v>
      </c>
      <c r="E69" s="157">
        <f>+E5</f>
        <v>0</v>
      </c>
      <c r="F69" s="157">
        <f>+F5</f>
        <v>0</v>
      </c>
    </row>
    <row r="70" spans="1:6">
      <c r="A70" s="58" t="str">
        <f>'NORTH FORK'!A54</f>
        <v>Virgin Water Supply</v>
      </c>
      <c r="B70" s="157">
        <f>ROUND(SUM(B63:B66)+B68-B69-B67,-1)</f>
        <v>13300</v>
      </c>
      <c r="C70" s="157">
        <f>ROUND(SUM(C63:C66)+C68-C69-C67,-1)</f>
        <v>19310</v>
      </c>
      <c r="D70" s="157">
        <f>ROUND(SUM(D63:D66)+D68-D69-D67,-1)</f>
        <v>63280</v>
      </c>
      <c r="E70" s="157">
        <f>ROUND(SUM(E63:E66)+E68-E69-E67,-1)</f>
        <v>14660</v>
      </c>
      <c r="F70" s="157">
        <f>ROUND(SUM(F63:F66)+F68-F69-F67,-1)</f>
        <v>11200</v>
      </c>
    </row>
    <row r="71" spans="1:6">
      <c r="A71" s="58" t="str">
        <f>'NORTH FORK'!A55</f>
        <v>Adjustment For Flood Flows</v>
      </c>
      <c r="B71" s="157">
        <f>B26</f>
        <v>0</v>
      </c>
      <c r="C71" s="157">
        <f>C26</f>
        <v>0</v>
      </c>
      <c r="D71" s="157">
        <f>D26</f>
        <v>25260</v>
      </c>
      <c r="E71" s="157">
        <f>E26</f>
        <v>0</v>
      </c>
      <c r="F71" s="157">
        <f>F26</f>
        <v>0</v>
      </c>
    </row>
    <row r="72" spans="1:6">
      <c r="A72" s="58" t="str">
        <f>'NORTH FORK'!A56</f>
        <v>Computed Water Supply</v>
      </c>
      <c r="B72" s="157">
        <f>ROUND(+B70-B71-B68,-1)</f>
        <v>12960</v>
      </c>
      <c r="C72" s="157">
        <f>ROUND(+C70-C71-C68,-1)</f>
        <v>16120</v>
      </c>
      <c r="D72" s="157">
        <f>ROUND(+D70-D71-D68,-1)</f>
        <v>28760</v>
      </c>
      <c r="E72" s="157">
        <f>ROUND(+E70-E71-E68,-1)</f>
        <v>19290</v>
      </c>
      <c r="F72" s="157">
        <f>ROUND(+F70-F71-F68,-1)</f>
        <v>14640</v>
      </c>
    </row>
    <row r="73" spans="1:6">
      <c r="A73" s="60" t="s">
        <v>66</v>
      </c>
      <c r="B73" s="157"/>
      <c r="C73" s="157"/>
      <c r="D73" s="157"/>
      <c r="E73" s="157"/>
      <c r="F73" s="157"/>
    </row>
    <row r="74" spans="1:6" ht="15.75">
      <c r="A74" s="57" t="s">
        <v>12</v>
      </c>
      <c r="B74" s="118"/>
      <c r="C74" s="118"/>
      <c r="D74" s="118"/>
      <c r="E74" s="118"/>
      <c r="F74" s="118"/>
    </row>
    <row r="75" spans="1:6">
      <c r="A75" s="52" t="str">
        <f>'NORTH FORK'!A59</f>
        <v>Colorado Percent Of Allocation</v>
      </c>
      <c r="B75" s="119">
        <f>'T2'!$D14</f>
        <v>0</v>
      </c>
      <c r="C75" s="119">
        <f>'T2'!$D14</f>
        <v>0</v>
      </c>
      <c r="D75" s="119">
        <f>'T2'!$D14</f>
        <v>0</v>
      </c>
      <c r="E75" s="119">
        <f>'T2'!$D14</f>
        <v>0</v>
      </c>
      <c r="F75" s="119">
        <f>'T2'!$D14</f>
        <v>0</v>
      </c>
    </row>
    <row r="76" spans="1:6">
      <c r="A76" s="52" t="str">
        <f>'NORTH FORK'!A60</f>
        <v>Colorado Allocation</v>
      </c>
      <c r="B76" s="156">
        <f>ROUND(+B72*B75,-1)</f>
        <v>0</v>
      </c>
      <c r="C76" s="156">
        <f>ROUND(+C72*C75,-1)</f>
        <v>0</v>
      </c>
      <c r="D76" s="156">
        <f>ROUND(+D72*D75,-1)</f>
        <v>0</v>
      </c>
      <c r="E76" s="156">
        <f>ROUND(+E72*E75,-1)</f>
        <v>0</v>
      </c>
      <c r="F76" s="156">
        <f>ROUND(+F72*F75,-1)</f>
        <v>0</v>
      </c>
    </row>
    <row r="77" spans="1:6">
      <c r="A77" s="52" t="str">
        <f>'NORTH FORK'!A61</f>
        <v>Kansas Percent Of Allocation</v>
      </c>
      <c r="B77" s="119">
        <f>'T2'!$F14</f>
        <v>0.45700000000000002</v>
      </c>
      <c r="C77" s="119">
        <f>'T2'!$F14</f>
        <v>0.45700000000000002</v>
      </c>
      <c r="D77" s="119">
        <f>'T2'!$F14</f>
        <v>0.45700000000000002</v>
      </c>
      <c r="E77" s="119">
        <f>'T2'!$F14</f>
        <v>0.45700000000000002</v>
      </c>
      <c r="F77" s="119">
        <f>'T2'!$F14</f>
        <v>0.45700000000000002</v>
      </c>
    </row>
    <row r="78" spans="1:6">
      <c r="A78" s="52" t="str">
        <f>'NORTH FORK'!A62</f>
        <v>Kansas Allocation</v>
      </c>
      <c r="B78" s="156">
        <f>ROUND(B72*B77,-1)</f>
        <v>5920</v>
      </c>
      <c r="C78" s="156">
        <f>ROUND(C72*C77,-1)</f>
        <v>7370</v>
      </c>
      <c r="D78" s="156">
        <f>ROUND(D72*D77,-1)</f>
        <v>13140</v>
      </c>
      <c r="E78" s="156">
        <f>ROUND(E72*E77,-1)</f>
        <v>8820</v>
      </c>
      <c r="F78" s="156">
        <f>ROUND(F72*F77,-1)</f>
        <v>6690</v>
      </c>
    </row>
    <row r="79" spans="1:6">
      <c r="A79" s="52" t="str">
        <f>'NORTH FORK'!A63</f>
        <v>Nebraska Percent Of Allocation</v>
      </c>
      <c r="B79" s="119">
        <f>'T2'!$H14</f>
        <v>7.5999999999999998E-2</v>
      </c>
      <c r="C79" s="119">
        <f>'T2'!$H14</f>
        <v>7.5999999999999998E-2</v>
      </c>
      <c r="D79" s="119">
        <f>'T2'!$H14</f>
        <v>7.5999999999999998E-2</v>
      </c>
      <c r="E79" s="119">
        <f>'T2'!$H14</f>
        <v>7.5999999999999998E-2</v>
      </c>
      <c r="F79" s="119">
        <f>'T2'!$H14</f>
        <v>7.5999999999999998E-2</v>
      </c>
    </row>
    <row r="80" spans="1:6">
      <c r="A80" s="2" t="str">
        <f>'NORTH FORK'!A64</f>
        <v>Nebraska Allocation</v>
      </c>
      <c r="B80" s="145">
        <f>ROUND(B72*B79,-1)</f>
        <v>980</v>
      </c>
      <c r="C80" s="145">
        <f>ROUND(C72*C79,-1)</f>
        <v>1230</v>
      </c>
      <c r="D80" s="145">
        <f>ROUND(D72*D79,-1)</f>
        <v>2190</v>
      </c>
      <c r="E80" s="145">
        <f>ROUND(E72*E79,-1)</f>
        <v>1470</v>
      </c>
      <c r="F80" s="145">
        <f>ROUND(F72*F79,-1)</f>
        <v>1110</v>
      </c>
    </row>
    <row r="81" spans="1:6">
      <c r="A81" s="2" t="str">
        <f>'NORTH FORK'!A65</f>
        <v>Total Basin Allocation</v>
      </c>
      <c r="B81" s="145">
        <f>+B76+B78+B80</f>
        <v>6900</v>
      </c>
      <c r="C81" s="145">
        <f>+C76+C78+C80</f>
        <v>8600</v>
      </c>
      <c r="D81" s="145">
        <f>+D76+D78+D80</f>
        <v>15330</v>
      </c>
      <c r="E81" s="145">
        <f>+E76+E78+E80</f>
        <v>10290</v>
      </c>
      <c r="F81" s="145">
        <f>+F76+F78+F80</f>
        <v>7800</v>
      </c>
    </row>
    <row r="82" spans="1:6">
      <c r="A82" s="2" t="str">
        <f>'NORTH FORK'!A66</f>
        <v>Percent Of Supply Not Allocated</v>
      </c>
      <c r="B82" s="117">
        <f>'T2'!$J14</f>
        <v>0.46700000000000003</v>
      </c>
      <c r="C82" s="117">
        <f>'T2'!$J14</f>
        <v>0.46700000000000003</v>
      </c>
      <c r="D82" s="117">
        <f>'T2'!$J14</f>
        <v>0.46700000000000003</v>
      </c>
      <c r="E82" s="117">
        <f>'T2'!$J14</f>
        <v>0.46700000000000003</v>
      </c>
      <c r="F82" s="117">
        <f>'T2'!$J14</f>
        <v>0.46700000000000003</v>
      </c>
    </row>
    <row r="83" spans="1:6">
      <c r="A83" s="2" t="str">
        <f>'NORTH FORK'!A67</f>
        <v>Quantity Of Unallocated Supply</v>
      </c>
      <c r="B83" s="145">
        <f>+B72-B76-B78-B80</f>
        <v>6060</v>
      </c>
      <c r="C83" s="145">
        <f>+C72-C76-C78-C80</f>
        <v>7520</v>
      </c>
      <c r="D83" s="145">
        <f>+D72-D76-D78-D80</f>
        <v>13430</v>
      </c>
      <c r="E83" s="145">
        <f>+E72-E76-E78-E80</f>
        <v>9000</v>
      </c>
      <c r="F83" s="145">
        <f>+F72-F76-F78-F80</f>
        <v>6840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202"/>
  <sheetViews>
    <sheetView zoomScaleNormal="100" workbookViewId="0">
      <pane ySplit="1" topLeftCell="A71" activePane="bottomLeft" state="frozen"/>
      <selection pane="bottomLeft" activeCell="F93" sqref="F93"/>
    </sheetView>
  </sheetViews>
  <sheetFormatPr defaultRowHeight="12.75"/>
  <cols>
    <col min="1" max="1" width="65.28515625" customWidth="1"/>
  </cols>
  <sheetData>
    <row r="1" spans="1:7" ht="15.75">
      <c r="A1" s="37" t="s">
        <v>178</v>
      </c>
      <c r="B1" s="194">
        <f>INPUT!C1</f>
        <v>2017</v>
      </c>
      <c r="C1" s="194">
        <f>INPUT!D1</f>
        <v>2018</v>
      </c>
      <c r="D1" s="194">
        <f>INPUT!E1</f>
        <v>2019</v>
      </c>
      <c r="E1" s="194">
        <f>INPUT!F1</f>
        <v>2020</v>
      </c>
      <c r="F1" s="194">
        <f>INPUT!G1</f>
        <v>2021</v>
      </c>
    </row>
    <row r="2" spans="1:7">
      <c r="A2" t="s">
        <v>66</v>
      </c>
      <c r="E2" s="312"/>
      <c r="F2" s="312"/>
    </row>
    <row r="3" spans="1:7" ht="15.75">
      <c r="A3" s="9" t="s">
        <v>157</v>
      </c>
      <c r="E3" s="312"/>
      <c r="F3" s="312"/>
    </row>
    <row r="4" spans="1:7">
      <c r="A4" s="7" t="s">
        <v>158</v>
      </c>
      <c r="E4" s="312"/>
      <c r="F4" s="312"/>
    </row>
    <row r="5" spans="1:7">
      <c r="A5" s="36" t="str">
        <f>+INPUT!B59</f>
        <v>Imported Water Nebraska Above Guide Rock</v>
      </c>
      <c r="B5" s="145">
        <f>+INPUT!C59</f>
        <v>9015</v>
      </c>
      <c r="C5" s="145">
        <f>+INPUT!D59</f>
        <v>14529</v>
      </c>
      <c r="D5" s="145">
        <f>+INPUT!E59</f>
        <v>15131</v>
      </c>
      <c r="E5" s="145">
        <f>+INPUT!F59</f>
        <v>8314</v>
      </c>
      <c r="F5" s="145">
        <f>+INPUT!G59</f>
        <v>10699</v>
      </c>
      <c r="G5" s="21"/>
    </row>
    <row r="6" spans="1:7">
      <c r="A6" s="36" t="str">
        <f>+INPUT!B40</f>
        <v>GW CBCU Colorado</v>
      </c>
      <c r="B6" s="145">
        <f>+INPUT!C40</f>
        <v>-3316</v>
      </c>
      <c r="C6" s="145">
        <f>+INPUT!D40</f>
        <v>-1978</v>
      </c>
      <c r="D6" s="145">
        <f>+INPUT!E40</f>
        <v>-2522</v>
      </c>
      <c r="E6" s="145">
        <f>+INPUT!F40</f>
        <v>-5115</v>
      </c>
      <c r="F6" s="145">
        <f>+INPUT!G40</f>
        <v>-3839</v>
      </c>
      <c r="G6" s="21"/>
    </row>
    <row r="7" spans="1:7">
      <c r="A7" s="340" t="str">
        <f>+INPUT!B41</f>
        <v>GW CBCU Kansas Above Guide Rock</v>
      </c>
      <c r="B7" s="145">
        <f>+INPUT!C41</f>
        <v>-26</v>
      </c>
      <c r="C7" s="145">
        <f>+INPUT!D41</f>
        <v>964</v>
      </c>
      <c r="D7" s="145">
        <f>+INPUT!E41</f>
        <v>352</v>
      </c>
      <c r="E7" s="145">
        <f>+INPUT!F41</f>
        <v>-769</v>
      </c>
      <c r="F7" s="145">
        <f>+INPUT!G41</f>
        <v>-353</v>
      </c>
      <c r="G7" s="21"/>
    </row>
    <row r="8" spans="1:7" s="312" customFormat="1">
      <c r="A8" s="340" t="str">
        <f>+INPUT!B42</f>
        <v>GW CBCU Kansas Below Guide Rock</v>
      </c>
      <c r="B8" s="145">
        <f>+INPUT!C42</f>
        <v>53</v>
      </c>
      <c r="C8" s="145">
        <f>+INPUT!D42</f>
        <v>47</v>
      </c>
      <c r="D8" s="145">
        <f>+INPUT!E42</f>
        <v>49</v>
      </c>
      <c r="E8" s="145">
        <f>+INPUT!F42</f>
        <v>51</v>
      </c>
      <c r="F8" s="145">
        <f>+INPUT!G42</f>
        <v>56</v>
      </c>
      <c r="G8" s="317"/>
    </row>
    <row r="9" spans="1:7">
      <c r="A9" s="36" t="str">
        <f>+INPUT!B43</f>
        <v>GW CBCU Nebraska Above Guide Rock</v>
      </c>
      <c r="B9" s="145">
        <f>+INPUT!C43</f>
        <v>64732</v>
      </c>
      <c r="C9" s="145">
        <f>+INPUT!D43</f>
        <v>88133</v>
      </c>
      <c r="D9" s="145">
        <f>+INPUT!E43</f>
        <v>83486</v>
      </c>
      <c r="E9" s="145">
        <f>+INPUT!F43</f>
        <v>52721</v>
      </c>
      <c r="F9" s="145">
        <f>+INPUT!G43</f>
        <v>62951</v>
      </c>
      <c r="G9" s="21"/>
    </row>
    <row r="10" spans="1:7">
      <c r="A10" s="36" t="str">
        <f>+INPUT!B44</f>
        <v>GW CBCU Nebraska Below Guide Rock</v>
      </c>
      <c r="B10" s="145">
        <f>+INPUT!C44</f>
        <v>2546</v>
      </c>
      <c r="C10" s="145">
        <f>+INPUT!D44</f>
        <v>2440</v>
      </c>
      <c r="D10" s="145">
        <f>+INPUT!E44</f>
        <v>1723</v>
      </c>
      <c r="E10" s="145">
        <f>+INPUT!F44</f>
        <v>1769</v>
      </c>
      <c r="F10" s="145">
        <f>+INPUT!G44</f>
        <v>2534</v>
      </c>
      <c r="G10" s="21"/>
    </row>
    <row r="11" spans="1:7" ht="12" customHeight="1">
      <c r="A11" s="31" t="s">
        <v>197</v>
      </c>
      <c r="B11" s="145">
        <f>+B9+B10</f>
        <v>67278</v>
      </c>
      <c r="C11" s="145">
        <f>+C9+C10</f>
        <v>90573</v>
      </c>
      <c r="D11" s="145">
        <f>+D9+D10</f>
        <v>85209</v>
      </c>
      <c r="E11" s="145">
        <f>+E9+E10</f>
        <v>54490</v>
      </c>
      <c r="F11" s="145">
        <f>+F9+F10</f>
        <v>65485</v>
      </c>
      <c r="G11" s="21"/>
    </row>
    <row r="12" spans="1:7" ht="12" customHeight="1">
      <c r="A12" s="8"/>
      <c r="B12" s="110"/>
      <c r="C12" s="110"/>
      <c r="D12" s="110"/>
      <c r="E12" s="110"/>
      <c r="F12" s="110"/>
      <c r="G12" s="21"/>
    </row>
    <row r="13" spans="1:7" ht="12" customHeight="1">
      <c r="A13" s="4" t="s">
        <v>192</v>
      </c>
      <c r="B13" s="110"/>
      <c r="C13" s="110"/>
      <c r="D13" s="110"/>
      <c r="E13" s="110"/>
      <c r="F13" s="110"/>
      <c r="G13" s="21"/>
    </row>
    <row r="14" spans="1:7" ht="12" customHeight="1">
      <c r="A14" s="35" t="str">
        <f>+INPUT!B244</f>
        <v>Meeker-Driftwood Canal % Return Flow</v>
      </c>
      <c r="B14" s="111">
        <f>+INPUT!C244</f>
        <v>0.66432806134675293</v>
      </c>
      <c r="C14" s="111">
        <f>+INPUT!D244</f>
        <v>0.65655292060160897</v>
      </c>
      <c r="D14" s="111">
        <f>+INPUT!E244</f>
        <v>0.66992628127277143</v>
      </c>
      <c r="E14" s="111">
        <f>+INPUT!F244</f>
        <v>0.61602526033611704</v>
      </c>
      <c r="F14" s="111">
        <f>+INPUT!G244</f>
        <v>0.5985318966441513</v>
      </c>
      <c r="G14" s="21"/>
    </row>
    <row r="15" spans="1:7" ht="12" customHeight="1">
      <c r="A15" s="31" t="str">
        <f>+INPUT!B241</f>
        <v>Culbertson Canal % Return Flow</v>
      </c>
      <c r="B15" s="112">
        <f>+INPUT!C241</f>
        <v>1</v>
      </c>
      <c r="C15" s="112">
        <f>+INPUT!D241</f>
        <v>0.80004497710746014</v>
      </c>
      <c r="D15" s="112">
        <f>+INPUT!E241</f>
        <v>0.83343283324711159</v>
      </c>
      <c r="E15" s="112">
        <f>+INPUT!F241</f>
        <v>0.82040196370127938</v>
      </c>
      <c r="F15" s="112">
        <f>+INPUT!G241</f>
        <v>0.81909752839011352</v>
      </c>
      <c r="G15" s="21"/>
    </row>
    <row r="16" spans="1:7" ht="12" customHeight="1">
      <c r="A16" s="31" t="str">
        <f>+INPUT!B242</f>
        <v>Culbertson Canal Extension % Return Flow</v>
      </c>
      <c r="B16" s="112">
        <f>+INPUT!C242</f>
        <v>1</v>
      </c>
      <c r="C16" s="112">
        <f>+INPUT!D242</f>
        <v>1</v>
      </c>
      <c r="D16" s="112">
        <f>+INPUT!E242</f>
        <v>1</v>
      </c>
      <c r="E16" s="112">
        <f>+INPUT!F242</f>
        <v>1</v>
      </c>
      <c r="F16" s="112">
        <f>+INPUT!G242</f>
        <v>1</v>
      </c>
      <c r="G16" s="21"/>
    </row>
    <row r="17" spans="1:7" ht="12" customHeight="1">
      <c r="A17" s="35" t="str">
        <f>+INPUT!B246</f>
        <v>Red Willow Canal % Return Flow</v>
      </c>
      <c r="B17" s="111">
        <f>+INPUT!C246</f>
        <v>1</v>
      </c>
      <c r="C17" s="111">
        <f>+INPUT!D246</f>
        <v>1</v>
      </c>
      <c r="D17" s="111">
        <f>+INPUT!E246</f>
        <v>0.71196881496881492</v>
      </c>
      <c r="E17" s="111">
        <f>+INPUT!F246</f>
        <v>0.66370417145044003</v>
      </c>
      <c r="F17" s="111">
        <f>+INPUT!G246</f>
        <v>0.631425305173416</v>
      </c>
      <c r="G17" s="21"/>
    </row>
    <row r="18" spans="1:7" ht="12" customHeight="1">
      <c r="A18" s="35" t="str">
        <f>+INPUT!B250</f>
        <v>Bartley Canal % Return Flow</v>
      </c>
      <c r="B18" s="111">
        <f>+INPUT!C250</f>
        <v>0.64515395993007929</v>
      </c>
      <c r="C18" s="111">
        <f>+INPUT!D250</f>
        <v>0.76015678150894017</v>
      </c>
      <c r="D18" s="111">
        <f>+INPUT!E250</f>
        <v>0.81121909099535061</v>
      </c>
      <c r="E18" s="111">
        <f>+INPUT!F250</f>
        <v>0.66081239848402817</v>
      </c>
      <c r="F18" s="111">
        <f>+INPUT!G250</f>
        <v>0.66521681624940965</v>
      </c>
      <c r="G18" s="21"/>
    </row>
    <row r="19" spans="1:7" ht="12" customHeight="1">
      <c r="A19" s="35" t="str">
        <f>+INPUT!B252</f>
        <v>Cambridge Canal % Return Flow</v>
      </c>
      <c r="B19" s="111">
        <f>+INPUT!C252</f>
        <v>0.63137258915216876</v>
      </c>
      <c r="C19" s="111">
        <f>+INPUT!D252</f>
        <v>0.64205998571768619</v>
      </c>
      <c r="D19" s="111">
        <f>+INPUT!E252</f>
        <v>0.64489290544694444</v>
      </c>
      <c r="E19" s="111">
        <f>+INPUT!F252</f>
        <v>0.58974702403234258</v>
      </c>
      <c r="F19" s="111">
        <f>+INPUT!G252</f>
        <v>0.59162689153286352</v>
      </c>
      <c r="G19" s="21"/>
    </row>
    <row r="20" spans="1:7" ht="12" customHeight="1">
      <c r="A20" s="67" t="str">
        <f>+INPUT!B254</f>
        <v>Naponee Canal % Return Flow</v>
      </c>
      <c r="B20" s="113">
        <f>+INPUT!C254</f>
        <v>0.68191719077568136</v>
      </c>
      <c r="C20" s="113">
        <f>+INPUT!D254</f>
        <v>0.67279393939393939</v>
      </c>
      <c r="D20" s="113">
        <f>+INPUT!E254</f>
        <v>0.89308609271523187</v>
      </c>
      <c r="E20" s="113">
        <f>+INPUT!F254</f>
        <v>0.73953044569993731</v>
      </c>
      <c r="F20" s="113">
        <f>+INPUT!G254</f>
        <v>0.72791745112237516</v>
      </c>
      <c r="G20" s="21"/>
    </row>
    <row r="21" spans="1:7" ht="12" customHeight="1">
      <c r="A21" s="67" t="str">
        <f>+INPUT!B256</f>
        <v>Franklin Canal % Return Flow</v>
      </c>
      <c r="B21" s="113">
        <f>+INPUT!C256</f>
        <v>0.63818069335823502</v>
      </c>
      <c r="C21" s="113">
        <f>+INPUT!D256</f>
        <v>0.68769695817490484</v>
      </c>
      <c r="D21" s="113">
        <f>+INPUT!E256</f>
        <v>0.89378442735222852</v>
      </c>
      <c r="E21" s="113">
        <f>+INPUT!F256</f>
        <v>0.70675327619824957</v>
      </c>
      <c r="F21" s="113">
        <f>+INPUT!G256</f>
        <v>0.73293748505285305</v>
      </c>
      <c r="G21" s="21"/>
    </row>
    <row r="22" spans="1:7" ht="12" customHeight="1">
      <c r="A22" s="67" t="str">
        <f>+INPUT!B258</f>
        <v>Franklin Pump Canal % Return Flow</v>
      </c>
      <c r="B22" s="113">
        <f>+INPUT!C258</f>
        <v>0.52134586466165411</v>
      </c>
      <c r="C22" s="113">
        <f>+INPUT!D258</f>
        <v>0.55493480934809347</v>
      </c>
      <c r="D22" s="113">
        <f>+INPUT!E258</f>
        <v>0.70386986301369858</v>
      </c>
      <c r="E22" s="113">
        <f>+INPUT!F258</f>
        <v>0.63433949579831939</v>
      </c>
      <c r="F22" s="113">
        <f>+INPUT!G258</f>
        <v>0.66641592920353987</v>
      </c>
      <c r="G22" s="21"/>
    </row>
    <row r="23" spans="1:7" ht="12" customHeight="1">
      <c r="A23" s="67" t="str">
        <f>+INPUT!B260</f>
        <v>Superior Canal % Return Flow</v>
      </c>
      <c r="B23" s="113">
        <f>+INPUT!C260</f>
        <v>0.65089657013212332</v>
      </c>
      <c r="C23" s="113">
        <f>+INPUT!D260</f>
        <v>0.66209560398965639</v>
      </c>
      <c r="D23" s="113">
        <f>+INPUT!E260</f>
        <v>0.81493440124014982</v>
      </c>
      <c r="E23" s="113">
        <f>+INPUT!F260</f>
        <v>0.79686407149950345</v>
      </c>
      <c r="F23" s="113">
        <f>+INPUT!G260</f>
        <v>0.67789102711757931</v>
      </c>
      <c r="G23" s="21"/>
    </row>
    <row r="24" spans="1:7" ht="12" customHeight="1">
      <c r="A24" s="67" t="str">
        <f>INPUT!B264</f>
        <v>Nebraska Courtland % Return Flow</v>
      </c>
      <c r="B24" s="113">
        <f>INPUT!C264</f>
        <v>0.26769256900212313</v>
      </c>
      <c r="C24" s="113">
        <f>INPUT!D264</f>
        <v>0.23779999999999998</v>
      </c>
      <c r="D24" s="113">
        <f>INPUT!E264</f>
        <v>0.24600000000000002</v>
      </c>
      <c r="E24" s="113">
        <f>INPUT!F264</f>
        <v>0.31386773547094188</v>
      </c>
      <c r="F24" s="113">
        <f>INPUT!G264</f>
        <v>0.27493428571428574</v>
      </c>
      <c r="G24" s="21"/>
    </row>
    <row r="25" spans="1:7" ht="12" customHeight="1">
      <c r="A25" s="67" t="str">
        <f>+INPUT!B269</f>
        <v>Courtland Canal Above Lovewell %  Return Flow</v>
      </c>
      <c r="B25" s="113">
        <f>+INPUT!C269</f>
        <v>0.58363937419595791</v>
      </c>
      <c r="C25" s="113">
        <f>+INPUT!D269</f>
        <v>0.53652500734991471</v>
      </c>
      <c r="D25" s="113">
        <f>+INPUT!E269</f>
        <v>0.65140601580796254</v>
      </c>
      <c r="E25" s="113">
        <f>+INPUT!F269</f>
        <v>0.60707028216269721</v>
      </c>
      <c r="F25" s="113">
        <f>+INPUT!G269</f>
        <v>0.58613387516515192</v>
      </c>
      <c r="G25" s="21"/>
    </row>
    <row r="26" spans="1:7" ht="12" customHeight="1">
      <c r="A26" s="67" t="str">
        <f>+INPUT!B273</f>
        <v>Courtland Canal Below Lovewell % Return Flow</v>
      </c>
      <c r="B26" s="113">
        <f>+INPUT!C273</f>
        <v>0.41957856842105262</v>
      </c>
      <c r="C26" s="113">
        <f>+INPUT!D273</f>
        <v>0.49400414270778881</v>
      </c>
      <c r="D26" s="113">
        <f>+INPUT!E273</f>
        <v>0.56052460700389095</v>
      </c>
      <c r="E26" s="113">
        <f>+INPUT!F273</f>
        <v>0.51217636200277716</v>
      </c>
      <c r="F26" s="113">
        <f>+INPUT!G273</f>
        <v>0.42398638171229186</v>
      </c>
      <c r="G26" s="21"/>
    </row>
    <row r="27" spans="1:7">
      <c r="A27" s="46"/>
      <c r="B27" s="114"/>
      <c r="C27" s="114"/>
      <c r="D27" s="114"/>
      <c r="E27" s="114"/>
      <c r="F27" s="114"/>
      <c r="G27" s="21"/>
    </row>
    <row r="28" spans="1:7">
      <c r="A28" s="56" t="s">
        <v>160</v>
      </c>
      <c r="B28" s="115"/>
      <c r="C28" s="115"/>
      <c r="D28" s="115"/>
      <c r="E28" s="115"/>
      <c r="F28" s="115"/>
      <c r="G28" s="21"/>
    </row>
    <row r="29" spans="1:7">
      <c r="A29" s="52" t="s">
        <v>179</v>
      </c>
      <c r="B29" s="115"/>
      <c r="C29" s="115"/>
      <c r="D29" s="115"/>
      <c r="E29" s="115"/>
      <c r="F29" s="115"/>
      <c r="G29" s="21"/>
    </row>
    <row r="30" spans="1:7">
      <c r="A30" s="68" t="str">
        <f>+INPUT!B197</f>
        <v>Republican River Near Hardy</v>
      </c>
      <c r="B30" s="156">
        <f>+INPUT!C197</f>
        <v>127121</v>
      </c>
      <c r="C30" s="156">
        <f>+INPUT!D197</f>
        <v>110861</v>
      </c>
      <c r="D30" s="156">
        <f>+INPUT!E197</f>
        <v>626375</v>
      </c>
      <c r="E30" s="156">
        <f>+INPUT!F197</f>
        <v>251238.74380165289</v>
      </c>
      <c r="F30" s="156">
        <f>+INPUT!G197</f>
        <v>142152</v>
      </c>
      <c r="G30" s="21"/>
    </row>
    <row r="31" spans="1:7">
      <c r="A31" s="68" t="str">
        <f>+INPUT!B184</f>
        <v>North Fork Republican River At Colorado-Nebraska State Line</v>
      </c>
      <c r="B31" s="156">
        <f>+INPUT!C184</f>
        <v>26046</v>
      </c>
      <c r="C31" s="156">
        <f>+INPUT!D184</f>
        <v>32580</v>
      </c>
      <c r="D31" s="156">
        <f>+INPUT!E184</f>
        <v>25436</v>
      </c>
      <c r="E31" s="156">
        <f>+INPUT!F184</f>
        <v>22984.165289256216</v>
      </c>
      <c r="F31" s="156">
        <f>+INPUT!G184</f>
        <v>25846</v>
      </c>
      <c r="G31" s="21"/>
    </row>
    <row r="32" spans="1:7">
      <c r="A32" s="68" t="str">
        <f>+INPUT!B185</f>
        <v>Arikaree River At Haigler</v>
      </c>
      <c r="B32" s="156">
        <f>+INPUT!C185</f>
        <v>646</v>
      </c>
      <c r="C32" s="156">
        <f>+INPUT!D185</f>
        <v>821</v>
      </c>
      <c r="D32" s="156">
        <f>+INPUT!E185</f>
        <v>1113</v>
      </c>
      <c r="E32" s="156">
        <f>+INPUT!F185</f>
        <v>1656.6148760330564</v>
      </c>
      <c r="F32" s="156">
        <f>+INPUT!G185</f>
        <v>1635</v>
      </c>
      <c r="G32" s="21"/>
    </row>
    <row r="33" spans="1:7">
      <c r="A33" s="68" t="str">
        <f>+INPUT!B186</f>
        <v>Buffalo Creek Near Haigler</v>
      </c>
      <c r="B33" s="156">
        <f>+INPUT!C186</f>
        <v>1282</v>
      </c>
      <c r="C33" s="156">
        <f>+INPUT!D186</f>
        <v>1858</v>
      </c>
      <c r="D33" s="156">
        <f>+INPUT!E186</f>
        <v>1355</v>
      </c>
      <c r="E33" s="156">
        <f>+INPUT!F186</f>
        <v>2143.4181818181801</v>
      </c>
      <c r="F33" s="156">
        <f>+INPUT!G186</f>
        <v>1583</v>
      </c>
      <c r="G33" s="21"/>
    </row>
    <row r="34" spans="1:7">
      <c r="A34" s="68" t="str">
        <f>+INPUT!B187</f>
        <v>Rock Creek At Parks</v>
      </c>
      <c r="B34" s="156">
        <f>+INPUT!C187</f>
        <v>8686</v>
      </c>
      <c r="C34" s="156">
        <f>+INPUT!D187</f>
        <v>4095</v>
      </c>
      <c r="D34" s="156">
        <f>+INPUT!E187</f>
        <v>3748</v>
      </c>
      <c r="E34" s="156">
        <f>+INPUT!F187</f>
        <v>4049</v>
      </c>
      <c r="F34" s="156">
        <f>+INPUT!G187</f>
        <v>3583</v>
      </c>
      <c r="G34" s="21"/>
    </row>
    <row r="35" spans="1:7">
      <c r="A35" s="68" t="str">
        <f>+INPUT!B188</f>
        <v>South Fork Republican River Near Benkelman</v>
      </c>
      <c r="B35" s="156">
        <f>+INPUT!C188</f>
        <v>2385</v>
      </c>
      <c r="C35" s="156">
        <f>+INPUT!D188</f>
        <v>1970</v>
      </c>
      <c r="D35" s="156">
        <f>+INPUT!E188</f>
        <v>2385</v>
      </c>
      <c r="E35" s="156">
        <f>+INPUT!F188</f>
        <v>7229.355371900826</v>
      </c>
      <c r="F35" s="156">
        <f>+INPUT!G188</f>
        <v>321</v>
      </c>
      <c r="G35" s="21"/>
    </row>
    <row r="36" spans="1:7">
      <c r="A36" s="68" t="str">
        <f>+INPUT!B189</f>
        <v>Frenchman Creek At Culbertson</v>
      </c>
      <c r="B36" s="156">
        <f>+INPUT!C189</f>
        <v>27490</v>
      </c>
      <c r="C36" s="156">
        <f>+INPUT!D189</f>
        <v>25906</v>
      </c>
      <c r="D36" s="156">
        <f>+INPUT!E189</f>
        <v>27267</v>
      </c>
      <c r="E36" s="156">
        <f>+INPUT!F189</f>
        <v>19122</v>
      </c>
      <c r="F36" s="156">
        <f>+INPUT!G189</f>
        <v>16678</v>
      </c>
      <c r="G36" s="21"/>
    </row>
    <row r="37" spans="1:7">
      <c r="A37" s="68" t="str">
        <f>+INPUT!B190</f>
        <v>Driftwood Creek Near McCook</v>
      </c>
      <c r="B37" s="156">
        <f>+INPUT!C190</f>
        <v>2392</v>
      </c>
      <c r="C37" s="156">
        <f>+INPUT!D190</f>
        <v>3911</v>
      </c>
      <c r="D37" s="156">
        <f>+INPUT!E190</f>
        <v>3284</v>
      </c>
      <c r="E37" s="156">
        <f>+INPUT!F190</f>
        <v>2492</v>
      </c>
      <c r="F37" s="156">
        <f>+INPUT!G190</f>
        <v>1999</v>
      </c>
      <c r="G37" s="21"/>
    </row>
    <row r="38" spans="1:7">
      <c r="A38" s="68" t="str">
        <f>+INPUT!B191</f>
        <v>Red Willow Creek Near Red Willow</v>
      </c>
      <c r="B38" s="156">
        <f>+INPUT!C191</f>
        <v>4346</v>
      </c>
      <c r="C38" s="156">
        <f>+INPUT!D191</f>
        <v>3932</v>
      </c>
      <c r="D38" s="156">
        <f>+INPUT!E191</f>
        <v>3457</v>
      </c>
      <c r="E38" s="156">
        <f>+INPUT!F191</f>
        <v>4284</v>
      </c>
      <c r="F38" s="156">
        <f>+INPUT!G191</f>
        <v>4012</v>
      </c>
      <c r="G38" s="21"/>
    </row>
    <row r="39" spans="1:7">
      <c r="A39" s="68" t="str">
        <f>+INPUT!B192</f>
        <v>Medicine Creek Below Harry Strunk</v>
      </c>
      <c r="B39" s="156">
        <f>+INPUT!C192</f>
        <v>41207</v>
      </c>
      <c r="C39" s="156">
        <f>+INPUT!D192</f>
        <v>25135</v>
      </c>
      <c r="D39" s="156">
        <f>+INPUT!E192</f>
        <v>48769</v>
      </c>
      <c r="E39" s="156">
        <f>+INPUT!F192</f>
        <v>39930.267768594946</v>
      </c>
      <c r="F39" s="156">
        <f>+INPUT!G192</f>
        <v>22871</v>
      </c>
      <c r="G39" s="21"/>
    </row>
    <row r="40" spans="1:7">
      <c r="A40" s="68" t="str">
        <f>+INPUT!B194</f>
        <v>Sappa Creek Near Stamford</v>
      </c>
      <c r="B40" s="156">
        <f>+INPUT!C194</f>
        <v>8238</v>
      </c>
      <c r="C40" s="156">
        <f>+INPUT!D194</f>
        <v>12574</v>
      </c>
      <c r="D40" s="156">
        <f>+INPUT!E194</f>
        <v>42888</v>
      </c>
      <c r="E40" s="156">
        <f>+INPUT!F194</f>
        <v>16223</v>
      </c>
      <c r="F40" s="156">
        <f>+INPUT!G194</f>
        <v>14925</v>
      </c>
      <c r="G40" s="21"/>
    </row>
    <row r="41" spans="1:7">
      <c r="A41" s="68" t="str">
        <f>+INPUT!B195</f>
        <v>Prairie Dog Creek Near Woodruff</v>
      </c>
      <c r="B41" s="156">
        <f>+INPUT!C195</f>
        <v>2181</v>
      </c>
      <c r="C41" s="156">
        <f>+INPUT!D195</f>
        <v>4205</v>
      </c>
      <c r="D41" s="156">
        <f>+INPUT!E195</f>
        <v>40960</v>
      </c>
      <c r="E41" s="156">
        <f>+INPUT!F195</f>
        <v>8281.6859504132335</v>
      </c>
      <c r="F41" s="156">
        <f>+INPUT!G195</f>
        <v>6646</v>
      </c>
      <c r="G41" s="21"/>
    </row>
    <row r="42" spans="1:7">
      <c r="A42" s="69" t="s">
        <v>109</v>
      </c>
      <c r="B42" s="156"/>
      <c r="C42" s="156"/>
      <c r="D42" s="156"/>
      <c r="E42" s="156"/>
      <c r="F42" s="156"/>
      <c r="G42" s="21"/>
    </row>
    <row r="43" spans="1:7">
      <c r="A43" s="68" t="str">
        <f>+INPUT!B225</f>
        <v>Swanson Lake Evaporation</v>
      </c>
      <c r="B43" s="156">
        <f>+INPUT!C225</f>
        <v>3382</v>
      </c>
      <c r="C43" s="156">
        <f>+INPUT!D225</f>
        <v>4441</v>
      </c>
      <c r="D43" s="156">
        <f>+INPUT!E225</f>
        <v>5787</v>
      </c>
      <c r="E43" s="156">
        <f>+INPUT!F225</f>
        <v>10172</v>
      </c>
      <c r="F43" s="156">
        <f>+INPUT!G225</f>
        <v>8671</v>
      </c>
      <c r="G43" s="21"/>
    </row>
    <row r="44" spans="1:7">
      <c r="A44" s="68" t="str">
        <f>+INPUT!B226</f>
        <v>Swanson Lake Change In Storage</v>
      </c>
      <c r="B44" s="156">
        <f>+INPUT!C226</f>
        <v>5370</v>
      </c>
      <c r="C44" s="156">
        <f>+INPUT!D226</f>
        <v>8017</v>
      </c>
      <c r="D44" s="156">
        <f>+INPUT!E226</f>
        <v>905</v>
      </c>
      <c r="E44" s="156">
        <f>+INPUT!F226</f>
        <v>-4786</v>
      </c>
      <c r="F44" s="156">
        <f>+INPUT!G226</f>
        <v>-9291</v>
      </c>
      <c r="G44" s="21"/>
    </row>
    <row r="45" spans="1:7">
      <c r="A45" s="68" t="str">
        <f>+INPUT!B219</f>
        <v>Hugh Butler Lake Evaporation</v>
      </c>
      <c r="B45" s="156">
        <f>+INPUT!C219</f>
        <v>2068</v>
      </c>
      <c r="C45" s="156">
        <f>+INPUT!D219</f>
        <v>1395</v>
      </c>
      <c r="D45" s="156">
        <f>+INPUT!E219</f>
        <v>950</v>
      </c>
      <c r="E45" s="156">
        <f>+INPUT!F219</f>
        <v>3032</v>
      </c>
      <c r="F45" s="156">
        <f>+INPUT!G219</f>
        <v>2608</v>
      </c>
      <c r="G45" s="21"/>
    </row>
    <row r="46" spans="1:7">
      <c r="A46" s="68" t="str">
        <f>+INPUT!B221</f>
        <v>Harry Strunk Lake Evaporation</v>
      </c>
      <c r="B46" s="156">
        <f>+INPUT!C221</f>
        <v>2513</v>
      </c>
      <c r="C46" s="156">
        <f>+INPUT!D221</f>
        <v>2357</v>
      </c>
      <c r="D46" s="156">
        <f>+INPUT!E221</f>
        <v>857</v>
      </c>
      <c r="E46" s="156">
        <f>+INPUT!F221</f>
        <v>2924</v>
      </c>
      <c r="F46" s="156">
        <f>+INPUT!G221</f>
        <v>2452</v>
      </c>
      <c r="G46" s="21"/>
    </row>
    <row r="47" spans="1:7">
      <c r="A47" s="68" t="str">
        <f>+INPUT!B227</f>
        <v>Harlan County Evaporation Subject to Nebraska/Kansas Split</v>
      </c>
      <c r="B47" s="156">
        <f>+INPUT!C227</f>
        <v>8753</v>
      </c>
      <c r="C47" s="156">
        <f>+INPUT!D227</f>
        <v>7127</v>
      </c>
      <c r="D47" s="156">
        <f>+INPUT!E227</f>
        <v>16760</v>
      </c>
      <c r="E47" s="156">
        <f>+INPUT!F227</f>
        <v>26419</v>
      </c>
      <c r="F47" s="156">
        <f>+INPUT!G227</f>
        <v>11476</v>
      </c>
      <c r="G47" s="21"/>
    </row>
    <row r="48" spans="1:7" s="312" customFormat="1">
      <c r="A48" s="68" t="str">
        <f>INPUT!B228</f>
        <v>Harlan County Evaporation Charged to Kansas</v>
      </c>
      <c r="B48" s="156">
        <f>INPUT!C228</f>
        <v>2011</v>
      </c>
      <c r="C48" s="156">
        <f>INPUT!D228</f>
        <v>345</v>
      </c>
      <c r="D48" s="156">
        <f>INPUT!E228</f>
        <v>0</v>
      </c>
      <c r="E48" s="156">
        <f>INPUT!F228</f>
        <v>0</v>
      </c>
      <c r="F48" s="156">
        <f>INPUT!G228</f>
        <v>0</v>
      </c>
      <c r="G48" s="317"/>
    </row>
    <row r="49" spans="1:7">
      <c r="A49" s="68" t="str">
        <f>+INPUT!B229</f>
        <v>Harlan County Change In Storage</v>
      </c>
      <c r="B49" s="156">
        <f>+INPUT!C229</f>
        <v>30044</v>
      </c>
      <c r="C49" s="156">
        <f>+INPUT!D229</f>
        <v>30781</v>
      </c>
      <c r="D49" s="156">
        <f>+INPUT!E229</f>
        <v>74701</v>
      </c>
      <c r="E49" s="156">
        <f>+INPUT!F229</f>
        <v>-50098</v>
      </c>
      <c r="F49" s="156">
        <f>+INPUT!G229</f>
        <v>754</v>
      </c>
      <c r="G49" s="21"/>
    </row>
    <row r="50" spans="1:7">
      <c r="A50" s="68" t="str">
        <f>+INPUT!B230</f>
        <v xml:space="preserve">Lovewell Reservoir Ev charged to the Republican River </v>
      </c>
      <c r="B50" s="156">
        <f>+INPUT!C230</f>
        <v>2595</v>
      </c>
      <c r="C50" s="156">
        <f>+INPUT!D230</f>
        <v>-194</v>
      </c>
      <c r="D50" s="156">
        <f>+INPUT!E230</f>
        <v>-131</v>
      </c>
      <c r="E50" s="156">
        <f>+INPUT!F230</f>
        <v>1385</v>
      </c>
      <c r="F50" s="156">
        <f>+INPUT!G230</f>
        <v>1290</v>
      </c>
      <c r="G50" s="21"/>
    </row>
    <row r="51" spans="1:7">
      <c r="A51" s="69" t="s">
        <v>180</v>
      </c>
      <c r="B51" s="156"/>
      <c r="C51" s="156"/>
      <c r="D51" s="156"/>
      <c r="E51" s="156"/>
      <c r="F51" s="156"/>
      <c r="G51" s="21"/>
    </row>
    <row r="52" spans="1:7">
      <c r="A52" s="68" t="str">
        <f>+INPUT!B249</f>
        <v>Bartley Canal Diversion</v>
      </c>
      <c r="B52" s="156">
        <f>+INPUT!C249</f>
        <v>7437</v>
      </c>
      <c r="C52" s="156">
        <f>+INPUT!D249</f>
        <v>9172</v>
      </c>
      <c r="D52" s="156">
        <f>+INPUT!E249</f>
        <v>10539</v>
      </c>
      <c r="E52" s="156">
        <f>+INPUT!F249</f>
        <v>7388</v>
      </c>
      <c r="F52" s="156">
        <f>+INPUT!G249</f>
        <v>8468</v>
      </c>
      <c r="G52" s="21"/>
    </row>
    <row r="53" spans="1:7">
      <c r="A53" s="68" t="str">
        <f>+INPUT!B251</f>
        <v>Cambridge Canal Diversion</v>
      </c>
      <c r="B53" s="156">
        <f>+INPUT!C251</f>
        <v>25406</v>
      </c>
      <c r="C53" s="156">
        <f>+INPUT!D251</f>
        <v>21005</v>
      </c>
      <c r="D53" s="156">
        <f>+INPUT!E251</f>
        <v>24399</v>
      </c>
      <c r="E53" s="156">
        <f>+INPUT!F251</f>
        <v>26714</v>
      </c>
      <c r="F53" s="156">
        <f>+INPUT!G251</f>
        <v>25971</v>
      </c>
      <c r="G53" s="21"/>
    </row>
    <row r="54" spans="1:7">
      <c r="A54" s="68" t="str">
        <f>+INPUT!B253</f>
        <v>Naponee Canal Diversion</v>
      </c>
      <c r="B54" s="156">
        <f>+INPUT!C253</f>
        <v>954</v>
      </c>
      <c r="C54" s="156">
        <f>+INPUT!D253</f>
        <v>660</v>
      </c>
      <c r="D54" s="156">
        <f>+INPUT!E253</f>
        <v>2567</v>
      </c>
      <c r="E54" s="156">
        <f>+INPUT!F253</f>
        <v>1593</v>
      </c>
      <c r="F54" s="156">
        <f>+INPUT!G253</f>
        <v>1381</v>
      </c>
      <c r="G54" s="21"/>
    </row>
    <row r="55" spans="1:7">
      <c r="A55" s="68" t="str">
        <f>+INPUT!B255</f>
        <v>Franklin Canal Diversion</v>
      </c>
      <c r="B55" s="156">
        <f>+INPUT!C255</f>
        <v>17134</v>
      </c>
      <c r="C55" s="156">
        <f>+INPUT!D255</f>
        <v>15780</v>
      </c>
      <c r="D55" s="156">
        <f>+INPUT!E255</f>
        <v>28473</v>
      </c>
      <c r="E55" s="156">
        <f>+INPUT!F255</f>
        <v>22053</v>
      </c>
      <c r="F55" s="156">
        <f>+INPUT!G255</f>
        <v>20907</v>
      </c>
      <c r="G55" s="21"/>
    </row>
    <row r="56" spans="1:7">
      <c r="A56" s="68" t="str">
        <f>+INPUT!B257</f>
        <v>Franklin Pump Canal Diversions</v>
      </c>
      <c r="B56" s="156">
        <f>+INPUT!C257</f>
        <v>798</v>
      </c>
      <c r="C56" s="156">
        <f>+INPUT!D257</f>
        <v>813</v>
      </c>
      <c r="D56" s="156">
        <f>+INPUT!E257</f>
        <v>584</v>
      </c>
      <c r="E56" s="156">
        <f>+INPUT!F257</f>
        <v>1190</v>
      </c>
      <c r="F56" s="156">
        <f>+INPUT!G257</f>
        <v>904</v>
      </c>
      <c r="G56" s="21"/>
    </row>
    <row r="57" spans="1:7">
      <c r="A57" s="68" t="str">
        <f>+INPUT!B259</f>
        <v>Superior Canal Diversions</v>
      </c>
      <c r="B57" s="156">
        <f>+INPUT!C259</f>
        <v>7493</v>
      </c>
      <c r="C57" s="156">
        <f>+INPUT!D259</f>
        <v>8121</v>
      </c>
      <c r="D57" s="156">
        <f>+INPUT!E259</f>
        <v>7741</v>
      </c>
      <c r="E57" s="156">
        <f>+INPUT!F259</f>
        <v>10070</v>
      </c>
      <c r="F57" s="156">
        <f>+INPUT!G259</f>
        <v>9551</v>
      </c>
      <c r="G57" s="21"/>
    </row>
    <row r="58" spans="1:7">
      <c r="A58" s="69"/>
      <c r="B58" s="156"/>
      <c r="C58" s="156"/>
      <c r="D58" s="156"/>
      <c r="E58" s="156"/>
      <c r="F58" s="156"/>
      <c r="G58" s="21"/>
    </row>
    <row r="59" spans="1:7">
      <c r="A59" s="68" t="str">
        <f>+INPUT!B262</f>
        <v>Courtland Canal Diversions At Headgate</v>
      </c>
      <c r="B59" s="156">
        <f>+INPUT!C262</f>
        <v>62438</v>
      </c>
      <c r="C59" s="156">
        <f>+INPUT!D262</f>
        <v>46704</v>
      </c>
      <c r="D59" s="156">
        <f>+INPUT!E262</f>
        <v>55120</v>
      </c>
      <c r="E59" s="156">
        <f>+INPUT!F262</f>
        <v>44380</v>
      </c>
      <c r="F59" s="156">
        <f>+INPUT!G262</f>
        <v>73224</v>
      </c>
      <c r="G59" s="21"/>
    </row>
    <row r="60" spans="1:7">
      <c r="A60" s="68" t="str">
        <f>+INPUT!B263</f>
        <v>Diversions to Nebraska Courtland</v>
      </c>
      <c r="B60" s="156">
        <f>+INPUT!C263</f>
        <v>471</v>
      </c>
      <c r="C60" s="156">
        <f>+INPUT!D263</f>
        <v>532</v>
      </c>
      <c r="D60" s="156">
        <f>+INPUT!E263</f>
        <v>143</v>
      </c>
      <c r="E60" s="156">
        <f>+INPUT!F263</f>
        <v>499</v>
      </c>
      <c r="F60" s="156">
        <f>+INPUT!G263</f>
        <v>980</v>
      </c>
      <c r="G60" s="21"/>
    </row>
    <row r="61" spans="1:7">
      <c r="A61" s="68" t="str">
        <f>INPUT!B265</f>
        <v>Courtland Canal, Loss in NE assigned to upper Courtland KS</v>
      </c>
      <c r="B61" s="156">
        <f>INPUT!C265</f>
        <v>3484</v>
      </c>
      <c r="C61" s="156">
        <f>INPUT!D265</f>
        <v>1548</v>
      </c>
      <c r="D61" s="156">
        <f>INPUT!E265</f>
        <v>1491</v>
      </c>
      <c r="E61" s="156">
        <f>INPUT!F265</f>
        <v>3847</v>
      </c>
      <c r="F61" s="156">
        <f>INPUT!G265</f>
        <v>3712</v>
      </c>
      <c r="G61" s="21"/>
    </row>
    <row r="62" spans="1:7">
      <c r="A62" s="68" t="str">
        <f>INPUT!B266</f>
        <v xml:space="preserve">Courtland Canal, Loss in NE assigned to delivery to Lovewell </v>
      </c>
      <c r="B62" s="156">
        <f>INPUT!C266</f>
        <v>5903</v>
      </c>
      <c r="C62" s="156">
        <f>INPUT!D266</f>
        <v>4065</v>
      </c>
      <c r="D62" s="156">
        <f>INPUT!E266</f>
        <v>2765</v>
      </c>
      <c r="E62" s="156">
        <f>INPUT!F266</f>
        <v>4278</v>
      </c>
      <c r="F62" s="156">
        <f>INPUT!G266</f>
        <v>7815</v>
      </c>
      <c r="G62" s="21"/>
    </row>
    <row r="63" spans="1:7">
      <c r="A63" s="68" t="str">
        <f>+INPUT!B267</f>
        <v>Courtland Canal At Kansas-Nebraska State Line</v>
      </c>
      <c r="B63" s="156">
        <f>+INPUT!C267</f>
        <v>52599</v>
      </c>
      <c r="C63" s="156">
        <f>+INPUT!D267</f>
        <v>40559</v>
      </c>
      <c r="D63" s="156">
        <f>+INPUT!E267</f>
        <v>50721</v>
      </c>
      <c r="E63" s="156">
        <f>+INPUT!F267</f>
        <v>35756</v>
      </c>
      <c r="F63" s="156">
        <f>+INPUT!G267</f>
        <v>60776</v>
      </c>
      <c r="G63" s="21"/>
    </row>
    <row r="64" spans="1:7">
      <c r="A64" s="68" t="str">
        <f>+INPUT!B268</f>
        <v>Courtland Canal Diversions to the Upper Courtland District</v>
      </c>
      <c r="B64" s="156">
        <f>+INPUT!C268</f>
        <v>24094</v>
      </c>
      <c r="C64" s="156">
        <f>+INPUT!D268</f>
        <v>17007</v>
      </c>
      <c r="D64" s="156">
        <f>+INPUT!E268</f>
        <v>13664</v>
      </c>
      <c r="E64" s="156">
        <f>+INPUT!F268</f>
        <v>18180</v>
      </c>
      <c r="F64" s="156">
        <f>+INPUT!G268</f>
        <v>24977</v>
      </c>
      <c r="G64" s="21"/>
    </row>
    <row r="65" spans="1:7">
      <c r="A65" s="68" t="str">
        <f>+INPUT!B270</f>
        <v>Courtland Canal, Loss assigned to deliveries of water to Lovewell, Stateline to Lovewell</v>
      </c>
      <c r="B65" s="156">
        <f>+INPUT!C270</f>
        <v>3866</v>
      </c>
      <c r="C65" s="156">
        <f>+INPUT!D270</f>
        <v>5681</v>
      </c>
      <c r="D65" s="156">
        <f>+INPUT!E270</f>
        <v>7553</v>
      </c>
      <c r="E65" s="156">
        <f>+INPUT!F270</f>
        <v>3950</v>
      </c>
      <c r="F65" s="156">
        <f>+INPUT!G270</f>
        <v>8795</v>
      </c>
      <c r="G65" s="21"/>
    </row>
    <row r="66" spans="1:7">
      <c r="A66" s="68" t="str">
        <f>+INPUT!B271</f>
        <v>Courtland Canal Deliveries To Lovewell Reservoir</v>
      </c>
      <c r="B66" s="156">
        <f>+INPUT!C271</f>
        <v>28120</v>
      </c>
      <c r="C66" s="156">
        <f>+INPUT!D271</f>
        <v>19419</v>
      </c>
      <c r="D66" s="156">
        <f>+INPUT!E271</f>
        <v>30995</v>
      </c>
      <c r="E66" s="156">
        <f>+INPUT!F271</f>
        <v>17473</v>
      </c>
      <c r="F66" s="156">
        <f>+INPUT!G271</f>
        <v>30657</v>
      </c>
      <c r="G66" s="21"/>
    </row>
    <row r="67" spans="1:7">
      <c r="A67" s="68" t="str">
        <f>+INPUT!B272</f>
        <v>Diversions of Republican River water from Lovewell Reservoir to the Courtland Canal below Lovewell</v>
      </c>
      <c r="B67" s="156">
        <f>+INPUT!C272</f>
        <v>25525</v>
      </c>
      <c r="C67" s="156">
        <f>+INPUT!D272</f>
        <v>14050</v>
      </c>
      <c r="D67" s="156">
        <f>+INPUT!E272</f>
        <v>10662</v>
      </c>
      <c r="E67" s="156">
        <f>+INPUT!F272</f>
        <v>14183</v>
      </c>
      <c r="F67" s="156">
        <f>+INPUT!G272</f>
        <v>24651</v>
      </c>
      <c r="G67" s="21"/>
    </row>
    <row r="68" spans="1:7">
      <c r="A68" s="83"/>
      <c r="B68" s="116"/>
      <c r="C68" s="116"/>
      <c r="D68" s="116"/>
      <c r="E68" s="116"/>
      <c r="F68" s="116"/>
      <c r="G68" s="21"/>
    </row>
    <row r="69" spans="1:7">
      <c r="A69" s="68" t="str">
        <f>+INPUT!B276</f>
        <v>Kansas Bostwick Diversions During Irrigation Season (actual, or 3-year average)</v>
      </c>
      <c r="B69" s="156">
        <f>+INPUT!C276</f>
        <v>38784.591548472919</v>
      </c>
      <c r="C69" s="156">
        <f>+INPUT!D276</f>
        <v>37077</v>
      </c>
      <c r="D69" s="156">
        <f>+INPUT!E276</f>
        <v>37221.863849490997</v>
      </c>
      <c r="E69" s="156">
        <f>+INPUT!F276</f>
        <v>32827.674475489039</v>
      </c>
      <c r="F69" s="156">
        <f>+INPUT!G276</f>
        <v>52212</v>
      </c>
      <c r="G69" s="21"/>
    </row>
    <row r="70" spans="1:7">
      <c r="A70" s="135" t="s">
        <v>547</v>
      </c>
      <c r="B70" s="156">
        <f>INPUT!C277</f>
        <v>26806.759204000991</v>
      </c>
      <c r="C70" s="156">
        <f>INPUT!D277</f>
        <v>25860</v>
      </c>
      <c r="D70" s="156">
        <f>INPUT!E277</f>
        <v>26706.586401333665</v>
      </c>
      <c r="E70" s="156">
        <f>INPUT!F277</f>
        <v>32808.708010000002</v>
      </c>
      <c r="F70" s="156">
        <f>INPUT!G277</f>
        <v>30809</v>
      </c>
      <c r="G70" s="21"/>
    </row>
    <row r="71" spans="1:7">
      <c r="A71" s="68" t="s">
        <v>129</v>
      </c>
      <c r="B71" s="156">
        <f>INPUT!C238</f>
        <v>0</v>
      </c>
      <c r="C71" s="156">
        <f>INPUT!D238</f>
        <v>0</v>
      </c>
      <c r="D71" s="156">
        <f>INPUT!E238</f>
        <v>0</v>
      </c>
      <c r="E71" s="156">
        <f>INPUT!F238</f>
        <v>0</v>
      </c>
      <c r="F71" s="156">
        <f>INPUT!G238</f>
        <v>0</v>
      </c>
      <c r="G71" s="21"/>
    </row>
    <row r="72" spans="1:7">
      <c r="A72" s="68" t="str">
        <f>+INPUT!B243</f>
        <v>Meeker-Driftwood Canal Diversions</v>
      </c>
      <c r="B72" s="156">
        <f>+INPUT!C243</f>
        <v>16692</v>
      </c>
      <c r="C72" s="156">
        <f>+INPUT!D243</f>
        <v>14295</v>
      </c>
      <c r="D72" s="156">
        <f>+INPUT!E243</f>
        <v>16468</v>
      </c>
      <c r="E72" s="156">
        <f>+INPUT!F243</f>
        <v>19398</v>
      </c>
      <c r="F72" s="156">
        <f>+INPUT!G243</f>
        <v>18654</v>
      </c>
      <c r="G72" s="21"/>
    </row>
    <row r="73" spans="1:7">
      <c r="A73" s="68" t="str">
        <f>+INPUT!B245</f>
        <v>Red Willow Canal Diversions</v>
      </c>
      <c r="B73" s="156">
        <f>+INPUT!C245</f>
        <v>0</v>
      </c>
      <c r="C73" s="156">
        <f>+INPUT!D245</f>
        <v>0</v>
      </c>
      <c r="D73" s="156">
        <f>+INPUT!E245</f>
        <v>5772</v>
      </c>
      <c r="E73" s="156">
        <f>+INPUT!F245</f>
        <v>5226</v>
      </c>
      <c r="F73" s="156">
        <f>+INPUT!G245</f>
        <v>5161</v>
      </c>
      <c r="G73" s="21"/>
    </row>
    <row r="74" spans="1:7">
      <c r="A74" s="68" t="str">
        <f>+INPUT!B239</f>
        <v>Culbertson Canal Diversions</v>
      </c>
      <c r="B74" s="156">
        <f>+INPUT!C239</f>
        <v>0</v>
      </c>
      <c r="C74" s="156">
        <f>+INPUT!D239</f>
        <v>7426</v>
      </c>
      <c r="D74" s="156">
        <f>+INPUT!E239</f>
        <v>11598</v>
      </c>
      <c r="E74" s="156">
        <f>+INPUT!F239</f>
        <v>6722</v>
      </c>
      <c r="F74" s="156">
        <f>+INPUT!G239</f>
        <v>5988</v>
      </c>
      <c r="G74" s="21"/>
    </row>
    <row r="75" spans="1:7">
      <c r="A75" s="68" t="str">
        <f>+INPUT!B240</f>
        <v>Culbertson Canal Extension Diversions</v>
      </c>
      <c r="B75" s="156">
        <f>+INPUT!C240</f>
        <v>0</v>
      </c>
      <c r="C75" s="156">
        <f>+INPUT!D240</f>
        <v>0</v>
      </c>
      <c r="D75" s="156">
        <f>+INPUT!E240</f>
        <v>0</v>
      </c>
      <c r="E75" s="156">
        <f>+INPUT!F240</f>
        <v>0</v>
      </c>
      <c r="F75" s="156">
        <f>+INPUT!G240</f>
        <v>0</v>
      </c>
      <c r="G75" s="21"/>
    </row>
    <row r="76" spans="1:7">
      <c r="A76" s="68" t="str">
        <f>+INPUT!B234</f>
        <v>Haigler Canal Diversions - Nebraska</v>
      </c>
      <c r="B76" s="156">
        <f>+INPUT!C234</f>
        <v>4732</v>
      </c>
      <c r="C76" s="156">
        <f>+INPUT!D234</f>
        <v>3676</v>
      </c>
      <c r="D76" s="156">
        <f>+INPUT!E234</f>
        <v>3963</v>
      </c>
      <c r="E76" s="156">
        <f>+INPUT!F234</f>
        <v>5288</v>
      </c>
      <c r="F76" s="156">
        <f>+INPUT!G234</f>
        <v>5640</v>
      </c>
      <c r="G76" s="21"/>
    </row>
    <row r="77" spans="1:7">
      <c r="A77" s="69" t="s">
        <v>181</v>
      </c>
      <c r="B77" s="156"/>
      <c r="C77" s="156"/>
      <c r="D77" s="156"/>
      <c r="E77" s="156"/>
      <c r="F77" s="156"/>
      <c r="G77" s="21"/>
    </row>
    <row r="78" spans="1:7">
      <c r="A78" s="68" t="str">
        <f>+INPUT!B138</f>
        <v>SW Diversions - Irrigation - Non-Federal Canals- Kansas</v>
      </c>
      <c r="B78" s="156">
        <f>+INPUT!C138</f>
        <v>0</v>
      </c>
      <c r="C78" s="156">
        <f>+INPUT!D138</f>
        <v>0</v>
      </c>
      <c r="D78" s="156">
        <f>+INPUT!E138</f>
        <v>0</v>
      </c>
      <c r="E78" s="156">
        <f>+INPUT!F138</f>
        <v>0</v>
      </c>
      <c r="F78" s="156">
        <f>+INPUT!G138</f>
        <v>0</v>
      </c>
      <c r="G78" s="21"/>
    </row>
    <row r="79" spans="1:7">
      <c r="A79" s="68" t="str">
        <f>+INPUT!B139</f>
        <v>SW Diversions - Irrigation - Small Pumps - Kansas</v>
      </c>
      <c r="B79" s="156">
        <f>+INPUT!C139</f>
        <v>969</v>
      </c>
      <c r="C79" s="156">
        <f>+INPUT!D139</f>
        <v>690</v>
      </c>
      <c r="D79" s="156">
        <f>+INPUT!E139</f>
        <v>197</v>
      </c>
      <c r="E79" s="156">
        <f>+INPUT!F139</f>
        <v>753</v>
      </c>
      <c r="F79" s="156">
        <f>+INPUT!G139</f>
        <v>889.36</v>
      </c>
      <c r="G79" s="21"/>
    </row>
    <row r="80" spans="1:7">
      <c r="A80" s="68" t="str">
        <f>+INPUT!B140</f>
        <v>SW Diversions - M&amp;I - Kansas</v>
      </c>
      <c r="B80" s="156">
        <f>+INPUT!C140</f>
        <v>0</v>
      </c>
      <c r="C80" s="156">
        <f>+INPUT!D140</f>
        <v>0</v>
      </c>
      <c r="D80" s="156">
        <f>+INPUT!E140</f>
        <v>0</v>
      </c>
      <c r="E80" s="156">
        <f>+INPUT!F140</f>
        <v>0</v>
      </c>
      <c r="F80" s="156">
        <f>+INPUT!G140</f>
        <v>0</v>
      </c>
      <c r="G80" s="21"/>
    </row>
    <row r="81" spans="1:7">
      <c r="A81" s="68" t="str">
        <f>+INPUT!B179</f>
        <v>Non-Federal Reservoir Evaporation - Kansas</v>
      </c>
      <c r="B81" s="156">
        <f>+INPUT!C179</f>
        <v>70</v>
      </c>
      <c r="C81" s="156">
        <f>+INPUT!D179</f>
        <v>49.91693107337499</v>
      </c>
      <c r="D81" s="156">
        <f>+INPUT!E179</f>
        <v>76</v>
      </c>
      <c r="E81" s="156">
        <f>+INPUT!F179</f>
        <v>118.52</v>
      </c>
      <c r="F81" s="156">
        <f>+INPUT!G179</f>
        <v>77.930000000000007</v>
      </c>
      <c r="G81" s="21"/>
    </row>
    <row r="82" spans="1:7">
      <c r="A82" s="69" t="s">
        <v>182</v>
      </c>
      <c r="B82" s="156"/>
      <c r="C82" s="156"/>
      <c r="D82" s="156"/>
      <c r="E82" s="156"/>
      <c r="F82" s="156"/>
      <c r="G82" s="21"/>
    </row>
    <row r="83" spans="1:7">
      <c r="A83" s="68" t="str">
        <f>+INPUT!B141 &amp; " " &amp;"-" &amp;" " &amp;(LEFT(INPUT!A138,8))</f>
        <v>SW Diversions - Irrigation - Non-Federal Canals - Nebraska - Mainstem</v>
      </c>
      <c r="B83" s="156">
        <f>+INPUT!C141</f>
        <v>2268</v>
      </c>
      <c r="C83" s="156">
        <f>+INPUT!D141</f>
        <v>2677.0466470953293</v>
      </c>
      <c r="D83" s="156">
        <f>+INPUT!E141</f>
        <v>3286</v>
      </c>
      <c r="E83" s="156">
        <f>+INPUT!F141</f>
        <v>1751.5329999999999</v>
      </c>
      <c r="F83" s="156">
        <f>+INPUT!G141</f>
        <v>1830</v>
      </c>
      <c r="G83" s="21"/>
    </row>
    <row r="84" spans="1:7">
      <c r="A84" s="68" t="str">
        <f>+INPUT!B142 &amp; " " &amp;"-" &amp;" " &amp;(LEFT(INPUT!$A$138,8))</f>
        <v>SW Diversions - Irrigation - Small Pumps - Nebraska - Mainstem</v>
      </c>
      <c r="B84" s="156">
        <f>+INPUT!C142</f>
        <v>1687.6172999999999</v>
      </c>
      <c r="C84" s="156">
        <f>+INPUT!D142</f>
        <v>1489</v>
      </c>
      <c r="D84" s="156">
        <f>+INPUT!E142</f>
        <v>316</v>
      </c>
      <c r="E84" s="156">
        <f>+INPUT!F142</f>
        <v>1452.824987345437</v>
      </c>
      <c r="F84" s="156">
        <f>+INPUT!G142</f>
        <v>1461</v>
      </c>
      <c r="G84" s="21"/>
    </row>
    <row r="85" spans="1:7">
      <c r="A85" s="68" t="str">
        <f>+INPUT!B143 &amp; " " &amp;"-" &amp;" " &amp;(LEFT(INPUT!$A$138,8))</f>
        <v>SW Diversions - M&amp;I - Nebraska - Mainstem</v>
      </c>
      <c r="B85" s="156">
        <f>+INPUT!C143</f>
        <v>0</v>
      </c>
      <c r="C85" s="156">
        <f>+INPUT!D143</f>
        <v>0</v>
      </c>
      <c r="D85" s="156">
        <f>+INPUT!E143</f>
        <v>0</v>
      </c>
      <c r="E85" s="156">
        <f>+INPUT!F143</f>
        <v>0</v>
      </c>
      <c r="F85" s="156">
        <f>+INPUT!G143</f>
        <v>0</v>
      </c>
      <c r="G85" s="21"/>
    </row>
    <row r="86" spans="1:7">
      <c r="A86" s="68" t="str">
        <f>+INPUT!B180</f>
        <v>Non-Federal Reservoir Evaporation - Nebraska - Above Guide Rock Gage - Whole Basin Value:</v>
      </c>
      <c r="B86" s="156">
        <f>INPUT!C180</f>
        <v>917.02710890000003</v>
      </c>
      <c r="C86" s="156">
        <f>INPUT!D180</f>
        <v>632.43047149999802</v>
      </c>
      <c r="D86" s="156">
        <f>INPUT!E180</f>
        <v>536</v>
      </c>
      <c r="E86" s="156">
        <f>INPUT!F180</f>
        <v>1477.9915206458338</v>
      </c>
      <c r="F86" s="156">
        <f>INPUT!G180</f>
        <v>983</v>
      </c>
      <c r="G86" s="21"/>
    </row>
    <row r="87" spans="1:7">
      <c r="A87" s="68" t="str">
        <f>+INPUT!B181</f>
        <v>Non-Federal Reservoir Evaporation - Nebraska - Below Guide Rock Gage - Whole Basin Value:</v>
      </c>
      <c r="B87" s="156">
        <f>+INPUT!C181</f>
        <v>93.334166670000002</v>
      </c>
      <c r="C87" s="156">
        <f>+INPUT!D181</f>
        <v>-8.8209000000000106</v>
      </c>
      <c r="D87" s="156">
        <f>+INPUT!E181</f>
        <v>-6</v>
      </c>
      <c r="E87" s="156">
        <f>+INPUT!F181</f>
        <v>83.536200000000008</v>
      </c>
      <c r="F87" s="156">
        <f>+INPUT!G181</f>
        <v>51</v>
      </c>
      <c r="G87" s="21"/>
    </row>
    <row r="88" spans="1:7">
      <c r="A88" s="139" t="str">
        <f>+FLOOD!A69</f>
        <v>Mainstem Flood Flow</v>
      </c>
      <c r="B88" s="156">
        <f>+FLOOD!B69</f>
        <v>0</v>
      </c>
      <c r="C88" s="156">
        <f>+FLOOD!C69</f>
        <v>0</v>
      </c>
      <c r="D88" s="156">
        <f>+FLOOD!D69</f>
        <v>185128</v>
      </c>
      <c r="E88" s="156">
        <f>+FLOOD!E69</f>
        <v>0</v>
      </c>
      <c r="F88" s="156">
        <f>+FLOOD!F69</f>
        <v>0</v>
      </c>
      <c r="G88" s="21"/>
    </row>
    <row r="89" spans="1:7">
      <c r="A89" s="70" t="s">
        <v>66</v>
      </c>
      <c r="B89" s="156"/>
      <c r="C89" s="156"/>
      <c r="D89" s="156"/>
      <c r="E89" s="156"/>
      <c r="F89" s="156"/>
      <c r="G89" s="21"/>
    </row>
    <row r="90" spans="1:7" ht="15.75">
      <c r="A90" s="65" t="s">
        <v>183</v>
      </c>
      <c r="B90" s="157"/>
      <c r="C90" s="157"/>
      <c r="D90" s="157"/>
      <c r="E90" s="157"/>
      <c r="F90" s="157"/>
      <c r="G90" s="21"/>
    </row>
    <row r="91" spans="1:7">
      <c r="A91" s="261" t="s">
        <v>553</v>
      </c>
      <c r="B91" s="157">
        <f>+B63*0.015</f>
        <v>788.98500000000001</v>
      </c>
      <c r="C91" s="157">
        <f>+C63*0.015</f>
        <v>608.38499999999999</v>
      </c>
      <c r="D91" s="157">
        <f>+D63*0.015</f>
        <v>760.81499999999994</v>
      </c>
      <c r="E91" s="157">
        <f>+E63*0.015</f>
        <v>536.34</v>
      </c>
      <c r="F91" s="157">
        <f>+F63*0.015</f>
        <v>911.64</v>
      </c>
      <c r="G91" s="21"/>
    </row>
    <row r="92" spans="1:7">
      <c r="A92" s="71" t="s">
        <v>421</v>
      </c>
      <c r="B92" s="157">
        <f t="shared" ref="B92:D93" si="0">B61*0.18</f>
        <v>627.12</v>
      </c>
      <c r="C92" s="157">
        <f t="shared" si="0"/>
        <v>278.64</v>
      </c>
      <c r="D92" s="157">
        <f t="shared" si="0"/>
        <v>268.38</v>
      </c>
      <c r="E92" s="157">
        <f>E61*0.18</f>
        <v>692.45999999999992</v>
      </c>
      <c r="F92" s="157">
        <f>F61*0.18</f>
        <v>668.16</v>
      </c>
      <c r="G92" s="21"/>
    </row>
    <row r="93" spans="1:7">
      <c r="A93" s="71" t="s">
        <v>422</v>
      </c>
      <c r="B93" s="157">
        <f t="shared" si="0"/>
        <v>1062.54</v>
      </c>
      <c r="C93" s="157">
        <f t="shared" si="0"/>
        <v>731.69999999999993</v>
      </c>
      <c r="D93" s="157">
        <f t="shared" si="0"/>
        <v>497.7</v>
      </c>
      <c r="E93" s="157">
        <f>E62*0.18</f>
        <v>770.04</v>
      </c>
      <c r="F93" s="157">
        <f>F62*0.18</f>
        <v>1406.7</v>
      </c>
      <c r="G93" s="21"/>
    </row>
    <row r="94" spans="1:7">
      <c r="A94" s="71" t="s">
        <v>423</v>
      </c>
      <c r="B94" s="157">
        <f>B65*0.18</f>
        <v>695.88</v>
      </c>
      <c r="C94" s="157">
        <f>C65*0.18</f>
        <v>1022.5799999999999</v>
      </c>
      <c r="D94" s="157">
        <f>D65*0.18</f>
        <v>1359.54</v>
      </c>
      <c r="E94" s="157">
        <f>E65*0.18</f>
        <v>711</v>
      </c>
      <c r="F94" s="157">
        <f>F65*0.18</f>
        <v>1583.1</v>
      </c>
      <c r="G94" s="21"/>
    </row>
    <row r="95" spans="1:7">
      <c r="A95" s="71" t="s">
        <v>184</v>
      </c>
      <c r="B95" s="169">
        <f>B69/(B69+B70)</f>
        <v>0.59130649244954114</v>
      </c>
      <c r="C95" s="169">
        <f>C69/(C69+C70)</f>
        <v>0.58911292244625579</v>
      </c>
      <c r="D95" s="169">
        <f>D69/(D69+D70)</f>
        <v>0.58224254934149355</v>
      </c>
      <c r="E95" s="169">
        <f>E69/(E69+E70)</f>
        <v>0.50014448134381284</v>
      </c>
      <c r="F95" s="169">
        <f>F69/(F69+F70)</f>
        <v>0.62890112140301846</v>
      </c>
      <c r="G95" s="21"/>
    </row>
    <row r="96" spans="1:7">
      <c r="A96" s="72" t="s">
        <v>228</v>
      </c>
      <c r="B96" s="169">
        <f>1-B95</f>
        <v>0.40869350755045886</v>
      </c>
      <c r="C96" s="169">
        <f>1-C95</f>
        <v>0.41088707755374421</v>
      </c>
      <c r="D96" s="169">
        <f>1-D95</f>
        <v>0.41775745065850645</v>
      </c>
      <c r="E96" s="169">
        <f>1-E95</f>
        <v>0.49985551865618716</v>
      </c>
      <c r="F96" s="169">
        <f>1-F95</f>
        <v>0.37109887859698154</v>
      </c>
      <c r="G96" s="21"/>
    </row>
    <row r="97" spans="1:7">
      <c r="A97" s="72" t="s">
        <v>410</v>
      </c>
      <c r="B97" s="164">
        <f>B47*B95</f>
        <v>5175.7057284108332</v>
      </c>
      <c r="C97" s="164">
        <f>C47*C95</f>
        <v>4198.6077982744646</v>
      </c>
      <c r="D97" s="165">
        <f>D47*D95</f>
        <v>9758.3851269634324</v>
      </c>
      <c r="E97" s="164">
        <f>E47*E95</f>
        <v>13213.317052622191</v>
      </c>
      <c r="F97" s="165">
        <f>F47*F95</f>
        <v>7217.2692692210394</v>
      </c>
      <c r="G97" s="21"/>
    </row>
    <row r="98" spans="1:7">
      <c r="A98" s="72" t="s">
        <v>229</v>
      </c>
      <c r="B98" s="157">
        <f>B47-B97</f>
        <v>3577.2942715891668</v>
      </c>
      <c r="C98" s="157">
        <f>C47-C97</f>
        <v>2928.3922017255354</v>
      </c>
      <c r="D98" s="157">
        <f>D47-D97</f>
        <v>7001.6148730365676</v>
      </c>
      <c r="E98" s="157">
        <f>E47-E97</f>
        <v>13205.682947377809</v>
      </c>
      <c r="F98" s="157">
        <f>F47-F97</f>
        <v>4258.7307307789606</v>
      </c>
      <c r="G98" s="21"/>
    </row>
    <row r="99" spans="1:7">
      <c r="A99" s="73" t="s">
        <v>66</v>
      </c>
      <c r="B99" s="157"/>
      <c r="C99" s="157"/>
      <c r="D99" s="157"/>
      <c r="E99" s="157"/>
      <c r="F99" s="157"/>
      <c r="G99" s="21"/>
    </row>
    <row r="100" spans="1:7" ht="15.75">
      <c r="A100" s="65" t="s">
        <v>241</v>
      </c>
      <c r="B100" s="157"/>
      <c r="C100" s="157"/>
      <c r="D100" s="157"/>
      <c r="E100" s="157"/>
      <c r="F100" s="157"/>
      <c r="G100" s="21"/>
    </row>
    <row r="101" spans="1:7">
      <c r="A101" s="51" t="s">
        <v>0</v>
      </c>
      <c r="B101" s="156"/>
      <c r="C101" s="156"/>
      <c r="D101" s="156"/>
      <c r="E101" s="156"/>
      <c r="F101" s="156"/>
      <c r="G101" s="21"/>
    </row>
    <row r="102" spans="1:7">
      <c r="A102" s="53" t="s">
        <v>176</v>
      </c>
      <c r="B102" s="156">
        <f>+B6</f>
        <v>-3316</v>
      </c>
      <c r="C102" s="156">
        <f>+C6</f>
        <v>-1978</v>
      </c>
      <c r="D102" s="156">
        <f>+D6</f>
        <v>-2522</v>
      </c>
      <c r="E102" s="156">
        <f>+E6</f>
        <v>-5115</v>
      </c>
      <c r="F102" s="156">
        <f>+F6</f>
        <v>-3839</v>
      </c>
      <c r="G102" s="21"/>
    </row>
    <row r="103" spans="1:7">
      <c r="A103" s="53" t="s">
        <v>177</v>
      </c>
      <c r="B103" s="156">
        <f>(ROUND(SUM(B102:B102),-1))</f>
        <v>-3320</v>
      </c>
      <c r="C103" s="156">
        <f>(ROUND(SUM(C102:C102),-1))</f>
        <v>-1980</v>
      </c>
      <c r="D103" s="156">
        <f>(ROUND(SUM(D102:D102),-1))</f>
        <v>-2520</v>
      </c>
      <c r="E103" s="156">
        <f>(ROUND(SUM(E102:E102),-1))</f>
        <v>-5120</v>
      </c>
      <c r="F103" s="156">
        <f>(ROUND(SUM(F102:F102),-1))</f>
        <v>-3840</v>
      </c>
      <c r="G103" s="21"/>
    </row>
    <row r="104" spans="1:7">
      <c r="A104" s="52" t="s">
        <v>66</v>
      </c>
      <c r="B104" s="156"/>
      <c r="C104" s="156"/>
      <c r="D104" s="156"/>
      <c r="E104" s="156"/>
      <c r="F104" s="156"/>
      <c r="G104" s="21"/>
    </row>
    <row r="105" spans="1:7">
      <c r="A105" s="74" t="s">
        <v>161</v>
      </c>
      <c r="B105" s="156"/>
      <c r="C105" s="156"/>
      <c r="D105" s="156"/>
      <c r="E105" s="156"/>
      <c r="F105" s="156"/>
      <c r="G105" s="21"/>
    </row>
    <row r="106" spans="1:7">
      <c r="A106" s="54" t="str">
        <f>+A97</f>
        <v>Net Evaporation From Harlan County Reservoir Charged To Kansas</v>
      </c>
      <c r="B106" s="156">
        <f>+B97 +B48</f>
        <v>7186.7057284108332</v>
      </c>
      <c r="C106" s="156">
        <f>+C97 +C48</f>
        <v>4543.6077982744646</v>
      </c>
      <c r="D106" s="156">
        <f>+D97 +D48</f>
        <v>9758.3851269634324</v>
      </c>
      <c r="E106" s="156">
        <f>+E97 +E48</f>
        <v>13213.317052622191</v>
      </c>
      <c r="F106" s="156">
        <f>+F97 +F48</f>
        <v>7217.2692692210394</v>
      </c>
      <c r="G106" s="21"/>
    </row>
    <row r="107" spans="1:7">
      <c r="A107" s="54" t="str">
        <f t="shared" ref="A107:F107" si="1">+A93</f>
        <v>Courtland Canal Transportation Loss in NE assigned to deliveries to Lovewell that does not recharge</v>
      </c>
      <c r="B107" s="156">
        <f t="shared" si="1"/>
        <v>1062.54</v>
      </c>
      <c r="C107" s="156">
        <f t="shared" si="1"/>
        <v>731.69999999999993</v>
      </c>
      <c r="D107" s="156">
        <f t="shared" si="1"/>
        <v>497.7</v>
      </c>
      <c r="E107" s="156">
        <f t="shared" si="1"/>
        <v>770.04</v>
      </c>
      <c r="F107" s="156">
        <f t="shared" si="1"/>
        <v>1406.7</v>
      </c>
      <c r="G107" s="21"/>
    </row>
    <row r="108" spans="1:7">
      <c r="A108" s="55" t="s">
        <v>397</v>
      </c>
      <c r="B108" s="156">
        <f>(B64)*(1-B25)</f>
        <v>10031.79291812259</v>
      </c>
      <c r="C108" s="156">
        <f>(C64)*(1-C25)</f>
        <v>7882.3192000000008</v>
      </c>
      <c r="D108" s="156">
        <f>(D64)*(1-D25)</f>
        <v>4763.1881999999996</v>
      </c>
      <c r="E108" s="156">
        <f>(E64)*(1-E25)</f>
        <v>7143.4622702821644</v>
      </c>
      <c r="F108" s="156">
        <f>(F64)*(1-F25)</f>
        <v>10337.1342</v>
      </c>
      <c r="G108" s="21"/>
    </row>
    <row r="109" spans="1:7">
      <c r="A109" s="54" t="str">
        <f t="shared" ref="A109:F109" si="2">+A94</f>
        <v>Courtland Canal Transportation Loss from the Stateline to Lovewell that does not return</v>
      </c>
      <c r="B109" s="156">
        <f t="shared" si="2"/>
        <v>695.88</v>
      </c>
      <c r="C109" s="156">
        <f t="shared" si="2"/>
        <v>1022.5799999999999</v>
      </c>
      <c r="D109" s="156">
        <f t="shared" si="2"/>
        <v>1359.54</v>
      </c>
      <c r="E109" s="156">
        <f t="shared" si="2"/>
        <v>711</v>
      </c>
      <c r="F109" s="156">
        <f t="shared" si="2"/>
        <v>1583.1</v>
      </c>
      <c r="G109" s="21"/>
    </row>
    <row r="110" spans="1:7">
      <c r="A110" s="69" t="s">
        <v>185</v>
      </c>
      <c r="B110" s="156">
        <f>B50</f>
        <v>2595</v>
      </c>
      <c r="C110" s="156">
        <f>C50</f>
        <v>-194</v>
      </c>
      <c r="D110" s="156">
        <f>D50</f>
        <v>-131</v>
      </c>
      <c r="E110" s="156">
        <f>E50</f>
        <v>1385</v>
      </c>
      <c r="F110" s="156">
        <f>F50</f>
        <v>1290</v>
      </c>
      <c r="G110" s="21"/>
    </row>
    <row r="111" spans="1:7">
      <c r="A111" s="55" t="s">
        <v>398</v>
      </c>
      <c r="B111" s="156">
        <f>B67*(1-B26)</f>
        <v>14815.25704105263</v>
      </c>
      <c r="C111" s="156">
        <f>C67*(1-C26)</f>
        <v>7109.2417949555675</v>
      </c>
      <c r="D111" s="156">
        <f>D67*(1-D26)</f>
        <v>4685.6866401245143</v>
      </c>
      <c r="E111" s="156">
        <f>E67*(1-E26)</f>
        <v>6918.8026577146111</v>
      </c>
      <c r="F111" s="156">
        <f>F67*(1-F26)</f>
        <v>14199.311704410293</v>
      </c>
      <c r="G111" s="21"/>
    </row>
    <row r="112" spans="1:7" ht="12" customHeight="1">
      <c r="A112" s="69" t="str">
        <f>'NORTH FORK'!A23</f>
        <v>SW CBCU - Irrigation - Non Federal Canals</v>
      </c>
      <c r="B112" s="156">
        <f>+B78*CanalCUPercent1</f>
        <v>0</v>
      </c>
      <c r="C112" s="156">
        <f>+C78*CanalCUPercent2</f>
        <v>0</v>
      </c>
      <c r="D112" s="156">
        <f>+D78*CanalCUPercent3</f>
        <v>0</v>
      </c>
      <c r="E112" s="156">
        <f>+E78*CanalCUPercent4</f>
        <v>0</v>
      </c>
      <c r="F112" s="156">
        <f>+F78*CanalCUPercent5</f>
        <v>0</v>
      </c>
      <c r="G112" s="21"/>
    </row>
    <row r="113" spans="1:7">
      <c r="A113" s="69" t="str">
        <f>'NORTH FORK'!A24</f>
        <v>SW CBCU - Irrigation - Small Pumps</v>
      </c>
      <c r="B113" s="156">
        <f>+B79*PumperCUPercent1</f>
        <v>726.75</v>
      </c>
      <c r="C113" s="156">
        <f>+C79*PumperCUPercent2</f>
        <v>517.5</v>
      </c>
      <c r="D113" s="156">
        <f>+D79*PumperCUPercent3</f>
        <v>147.75</v>
      </c>
      <c r="E113" s="156">
        <f>+E79*PumperCUPercent4</f>
        <v>564.75</v>
      </c>
      <c r="F113" s="156">
        <f>+F79*PumperCUPercent5</f>
        <v>667.02</v>
      </c>
      <c r="G113" s="21"/>
    </row>
    <row r="114" spans="1:7">
      <c r="A114" s="69" t="str">
        <f>'NORTH FORK'!A25</f>
        <v>SW CBCU - M&amp;I</v>
      </c>
      <c r="B114" s="156">
        <f>+B80*MI_CUPercent1</f>
        <v>0</v>
      </c>
      <c r="C114" s="156">
        <f>+C80*MI_CUPercent2</f>
        <v>0</v>
      </c>
      <c r="D114" s="156">
        <f>+D80*MI_CUPercent3</f>
        <v>0</v>
      </c>
      <c r="E114" s="156">
        <f>+E80*MI_CUPercent4</f>
        <v>0</v>
      </c>
      <c r="F114" s="156">
        <f>+F80*MI_CUPercent5</f>
        <v>0</v>
      </c>
      <c r="G114" s="21"/>
    </row>
    <row r="115" spans="1:7">
      <c r="A115" s="76" t="str">
        <f t="shared" ref="A115:F115" si="3">A81</f>
        <v>Non-Federal Reservoir Evaporation - Kansas</v>
      </c>
      <c r="B115" s="156">
        <f t="shared" si="3"/>
        <v>70</v>
      </c>
      <c r="C115" s="156">
        <f t="shared" si="3"/>
        <v>49.91693107337499</v>
      </c>
      <c r="D115" s="156">
        <f t="shared" si="3"/>
        <v>76</v>
      </c>
      <c r="E115" s="156">
        <f t="shared" si="3"/>
        <v>118.52</v>
      </c>
      <c r="F115" s="156">
        <f t="shared" si="3"/>
        <v>77.930000000000007</v>
      </c>
      <c r="G115" s="21"/>
    </row>
    <row r="116" spans="1:7">
      <c r="A116" s="54" t="str">
        <f>'NORTH FORK'!A27</f>
        <v>SW CBCU</v>
      </c>
      <c r="B116" s="156">
        <f>SUM(B106:B115)</f>
        <v>37183.925687586052</v>
      </c>
      <c r="C116" s="156">
        <f>SUM(C106:C115)</f>
        <v>21662.865724303407</v>
      </c>
      <c r="D116" s="156">
        <f>SUM(D106:D115)</f>
        <v>21157.249967087948</v>
      </c>
      <c r="E116" s="156">
        <f>SUM(E106:E115)</f>
        <v>30824.89198061897</v>
      </c>
      <c r="F116" s="156">
        <f>SUM(F106:F115)</f>
        <v>36778.465173631324</v>
      </c>
      <c r="G116" s="21"/>
    </row>
    <row r="117" spans="1:7">
      <c r="A117" s="385" t="str">
        <f>'NORTH FORK'!A28</f>
        <v>GW CBCU</v>
      </c>
      <c r="B117" s="156">
        <f>+B7+B8</f>
        <v>27</v>
      </c>
      <c r="C117" s="156">
        <f>+C7+C8</f>
        <v>1011</v>
      </c>
      <c r="D117" s="156">
        <f>+D7+D8</f>
        <v>401</v>
      </c>
      <c r="E117" s="156">
        <f>+E7+E8</f>
        <v>-718</v>
      </c>
      <c r="F117" s="156">
        <f>+F7+F8</f>
        <v>-297</v>
      </c>
      <c r="G117" s="21"/>
    </row>
    <row r="118" spans="1:7">
      <c r="A118" s="54" t="str">
        <f>'NORTH FORK'!A29</f>
        <v>Total CBCU</v>
      </c>
      <c r="B118" s="156">
        <f>(ROUND(SUM(B116:B117),-1))</f>
        <v>37210</v>
      </c>
      <c r="C118" s="156">
        <f>(ROUND(SUM(C116:C117),-1))</f>
        <v>22670</v>
      </c>
      <c r="D118" s="156">
        <f>(ROUND(SUM(D116:D117),-1))</f>
        <v>21560</v>
      </c>
      <c r="E118" s="156">
        <f>(ROUND(SUM(E116:E117),-1))</f>
        <v>30110</v>
      </c>
      <c r="F118" s="156">
        <f>(ROUND(SUM(F116:F117),-1))</f>
        <v>36480</v>
      </c>
      <c r="G118" s="21"/>
    </row>
    <row r="119" spans="1:7">
      <c r="A119" s="52" t="s">
        <v>66</v>
      </c>
      <c r="B119" s="156"/>
      <c r="C119" s="156"/>
      <c r="D119" s="156"/>
      <c r="E119" s="156"/>
      <c r="F119" s="156"/>
      <c r="G119" s="21"/>
    </row>
    <row r="120" spans="1:7">
      <c r="A120" s="51" t="s">
        <v>1</v>
      </c>
      <c r="B120" s="156"/>
      <c r="C120" s="156"/>
      <c r="D120" s="156"/>
      <c r="E120" s="156"/>
      <c r="F120" s="156"/>
      <c r="G120" s="21"/>
    </row>
    <row r="121" spans="1:7">
      <c r="A121" s="77" t="s">
        <v>327</v>
      </c>
      <c r="B121" s="166">
        <f>B60*(1-B24)</f>
        <v>344.91680000000002</v>
      </c>
      <c r="C121" s="166">
        <f>C60*(1-C24)</f>
        <v>405.49040000000002</v>
      </c>
      <c r="D121" s="166">
        <f>D60*(1-D24)</f>
        <v>107.822</v>
      </c>
      <c r="E121" s="166">
        <f>E60*(1-E24)</f>
        <v>342.38000000000005</v>
      </c>
      <c r="F121" s="166">
        <f>F60*(1-F24)</f>
        <v>710.56439999999986</v>
      </c>
      <c r="G121" s="21"/>
    </row>
    <row r="122" spans="1:7">
      <c r="A122" s="77" t="s">
        <v>322</v>
      </c>
      <c r="B122" s="156">
        <f>+B57*(1-B23)</f>
        <v>2615.8319999999999</v>
      </c>
      <c r="C122" s="156">
        <f>+C57*(1-C23)</f>
        <v>2744.1216000000004</v>
      </c>
      <c r="D122" s="156">
        <f>+D57*(1-D23)</f>
        <v>1432.5928000000004</v>
      </c>
      <c r="E122" s="156">
        <f>+E57*(1-E23)</f>
        <v>2045.5788000000002</v>
      </c>
      <c r="F122" s="156">
        <f>+F57*(1-F23)</f>
        <v>3076.4627999999998</v>
      </c>
      <c r="G122" s="21"/>
    </row>
    <row r="123" spans="1:7">
      <c r="A123" s="77" t="s">
        <v>323</v>
      </c>
      <c r="B123" s="166">
        <f>+B56*(1-B22)</f>
        <v>381.96600000000001</v>
      </c>
      <c r="C123" s="166">
        <f>+C56*(1-C22)</f>
        <v>361.83800000000002</v>
      </c>
      <c r="D123" s="166">
        <f>+D56*(1-D22)</f>
        <v>172.94000000000003</v>
      </c>
      <c r="E123" s="166">
        <f>+E56*(1-E22)</f>
        <v>435.13599999999991</v>
      </c>
      <c r="F123" s="166">
        <f>+F56*(1-F22)</f>
        <v>301.55999999999995</v>
      </c>
      <c r="G123" s="21"/>
    </row>
    <row r="124" spans="1:7">
      <c r="A124" s="77" t="s">
        <v>324</v>
      </c>
      <c r="B124" s="166">
        <f>+B55*(1-B21)</f>
        <v>6199.4120000000012</v>
      </c>
      <c r="C124" s="166">
        <f>+C55*(1-C21)</f>
        <v>4928.1420000000016</v>
      </c>
      <c r="D124" s="166">
        <f>+D55*(1-D21)</f>
        <v>3024.2759999999976</v>
      </c>
      <c r="E124" s="166">
        <f>+E55*(1-E21)</f>
        <v>6466.9700000000021</v>
      </c>
      <c r="F124" s="166">
        <f>+F55*(1-F21)</f>
        <v>5583.4760000000015</v>
      </c>
      <c r="G124" s="21"/>
    </row>
    <row r="125" spans="1:7">
      <c r="A125" s="77" t="s">
        <v>325</v>
      </c>
      <c r="B125" s="166">
        <f>+B54*(1-B20)</f>
        <v>303.45099999999996</v>
      </c>
      <c r="C125" s="166">
        <f>+C54*(1-C20)</f>
        <v>215.95600000000002</v>
      </c>
      <c r="D125" s="166">
        <f>+D54*(1-D20)</f>
        <v>274.44799999999981</v>
      </c>
      <c r="E125" s="166">
        <f>+E54*(1-E20)</f>
        <v>414.92799999999988</v>
      </c>
      <c r="F125" s="166">
        <f>+F54*(1-F20)</f>
        <v>375.74599999999992</v>
      </c>
      <c r="G125" s="21"/>
    </row>
    <row r="126" spans="1:7">
      <c r="A126" s="260" t="s">
        <v>548</v>
      </c>
      <c r="B126" s="166">
        <f>+B53*(1-B19)</f>
        <v>9365.348</v>
      </c>
      <c r="C126" s="166">
        <f>+C53*(1-C19)</f>
        <v>7518.5300000000016</v>
      </c>
      <c r="D126" s="166">
        <f>+D53*(1-D19)</f>
        <v>8664.2580000000034</v>
      </c>
      <c r="E126" s="166">
        <f>+E53*(1-E19)</f>
        <v>10959.498</v>
      </c>
      <c r="F126" s="166">
        <f>+F53*(1-F19)</f>
        <v>10605.858000000002</v>
      </c>
      <c r="G126" s="21"/>
    </row>
    <row r="127" spans="1:7">
      <c r="A127" s="77" t="str">
        <f>+A52</f>
        <v>Bartley Canal Diversion</v>
      </c>
      <c r="B127" s="166">
        <f>+B52*(1-B18)</f>
        <v>2638.9900000000002</v>
      </c>
      <c r="C127" s="166">
        <f>+C52*(1-C18)</f>
        <v>2199.8420000000006</v>
      </c>
      <c r="D127" s="166">
        <f>+D52*(1-D18)</f>
        <v>1989.5619999999999</v>
      </c>
      <c r="E127" s="166">
        <f>+E52*(1-E18)</f>
        <v>2505.9179999999997</v>
      </c>
      <c r="F127" s="166">
        <f>+F52*(1-F18)</f>
        <v>2834.9439999999991</v>
      </c>
      <c r="G127" s="21"/>
    </row>
    <row r="128" spans="1:7">
      <c r="A128" s="77" t="s">
        <v>326</v>
      </c>
      <c r="B128" s="166">
        <f>+B72*(1-B14)</f>
        <v>5603.0360000000001</v>
      </c>
      <c r="C128" s="166">
        <f>+C72*(1-C14)</f>
        <v>4909.576</v>
      </c>
      <c r="D128" s="166">
        <f>+D72*(1-D14)</f>
        <v>5435.6540000000005</v>
      </c>
      <c r="E128" s="166">
        <f>+E72*(1-E14)</f>
        <v>7448.3420000000015</v>
      </c>
      <c r="F128" s="166">
        <f>+F72*(1-F14)</f>
        <v>7488.9860000000017</v>
      </c>
      <c r="G128" s="21"/>
    </row>
    <row r="129" spans="1:7">
      <c r="A129" s="77" t="str">
        <f>A73 &amp;" "&amp;"(90%)"</f>
        <v>Red Willow Canal Diversions (90%)</v>
      </c>
      <c r="B129" s="166">
        <f>+B73*0.9*(1-B17)</f>
        <v>0</v>
      </c>
      <c r="C129" s="166">
        <f>+C73*0.9*(1-C17)</f>
        <v>0</v>
      </c>
      <c r="D129" s="166">
        <f>+D73*0.9*(1-D17)</f>
        <v>1496.2644000000003</v>
      </c>
      <c r="E129" s="166">
        <f>+E73*0.9*(1-E17)</f>
        <v>1581.7338000000007</v>
      </c>
      <c r="F129" s="166">
        <f>+F73*0.9*(1-F17)</f>
        <v>1711.9926000000003</v>
      </c>
      <c r="G129" s="21"/>
    </row>
    <row r="130" spans="1:7">
      <c r="A130" s="77" t="s">
        <v>551</v>
      </c>
      <c r="B130" s="166">
        <f>B71*0.6</f>
        <v>0</v>
      </c>
      <c r="C130" s="166">
        <f>C71*0.6</f>
        <v>0</v>
      </c>
      <c r="D130" s="166">
        <f>D71*0.6</f>
        <v>0</v>
      </c>
      <c r="E130" s="166">
        <f>E71*0.6</f>
        <v>0</v>
      </c>
      <c r="F130" s="166">
        <f>F71*0.6</f>
        <v>0</v>
      </c>
      <c r="G130" s="21"/>
    </row>
    <row r="131" spans="1:7">
      <c r="A131" s="69" t="str">
        <f>'NORTH FORK'!A23</f>
        <v>SW CBCU - Irrigation - Non Federal Canals</v>
      </c>
      <c r="B131" s="156">
        <f>B83*CanalCUPercent1</f>
        <v>1360.8</v>
      </c>
      <c r="C131" s="156">
        <f>C83*CanalCUPercent2</f>
        <v>1606.2279882571975</v>
      </c>
      <c r="D131" s="156">
        <f>D83*CanalCUPercent3</f>
        <v>1971.6</v>
      </c>
      <c r="E131" s="156">
        <f>E83*CanalCUPercent4</f>
        <v>1050.9197999999999</v>
      </c>
      <c r="F131" s="156">
        <f>F83*CanalCUPercent5</f>
        <v>1098</v>
      </c>
      <c r="G131" s="21"/>
    </row>
    <row r="132" spans="1:7">
      <c r="A132" s="69" t="str">
        <f>'NORTH FORK'!A24</f>
        <v>SW CBCU - Irrigation - Small Pumps</v>
      </c>
      <c r="B132" s="156">
        <f>B84*PumperCUPercent1</f>
        <v>1265.7129749999999</v>
      </c>
      <c r="C132" s="156">
        <f>C84*PumperCUPercent2</f>
        <v>1116.75</v>
      </c>
      <c r="D132" s="156">
        <f>D84*PumperCUPercent3</f>
        <v>237</v>
      </c>
      <c r="E132" s="156">
        <f>E84*PumperCUPercent4</f>
        <v>1089.6187405090777</v>
      </c>
      <c r="F132" s="156">
        <f>F84*PumperCUPercent5</f>
        <v>1095.75</v>
      </c>
      <c r="G132" s="21"/>
    </row>
    <row r="133" spans="1:7">
      <c r="A133" s="69" t="str">
        <f>'NORTH FORK'!A25</f>
        <v>SW CBCU - M&amp;I</v>
      </c>
      <c r="B133" s="156">
        <f>B85*MI_CUPercent1</f>
        <v>0</v>
      </c>
      <c r="C133" s="156">
        <f>C85*MI_CUPercent2</f>
        <v>0</v>
      </c>
      <c r="D133" s="156">
        <f>D85*MI_CUPercent3</f>
        <v>0</v>
      </c>
      <c r="E133" s="156">
        <f>E85*MI_CUPercent4</f>
        <v>0</v>
      </c>
      <c r="F133" s="156">
        <f>F85*MI_CUPercent5</f>
        <v>0</v>
      </c>
      <c r="G133" s="21"/>
    </row>
    <row r="134" spans="1:7">
      <c r="A134" s="75" t="str">
        <f>A46</f>
        <v>Harry Strunk Lake Evaporation</v>
      </c>
      <c r="B134" s="156">
        <f>+B46</f>
        <v>2513</v>
      </c>
      <c r="C134" s="156">
        <f>+C46</f>
        <v>2357</v>
      </c>
      <c r="D134" s="156">
        <f>+D46</f>
        <v>857</v>
      </c>
      <c r="E134" s="156">
        <f>+E46</f>
        <v>2924</v>
      </c>
      <c r="F134" s="156">
        <f>+F46</f>
        <v>2452</v>
      </c>
      <c r="G134" s="21"/>
    </row>
    <row r="135" spans="1:7">
      <c r="A135" s="75" t="str">
        <f>A43</f>
        <v>Swanson Lake Evaporation</v>
      </c>
      <c r="B135" s="156">
        <f>+B43</f>
        <v>3382</v>
      </c>
      <c r="C135" s="156">
        <f>+C43</f>
        <v>4441</v>
      </c>
      <c r="D135" s="156">
        <f>+D43</f>
        <v>5787</v>
      </c>
      <c r="E135" s="156">
        <f>+E43</f>
        <v>10172</v>
      </c>
      <c r="F135" s="156">
        <f>+F43</f>
        <v>8671</v>
      </c>
      <c r="G135" s="21"/>
    </row>
    <row r="136" spans="1:7">
      <c r="A136" s="53" t="str">
        <f>A45&amp; " " &amp; "(90%)"</f>
        <v>Hugh Butler Lake Evaporation (90%)</v>
      </c>
      <c r="B136" s="156">
        <f>+B45*0.9</f>
        <v>1861.2</v>
      </c>
      <c r="C136" s="156">
        <f>+C45*0.9</f>
        <v>1255.5</v>
      </c>
      <c r="D136" s="156">
        <f>+D45*0.9</f>
        <v>855</v>
      </c>
      <c r="E136" s="156">
        <f>+E45*0.9</f>
        <v>2728.8</v>
      </c>
      <c r="F136" s="156">
        <f>+F45*0.9</f>
        <v>2347.2000000000003</v>
      </c>
      <c r="G136" s="21"/>
    </row>
    <row r="137" spans="1:7">
      <c r="A137" s="69" t="s">
        <v>466</v>
      </c>
      <c r="B137" s="156">
        <f>+B98</f>
        <v>3577.2942715891668</v>
      </c>
      <c r="C137" s="156">
        <f>+C98</f>
        <v>2928.3922017255354</v>
      </c>
      <c r="D137" s="156">
        <f>+D98</f>
        <v>7001.6148730365676</v>
      </c>
      <c r="E137" s="156">
        <f>+E98</f>
        <v>13205.682947377809</v>
      </c>
      <c r="F137" s="156">
        <f>+F98</f>
        <v>4258.7307307789606</v>
      </c>
      <c r="G137" s="21"/>
    </row>
    <row r="138" spans="1:7">
      <c r="A138" s="52" t="s">
        <v>239</v>
      </c>
      <c r="B138" s="156">
        <f>B86+B87</f>
        <v>1010.3612755700001</v>
      </c>
      <c r="C138" s="156">
        <f>C86+C87</f>
        <v>623.60957149999797</v>
      </c>
      <c r="D138" s="156">
        <f>D86+D87</f>
        <v>530</v>
      </c>
      <c r="E138" s="156">
        <f>E86+E87</f>
        <v>1561.5277206458338</v>
      </c>
      <c r="F138" s="156">
        <f>F86+F87</f>
        <v>1034</v>
      </c>
      <c r="G138" s="21"/>
    </row>
    <row r="139" spans="1:7">
      <c r="A139" s="52" t="str">
        <f>'NORTH FORK'!A27</f>
        <v>SW CBCU</v>
      </c>
      <c r="B139" s="156">
        <f>SUM(B121:B129,B131:B138)</f>
        <v>42423.320322159168</v>
      </c>
      <c r="C139" s="156">
        <f>SUM(C121:C129,C131:C138)</f>
        <v>37611.975761482739</v>
      </c>
      <c r="D139" s="156">
        <f>SUM(D121:D129,D131:D138)</f>
        <v>39837.032073036564</v>
      </c>
      <c r="E139" s="156">
        <f>SUM(E121:E129,E131:E138)</f>
        <v>64933.033808532717</v>
      </c>
      <c r="F139" s="156">
        <f>SUM(F121:F129,F131:F138)</f>
        <v>53646.270530778958</v>
      </c>
      <c r="G139" s="21"/>
    </row>
    <row r="140" spans="1:7">
      <c r="A140" s="52" t="str">
        <f>'NORTH FORK'!A28</f>
        <v>GW CBCU</v>
      </c>
      <c r="B140" s="156">
        <f>+B11</f>
        <v>67278</v>
      </c>
      <c r="C140" s="156">
        <f>+C11</f>
        <v>90573</v>
      </c>
      <c r="D140" s="156">
        <f>+D11</f>
        <v>85209</v>
      </c>
      <c r="E140" s="156">
        <f>+E11</f>
        <v>54490</v>
      </c>
      <c r="F140" s="156">
        <f>+F11</f>
        <v>65485</v>
      </c>
      <c r="G140" s="21"/>
    </row>
    <row r="141" spans="1:7">
      <c r="A141" s="52" t="str">
        <f>'NORTH FORK'!A29</f>
        <v>Total CBCU</v>
      </c>
      <c r="B141" s="156">
        <f>(ROUND(SUM(B139:B140),-1))</f>
        <v>109700</v>
      </c>
      <c r="C141" s="156">
        <f>(ROUND(SUM(C139:C140),-1))</f>
        <v>128180</v>
      </c>
      <c r="D141" s="156">
        <f>(ROUND(SUM(D139:D140),-1))</f>
        <v>125050</v>
      </c>
      <c r="E141" s="156">
        <f>(ROUND(SUM(E139:E140),-1))</f>
        <v>119420</v>
      </c>
      <c r="F141" s="156">
        <f>(ROUND(SUM(F139:F140),-1))</f>
        <v>119130</v>
      </c>
      <c r="G141" s="21"/>
    </row>
    <row r="142" spans="1:7">
      <c r="A142" s="55" t="s">
        <v>66</v>
      </c>
      <c r="B142" s="156"/>
      <c r="C142" s="156"/>
      <c r="D142" s="156"/>
      <c r="E142" s="156"/>
      <c r="F142" s="156"/>
      <c r="G142" s="21"/>
    </row>
    <row r="143" spans="1:7">
      <c r="A143" s="56" t="s">
        <v>162</v>
      </c>
      <c r="B143" s="156"/>
      <c r="C143" s="156"/>
      <c r="D143" s="156"/>
      <c r="E143" s="156"/>
      <c r="F143" s="156"/>
      <c r="G143" s="21"/>
    </row>
    <row r="144" spans="1:7">
      <c r="A144" s="55" t="str">
        <f>'NORTH FORK'!A42</f>
        <v>Total SW CBCU</v>
      </c>
      <c r="B144" s="156">
        <f>+B116+B139</f>
        <v>79607.246009745228</v>
      </c>
      <c r="C144" s="156">
        <f>+C116+C139</f>
        <v>59274.84148578615</v>
      </c>
      <c r="D144" s="156">
        <f>+D116+D139</f>
        <v>60994.282040124512</v>
      </c>
      <c r="E144" s="156">
        <f>+E116+E139</f>
        <v>95757.92578915169</v>
      </c>
      <c r="F144" s="156">
        <f>+F116+F139</f>
        <v>90424.735704410283</v>
      </c>
      <c r="G144" s="21"/>
    </row>
    <row r="145" spans="1:7">
      <c r="A145" s="55" t="str">
        <f>'NORTH FORK'!A43</f>
        <v>Total GW CBCU</v>
      </c>
      <c r="B145" s="156">
        <f>+B102+B117+B140</f>
        <v>63989</v>
      </c>
      <c r="C145" s="156">
        <f>+C102+C117+C140</f>
        <v>89606</v>
      </c>
      <c r="D145" s="156">
        <f>+D102+D117+D140</f>
        <v>83088</v>
      </c>
      <c r="E145" s="156">
        <f>+E102+E117+E140</f>
        <v>48657</v>
      </c>
      <c r="F145" s="156">
        <f>+F102+F117+F140</f>
        <v>61349</v>
      </c>
      <c r="G145" s="21"/>
    </row>
    <row r="146" spans="1:7">
      <c r="A146" s="55" t="str">
        <f>'NORTH FORK'!A44</f>
        <v>Total Basin CBCU</v>
      </c>
      <c r="B146" s="156">
        <f>(ROUND(SUM(B144:B145),-1))</f>
        <v>143600</v>
      </c>
      <c r="C146" s="156">
        <f>(ROUND(SUM(C144:C145),-1))</f>
        <v>148880</v>
      </c>
      <c r="D146" s="156">
        <f>(ROUND(SUM(D144:D145),-1))</f>
        <v>144080</v>
      </c>
      <c r="E146" s="156">
        <f>(ROUND(SUM(E144:E145),-1))</f>
        <v>144410</v>
      </c>
      <c r="F146" s="156">
        <f>(ROUND(SUM(F144:F145),-1))</f>
        <v>151770</v>
      </c>
      <c r="G146" s="21"/>
    </row>
    <row r="147" spans="1:7">
      <c r="A147" s="55" t="s">
        <v>66</v>
      </c>
      <c r="B147" s="156"/>
      <c r="C147" s="156"/>
      <c r="D147" s="156"/>
      <c r="E147" s="156"/>
      <c r="F147" s="156"/>
      <c r="G147" s="21"/>
    </row>
    <row r="148" spans="1:7" ht="15.75">
      <c r="A148" s="57" t="s">
        <v>10</v>
      </c>
      <c r="B148" s="157"/>
      <c r="C148" s="157"/>
      <c r="D148" s="157"/>
      <c r="E148" s="157"/>
      <c r="F148" s="157"/>
      <c r="G148" s="21"/>
    </row>
    <row r="149" spans="1:7">
      <c r="A149" s="59" t="str">
        <f t="shared" ref="A149:F160" si="4">A30</f>
        <v>Republican River Near Hardy</v>
      </c>
      <c r="B149" s="157">
        <f t="shared" si="4"/>
        <v>127121</v>
      </c>
      <c r="C149" s="157">
        <f t="shared" si="4"/>
        <v>110861</v>
      </c>
      <c r="D149" s="157">
        <f t="shared" si="4"/>
        <v>626375</v>
      </c>
      <c r="E149" s="157">
        <f t="shared" si="4"/>
        <v>251238.74380165289</v>
      </c>
      <c r="F149" s="157">
        <f t="shared" si="4"/>
        <v>142152</v>
      </c>
      <c r="G149" s="21"/>
    </row>
    <row r="150" spans="1:7">
      <c r="A150" s="59" t="str">
        <f t="shared" si="4"/>
        <v>North Fork Republican River At Colorado-Nebraska State Line</v>
      </c>
      <c r="B150" s="157">
        <f t="shared" si="4"/>
        <v>26046</v>
      </c>
      <c r="C150" s="157">
        <f t="shared" si="4"/>
        <v>32580</v>
      </c>
      <c r="D150" s="157">
        <f t="shared" si="4"/>
        <v>25436</v>
      </c>
      <c r="E150" s="157">
        <f t="shared" si="4"/>
        <v>22984.165289256216</v>
      </c>
      <c r="F150" s="157">
        <f t="shared" si="4"/>
        <v>25846</v>
      </c>
      <c r="G150" s="21"/>
    </row>
    <row r="151" spans="1:7">
      <c r="A151" s="59" t="str">
        <f t="shared" si="4"/>
        <v>Arikaree River At Haigler</v>
      </c>
      <c r="B151" s="157">
        <f t="shared" si="4"/>
        <v>646</v>
      </c>
      <c r="C151" s="157">
        <f t="shared" si="4"/>
        <v>821</v>
      </c>
      <c r="D151" s="157">
        <f t="shared" si="4"/>
        <v>1113</v>
      </c>
      <c r="E151" s="157">
        <f t="shared" si="4"/>
        <v>1656.6148760330564</v>
      </c>
      <c r="F151" s="157">
        <f t="shared" si="4"/>
        <v>1635</v>
      </c>
      <c r="G151" s="21"/>
    </row>
    <row r="152" spans="1:7">
      <c r="A152" s="59" t="str">
        <f t="shared" si="4"/>
        <v>Buffalo Creek Near Haigler</v>
      </c>
      <c r="B152" s="157">
        <f t="shared" si="4"/>
        <v>1282</v>
      </c>
      <c r="C152" s="157">
        <f t="shared" si="4"/>
        <v>1858</v>
      </c>
      <c r="D152" s="157">
        <f t="shared" si="4"/>
        <v>1355</v>
      </c>
      <c r="E152" s="157">
        <f t="shared" si="4"/>
        <v>2143.4181818181801</v>
      </c>
      <c r="F152" s="157">
        <f t="shared" si="4"/>
        <v>1583</v>
      </c>
      <c r="G152" s="21"/>
    </row>
    <row r="153" spans="1:7">
      <c r="A153" s="59" t="str">
        <f t="shared" si="4"/>
        <v>Rock Creek At Parks</v>
      </c>
      <c r="B153" s="157">
        <f t="shared" si="4"/>
        <v>8686</v>
      </c>
      <c r="C153" s="157">
        <f t="shared" si="4"/>
        <v>4095</v>
      </c>
      <c r="D153" s="157">
        <f t="shared" si="4"/>
        <v>3748</v>
      </c>
      <c r="E153" s="157">
        <f t="shared" si="4"/>
        <v>4049</v>
      </c>
      <c r="F153" s="157">
        <f t="shared" si="4"/>
        <v>3583</v>
      </c>
      <c r="G153" s="21"/>
    </row>
    <row r="154" spans="1:7">
      <c r="A154" s="59" t="str">
        <f t="shared" si="4"/>
        <v>South Fork Republican River Near Benkelman</v>
      </c>
      <c r="B154" s="157">
        <f t="shared" si="4"/>
        <v>2385</v>
      </c>
      <c r="C154" s="157">
        <f t="shared" si="4"/>
        <v>1970</v>
      </c>
      <c r="D154" s="157">
        <f t="shared" si="4"/>
        <v>2385</v>
      </c>
      <c r="E154" s="157">
        <f t="shared" si="4"/>
        <v>7229.355371900826</v>
      </c>
      <c r="F154" s="157">
        <f t="shared" si="4"/>
        <v>321</v>
      </c>
      <c r="G154" s="21"/>
    </row>
    <row r="155" spans="1:7">
      <c r="A155" s="59" t="str">
        <f t="shared" si="4"/>
        <v>Frenchman Creek At Culbertson</v>
      </c>
      <c r="B155" s="157">
        <f t="shared" si="4"/>
        <v>27490</v>
      </c>
      <c r="C155" s="157">
        <f t="shared" si="4"/>
        <v>25906</v>
      </c>
      <c r="D155" s="157">
        <f t="shared" si="4"/>
        <v>27267</v>
      </c>
      <c r="E155" s="157">
        <f t="shared" si="4"/>
        <v>19122</v>
      </c>
      <c r="F155" s="157">
        <f t="shared" si="4"/>
        <v>16678</v>
      </c>
      <c r="G155" s="21"/>
    </row>
    <row r="156" spans="1:7">
      <c r="A156" s="59" t="str">
        <f t="shared" si="4"/>
        <v>Driftwood Creek Near McCook</v>
      </c>
      <c r="B156" s="157">
        <f t="shared" si="4"/>
        <v>2392</v>
      </c>
      <c r="C156" s="157">
        <f t="shared" si="4"/>
        <v>3911</v>
      </c>
      <c r="D156" s="157">
        <f t="shared" si="4"/>
        <v>3284</v>
      </c>
      <c r="E156" s="157">
        <f t="shared" si="4"/>
        <v>2492</v>
      </c>
      <c r="F156" s="157">
        <f t="shared" si="4"/>
        <v>1999</v>
      </c>
      <c r="G156" s="21"/>
    </row>
    <row r="157" spans="1:7">
      <c r="A157" s="59" t="str">
        <f t="shared" si="4"/>
        <v>Red Willow Creek Near Red Willow</v>
      </c>
      <c r="B157" s="157">
        <f t="shared" si="4"/>
        <v>4346</v>
      </c>
      <c r="C157" s="157">
        <f t="shared" si="4"/>
        <v>3932</v>
      </c>
      <c r="D157" s="157">
        <f t="shared" si="4"/>
        <v>3457</v>
      </c>
      <c r="E157" s="157">
        <f t="shared" si="4"/>
        <v>4284</v>
      </c>
      <c r="F157" s="157">
        <f t="shared" si="4"/>
        <v>4012</v>
      </c>
      <c r="G157" s="21"/>
    </row>
    <row r="158" spans="1:7">
      <c r="A158" s="59" t="str">
        <f t="shared" si="4"/>
        <v>Medicine Creek Below Harry Strunk</v>
      </c>
      <c r="B158" s="157">
        <f t="shared" si="4"/>
        <v>41207</v>
      </c>
      <c r="C158" s="157">
        <f t="shared" si="4"/>
        <v>25135</v>
      </c>
      <c r="D158" s="157">
        <f t="shared" si="4"/>
        <v>48769</v>
      </c>
      <c r="E158" s="157">
        <f t="shared" si="4"/>
        <v>39930.267768594946</v>
      </c>
      <c r="F158" s="157">
        <f t="shared" si="4"/>
        <v>22871</v>
      </c>
      <c r="G158" s="21"/>
    </row>
    <row r="159" spans="1:7">
      <c r="A159" s="59" t="str">
        <f t="shared" si="4"/>
        <v>Sappa Creek Near Stamford</v>
      </c>
      <c r="B159" s="157">
        <f t="shared" si="4"/>
        <v>8238</v>
      </c>
      <c r="C159" s="157">
        <f t="shared" si="4"/>
        <v>12574</v>
      </c>
      <c r="D159" s="157">
        <f t="shared" si="4"/>
        <v>42888</v>
      </c>
      <c r="E159" s="157">
        <f t="shared" si="4"/>
        <v>16223</v>
      </c>
      <c r="F159" s="157">
        <f t="shared" si="4"/>
        <v>14925</v>
      </c>
      <c r="G159" s="21"/>
    </row>
    <row r="160" spans="1:7">
      <c r="A160" s="59" t="str">
        <f t="shared" si="4"/>
        <v>Prairie Dog Creek Near Woodruff</v>
      </c>
      <c r="B160" s="157">
        <f t="shared" si="4"/>
        <v>2181</v>
      </c>
      <c r="C160" s="157">
        <f t="shared" si="4"/>
        <v>4205</v>
      </c>
      <c r="D160" s="157">
        <f t="shared" si="4"/>
        <v>40960</v>
      </c>
      <c r="E160" s="157">
        <f t="shared" si="4"/>
        <v>8281.6859504132335</v>
      </c>
      <c r="F160" s="157">
        <f t="shared" si="4"/>
        <v>6646</v>
      </c>
      <c r="G160" s="21"/>
    </row>
    <row r="161" spans="1:7">
      <c r="A161" s="78"/>
      <c r="B161" s="167"/>
      <c r="C161" s="167"/>
      <c r="D161" s="167"/>
      <c r="E161" s="167"/>
      <c r="F161" s="167"/>
      <c r="G161" s="21"/>
    </row>
    <row r="162" spans="1:7">
      <c r="A162" s="58" t="str">
        <f>'NORTH FORK'!A49</f>
        <v>Colorado CBCU</v>
      </c>
      <c r="B162" s="157">
        <f>+B103</f>
        <v>-3320</v>
      </c>
      <c r="C162" s="157">
        <f>+C103</f>
        <v>-1980</v>
      </c>
      <c r="D162" s="157">
        <f>+D103</f>
        <v>-2520</v>
      </c>
      <c r="E162" s="157">
        <f>+E103</f>
        <v>-5120</v>
      </c>
      <c r="F162" s="157">
        <f>+F103</f>
        <v>-3840</v>
      </c>
      <c r="G162" s="21"/>
    </row>
    <row r="163" spans="1:7">
      <c r="A163" s="58" t="str">
        <f>'NORTH FORK'!A50 &amp; " " &amp;"Above Stateline"</f>
        <v>Kansas CBCU Above Stateline</v>
      </c>
      <c r="B163" s="157">
        <f>B92+B93+B106+B117+SUM(B112:B115)</f>
        <v>9700.115728410834</v>
      </c>
      <c r="C163" s="157">
        <f>C92+C93+C106+C117+SUM(C112:C115)</f>
        <v>7132.3647293478398</v>
      </c>
      <c r="D163" s="157">
        <f>D92+D93+D106+D117+SUM(D112:D115)</f>
        <v>11149.215126963432</v>
      </c>
      <c r="E163" s="157">
        <f>E92+E93+E106+E117+SUM(E112:E115)</f>
        <v>14641.087052622192</v>
      </c>
      <c r="F163" s="157">
        <f>F92+F93+F106+F117+SUM(F112:F115)</f>
        <v>9740.0792692210398</v>
      </c>
      <c r="G163" s="21"/>
    </row>
    <row r="164" spans="1:7">
      <c r="A164" s="58" t="str">
        <f>'NORTH FORK'!A51</f>
        <v>Nebraska CBCU</v>
      </c>
      <c r="B164" s="157">
        <f>+B141</f>
        <v>109700</v>
      </c>
      <c r="C164" s="157">
        <f>+C141</f>
        <v>128180</v>
      </c>
      <c r="D164" s="157">
        <f>+D141</f>
        <v>125050</v>
      </c>
      <c r="E164" s="157">
        <f>+E141</f>
        <v>119420</v>
      </c>
      <c r="F164" s="157">
        <f>+F141</f>
        <v>119130</v>
      </c>
      <c r="G164" s="21"/>
    </row>
    <row r="165" spans="1:7">
      <c r="A165" s="58"/>
      <c r="B165" s="157"/>
      <c r="C165" s="157"/>
      <c r="D165" s="157"/>
      <c r="E165" s="157"/>
      <c r="F165" s="157"/>
      <c r="G165" s="21"/>
    </row>
    <row r="166" spans="1:7">
      <c r="A166" s="79" t="s">
        <v>198</v>
      </c>
      <c r="B166" s="157">
        <f>+B129</f>
        <v>0</v>
      </c>
      <c r="C166" s="157">
        <f>+C129</f>
        <v>0</v>
      </c>
      <c r="D166" s="157">
        <f>+D129</f>
        <v>1496.2644000000003</v>
      </c>
      <c r="E166" s="157">
        <f>+E129</f>
        <v>1581.7338000000007</v>
      </c>
      <c r="F166" s="157">
        <f>+F129</f>
        <v>1711.9926000000003</v>
      </c>
      <c r="G166" s="21"/>
    </row>
    <row r="167" spans="1:7">
      <c r="A167" s="79" t="s">
        <v>186</v>
      </c>
      <c r="B167" s="157">
        <f>+B136</f>
        <v>1861.2</v>
      </c>
      <c r="C167" s="157">
        <f>+C136</f>
        <v>1255.5</v>
      </c>
      <c r="D167" s="157">
        <f>+D136</f>
        <v>855</v>
      </c>
      <c r="E167" s="157">
        <f>+E136</f>
        <v>2728.8</v>
      </c>
      <c r="F167" s="157">
        <f>+F136</f>
        <v>2347.2000000000003</v>
      </c>
      <c r="G167" s="21"/>
    </row>
    <row r="168" spans="1:7">
      <c r="A168" s="79" t="s">
        <v>116</v>
      </c>
      <c r="B168" s="157">
        <f>+B134</f>
        <v>2513</v>
      </c>
      <c r="C168" s="157">
        <f>+C134</f>
        <v>2357</v>
      </c>
      <c r="D168" s="157">
        <f>+D134</f>
        <v>857</v>
      </c>
      <c r="E168" s="157">
        <f>+E134</f>
        <v>2924</v>
      </c>
      <c r="F168" s="157">
        <f>+F134</f>
        <v>2452</v>
      </c>
      <c r="G168" s="21"/>
    </row>
    <row r="169" spans="1:7">
      <c r="A169" s="58"/>
      <c r="B169" s="157"/>
      <c r="C169" s="157"/>
      <c r="D169" s="157"/>
      <c r="E169" s="157"/>
      <c r="F169" s="157"/>
      <c r="G169" s="21"/>
    </row>
    <row r="170" spans="1:7">
      <c r="A170" s="66" t="s">
        <v>330</v>
      </c>
      <c r="B170" s="157">
        <f>'MEDICINE CREEK'!B52</f>
        <v>43.486199999999997</v>
      </c>
      <c r="C170" s="157">
        <f>'MEDICINE CREEK'!C52</f>
        <v>10.38094999999999</v>
      </c>
      <c r="D170" s="157">
        <f>'MEDICINE CREEK'!D52</f>
        <v>121</v>
      </c>
      <c r="E170" s="157">
        <f>'MEDICINE CREEK'!E52</f>
        <v>175.22869335796676</v>
      </c>
      <c r="F170" s="157">
        <f>'MEDICINE CREEK'!F52</f>
        <v>48.75</v>
      </c>
      <c r="G170" s="21"/>
    </row>
    <row r="171" spans="1:7">
      <c r="A171" s="66" t="s">
        <v>331</v>
      </c>
      <c r="B171" s="157">
        <f>BEAVER!B63</f>
        <v>0</v>
      </c>
      <c r="C171" s="157">
        <f>BEAVER!C63</f>
        <v>0</v>
      </c>
      <c r="D171" s="157">
        <f>BEAVER!D63</f>
        <v>0</v>
      </c>
      <c r="E171" s="157">
        <f>BEAVER!E63</f>
        <v>0</v>
      </c>
      <c r="F171" s="157">
        <f>BEAVER!F63</f>
        <v>0</v>
      </c>
      <c r="G171" s="21"/>
    </row>
    <row r="172" spans="1:7">
      <c r="A172" s="66" t="s">
        <v>333</v>
      </c>
      <c r="B172" s="157">
        <f>SAPPA!B56</f>
        <v>1.97085</v>
      </c>
      <c r="C172" s="157">
        <f>SAPPA!C56</f>
        <v>1.7262302537298471</v>
      </c>
      <c r="D172" s="157">
        <f>SAPPA!D56</f>
        <v>2.235230253729847</v>
      </c>
      <c r="E172" s="157">
        <f>SAPPA!E56</f>
        <v>4.6528687499999997</v>
      </c>
      <c r="F172" s="157">
        <f>SAPPA!F56</f>
        <v>2</v>
      </c>
      <c r="G172" s="21"/>
    </row>
    <row r="173" spans="1:7">
      <c r="A173" s="66" t="s">
        <v>332</v>
      </c>
      <c r="B173" s="157">
        <f>'PRAIRIE DOG'!B54</f>
        <v>82.245098333000016</v>
      </c>
      <c r="C173" s="157">
        <f>'PRAIRIE DOG'!C54</f>
        <v>89.904854519227612</v>
      </c>
      <c r="D173" s="157">
        <f>'PRAIRIE DOG'!D54</f>
        <v>160</v>
      </c>
      <c r="E173" s="157">
        <f>'PRAIRIE DOG'!E54</f>
        <v>155.24721664131371</v>
      </c>
      <c r="F173" s="157">
        <f>'PRAIRIE DOG'!F54</f>
        <v>81</v>
      </c>
      <c r="G173" s="21"/>
    </row>
    <row r="174" spans="1:7">
      <c r="A174" s="58"/>
      <c r="B174" s="157"/>
      <c r="C174" s="157"/>
      <c r="D174" s="157"/>
      <c r="E174" s="157"/>
      <c r="F174" s="157"/>
      <c r="G174" s="21"/>
    </row>
    <row r="175" spans="1:7">
      <c r="A175" s="59" t="str">
        <f t="shared" ref="A175:F175" si="5">+A49</f>
        <v>Harlan County Change In Storage</v>
      </c>
      <c r="B175" s="157">
        <f t="shared" si="5"/>
        <v>30044</v>
      </c>
      <c r="C175" s="157">
        <f t="shared" si="5"/>
        <v>30781</v>
      </c>
      <c r="D175" s="157">
        <f t="shared" si="5"/>
        <v>74701</v>
      </c>
      <c r="E175" s="157">
        <f t="shared" si="5"/>
        <v>-50098</v>
      </c>
      <c r="F175" s="157">
        <f t="shared" si="5"/>
        <v>754</v>
      </c>
      <c r="G175" s="21"/>
    </row>
    <row r="176" spans="1:7">
      <c r="A176" s="59" t="str">
        <f t="shared" ref="A176:F176" si="6">+A44</f>
        <v>Swanson Lake Change In Storage</v>
      </c>
      <c r="B176" s="157">
        <f t="shared" si="6"/>
        <v>5370</v>
      </c>
      <c r="C176" s="157">
        <f t="shared" si="6"/>
        <v>8017</v>
      </c>
      <c r="D176" s="157">
        <f t="shared" si="6"/>
        <v>905</v>
      </c>
      <c r="E176" s="157">
        <f t="shared" si="6"/>
        <v>-4786</v>
      </c>
      <c r="F176" s="157">
        <f t="shared" si="6"/>
        <v>-9291</v>
      </c>
      <c r="G176" s="21"/>
    </row>
    <row r="177" spans="1:7">
      <c r="A177" s="79"/>
      <c r="B177" s="157"/>
      <c r="C177" s="157"/>
      <c r="D177" s="157"/>
      <c r="E177" s="157"/>
      <c r="F177" s="157"/>
      <c r="G177" s="21"/>
    </row>
    <row r="178" spans="1:7">
      <c r="A178" s="80" t="s">
        <v>190</v>
      </c>
      <c r="B178" s="157">
        <f>+B76*(1-CanalCUPercent1)</f>
        <v>1892.8000000000002</v>
      </c>
      <c r="C178" s="157">
        <f>+C76*(1-CanalCUPercent2)</f>
        <v>1470.4</v>
      </c>
      <c r="D178" s="157">
        <f>+D76*(1-CanalCUPercent3)</f>
        <v>1585.2</v>
      </c>
      <c r="E178" s="157">
        <f>+E76*(1-CanalCUPercent4)</f>
        <v>2115.2000000000003</v>
      </c>
      <c r="F178" s="157">
        <f>+F76*(1-CanalCUPercent5)</f>
        <v>2256</v>
      </c>
      <c r="G178" s="21"/>
    </row>
    <row r="179" spans="1:7">
      <c r="A179" s="79" t="s">
        <v>188</v>
      </c>
      <c r="B179" s="157">
        <f>+B74*B15*0.17</f>
        <v>0</v>
      </c>
      <c r="C179" s="157">
        <f>+C74*C15*0.17</f>
        <v>1009.9927799999999</v>
      </c>
      <c r="D179" s="157">
        <f>+D74*D15*0.17</f>
        <v>1643.2461800000001</v>
      </c>
      <c r="E179" s="157">
        <f>+E74*E15*0.17</f>
        <v>937.50614000000007</v>
      </c>
      <c r="F179" s="157">
        <f>+F74*F15*0.17</f>
        <v>833.80851999999993</v>
      </c>
      <c r="G179" s="21"/>
    </row>
    <row r="180" spans="1:7">
      <c r="A180" s="79" t="s">
        <v>189</v>
      </c>
      <c r="B180" s="157">
        <f>+B75*B16</f>
        <v>0</v>
      </c>
      <c r="C180" s="157">
        <f>+C75*C16</f>
        <v>0</v>
      </c>
      <c r="D180" s="157">
        <f>+D75*D16</f>
        <v>0</v>
      </c>
      <c r="E180" s="157">
        <f>+E75*E16</f>
        <v>0</v>
      </c>
      <c r="F180" s="157">
        <f>+F75*F16</f>
        <v>0</v>
      </c>
      <c r="G180" s="21"/>
    </row>
    <row r="181" spans="1:7">
      <c r="A181" s="60" t="s">
        <v>191</v>
      </c>
      <c r="B181" s="157">
        <f>0.24*(B14*B72)</f>
        <v>2661.3513600000001</v>
      </c>
      <c r="C181" s="157">
        <f>0.24*(C14*C72)</f>
        <v>2252.5017600000001</v>
      </c>
      <c r="D181" s="157">
        <f>0.24*(D14*D72)</f>
        <v>2647.7630399999998</v>
      </c>
      <c r="E181" s="157">
        <f>0.24*(E14*E72)</f>
        <v>2867.9179199999994</v>
      </c>
      <c r="F181" s="157">
        <f>0.24*(F14*F72)</f>
        <v>2679.6033599999992</v>
      </c>
      <c r="G181" s="21"/>
    </row>
    <row r="182" spans="1:7">
      <c r="A182" s="79" t="s">
        <v>187</v>
      </c>
      <c r="B182" s="157">
        <f>+B73*B17*0.9</f>
        <v>0</v>
      </c>
      <c r="C182" s="157">
        <f>+C73*C17*0.9</f>
        <v>0</v>
      </c>
      <c r="D182" s="157">
        <f>+D73*D17*0.9</f>
        <v>3698.5355999999997</v>
      </c>
      <c r="E182" s="157">
        <f>+E73*E17*0.9</f>
        <v>3121.6661999999997</v>
      </c>
      <c r="F182" s="157">
        <f>+F73*F17*0.9</f>
        <v>2932.9074000000001</v>
      </c>
      <c r="G182" s="21"/>
    </row>
    <row r="183" spans="1:7">
      <c r="A183" s="79" t="s">
        <v>552</v>
      </c>
      <c r="B183" s="157">
        <f>(B71-B130)*0.78</f>
        <v>0</v>
      </c>
      <c r="C183" s="157">
        <f>(C71-C130)*0.78</f>
        <v>0</v>
      </c>
      <c r="D183" s="157">
        <f>(D71-D130)*0.78</f>
        <v>0</v>
      </c>
      <c r="E183" s="157">
        <f>(E71-E130)*0.78</f>
        <v>0</v>
      </c>
      <c r="F183" s="157">
        <f>(F71-F130)*0.78</f>
        <v>0</v>
      </c>
      <c r="G183" s="21"/>
    </row>
    <row r="184" spans="1:7">
      <c r="A184" s="81" t="str">
        <f t="shared" ref="A184:F184" si="7">+A63</f>
        <v>Courtland Canal At Kansas-Nebraska State Line</v>
      </c>
      <c r="B184" s="163">
        <f t="shared" si="7"/>
        <v>52599</v>
      </c>
      <c r="C184" s="163">
        <f t="shared" si="7"/>
        <v>40559</v>
      </c>
      <c r="D184" s="163">
        <f t="shared" si="7"/>
        <v>50721</v>
      </c>
      <c r="E184" s="163">
        <f t="shared" si="7"/>
        <v>35756</v>
      </c>
      <c r="F184" s="163">
        <f t="shared" si="7"/>
        <v>60776</v>
      </c>
      <c r="G184" s="21"/>
    </row>
    <row r="185" spans="1:7">
      <c r="A185" s="79" t="s">
        <v>147</v>
      </c>
      <c r="B185" s="163">
        <f>+B91</f>
        <v>788.98500000000001</v>
      </c>
      <c r="C185" s="163">
        <f>+C91</f>
        <v>608.38499999999999</v>
      </c>
      <c r="D185" s="163">
        <f>+D91</f>
        <v>760.81499999999994</v>
      </c>
      <c r="E185" s="163">
        <f>+E91</f>
        <v>536.34</v>
      </c>
      <c r="F185" s="163">
        <f>+F91</f>
        <v>911.64</v>
      </c>
      <c r="G185" s="21"/>
    </row>
    <row r="186" spans="1:7">
      <c r="A186" s="59"/>
      <c r="B186" s="157"/>
      <c r="C186" s="157"/>
      <c r="D186" s="157"/>
      <c r="E186" s="157"/>
      <c r="F186" s="157"/>
      <c r="G186" s="21"/>
    </row>
    <row r="187" spans="1:7">
      <c r="A187" s="58" t="str">
        <f>'NORTH FORK'!A52</f>
        <v>Imported Water</v>
      </c>
      <c r="B187" s="157">
        <f>+B5</f>
        <v>9015</v>
      </c>
      <c r="C187" s="157">
        <f>+C5</f>
        <v>14529</v>
      </c>
      <c r="D187" s="157">
        <f>+D5</f>
        <v>15131</v>
      </c>
      <c r="E187" s="157">
        <f>+E5</f>
        <v>8314</v>
      </c>
      <c r="F187" s="157">
        <f>+F5</f>
        <v>10699</v>
      </c>
      <c r="G187" s="21"/>
    </row>
    <row r="188" spans="1:7">
      <c r="A188" s="58" t="str">
        <f>'NORTH FORK'!A54</f>
        <v>Virgin Water Supply</v>
      </c>
      <c r="B188" s="157">
        <f>ROUND(B149-SUM(B150:B160)+B162+B163+B164-B166-B167-B168+SUM(B170:B173)+B175+B176-B178-B179-B180+B181-B182-B183+B184-B185-B187,-1)</f>
        <v>193030</v>
      </c>
      <c r="C188" s="157">
        <f>ROUND(C149-SUM(C150:C160)+C162+C163+C164-C166-C167-C168+SUM(C170:C173)+C175+C176-C178-C179-C180+C181-C182-C183+C184-C185-C187,-1)</f>
        <v>187690</v>
      </c>
      <c r="D188" s="157">
        <f>ROUND(D149-SUM(D150:D160)+D162+D163+D164-D166-D167-D168+SUM(D170:D173)+D175+D176-D178-D179-D180+D181-D182-D183+D184-D185-D187,-1)</f>
        <v>662620</v>
      </c>
      <c r="E188" s="157">
        <f>ROUND(E149-SUM(E150:E160)+E162+E163+E164-E166-E167-E168+SUM(E170:E173)+E175+E176-E178-E179-E180+E181-E182-E183+E184-E185-E187,-1)</f>
        <v>213600</v>
      </c>
      <c r="F188" s="157">
        <f>ROUND(F149-SUM(F150:F160)+F162+F163+F164-F166-F167-F168+SUM(F170:F173)+F175+F176-F178-F179-F180+F181-F182-F183+F184-F185-F187,-1)</f>
        <v>197990</v>
      </c>
      <c r="G188" s="21"/>
    </row>
    <row r="189" spans="1:7">
      <c r="A189" s="58" t="str">
        <f>'NORTH FORK'!A55</f>
        <v>Adjustment For Flood Flows</v>
      </c>
      <c r="B189" s="157">
        <f>B88</f>
        <v>0</v>
      </c>
      <c r="C189" s="157">
        <f>C88</f>
        <v>0</v>
      </c>
      <c r="D189" s="157">
        <f>D88</f>
        <v>185128</v>
      </c>
      <c r="E189" s="157">
        <f>E88</f>
        <v>0</v>
      </c>
      <c r="F189" s="157">
        <f>F88</f>
        <v>0</v>
      </c>
      <c r="G189" s="21"/>
    </row>
    <row r="190" spans="1:7">
      <c r="A190" s="277" t="s">
        <v>563</v>
      </c>
      <c r="B190" s="279">
        <f>RWS_CWSA!L16</f>
        <v>-2241</v>
      </c>
      <c r="C190" s="279">
        <f>RWS_CWSA!L17</f>
        <v>-1339</v>
      </c>
      <c r="D190" s="279">
        <f>RWS_CWSA!L18</f>
        <v>-2340</v>
      </c>
      <c r="E190" s="279">
        <f>RWS_CWSA!L19</f>
        <v>-3889</v>
      </c>
      <c r="F190" s="279">
        <f>RWS_CWSA!L20</f>
        <v>-1550</v>
      </c>
      <c r="G190" s="21"/>
    </row>
    <row r="191" spans="1:7">
      <c r="A191" s="58" t="str">
        <f>'NORTH FORK'!A56</f>
        <v>Computed Water Supply</v>
      </c>
      <c r="B191" s="279">
        <f>+ROUND(B188-B189-SUM(B175:B176)+B190,-1)</f>
        <v>155380</v>
      </c>
      <c r="C191" s="279">
        <f>+ROUND(C188-C189-SUM(C175:C176)+C190,-1)</f>
        <v>147550</v>
      </c>
      <c r="D191" s="279">
        <f>+ROUND(D188-D189-SUM(D175:D176)+D190,-1)</f>
        <v>399550</v>
      </c>
      <c r="E191" s="279">
        <f>+ROUND(E188-E189-SUM(E175:E176)+E190,-1)</f>
        <v>264600</v>
      </c>
      <c r="F191" s="279">
        <f>+ROUND(F188-F189-SUM(F175:F176)+F190,-1)</f>
        <v>204980</v>
      </c>
      <c r="G191" s="21"/>
    </row>
    <row r="192" spans="1:7">
      <c r="A192" s="60" t="s">
        <v>66</v>
      </c>
      <c r="B192" s="157"/>
      <c r="C192" s="157"/>
      <c r="D192" s="157"/>
      <c r="E192" s="157"/>
      <c r="F192" s="157"/>
      <c r="G192" s="21"/>
    </row>
    <row r="193" spans="1:7" ht="15.75">
      <c r="A193" s="10" t="s">
        <v>12</v>
      </c>
      <c r="B193" s="154"/>
      <c r="C193" s="154"/>
      <c r="D193" s="154"/>
      <c r="E193" s="154"/>
      <c r="F193" s="154"/>
      <c r="G193" s="21"/>
    </row>
    <row r="194" spans="1:7">
      <c r="A194" s="2" t="str">
        <f>'NORTH FORK'!A59</f>
        <v>Colorado Percent Of Allocation</v>
      </c>
      <c r="B194" s="168">
        <f>'T2'!$D17</f>
        <v>0</v>
      </c>
      <c r="C194" s="168">
        <f>'T2'!$D17</f>
        <v>0</v>
      </c>
      <c r="D194" s="168">
        <f>'T2'!$D17</f>
        <v>0</v>
      </c>
      <c r="E194" s="168">
        <f>'T2'!$D17</f>
        <v>0</v>
      </c>
      <c r="F194" s="168">
        <f>'T2'!$D17</f>
        <v>0</v>
      </c>
      <c r="G194" s="21"/>
    </row>
    <row r="195" spans="1:7">
      <c r="A195" s="2" t="str">
        <f>'NORTH FORK'!A60</f>
        <v>Colorado Allocation</v>
      </c>
      <c r="B195" s="145">
        <f>ROUND(B191*B194,-1)</f>
        <v>0</v>
      </c>
      <c r="C195" s="145">
        <f>ROUND(C191*C194,-1)</f>
        <v>0</v>
      </c>
      <c r="D195" s="145">
        <f>ROUND(D191*D194,-1)</f>
        <v>0</v>
      </c>
      <c r="E195" s="145">
        <f>ROUND(E191*E194,-1)</f>
        <v>0</v>
      </c>
      <c r="F195" s="145">
        <f>ROUND(F191*F194,-1)</f>
        <v>0</v>
      </c>
      <c r="G195" s="21"/>
    </row>
    <row r="196" spans="1:7">
      <c r="A196" s="2" t="str">
        <f>'NORTH FORK'!A61</f>
        <v>Kansas Percent Of Allocation</v>
      </c>
      <c r="B196" s="117">
        <f>'T2'!$F17</f>
        <v>0.51100000000000001</v>
      </c>
      <c r="C196" s="117">
        <f>'T2'!$F17</f>
        <v>0.51100000000000001</v>
      </c>
      <c r="D196" s="117">
        <f>'T2'!$F17</f>
        <v>0.51100000000000001</v>
      </c>
      <c r="E196" s="117">
        <f>'T2'!$F17</f>
        <v>0.51100000000000001</v>
      </c>
      <c r="F196" s="117">
        <f>'T2'!$F17</f>
        <v>0.51100000000000001</v>
      </c>
      <c r="G196" s="21"/>
    </row>
    <row r="197" spans="1:7">
      <c r="A197" s="2" t="str">
        <f>'NORTH FORK'!A62</f>
        <v>Kansas Allocation</v>
      </c>
      <c r="B197" s="145">
        <f>ROUND(B191*B196,-1)</f>
        <v>79400</v>
      </c>
      <c r="C197" s="145">
        <f>ROUND(C191*C196,-1)</f>
        <v>75400</v>
      </c>
      <c r="D197" s="145">
        <f>ROUND(D191*D196,-1)</f>
        <v>204170</v>
      </c>
      <c r="E197" s="145">
        <f>ROUND(E191*E196,-1)</f>
        <v>135210</v>
      </c>
      <c r="F197" s="145">
        <f>ROUND(F191*F196,-1)</f>
        <v>104740</v>
      </c>
      <c r="G197" s="21"/>
    </row>
    <row r="198" spans="1:7">
      <c r="A198" s="2" t="str">
        <f>'NORTH FORK'!A63</f>
        <v>Nebraska Percent Of Allocation</v>
      </c>
      <c r="B198" s="117">
        <f>'T2'!$H17</f>
        <v>0.48899999999999999</v>
      </c>
      <c r="C198" s="117">
        <f>'T2'!$H17</f>
        <v>0.48899999999999999</v>
      </c>
      <c r="D198" s="117">
        <f>'T2'!$H17</f>
        <v>0.48899999999999999</v>
      </c>
      <c r="E198" s="117">
        <f>'T2'!$H17</f>
        <v>0.48899999999999999</v>
      </c>
      <c r="F198" s="117">
        <f>'T2'!$H17</f>
        <v>0.48899999999999999</v>
      </c>
      <c r="G198" s="21"/>
    </row>
    <row r="199" spans="1:7">
      <c r="A199" s="2" t="str">
        <f>'NORTH FORK'!A64</f>
        <v>Nebraska Allocation</v>
      </c>
      <c r="B199" s="145">
        <f>ROUND(B191*B198,-1)</f>
        <v>75980</v>
      </c>
      <c r="C199" s="145">
        <f>ROUND(C191*C198,-1)</f>
        <v>72150</v>
      </c>
      <c r="D199" s="145">
        <f>ROUND(D191*D198,-1)</f>
        <v>195380</v>
      </c>
      <c r="E199" s="145">
        <f>ROUND(E191*E198,-1)</f>
        <v>129390</v>
      </c>
      <c r="F199" s="145">
        <f>ROUND(F191*F198,-1)</f>
        <v>100240</v>
      </c>
      <c r="G199" s="21"/>
    </row>
    <row r="200" spans="1:7">
      <c r="A200" s="2" t="str">
        <f>'NORTH FORK'!A65</f>
        <v>Total Basin Allocation</v>
      </c>
      <c r="B200" s="145">
        <f>+B195+B197+B199</f>
        <v>155380</v>
      </c>
      <c r="C200" s="145">
        <f>+C195+C197+C199</f>
        <v>147550</v>
      </c>
      <c r="D200" s="145">
        <f>+D195+D197+D199</f>
        <v>399550</v>
      </c>
      <c r="E200" s="145">
        <f>+E195+E197+E199</f>
        <v>264600</v>
      </c>
      <c r="F200" s="145">
        <f>+F195+F197+F199</f>
        <v>204980</v>
      </c>
      <c r="G200" s="21"/>
    </row>
    <row r="201" spans="1:7">
      <c r="A201" s="2" t="str">
        <f>'NORTH FORK'!A66</f>
        <v>Percent Of Supply Not Allocated</v>
      </c>
      <c r="B201" s="117">
        <f>'T2'!$J17</f>
        <v>0</v>
      </c>
      <c r="C201" s="117">
        <f>'T2'!$J17</f>
        <v>0</v>
      </c>
      <c r="D201" s="117">
        <f>'T2'!$J17</f>
        <v>0</v>
      </c>
      <c r="E201" s="117">
        <f>'T2'!$J17</f>
        <v>0</v>
      </c>
      <c r="F201" s="117">
        <f>'T2'!$J17</f>
        <v>0</v>
      </c>
      <c r="G201" s="21"/>
    </row>
    <row r="202" spans="1:7">
      <c r="A202" s="2" t="str">
        <f>'NORTH FORK'!A67</f>
        <v>Quantity Of Unallocated Supply</v>
      </c>
      <c r="B202" s="145">
        <f>+B191-B195-B197-B199</f>
        <v>0</v>
      </c>
      <c r="C202" s="145">
        <f>+C191-C195-C197-C199</f>
        <v>0</v>
      </c>
      <c r="D202" s="145">
        <f>+D191-D195-D197-D199</f>
        <v>0</v>
      </c>
      <c r="E202" s="145">
        <f>+E191-E195-E197-E199</f>
        <v>0</v>
      </c>
      <c r="F202" s="145">
        <f>+F191-F195-F197-F199</f>
        <v>0</v>
      </c>
      <c r="G202" s="21"/>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H230"/>
  <sheetViews>
    <sheetView zoomScale="98" zoomScaleNormal="98" workbookViewId="0">
      <selection activeCell="O24" sqref="O24"/>
    </sheetView>
  </sheetViews>
  <sheetFormatPr defaultColWidth="9.140625" defaultRowHeight="14.25"/>
  <cols>
    <col min="1" max="1" width="17.28515625" style="208" customWidth="1"/>
    <col min="2" max="2" width="11.28515625" style="208" customWidth="1"/>
    <col min="3" max="3" width="9.85546875" style="208" bestFit="1" customWidth="1"/>
    <col min="4" max="7" width="9.42578125" style="208" bestFit="1" customWidth="1"/>
    <col min="8" max="8" width="10.7109375" style="208" customWidth="1"/>
    <col min="9" max="10" width="9.42578125" style="208" bestFit="1" customWidth="1"/>
    <col min="11" max="11" width="12.85546875" style="208" customWidth="1"/>
    <col min="12" max="12" width="11.7109375" style="208" customWidth="1"/>
    <col min="13" max="14" width="11" style="208" customWidth="1"/>
    <col min="15" max="16" width="9.28515625" style="208" bestFit="1" customWidth="1"/>
    <col min="17" max="17" width="13.28515625" style="208" customWidth="1"/>
    <col min="18" max="18" width="13.42578125" style="208" customWidth="1"/>
    <col min="19" max="19" width="11.28515625" style="208" customWidth="1"/>
    <col min="20" max="20" width="21" style="208" bestFit="1" customWidth="1"/>
    <col min="21" max="21" width="12.42578125" style="208" customWidth="1"/>
    <col min="22" max="16384" width="9.140625" style="208"/>
  </cols>
  <sheetData>
    <row r="1" spans="1:34" ht="15">
      <c r="A1" s="205"/>
      <c r="B1" s="206"/>
      <c r="C1" s="206"/>
      <c r="D1" s="206"/>
      <c r="E1" s="206"/>
      <c r="F1" s="206"/>
      <c r="G1" s="206"/>
      <c r="H1" s="206"/>
      <c r="I1" s="206"/>
      <c r="J1" s="207" t="s">
        <v>265</v>
      </c>
      <c r="K1" s="206"/>
      <c r="L1" s="206"/>
      <c r="M1" s="206"/>
      <c r="N1" s="206"/>
      <c r="O1" s="206"/>
      <c r="P1" s="206"/>
      <c r="Q1" s="206" t="s">
        <v>432</v>
      </c>
      <c r="R1" s="206"/>
      <c r="S1" s="206"/>
    </row>
    <row r="2" spans="1:34">
      <c r="A2" s="205"/>
      <c r="B2" s="206"/>
      <c r="C2" s="206"/>
      <c r="D2" s="206"/>
      <c r="E2" s="206"/>
      <c r="F2" s="206"/>
      <c r="G2" s="206"/>
      <c r="H2" s="206"/>
      <c r="I2" s="206"/>
      <c r="J2" s="206"/>
      <c r="K2" s="206"/>
      <c r="L2" s="206"/>
      <c r="M2" s="206"/>
      <c r="N2" s="206"/>
      <c r="O2" s="206"/>
      <c r="P2" s="206"/>
      <c r="Q2" s="206"/>
      <c r="R2" s="206"/>
      <c r="S2" s="206"/>
    </row>
    <row r="3" spans="1:34">
      <c r="A3" s="209">
        <v>1</v>
      </c>
      <c r="B3" s="209">
        <v>2</v>
      </c>
      <c r="C3" s="209">
        <v>3</v>
      </c>
      <c r="D3" s="209">
        <v>4</v>
      </c>
      <c r="E3" s="209">
        <v>5</v>
      </c>
      <c r="F3" s="209">
        <v>6</v>
      </c>
      <c r="G3" s="209">
        <v>7</v>
      </c>
      <c r="H3" s="209">
        <v>8</v>
      </c>
      <c r="I3" s="209">
        <v>9</v>
      </c>
      <c r="J3" s="209">
        <v>10</v>
      </c>
      <c r="K3" s="209">
        <v>11</v>
      </c>
      <c r="L3" s="209">
        <v>12</v>
      </c>
      <c r="M3" s="209">
        <v>13</v>
      </c>
      <c r="N3" s="209">
        <v>14</v>
      </c>
      <c r="O3" s="209">
        <v>15</v>
      </c>
      <c r="P3" s="209">
        <v>16</v>
      </c>
      <c r="Q3" s="209">
        <v>17</v>
      </c>
      <c r="R3" s="209">
        <v>18</v>
      </c>
      <c r="S3" s="209">
        <v>19</v>
      </c>
    </row>
    <row r="4" spans="1:34" ht="15" thickBot="1">
      <c r="A4" s="210"/>
      <c r="B4" s="209" t="s">
        <v>266</v>
      </c>
      <c r="C4" s="209" t="s">
        <v>266</v>
      </c>
      <c r="D4" s="209" t="s">
        <v>267</v>
      </c>
      <c r="E4" s="209" t="s">
        <v>268</v>
      </c>
      <c r="F4" s="209" t="s">
        <v>269</v>
      </c>
      <c r="G4" s="209" t="s">
        <v>267</v>
      </c>
      <c r="H4" s="209" t="s">
        <v>266</v>
      </c>
      <c r="I4" s="209" t="s">
        <v>270</v>
      </c>
      <c r="J4" s="209" t="s">
        <v>271</v>
      </c>
      <c r="K4" s="209" t="s">
        <v>272</v>
      </c>
      <c r="L4" s="209" t="s">
        <v>273</v>
      </c>
      <c r="M4" s="209" t="s">
        <v>274</v>
      </c>
      <c r="N4" s="209" t="s">
        <v>275</v>
      </c>
      <c r="O4" s="209" t="s">
        <v>276</v>
      </c>
      <c r="P4" s="209" t="s">
        <v>277</v>
      </c>
      <c r="Q4" s="209" t="s">
        <v>278</v>
      </c>
      <c r="R4" s="209" t="s">
        <v>279</v>
      </c>
      <c r="S4" s="209" t="s">
        <v>280</v>
      </c>
    </row>
    <row r="5" spans="1:34" ht="15">
      <c r="A5" s="211"/>
      <c r="B5" s="211"/>
      <c r="C5" s="211"/>
      <c r="D5" s="211"/>
      <c r="E5" s="211"/>
      <c r="F5" s="211"/>
      <c r="G5" s="211"/>
      <c r="H5" s="211"/>
      <c r="I5" s="211"/>
      <c r="J5" s="211"/>
      <c r="K5" s="212"/>
      <c r="L5" s="213"/>
      <c r="M5" s="214" t="s">
        <v>281</v>
      </c>
      <c r="N5" s="215"/>
      <c r="O5" s="215"/>
      <c r="P5" s="212"/>
      <c r="Q5" s="214" t="s">
        <v>282</v>
      </c>
      <c r="R5" s="215"/>
      <c r="S5" s="216" t="s">
        <v>283</v>
      </c>
    </row>
    <row r="6" spans="1:34" ht="15.75" thickBot="1">
      <c r="A6" s="217"/>
      <c r="B6" s="217"/>
      <c r="C6" s="217"/>
      <c r="D6" s="217"/>
      <c r="E6" s="217"/>
      <c r="F6" s="217"/>
      <c r="G6" s="217"/>
      <c r="H6" s="217"/>
      <c r="I6" s="217"/>
      <c r="J6" s="217"/>
      <c r="K6" s="218"/>
      <c r="L6" s="219"/>
      <c r="M6" s="207" t="s">
        <v>284</v>
      </c>
      <c r="N6" s="206"/>
      <c r="O6" s="206"/>
      <c r="P6" s="218"/>
      <c r="Q6" s="207" t="s">
        <v>281</v>
      </c>
      <c r="R6" s="206"/>
      <c r="S6" s="220"/>
    </row>
    <row r="7" spans="1:34" ht="15">
      <c r="A7" s="205"/>
      <c r="B7" s="205"/>
      <c r="C7" s="205"/>
      <c r="D7" s="205"/>
      <c r="E7" s="205"/>
      <c r="F7" s="205"/>
      <c r="G7" s="205"/>
      <c r="H7" s="205"/>
      <c r="I7" s="205"/>
      <c r="J7" s="217"/>
      <c r="K7" s="212"/>
      <c r="L7" s="213" t="s">
        <v>285</v>
      </c>
      <c r="M7" s="214"/>
      <c r="N7" s="212" t="s">
        <v>286</v>
      </c>
      <c r="O7" s="215"/>
      <c r="P7" s="218"/>
      <c r="Q7" s="207" t="s">
        <v>287</v>
      </c>
      <c r="R7" s="206"/>
      <c r="S7" s="220" t="s">
        <v>288</v>
      </c>
    </row>
    <row r="8" spans="1:34" ht="15.75" thickBot="1">
      <c r="A8" s="205"/>
      <c r="B8" s="205"/>
      <c r="C8" s="205"/>
      <c r="D8" s="221" t="s">
        <v>289</v>
      </c>
      <c r="E8" s="205"/>
      <c r="F8" s="205"/>
      <c r="G8" s="221" t="s">
        <v>290</v>
      </c>
      <c r="H8" s="221" t="s">
        <v>291</v>
      </c>
      <c r="I8" s="205"/>
      <c r="J8" s="217"/>
      <c r="K8" s="218"/>
      <c r="L8" s="219" t="s">
        <v>292</v>
      </c>
      <c r="M8" s="207"/>
      <c r="N8" s="218" t="s">
        <v>293</v>
      </c>
      <c r="O8" s="206"/>
      <c r="P8" s="218"/>
      <c r="Q8" s="207" t="s">
        <v>294</v>
      </c>
      <c r="R8" s="206"/>
      <c r="S8" s="220" t="s">
        <v>295</v>
      </c>
    </row>
    <row r="9" spans="1:34" ht="15">
      <c r="A9" s="205"/>
      <c r="B9" s="205"/>
      <c r="C9" s="205"/>
      <c r="D9" s="221" t="s">
        <v>296</v>
      </c>
      <c r="E9" s="221" t="s">
        <v>4</v>
      </c>
      <c r="F9" s="221" t="s">
        <v>4</v>
      </c>
      <c r="G9" s="221" t="s">
        <v>296</v>
      </c>
      <c r="H9" s="221" t="s">
        <v>297</v>
      </c>
      <c r="I9" s="221" t="s">
        <v>4</v>
      </c>
      <c r="J9" s="221" t="s">
        <v>4</v>
      </c>
      <c r="K9" s="212"/>
      <c r="L9" s="213" t="s">
        <v>298</v>
      </c>
      <c r="M9" s="214"/>
      <c r="N9" s="212" t="s">
        <v>299</v>
      </c>
      <c r="O9" s="215"/>
      <c r="P9" s="212"/>
      <c r="Q9" s="213" t="s">
        <v>298</v>
      </c>
      <c r="R9" s="214"/>
      <c r="S9" s="220" t="s">
        <v>300</v>
      </c>
    </row>
    <row r="10" spans="1:34">
      <c r="A10" s="205"/>
      <c r="B10" s="221"/>
      <c r="C10" s="221"/>
      <c r="D10" s="221" t="s">
        <v>301</v>
      </c>
      <c r="E10" s="221" t="s">
        <v>302</v>
      </c>
      <c r="F10" s="221" t="s">
        <v>303</v>
      </c>
      <c r="G10" s="221" t="s">
        <v>301</v>
      </c>
      <c r="H10" s="221" t="s">
        <v>304</v>
      </c>
      <c r="I10" s="221" t="s">
        <v>302</v>
      </c>
      <c r="J10" s="221" t="s">
        <v>303</v>
      </c>
      <c r="K10" s="218"/>
      <c r="L10" s="219" t="s">
        <v>305</v>
      </c>
      <c r="M10" s="206"/>
      <c r="N10" s="218" t="s">
        <v>306</v>
      </c>
      <c r="O10" s="206"/>
      <c r="P10" s="218"/>
      <c r="Q10" s="219" t="s">
        <v>305</v>
      </c>
      <c r="R10" s="206"/>
      <c r="S10" s="220" t="s">
        <v>288</v>
      </c>
    </row>
    <row r="11" spans="1:34" ht="15" thickBot="1">
      <c r="A11" s="205"/>
      <c r="B11" s="221" t="s">
        <v>307</v>
      </c>
      <c r="C11" s="221" t="s">
        <v>307</v>
      </c>
      <c r="D11" s="221" t="s">
        <v>308</v>
      </c>
      <c r="E11" s="221" t="s">
        <v>309</v>
      </c>
      <c r="F11" s="221" t="s">
        <v>310</v>
      </c>
      <c r="G11" s="221" t="s">
        <v>308</v>
      </c>
      <c r="H11" s="221" t="s">
        <v>307</v>
      </c>
      <c r="I11" s="221" t="s">
        <v>309</v>
      </c>
      <c r="J11" s="221" t="s">
        <v>310</v>
      </c>
      <c r="K11" s="218"/>
      <c r="L11" s="219" t="s">
        <v>311</v>
      </c>
      <c r="M11" s="206"/>
      <c r="N11" s="218" t="s">
        <v>312</v>
      </c>
      <c r="O11" s="206"/>
      <c r="P11" s="218"/>
      <c r="Q11" s="219" t="s">
        <v>313</v>
      </c>
      <c r="R11" s="206"/>
      <c r="S11" s="220" t="s">
        <v>314</v>
      </c>
    </row>
    <row r="12" spans="1:34">
      <c r="A12" s="221" t="s">
        <v>315</v>
      </c>
      <c r="B12" s="221" t="s">
        <v>305</v>
      </c>
      <c r="C12" s="221" t="s">
        <v>305</v>
      </c>
      <c r="D12" s="221" t="s">
        <v>305</v>
      </c>
      <c r="E12" s="221" t="s">
        <v>310</v>
      </c>
      <c r="F12" s="221" t="s">
        <v>289</v>
      </c>
      <c r="G12" s="221" t="s">
        <v>305</v>
      </c>
      <c r="H12" s="221" t="s">
        <v>305</v>
      </c>
      <c r="I12" s="221" t="s">
        <v>310</v>
      </c>
      <c r="J12" s="221" t="s">
        <v>290</v>
      </c>
      <c r="K12" s="222" t="s">
        <v>289</v>
      </c>
      <c r="L12" s="223" t="s">
        <v>290</v>
      </c>
      <c r="M12" s="224"/>
      <c r="N12" s="222" t="s">
        <v>290</v>
      </c>
      <c r="O12" s="224"/>
      <c r="P12" s="222" t="s">
        <v>289</v>
      </c>
      <c r="Q12" s="223" t="s">
        <v>290</v>
      </c>
      <c r="R12" s="224"/>
      <c r="S12" s="225"/>
      <c r="T12"/>
      <c r="U12"/>
      <c r="V12"/>
      <c r="W12"/>
      <c r="X12"/>
      <c r="Y12"/>
      <c r="Z12"/>
      <c r="AA12"/>
      <c r="AB12"/>
      <c r="AC12"/>
      <c r="AD12"/>
      <c r="AE12"/>
      <c r="AF12"/>
      <c r="AG12"/>
      <c r="AH12"/>
    </row>
    <row r="13" spans="1:34" ht="15" thickBot="1">
      <c r="A13" s="205"/>
      <c r="B13" s="221" t="s">
        <v>316</v>
      </c>
      <c r="C13" s="221" t="s">
        <v>317</v>
      </c>
      <c r="D13" s="221" t="s">
        <v>318</v>
      </c>
      <c r="E13" s="221" t="s">
        <v>289</v>
      </c>
      <c r="F13" s="221" t="s">
        <v>318</v>
      </c>
      <c r="G13" s="221" t="s">
        <v>312</v>
      </c>
      <c r="H13" s="221" t="s">
        <v>319</v>
      </c>
      <c r="I13" s="221" t="s">
        <v>290</v>
      </c>
      <c r="J13" s="221" t="s">
        <v>312</v>
      </c>
      <c r="K13" s="226" t="s">
        <v>296</v>
      </c>
      <c r="L13" s="221" t="s">
        <v>296</v>
      </c>
      <c r="M13" s="227" t="s">
        <v>320</v>
      </c>
      <c r="N13" s="226" t="s">
        <v>296</v>
      </c>
      <c r="O13" s="227" t="s">
        <v>320</v>
      </c>
      <c r="P13" s="226" t="s">
        <v>296</v>
      </c>
      <c r="Q13" s="221" t="s">
        <v>296</v>
      </c>
      <c r="R13" s="227" t="s">
        <v>320</v>
      </c>
      <c r="S13" s="228"/>
      <c r="T13"/>
      <c r="U13"/>
      <c r="V13"/>
      <c r="W13"/>
      <c r="X13"/>
      <c r="Y13"/>
      <c r="Z13"/>
      <c r="AA13"/>
      <c r="AB13"/>
      <c r="AC13"/>
      <c r="AD13"/>
      <c r="AE13"/>
      <c r="AF13"/>
      <c r="AG13"/>
      <c r="AH13"/>
    </row>
    <row r="14" spans="1:34">
      <c r="A14" s="211"/>
      <c r="B14" s="229"/>
      <c r="C14" s="229"/>
      <c r="D14" s="229"/>
      <c r="E14" s="229"/>
      <c r="F14" s="229"/>
      <c r="G14" s="229"/>
      <c r="H14" s="229"/>
      <c r="I14" s="229"/>
      <c r="J14" s="229"/>
      <c r="K14" s="216"/>
      <c r="L14" s="229"/>
      <c r="M14" s="230"/>
      <c r="N14" s="231"/>
      <c r="O14" s="232"/>
      <c r="P14" s="231"/>
      <c r="Q14" s="233"/>
      <c r="R14" s="232"/>
      <c r="S14" s="234"/>
      <c r="T14"/>
      <c r="U14"/>
      <c r="V14"/>
      <c r="W14"/>
      <c r="X14"/>
      <c r="Y14"/>
      <c r="Z14"/>
      <c r="AA14"/>
      <c r="AB14"/>
      <c r="AC14"/>
      <c r="AD14"/>
      <c r="AE14"/>
      <c r="AF14"/>
      <c r="AG14"/>
      <c r="AH14"/>
    </row>
    <row r="15" spans="1:34" ht="15">
      <c r="A15" s="235" t="s">
        <v>681</v>
      </c>
      <c r="B15" s="429">
        <v>62438</v>
      </c>
      <c r="C15" s="429">
        <v>52599</v>
      </c>
      <c r="D15" s="429">
        <v>412</v>
      </c>
      <c r="E15" s="429">
        <v>53011</v>
      </c>
      <c r="F15" s="429">
        <v>9428</v>
      </c>
      <c r="G15" s="429">
        <v>16810</v>
      </c>
      <c r="H15" s="429">
        <v>28120</v>
      </c>
      <c r="I15" s="429">
        <v>44929</v>
      </c>
      <c r="J15" s="429">
        <v>7669</v>
      </c>
      <c r="K15" s="429">
        <v>59</v>
      </c>
      <c r="L15" s="429">
        <v>3484</v>
      </c>
      <c r="M15" s="429">
        <v>5903</v>
      </c>
      <c r="N15" s="429">
        <v>3803</v>
      </c>
      <c r="O15" s="429">
        <v>3866</v>
      </c>
      <c r="P15" s="429">
        <v>471</v>
      </c>
      <c r="Q15" s="429">
        <v>24094</v>
      </c>
      <c r="R15" s="429">
        <v>37870</v>
      </c>
      <c r="S15" s="429">
        <v>62438</v>
      </c>
      <c r="U15" s="275"/>
    </row>
    <row r="16" spans="1:34" ht="15">
      <c r="A16" s="235" t="s">
        <v>684</v>
      </c>
      <c r="B16" s="429">
        <v>46704</v>
      </c>
      <c r="C16" s="429">
        <v>40559</v>
      </c>
      <c r="D16" s="429">
        <v>490</v>
      </c>
      <c r="E16" s="429">
        <v>41049</v>
      </c>
      <c r="F16" s="429">
        <v>5655</v>
      </c>
      <c r="G16" s="429">
        <v>12357</v>
      </c>
      <c r="H16" s="429">
        <v>19419</v>
      </c>
      <c r="I16" s="429">
        <v>31776</v>
      </c>
      <c r="J16" s="429">
        <v>8783</v>
      </c>
      <c r="K16" s="429">
        <v>42</v>
      </c>
      <c r="L16" s="429">
        <v>1548</v>
      </c>
      <c r="M16" s="429">
        <v>4065</v>
      </c>
      <c r="N16" s="429">
        <v>3102</v>
      </c>
      <c r="O16" s="429">
        <v>5681</v>
      </c>
      <c r="P16" s="429">
        <v>532</v>
      </c>
      <c r="Q16" s="429">
        <v>17007</v>
      </c>
      <c r="R16" s="429">
        <v>29165</v>
      </c>
      <c r="S16" s="429">
        <v>46704</v>
      </c>
      <c r="U16" s="275"/>
    </row>
    <row r="17" spans="1:22" ht="15">
      <c r="A17" s="235" t="s">
        <v>687</v>
      </c>
      <c r="B17" s="429">
        <v>55120</v>
      </c>
      <c r="C17" s="429">
        <v>50721</v>
      </c>
      <c r="D17" s="429">
        <v>130</v>
      </c>
      <c r="E17" s="429">
        <v>50851</v>
      </c>
      <c r="F17" s="429">
        <v>4269</v>
      </c>
      <c r="G17" s="429">
        <v>8400</v>
      </c>
      <c r="H17" s="429">
        <v>30995</v>
      </c>
      <c r="I17" s="429">
        <v>39395</v>
      </c>
      <c r="J17" s="429">
        <v>11326</v>
      </c>
      <c r="K17" s="429">
        <v>13</v>
      </c>
      <c r="L17" s="429">
        <v>1491</v>
      </c>
      <c r="M17" s="429">
        <v>2765</v>
      </c>
      <c r="N17" s="429">
        <v>3773</v>
      </c>
      <c r="O17" s="429">
        <v>7553</v>
      </c>
      <c r="P17" s="429">
        <v>143</v>
      </c>
      <c r="Q17" s="429">
        <v>13664</v>
      </c>
      <c r="R17" s="429">
        <v>41313</v>
      </c>
      <c r="S17" s="429">
        <v>55120</v>
      </c>
      <c r="U17" s="275"/>
    </row>
    <row r="18" spans="1:22" ht="15">
      <c r="A18" s="235" t="s">
        <v>693</v>
      </c>
      <c r="B18" s="429">
        <v>44380</v>
      </c>
      <c r="C18" s="429">
        <v>35756</v>
      </c>
      <c r="D18" s="429">
        <v>400</v>
      </c>
      <c r="E18" s="429">
        <v>36156</v>
      </c>
      <c r="F18" s="429">
        <v>8224</v>
      </c>
      <c r="G18" s="429">
        <v>11053</v>
      </c>
      <c r="H18" s="429">
        <v>17473</v>
      </c>
      <c r="I18" s="429">
        <v>28526</v>
      </c>
      <c r="J18" s="429">
        <v>7230</v>
      </c>
      <c r="K18" s="429">
        <v>99</v>
      </c>
      <c r="L18" s="429">
        <v>3847</v>
      </c>
      <c r="M18" s="429">
        <v>4278</v>
      </c>
      <c r="N18" s="429">
        <v>3280</v>
      </c>
      <c r="O18" s="429">
        <v>3950</v>
      </c>
      <c r="P18" s="429">
        <v>499</v>
      </c>
      <c r="Q18" s="429">
        <v>18180</v>
      </c>
      <c r="R18" s="429">
        <v>25701</v>
      </c>
      <c r="S18" s="429">
        <v>44380</v>
      </c>
      <c r="U18" s="275"/>
    </row>
    <row r="19" spans="1:22" ht="15">
      <c r="A19" s="235" t="s">
        <v>694</v>
      </c>
      <c r="B19" s="429">
        <v>73224</v>
      </c>
      <c r="C19" s="429">
        <v>60776</v>
      </c>
      <c r="D19" s="429">
        <v>846</v>
      </c>
      <c r="E19" s="429">
        <v>61563</v>
      </c>
      <c r="F19" s="429">
        <v>11661</v>
      </c>
      <c r="G19" s="429">
        <v>15949</v>
      </c>
      <c r="H19" s="429">
        <v>30657</v>
      </c>
      <c r="I19" s="429">
        <v>46606</v>
      </c>
      <c r="J19" s="429">
        <v>14111</v>
      </c>
      <c r="K19" s="429">
        <v>134</v>
      </c>
      <c r="L19" s="429">
        <v>3712</v>
      </c>
      <c r="M19" s="429">
        <v>7815</v>
      </c>
      <c r="N19" s="429">
        <v>5316</v>
      </c>
      <c r="O19" s="429">
        <v>8795</v>
      </c>
      <c r="P19" s="429">
        <v>980</v>
      </c>
      <c r="Q19" s="429">
        <v>24977</v>
      </c>
      <c r="R19" s="429">
        <v>47267</v>
      </c>
      <c r="S19" s="429">
        <v>73224</v>
      </c>
      <c r="T19" s="257"/>
      <c r="U19" s="275"/>
      <c r="V19" s="257"/>
    </row>
    <row r="20" spans="1:22" ht="15">
      <c r="F20" s="258"/>
      <c r="H20" s="259"/>
      <c r="U20" s="275"/>
    </row>
    <row r="21" spans="1:22" ht="15">
      <c r="F21" s="258"/>
      <c r="H21" s="259"/>
      <c r="U21" s="275"/>
    </row>
    <row r="22" spans="1:22" ht="15">
      <c r="F22" s="258"/>
      <c r="H22" s="259"/>
      <c r="U22" s="275"/>
    </row>
    <row r="23" spans="1:22" ht="15">
      <c r="F23" s="258"/>
      <c r="H23" s="259"/>
      <c r="U23" s="275"/>
    </row>
    <row r="24" spans="1:22" ht="15">
      <c r="F24" s="258"/>
      <c r="H24" s="259"/>
      <c r="U24" s="275"/>
    </row>
    <row r="25" spans="1:22" ht="15">
      <c r="F25" s="258"/>
      <c r="H25" s="259"/>
      <c r="U25" s="275"/>
    </row>
    <row r="26" spans="1:22" ht="15">
      <c r="F26" s="258"/>
      <c r="H26" s="259"/>
      <c r="U26" s="275"/>
    </row>
    <row r="27" spans="1:22" ht="15">
      <c r="F27" s="258"/>
      <c r="H27" s="259"/>
      <c r="U27" s="275"/>
    </row>
    <row r="28" spans="1:22" ht="15">
      <c r="F28" s="258"/>
      <c r="H28" s="259"/>
      <c r="U28" s="275"/>
    </row>
    <row r="29" spans="1:22" ht="15">
      <c r="F29" s="258"/>
      <c r="H29" s="259"/>
      <c r="U29" s="275"/>
    </row>
    <row r="30" spans="1:22" ht="15">
      <c r="F30" s="258"/>
      <c r="H30" s="259"/>
      <c r="U30" s="275"/>
    </row>
    <row r="31" spans="1:22" ht="15">
      <c r="F31" s="258"/>
      <c r="H31" s="259"/>
      <c r="U31" s="275"/>
    </row>
    <row r="32" spans="1:22" ht="15">
      <c r="F32" s="258"/>
      <c r="H32" s="259"/>
      <c r="U32" s="275"/>
    </row>
    <row r="33" spans="6:21" ht="15">
      <c r="F33" s="258"/>
      <c r="H33" s="259"/>
      <c r="U33" s="275"/>
    </row>
    <row r="34" spans="6:21" ht="15">
      <c r="F34" s="258"/>
      <c r="H34" s="259"/>
      <c r="U34" s="275"/>
    </row>
    <row r="35" spans="6:21" ht="15">
      <c r="F35" s="258"/>
      <c r="H35" s="259"/>
      <c r="U35" s="275"/>
    </row>
    <row r="36" spans="6:21" ht="15">
      <c r="F36" s="258"/>
      <c r="H36" s="259"/>
      <c r="U36" s="275"/>
    </row>
    <row r="37" spans="6:21" ht="15">
      <c r="F37" s="258"/>
      <c r="H37" s="259"/>
      <c r="U37" s="275"/>
    </row>
    <row r="38" spans="6:21" ht="15">
      <c r="F38" s="258"/>
      <c r="H38" s="259"/>
      <c r="U38" s="275"/>
    </row>
    <row r="39" spans="6:21" ht="15">
      <c r="F39" s="258"/>
      <c r="H39" s="259"/>
      <c r="U39" s="275"/>
    </row>
    <row r="40" spans="6:21" ht="15">
      <c r="F40" s="258"/>
      <c r="H40" s="259"/>
      <c r="U40" s="275"/>
    </row>
    <row r="41" spans="6:21" ht="15">
      <c r="F41" s="258"/>
      <c r="H41" s="259"/>
      <c r="U41" s="275"/>
    </row>
    <row r="42" spans="6:21" ht="15">
      <c r="F42" s="258"/>
      <c r="H42" s="259"/>
      <c r="U42" s="275"/>
    </row>
    <row r="43" spans="6:21" ht="15">
      <c r="F43" s="258"/>
      <c r="H43" s="259"/>
      <c r="U43" s="275"/>
    </row>
    <row r="44" spans="6:21" ht="15">
      <c r="F44" s="258"/>
      <c r="H44" s="259"/>
      <c r="U44" s="275"/>
    </row>
    <row r="45" spans="6:21" ht="15">
      <c r="F45" s="258"/>
      <c r="H45" s="259"/>
      <c r="U45" s="275"/>
    </row>
    <row r="46" spans="6:21" ht="15">
      <c r="F46" s="258"/>
      <c r="H46" s="259"/>
      <c r="U46" s="275"/>
    </row>
    <row r="47" spans="6:21" ht="15">
      <c r="F47" s="258"/>
      <c r="H47" s="259"/>
      <c r="U47" s="275"/>
    </row>
    <row r="48" spans="6:21" ht="15">
      <c r="F48" s="258"/>
      <c r="H48" s="259"/>
      <c r="U48" s="275"/>
    </row>
    <row r="49" spans="6:21" ht="15">
      <c r="F49" s="258"/>
      <c r="H49" s="259"/>
      <c r="U49" s="275"/>
    </row>
    <row r="50" spans="6:21" ht="15">
      <c r="F50" s="258"/>
      <c r="H50" s="259"/>
      <c r="U50" s="275"/>
    </row>
    <row r="51" spans="6:21" ht="15">
      <c r="F51" s="258"/>
      <c r="H51" s="259"/>
      <c r="U51" s="275"/>
    </row>
    <row r="52" spans="6:21" ht="15">
      <c r="F52" s="258"/>
      <c r="H52" s="259"/>
      <c r="U52" s="275"/>
    </row>
    <row r="53" spans="6:21" ht="15">
      <c r="F53" s="258"/>
      <c r="H53" s="259"/>
      <c r="U53" s="275"/>
    </row>
    <row r="54" spans="6:21" ht="15">
      <c r="F54" s="258"/>
      <c r="H54" s="259"/>
      <c r="U54" s="275"/>
    </row>
    <row r="55" spans="6:21" ht="15">
      <c r="F55" s="258"/>
      <c r="H55" s="259"/>
      <c r="U55" s="275"/>
    </row>
    <row r="56" spans="6:21" ht="15">
      <c r="F56" s="258"/>
      <c r="H56" s="259"/>
      <c r="U56" s="275"/>
    </row>
    <row r="57" spans="6:21" ht="15">
      <c r="F57" s="258"/>
      <c r="H57" s="259"/>
      <c r="U57" s="275"/>
    </row>
    <row r="58" spans="6:21" ht="15">
      <c r="F58" s="258"/>
      <c r="H58" s="259"/>
      <c r="U58" s="275"/>
    </row>
    <row r="59" spans="6:21" ht="15">
      <c r="F59" s="258"/>
      <c r="H59" s="259"/>
      <c r="U59" s="275"/>
    </row>
    <row r="60" spans="6:21" ht="15">
      <c r="F60" s="258"/>
      <c r="H60" s="259"/>
      <c r="U60" s="275"/>
    </row>
    <row r="61" spans="6:21" ht="15">
      <c r="F61" s="258"/>
      <c r="H61" s="259"/>
      <c r="U61" s="275"/>
    </row>
    <row r="62" spans="6:21" ht="15">
      <c r="F62" s="258"/>
      <c r="H62" s="259"/>
      <c r="U62" s="275"/>
    </row>
    <row r="63" spans="6:21" ht="15">
      <c r="F63" s="258"/>
      <c r="H63" s="259"/>
      <c r="U63" s="275"/>
    </row>
    <row r="64" spans="6:21" ht="15">
      <c r="F64" s="258"/>
      <c r="H64" s="259"/>
      <c r="U64" s="275"/>
    </row>
    <row r="65" spans="6:21" ht="15">
      <c r="F65" s="258"/>
      <c r="H65" s="259"/>
      <c r="U65" s="275"/>
    </row>
    <row r="66" spans="6:21" ht="15">
      <c r="F66" s="258"/>
      <c r="H66" s="259"/>
      <c r="U66" s="275"/>
    </row>
    <row r="67" spans="6:21" ht="15">
      <c r="F67" s="258"/>
      <c r="H67" s="259"/>
      <c r="U67" s="275"/>
    </row>
    <row r="68" spans="6:21" ht="15">
      <c r="F68" s="258"/>
      <c r="H68" s="259"/>
      <c r="U68" s="275"/>
    </row>
    <row r="69" spans="6:21" ht="15">
      <c r="F69" s="258"/>
      <c r="H69" s="259"/>
      <c r="U69" s="275"/>
    </row>
    <row r="70" spans="6:21" ht="15">
      <c r="F70" s="258"/>
      <c r="H70" s="259"/>
      <c r="U70" s="275"/>
    </row>
    <row r="71" spans="6:21" ht="15">
      <c r="F71" s="258"/>
      <c r="H71" s="259"/>
      <c r="U71" s="275"/>
    </row>
    <row r="72" spans="6:21" ht="15">
      <c r="F72" s="258"/>
      <c r="H72" s="259"/>
      <c r="U72" s="275"/>
    </row>
    <row r="73" spans="6:21" ht="15">
      <c r="F73" s="258"/>
      <c r="H73" s="259"/>
      <c r="U73" s="275"/>
    </row>
    <row r="74" spans="6:21" ht="15">
      <c r="F74" s="258"/>
      <c r="H74" s="259"/>
      <c r="U74" s="275"/>
    </row>
    <row r="75" spans="6:21" ht="15">
      <c r="F75" s="258"/>
      <c r="H75" s="259"/>
      <c r="U75" s="275"/>
    </row>
    <row r="76" spans="6:21" ht="15">
      <c r="F76" s="258"/>
      <c r="H76" s="259"/>
      <c r="U76" s="275"/>
    </row>
    <row r="77" spans="6:21" ht="15">
      <c r="F77" s="258"/>
      <c r="H77" s="259"/>
      <c r="U77" s="275"/>
    </row>
    <row r="78" spans="6:21" ht="15">
      <c r="F78" s="258"/>
      <c r="H78" s="259"/>
      <c r="U78" s="275"/>
    </row>
    <row r="79" spans="6:21" ht="15">
      <c r="F79" s="258"/>
      <c r="H79" s="259"/>
      <c r="U79" s="275"/>
    </row>
    <row r="80" spans="6:21" ht="15">
      <c r="F80" s="258"/>
      <c r="H80" s="259"/>
      <c r="U80" s="275"/>
    </row>
    <row r="81" spans="6:21" ht="15">
      <c r="F81" s="258"/>
      <c r="H81" s="259"/>
      <c r="U81" s="275"/>
    </row>
    <row r="82" spans="6:21" ht="15">
      <c r="F82" s="258"/>
      <c r="H82" s="259"/>
      <c r="U82" s="275"/>
    </row>
    <row r="83" spans="6:21" ht="15">
      <c r="F83" s="258"/>
      <c r="H83" s="259"/>
      <c r="U83" s="275"/>
    </row>
    <row r="84" spans="6:21" ht="15">
      <c r="F84" s="258"/>
      <c r="H84" s="259"/>
      <c r="U84" s="275"/>
    </row>
    <row r="85" spans="6:21" ht="15">
      <c r="F85" s="258"/>
      <c r="H85" s="259"/>
      <c r="U85" s="275"/>
    </row>
    <row r="86" spans="6:21" ht="15">
      <c r="F86" s="258"/>
      <c r="H86" s="259"/>
      <c r="U86" s="275"/>
    </row>
    <row r="87" spans="6:21" ht="15">
      <c r="F87" s="258"/>
      <c r="H87" s="259"/>
      <c r="U87" s="275"/>
    </row>
    <row r="88" spans="6:21" ht="15">
      <c r="F88" s="258"/>
      <c r="H88" s="259"/>
      <c r="U88" s="275"/>
    </row>
    <row r="89" spans="6:21" ht="15">
      <c r="F89" s="258"/>
      <c r="H89" s="259"/>
      <c r="U89" s="275"/>
    </row>
    <row r="90" spans="6:21" ht="15">
      <c r="F90" s="258"/>
      <c r="H90" s="259"/>
      <c r="U90" s="275"/>
    </row>
    <row r="91" spans="6:21" ht="15">
      <c r="F91" s="258"/>
      <c r="H91" s="259"/>
      <c r="U91" s="275"/>
    </row>
    <row r="92" spans="6:21" ht="15">
      <c r="F92" s="258"/>
      <c r="H92" s="259"/>
      <c r="U92" s="275"/>
    </row>
    <row r="93" spans="6:21" ht="15">
      <c r="F93" s="258"/>
      <c r="H93" s="259"/>
      <c r="U93" s="275"/>
    </row>
    <row r="94" spans="6:21" ht="15">
      <c r="F94" s="258"/>
      <c r="H94" s="259"/>
      <c r="U94" s="275"/>
    </row>
    <row r="95" spans="6:21" ht="15">
      <c r="F95" s="258"/>
      <c r="H95" s="259"/>
      <c r="U95" s="275"/>
    </row>
    <row r="96" spans="6:21" ht="15">
      <c r="F96" s="258"/>
      <c r="H96" s="259"/>
      <c r="U96" s="275"/>
    </row>
    <row r="97" spans="6:21" ht="15">
      <c r="F97" s="258"/>
      <c r="H97" s="259"/>
      <c r="U97" s="275"/>
    </row>
    <row r="98" spans="6:21" ht="15">
      <c r="F98" s="258"/>
      <c r="H98" s="259"/>
      <c r="U98" s="275"/>
    </row>
    <row r="99" spans="6:21" ht="15">
      <c r="F99" s="258"/>
      <c r="H99" s="259"/>
      <c r="U99" s="275"/>
    </row>
    <row r="100" spans="6:21" ht="15">
      <c r="F100" s="258"/>
      <c r="H100" s="259"/>
      <c r="U100" s="275"/>
    </row>
    <row r="101" spans="6:21" ht="15">
      <c r="F101" s="258"/>
      <c r="H101" s="259"/>
      <c r="U101" s="275"/>
    </row>
    <row r="102" spans="6:21" ht="15">
      <c r="F102" s="258"/>
      <c r="H102" s="259"/>
      <c r="U102" s="275"/>
    </row>
    <row r="103" spans="6:21" ht="15">
      <c r="F103" s="258"/>
      <c r="H103" s="259"/>
      <c r="U103" s="275"/>
    </row>
    <row r="104" spans="6:21" ht="15">
      <c r="F104" s="258"/>
      <c r="H104" s="259"/>
      <c r="U104" s="275"/>
    </row>
    <row r="105" spans="6:21" ht="15">
      <c r="F105" s="258"/>
      <c r="H105" s="259"/>
      <c r="U105" s="275"/>
    </row>
    <row r="106" spans="6:21" ht="15">
      <c r="F106" s="258"/>
      <c r="H106" s="259"/>
      <c r="U106" s="275"/>
    </row>
    <row r="107" spans="6:21" ht="15">
      <c r="F107" s="258"/>
      <c r="H107" s="259"/>
      <c r="U107" s="275"/>
    </row>
    <row r="108" spans="6:21" ht="15">
      <c r="F108" s="258"/>
      <c r="H108" s="259"/>
      <c r="U108" s="275"/>
    </row>
    <row r="109" spans="6:21" ht="15">
      <c r="F109" s="258"/>
      <c r="H109" s="259"/>
      <c r="U109" s="275"/>
    </row>
    <row r="110" spans="6:21" ht="15">
      <c r="F110" s="258"/>
      <c r="H110" s="259"/>
      <c r="U110" s="275"/>
    </row>
    <row r="111" spans="6:21" ht="15">
      <c r="F111" s="258"/>
      <c r="H111" s="259"/>
      <c r="U111" s="275"/>
    </row>
    <row r="112" spans="6:21" ht="15">
      <c r="F112" s="258"/>
      <c r="H112" s="259"/>
      <c r="U112" s="275"/>
    </row>
    <row r="113" spans="6:21" ht="15">
      <c r="F113" s="258"/>
      <c r="H113" s="259"/>
      <c r="U113" s="275"/>
    </row>
    <row r="114" spans="6:21" ht="15">
      <c r="F114" s="258"/>
      <c r="H114" s="259"/>
      <c r="U114" s="275"/>
    </row>
    <row r="115" spans="6:21" ht="15">
      <c r="F115" s="258"/>
      <c r="H115" s="259"/>
      <c r="U115" s="275"/>
    </row>
    <row r="116" spans="6:21" ht="15">
      <c r="F116" s="258"/>
      <c r="H116" s="259"/>
      <c r="U116" s="275"/>
    </row>
    <row r="117" spans="6:21" ht="15">
      <c r="F117" s="258"/>
      <c r="H117" s="259"/>
      <c r="U117" s="275"/>
    </row>
    <row r="118" spans="6:21" ht="15">
      <c r="F118" s="258"/>
      <c r="H118" s="259"/>
      <c r="U118" s="275"/>
    </row>
    <row r="119" spans="6:21" ht="15">
      <c r="F119" s="258"/>
      <c r="H119" s="259"/>
      <c r="U119" s="275"/>
    </row>
    <row r="120" spans="6:21" ht="15">
      <c r="F120" s="258"/>
      <c r="H120" s="259"/>
      <c r="U120" s="275"/>
    </row>
    <row r="121" spans="6:21" ht="15">
      <c r="F121" s="258"/>
      <c r="H121" s="259"/>
      <c r="U121" s="275"/>
    </row>
    <row r="122" spans="6:21" ht="15">
      <c r="F122" s="258"/>
      <c r="H122" s="259"/>
      <c r="U122" s="275"/>
    </row>
    <row r="123" spans="6:21" ht="15">
      <c r="F123" s="258"/>
      <c r="H123" s="259"/>
      <c r="U123" s="275"/>
    </row>
    <row r="124" spans="6:21" ht="15">
      <c r="F124" s="258"/>
      <c r="H124" s="259"/>
      <c r="U124" s="275"/>
    </row>
    <row r="125" spans="6:21" ht="15">
      <c r="F125" s="258"/>
      <c r="H125" s="259"/>
      <c r="U125" s="275"/>
    </row>
    <row r="126" spans="6:21" ht="15">
      <c r="F126" s="258"/>
      <c r="H126" s="259"/>
      <c r="U126" s="275"/>
    </row>
    <row r="127" spans="6:21" ht="15">
      <c r="F127" s="258"/>
      <c r="H127" s="259"/>
    </row>
    <row r="128" spans="6:21" ht="15">
      <c r="F128" s="258"/>
      <c r="H128" s="259"/>
    </row>
    <row r="129" spans="6:8" ht="15">
      <c r="F129" s="258"/>
      <c r="H129" s="259"/>
    </row>
    <row r="130" spans="6:8" ht="15">
      <c r="F130" s="258"/>
      <c r="H130" s="259"/>
    </row>
    <row r="131" spans="6:8" ht="15">
      <c r="F131" s="258"/>
      <c r="H131" s="259"/>
    </row>
    <row r="132" spans="6:8" ht="15">
      <c r="F132" s="258"/>
      <c r="H132" s="259"/>
    </row>
    <row r="133" spans="6:8" ht="15">
      <c r="F133" s="258"/>
      <c r="H133" s="259"/>
    </row>
    <row r="134" spans="6:8" ht="15">
      <c r="F134" s="258"/>
      <c r="H134" s="259"/>
    </row>
    <row r="135" spans="6:8" ht="15">
      <c r="F135" s="258"/>
      <c r="H135" s="259"/>
    </row>
    <row r="136" spans="6:8" ht="15">
      <c r="F136" s="258"/>
      <c r="H136" s="259"/>
    </row>
    <row r="137" spans="6:8" ht="15">
      <c r="F137" s="258"/>
      <c r="H137" s="259"/>
    </row>
    <row r="138" spans="6:8" ht="15">
      <c r="F138" s="258"/>
      <c r="H138" s="259"/>
    </row>
    <row r="139" spans="6:8" ht="15">
      <c r="F139" s="258"/>
      <c r="H139" s="259"/>
    </row>
    <row r="140" spans="6:8" ht="15">
      <c r="F140" s="258"/>
      <c r="H140" s="259"/>
    </row>
    <row r="141" spans="6:8" ht="15">
      <c r="F141" s="258"/>
      <c r="H141" s="259"/>
    </row>
    <row r="142" spans="6:8" ht="15">
      <c r="F142" s="258"/>
      <c r="H142" s="259"/>
    </row>
    <row r="143" spans="6:8" ht="15">
      <c r="F143" s="258"/>
      <c r="H143" s="259"/>
    </row>
    <row r="144" spans="6:8" ht="15">
      <c r="F144" s="258"/>
      <c r="H144" s="259"/>
    </row>
    <row r="145" spans="6:8" ht="15">
      <c r="F145" s="258"/>
      <c r="H145" s="259"/>
    </row>
    <row r="146" spans="6:8" ht="15">
      <c r="F146" s="258"/>
      <c r="H146" s="259"/>
    </row>
    <row r="147" spans="6:8" ht="15">
      <c r="F147" s="258"/>
      <c r="H147" s="259"/>
    </row>
    <row r="148" spans="6:8" ht="15">
      <c r="F148" s="258"/>
      <c r="H148" s="259"/>
    </row>
    <row r="149" spans="6:8" ht="15">
      <c r="F149" s="258"/>
      <c r="H149" s="259"/>
    </row>
    <row r="150" spans="6:8" ht="15">
      <c r="F150" s="258"/>
      <c r="H150" s="259"/>
    </row>
    <row r="151" spans="6:8" ht="15">
      <c r="F151" s="258"/>
      <c r="H151" s="259"/>
    </row>
    <row r="152" spans="6:8" ht="15">
      <c r="F152" s="258"/>
      <c r="H152" s="259"/>
    </row>
    <row r="153" spans="6:8" ht="15">
      <c r="F153" s="258"/>
      <c r="H153" s="259"/>
    </row>
    <row r="154" spans="6:8" ht="15">
      <c r="F154" s="258"/>
      <c r="H154" s="259"/>
    </row>
    <row r="155" spans="6:8" ht="15">
      <c r="F155" s="258"/>
      <c r="H155" s="259"/>
    </row>
    <row r="156" spans="6:8" ht="15">
      <c r="F156" s="258"/>
      <c r="H156" s="259"/>
    </row>
    <row r="157" spans="6:8" ht="15">
      <c r="F157" s="258"/>
      <c r="H157" s="259"/>
    </row>
    <row r="158" spans="6:8" ht="15">
      <c r="F158" s="258"/>
      <c r="H158" s="259"/>
    </row>
    <row r="159" spans="6:8" ht="15">
      <c r="F159" s="258"/>
      <c r="H159" s="259"/>
    </row>
    <row r="160" spans="6:8" ht="15">
      <c r="F160" s="258"/>
      <c r="H160" s="259"/>
    </row>
    <row r="161" spans="6:8" ht="15">
      <c r="F161" s="258"/>
      <c r="H161" s="259"/>
    </row>
    <row r="162" spans="6:8" ht="15">
      <c r="F162" s="258"/>
      <c r="H162" s="259"/>
    </row>
    <row r="163" spans="6:8" ht="15">
      <c r="F163" s="258"/>
      <c r="H163" s="259"/>
    </row>
    <row r="164" spans="6:8" ht="15">
      <c r="F164" s="258"/>
      <c r="H164" s="259"/>
    </row>
    <row r="165" spans="6:8" ht="15">
      <c r="F165" s="258"/>
      <c r="H165" s="259"/>
    </row>
    <row r="166" spans="6:8" ht="15">
      <c r="F166" s="258"/>
      <c r="H166" s="259"/>
    </row>
    <row r="167" spans="6:8" ht="15">
      <c r="F167" s="258"/>
      <c r="H167" s="259"/>
    </row>
    <row r="168" spans="6:8" ht="15">
      <c r="F168" s="258"/>
      <c r="H168" s="259"/>
    </row>
    <row r="169" spans="6:8" ht="15">
      <c r="F169" s="258"/>
      <c r="H169" s="259"/>
    </row>
    <row r="170" spans="6:8" ht="15">
      <c r="F170" s="258"/>
      <c r="H170" s="259"/>
    </row>
    <row r="171" spans="6:8" ht="15">
      <c r="F171" s="258"/>
      <c r="H171" s="259"/>
    </row>
    <row r="172" spans="6:8" ht="15">
      <c r="F172" s="258"/>
      <c r="H172" s="259"/>
    </row>
    <row r="173" spans="6:8" ht="15">
      <c r="F173" s="258"/>
      <c r="H173" s="259"/>
    </row>
    <row r="174" spans="6:8" ht="15">
      <c r="F174" s="258"/>
      <c r="H174" s="259"/>
    </row>
    <row r="175" spans="6:8" ht="15">
      <c r="F175" s="258"/>
      <c r="H175" s="259"/>
    </row>
    <row r="176" spans="6:8" ht="15">
      <c r="F176" s="258"/>
      <c r="H176" s="259"/>
    </row>
    <row r="177" spans="6:8" ht="15">
      <c r="F177" s="258"/>
      <c r="H177" s="259"/>
    </row>
    <row r="178" spans="6:8" ht="15">
      <c r="F178" s="258"/>
      <c r="H178" s="259"/>
    </row>
    <row r="179" spans="6:8" ht="15">
      <c r="F179" s="258"/>
      <c r="H179" s="259"/>
    </row>
    <row r="180" spans="6:8" ht="15">
      <c r="F180" s="258"/>
      <c r="H180" s="259"/>
    </row>
    <row r="181" spans="6:8" ht="15">
      <c r="F181" s="258"/>
      <c r="H181" s="259"/>
    </row>
    <row r="182" spans="6:8" ht="15">
      <c r="F182" s="258"/>
      <c r="H182" s="259"/>
    </row>
    <row r="183" spans="6:8" ht="15">
      <c r="F183" s="258"/>
      <c r="H183" s="259"/>
    </row>
    <row r="184" spans="6:8" ht="15">
      <c r="F184" s="258"/>
      <c r="H184" s="259"/>
    </row>
    <row r="185" spans="6:8" ht="15">
      <c r="F185" s="258"/>
      <c r="H185" s="259"/>
    </row>
    <row r="186" spans="6:8" ht="15">
      <c r="F186" s="258"/>
      <c r="H186" s="259"/>
    </row>
    <row r="187" spans="6:8" ht="15">
      <c r="F187" s="258"/>
      <c r="H187" s="259"/>
    </row>
    <row r="188" spans="6:8" ht="15">
      <c r="F188" s="258"/>
      <c r="H188" s="259"/>
    </row>
    <row r="189" spans="6:8" ht="15">
      <c r="F189" s="258"/>
      <c r="H189" s="259"/>
    </row>
    <row r="190" spans="6:8" ht="15">
      <c r="F190" s="258"/>
      <c r="H190" s="259"/>
    </row>
    <row r="191" spans="6:8" ht="15">
      <c r="F191" s="258"/>
      <c r="H191" s="259"/>
    </row>
    <row r="192" spans="6:8" ht="15">
      <c r="F192" s="258"/>
      <c r="H192" s="259"/>
    </row>
    <row r="193" spans="6:8" ht="15">
      <c r="F193" s="258"/>
      <c r="H193" s="259"/>
    </row>
    <row r="194" spans="6:8" ht="15">
      <c r="F194" s="258"/>
      <c r="H194" s="259"/>
    </row>
    <row r="195" spans="6:8" ht="15">
      <c r="F195" s="258"/>
      <c r="H195" s="259"/>
    </row>
    <row r="196" spans="6:8" ht="15">
      <c r="F196" s="258"/>
      <c r="H196" s="259"/>
    </row>
    <row r="197" spans="6:8" ht="15">
      <c r="F197" s="258"/>
      <c r="H197" s="259"/>
    </row>
    <row r="198" spans="6:8" ht="15">
      <c r="F198" s="258"/>
      <c r="H198" s="259"/>
    </row>
    <row r="199" spans="6:8" ht="15">
      <c r="F199" s="258"/>
      <c r="H199" s="259"/>
    </row>
    <row r="200" spans="6:8" ht="15">
      <c r="F200" s="258"/>
      <c r="H200" s="259"/>
    </row>
    <row r="201" spans="6:8" ht="15">
      <c r="F201" s="258"/>
      <c r="H201" s="259"/>
    </row>
    <row r="202" spans="6:8" ht="15">
      <c r="F202" s="258"/>
      <c r="H202" s="259"/>
    </row>
    <row r="203" spans="6:8" ht="15">
      <c r="F203" s="258"/>
      <c r="H203" s="259"/>
    </row>
    <row r="204" spans="6:8" ht="15">
      <c r="F204" s="258"/>
      <c r="H204" s="259"/>
    </row>
    <row r="205" spans="6:8" ht="15">
      <c r="F205" s="258"/>
      <c r="H205" s="259"/>
    </row>
    <row r="206" spans="6:8" ht="15">
      <c r="F206" s="258"/>
      <c r="H206" s="259"/>
    </row>
    <row r="207" spans="6:8" ht="15">
      <c r="F207" s="258"/>
      <c r="H207" s="259"/>
    </row>
    <row r="208" spans="6:8" ht="15">
      <c r="F208" s="258"/>
      <c r="H208" s="259"/>
    </row>
    <row r="209" spans="6:8" ht="15">
      <c r="F209" s="258"/>
      <c r="H209" s="259"/>
    </row>
    <row r="210" spans="6:8" ht="15">
      <c r="F210" s="258"/>
      <c r="H210" s="259"/>
    </row>
    <row r="211" spans="6:8" ht="15">
      <c r="F211" s="258"/>
      <c r="H211" s="259"/>
    </row>
    <row r="212" spans="6:8" ht="15">
      <c r="F212" s="258"/>
      <c r="H212" s="259"/>
    </row>
    <row r="213" spans="6:8" ht="15">
      <c r="F213" s="258"/>
      <c r="H213" s="259"/>
    </row>
    <row r="214" spans="6:8" ht="15">
      <c r="F214" s="258"/>
      <c r="H214" s="259"/>
    </row>
    <row r="215" spans="6:8" ht="15">
      <c r="F215" s="258"/>
      <c r="H215" s="259"/>
    </row>
    <row r="216" spans="6:8" ht="15">
      <c r="F216" s="258"/>
      <c r="H216" s="259"/>
    </row>
    <row r="217" spans="6:8" ht="15">
      <c r="F217" s="258"/>
      <c r="H217" s="259"/>
    </row>
    <row r="218" spans="6:8" ht="15">
      <c r="F218" s="258"/>
      <c r="H218" s="259"/>
    </row>
    <row r="219" spans="6:8" ht="15">
      <c r="F219" s="258"/>
      <c r="H219" s="259"/>
    </row>
    <row r="220" spans="6:8" ht="15">
      <c r="F220" s="258"/>
      <c r="H220" s="259"/>
    </row>
    <row r="221" spans="6:8" ht="15">
      <c r="F221" s="258"/>
      <c r="H221" s="259"/>
    </row>
    <row r="222" spans="6:8" ht="15">
      <c r="F222" s="258"/>
      <c r="H222" s="259"/>
    </row>
    <row r="223" spans="6:8" ht="15">
      <c r="F223" s="258"/>
      <c r="H223" s="259"/>
    </row>
    <row r="224" spans="6:8" ht="15">
      <c r="F224" s="258"/>
      <c r="H224" s="259"/>
    </row>
    <row r="225" spans="6:8" ht="15">
      <c r="F225" s="258"/>
      <c r="H225" s="259"/>
    </row>
    <row r="226" spans="6:8" ht="15">
      <c r="F226" s="258"/>
      <c r="H226" s="259"/>
    </row>
    <row r="227" spans="6:8" ht="15">
      <c r="F227" s="258"/>
      <c r="H227" s="259"/>
    </row>
    <row r="228" spans="6:8" ht="15">
      <c r="F228" s="258"/>
      <c r="H228" s="259"/>
    </row>
    <row r="229" spans="6:8" ht="15">
      <c r="F229" s="258"/>
      <c r="H229" s="259"/>
    </row>
    <row r="230" spans="6:8" ht="15">
      <c r="F230" s="258"/>
      <c r="H230" s="259"/>
    </row>
  </sheetData>
  <phoneticPr fontId="0" type="noConversion"/>
  <pageMargins left="0.75" right="0.75" top="1" bottom="1" header="0.5" footer="0.5"/>
  <pageSetup scale="59"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Z69"/>
  <sheetViews>
    <sheetView topLeftCell="N1" zoomScale="90" zoomScaleNormal="90" zoomScaleSheetLayoutView="70" workbookViewId="0">
      <selection activeCell="AC13" sqref="AC13"/>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9.28515625" style="14" customWidth="1"/>
    <col min="26" max="26" width="18.85546875" style="14" customWidth="1"/>
    <col min="27" max="29" width="8.85546875" style="14" customWidth="1"/>
    <col min="30" max="30" width="13.7109375" style="14" customWidth="1"/>
    <col min="31" max="31" width="8.85546875" style="14" customWidth="1"/>
    <col min="32" max="32" width="18.85546875" style="14" customWidth="1"/>
    <col min="33" max="33" width="17" style="14" bestFit="1" customWidth="1"/>
    <col min="34" max="35" width="8.85546875" style="14" customWidth="1"/>
    <col min="36" max="37" width="8.85546875" style="14"/>
    <col min="38" max="38" width="5.85546875" style="14" bestFit="1"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52" ht="60" customHeight="1">
      <c r="A1" s="502" t="s">
        <v>679</v>
      </c>
      <c r="B1" s="503"/>
      <c r="C1" s="503"/>
      <c r="D1" s="503"/>
      <c r="E1" s="504"/>
      <c r="F1" s="435" t="s">
        <v>686</v>
      </c>
      <c r="G1" s="502" t="s">
        <v>685</v>
      </c>
      <c r="H1" s="503"/>
      <c r="I1" s="503"/>
      <c r="J1" s="503"/>
      <c r="K1" s="504"/>
      <c r="L1" s="445" t="s">
        <v>686</v>
      </c>
      <c r="M1" s="502" t="s">
        <v>688</v>
      </c>
      <c r="N1" s="503"/>
      <c r="O1" s="503"/>
      <c r="P1" s="503"/>
      <c r="Q1" s="504"/>
      <c r="R1" s="469" t="s">
        <v>686</v>
      </c>
      <c r="S1" s="555" t="s">
        <v>691</v>
      </c>
      <c r="T1" s="556"/>
      <c r="U1" s="556"/>
      <c r="V1" s="556"/>
      <c r="W1" s="557"/>
      <c r="X1" s="469" t="s">
        <v>686</v>
      </c>
      <c r="Y1" s="555" t="s">
        <v>692</v>
      </c>
      <c r="Z1" s="556"/>
      <c r="AA1" s="556"/>
      <c r="AB1" s="556"/>
      <c r="AC1" s="557"/>
      <c r="AD1" s="469" t="s">
        <v>697</v>
      </c>
      <c r="AE1" s="319"/>
      <c r="AF1" s="319"/>
      <c r="AG1" s="440"/>
      <c r="AH1" s="440"/>
      <c r="AI1" s="440"/>
      <c r="AJ1" s="440"/>
      <c r="AK1" s="440"/>
      <c r="AL1" s="440"/>
      <c r="AM1" s="440"/>
      <c r="AN1" s="440"/>
      <c r="AO1" s="440"/>
      <c r="AP1" s="440"/>
      <c r="AQ1" s="440"/>
      <c r="AR1" s="440"/>
      <c r="AS1" s="440"/>
      <c r="AT1" s="440"/>
      <c r="AU1" s="440"/>
      <c r="AV1" s="440"/>
      <c r="AW1" s="440"/>
      <c r="AX1" s="440"/>
      <c r="AY1" s="440"/>
      <c r="AZ1" s="440"/>
    </row>
    <row r="2" spans="1:52" ht="25.5" customHeight="1">
      <c r="A2" s="448" t="s">
        <v>242</v>
      </c>
      <c r="B2" s="448" t="s">
        <v>0</v>
      </c>
      <c r="C2" s="448" t="s">
        <v>161</v>
      </c>
      <c r="D2" s="448" t="s">
        <v>1</v>
      </c>
      <c r="E2" s="448" t="s">
        <v>1</v>
      </c>
      <c r="F2" s="319"/>
      <c r="G2" s="505" t="s">
        <v>242</v>
      </c>
      <c r="H2" s="505" t="s">
        <v>0</v>
      </c>
      <c r="I2" s="505" t="s">
        <v>161</v>
      </c>
      <c r="J2" s="505" t="s">
        <v>1</v>
      </c>
      <c r="K2" s="505" t="s">
        <v>1</v>
      </c>
      <c r="L2" s="319"/>
      <c r="M2" s="505" t="s">
        <v>242</v>
      </c>
      <c r="N2" s="505" t="s">
        <v>0</v>
      </c>
      <c r="O2" s="505" t="s">
        <v>161</v>
      </c>
      <c r="P2" s="505" t="s">
        <v>1</v>
      </c>
      <c r="Q2" s="505" t="s">
        <v>1</v>
      </c>
      <c r="R2" s="312"/>
      <c r="S2" s="558" t="s">
        <v>242</v>
      </c>
      <c r="T2" s="512" t="s">
        <v>0</v>
      </c>
      <c r="U2" s="512" t="s">
        <v>161</v>
      </c>
      <c r="V2" s="512" t="s">
        <v>1</v>
      </c>
      <c r="W2" s="512" t="s">
        <v>1</v>
      </c>
      <c r="X2" s="312"/>
      <c r="Y2" s="560" t="s">
        <v>242</v>
      </c>
      <c r="Z2" s="523" t="s">
        <v>0</v>
      </c>
      <c r="AA2" s="523" t="s">
        <v>161</v>
      </c>
      <c r="AB2" s="523" t="s">
        <v>1</v>
      </c>
      <c r="AC2" s="523" t="s">
        <v>1</v>
      </c>
      <c r="AD2" s="312"/>
      <c r="AE2" s="319"/>
      <c r="AF2" s="319"/>
      <c r="AG2" s="440"/>
      <c r="AH2" s="440"/>
      <c r="AI2" s="440"/>
      <c r="AJ2" s="440"/>
      <c r="AK2" s="440"/>
      <c r="AL2" s="319"/>
      <c r="AM2" s="319"/>
      <c r="AN2" s="319"/>
      <c r="AO2" s="319"/>
      <c r="AP2" s="319"/>
      <c r="AQ2" s="319"/>
      <c r="AR2" s="319"/>
      <c r="AS2" s="319"/>
      <c r="AT2" s="319"/>
      <c r="AU2" s="319"/>
      <c r="AV2" s="319"/>
      <c r="AW2" s="319"/>
      <c r="AX2" s="319"/>
      <c r="AY2" s="319"/>
      <c r="AZ2" s="319"/>
    </row>
    <row r="3" spans="1:52" ht="31.5">
      <c r="A3" s="449"/>
      <c r="B3" s="449" t="s">
        <v>243</v>
      </c>
      <c r="C3" s="449" t="s">
        <v>243</v>
      </c>
      <c r="D3" s="449" t="s">
        <v>243</v>
      </c>
      <c r="E3" s="449" t="s">
        <v>244</v>
      </c>
      <c r="F3" s="319"/>
      <c r="G3" s="506"/>
      <c r="H3" s="506" t="s">
        <v>243</v>
      </c>
      <c r="I3" s="506" t="s">
        <v>243</v>
      </c>
      <c r="J3" s="506" t="s">
        <v>243</v>
      </c>
      <c r="K3" s="506" t="s">
        <v>244</v>
      </c>
      <c r="L3" s="319"/>
      <c r="M3" s="506"/>
      <c r="N3" s="506" t="s">
        <v>243</v>
      </c>
      <c r="O3" s="506" t="s">
        <v>243</v>
      </c>
      <c r="P3" s="506" t="s">
        <v>243</v>
      </c>
      <c r="Q3" s="506" t="s">
        <v>244</v>
      </c>
      <c r="R3" s="312"/>
      <c r="S3" s="559"/>
      <c r="T3" s="513" t="s">
        <v>243</v>
      </c>
      <c r="U3" s="513" t="s">
        <v>243</v>
      </c>
      <c r="V3" s="513" t="s">
        <v>243</v>
      </c>
      <c r="W3" s="513" t="s">
        <v>244</v>
      </c>
      <c r="X3" s="312"/>
      <c r="Y3" s="561"/>
      <c r="Z3" s="523" t="s">
        <v>243</v>
      </c>
      <c r="AA3" s="523" t="s">
        <v>243</v>
      </c>
      <c r="AB3" s="523" t="s">
        <v>243</v>
      </c>
      <c r="AC3" s="523" t="s">
        <v>244</v>
      </c>
      <c r="AD3" s="312"/>
      <c r="AE3" s="319"/>
      <c r="AF3" s="319"/>
      <c r="AG3" s="440"/>
      <c r="AH3" s="440"/>
      <c r="AI3" s="440"/>
      <c r="AJ3" s="440"/>
      <c r="AK3" s="440"/>
      <c r="AL3" s="319"/>
      <c r="AM3" s="319"/>
      <c r="AN3" s="319"/>
      <c r="AO3" s="319"/>
      <c r="AP3" s="319"/>
      <c r="AQ3" s="319"/>
      <c r="AR3" s="319"/>
      <c r="AS3" s="319"/>
      <c r="AT3" s="319"/>
      <c r="AU3" s="319"/>
      <c r="AV3" s="319"/>
      <c r="AW3" s="319"/>
      <c r="AX3" s="319"/>
      <c r="AY3" s="319"/>
      <c r="AZ3" s="319"/>
    </row>
    <row r="4" spans="1:52" ht="15" customHeight="1">
      <c r="A4" s="425" t="s">
        <v>15</v>
      </c>
      <c r="B4" s="426">
        <v>2102</v>
      </c>
      <c r="C4" s="426">
        <v>157</v>
      </c>
      <c r="D4" s="426">
        <v>77</v>
      </c>
      <c r="E4" s="426">
        <v>0</v>
      </c>
      <c r="F4" s="319"/>
      <c r="G4" s="454" t="s">
        <v>15</v>
      </c>
      <c r="H4" s="451">
        <v>2639</v>
      </c>
      <c r="I4" s="451">
        <v>178</v>
      </c>
      <c r="J4" s="451">
        <v>112</v>
      </c>
      <c r="K4" s="451">
        <v>0</v>
      </c>
      <c r="L4" s="319"/>
      <c r="M4" s="454" t="s">
        <v>15</v>
      </c>
      <c r="N4" s="451">
        <v>2084</v>
      </c>
      <c r="O4" s="451">
        <v>111</v>
      </c>
      <c r="P4" s="451">
        <v>76</v>
      </c>
      <c r="Q4" s="451">
        <v>0</v>
      </c>
      <c r="R4" s="312"/>
      <c r="S4" s="425" t="s">
        <v>15</v>
      </c>
      <c r="T4" s="451">
        <v>1646</v>
      </c>
      <c r="U4" s="451">
        <v>81</v>
      </c>
      <c r="V4" s="451">
        <v>73</v>
      </c>
      <c r="W4" s="451">
        <v>0</v>
      </c>
      <c r="X4" s="312"/>
      <c r="Y4" s="524" t="s">
        <v>15</v>
      </c>
      <c r="Z4" s="525">
        <v>1443</v>
      </c>
      <c r="AA4" s="525">
        <v>115</v>
      </c>
      <c r="AB4" s="525">
        <v>110</v>
      </c>
      <c r="AC4" s="525">
        <v>0</v>
      </c>
      <c r="AD4" s="312"/>
      <c r="AE4" s="319"/>
      <c r="AF4" s="319"/>
      <c r="AG4" s="442"/>
      <c r="AH4" s="319"/>
      <c r="AI4" s="319"/>
      <c r="AJ4" s="319"/>
      <c r="AK4" s="319"/>
      <c r="AL4" s="319"/>
      <c r="AM4" s="319"/>
      <c r="AN4" s="319"/>
      <c r="AO4" s="319"/>
      <c r="AP4" s="319"/>
      <c r="AQ4" s="319"/>
      <c r="AR4" s="319"/>
      <c r="AS4" s="319"/>
      <c r="AT4" s="319"/>
      <c r="AU4" s="319"/>
      <c r="AV4" s="319"/>
      <c r="AW4" s="319"/>
      <c r="AX4" s="319"/>
      <c r="AY4" s="319"/>
      <c r="AZ4" s="319"/>
    </row>
    <row r="5" spans="1:52" ht="15" customHeight="1">
      <c r="A5" s="425" t="s">
        <v>22</v>
      </c>
      <c r="B5" s="426">
        <v>0</v>
      </c>
      <c r="C5" s="426">
        <v>6391</v>
      </c>
      <c r="D5" s="426">
        <v>4451</v>
      </c>
      <c r="E5" s="426">
        <v>0</v>
      </c>
      <c r="F5" s="319"/>
      <c r="G5" s="454" t="s">
        <v>22</v>
      </c>
      <c r="H5" s="451">
        <v>0</v>
      </c>
      <c r="I5" s="451">
        <v>6564</v>
      </c>
      <c r="J5" s="451">
        <v>4284</v>
      </c>
      <c r="K5" s="451">
        <v>0</v>
      </c>
      <c r="L5" s="319"/>
      <c r="M5" s="454" t="s">
        <v>22</v>
      </c>
      <c r="N5" s="451">
        <v>0</v>
      </c>
      <c r="O5" s="451">
        <v>6509</v>
      </c>
      <c r="P5" s="451">
        <v>4081</v>
      </c>
      <c r="Q5" s="451">
        <v>0</v>
      </c>
      <c r="R5" s="312"/>
      <c r="S5" s="425" t="s">
        <v>22</v>
      </c>
      <c r="T5" s="451">
        <v>0</v>
      </c>
      <c r="U5" s="451">
        <v>6025</v>
      </c>
      <c r="V5" s="451">
        <v>3875</v>
      </c>
      <c r="W5" s="451">
        <v>0</v>
      </c>
      <c r="X5" s="312"/>
      <c r="Y5" s="524" t="s">
        <v>22</v>
      </c>
      <c r="Z5" s="525">
        <v>0</v>
      </c>
      <c r="AA5" s="525">
        <v>5163</v>
      </c>
      <c r="AB5" s="525">
        <v>3228</v>
      </c>
      <c r="AC5" s="525">
        <v>0</v>
      </c>
      <c r="AD5" s="312"/>
      <c r="AE5" s="319"/>
      <c r="AF5" s="319"/>
      <c r="AG5" s="441"/>
      <c r="AH5" s="319"/>
      <c r="AI5" s="319"/>
      <c r="AJ5" s="319"/>
      <c r="AK5" s="319"/>
      <c r="AL5" s="319"/>
      <c r="AM5" s="319"/>
      <c r="AN5" s="319"/>
      <c r="AO5" s="319"/>
      <c r="AP5" s="319"/>
      <c r="AQ5" s="319"/>
      <c r="AR5" s="319"/>
      <c r="AS5" s="319"/>
      <c r="AT5" s="319"/>
      <c r="AU5" s="319"/>
      <c r="AV5" s="319"/>
      <c r="AW5" s="319"/>
      <c r="AX5" s="319"/>
      <c r="AY5" s="319"/>
      <c r="AZ5" s="319"/>
    </row>
    <row r="6" spans="1:52" ht="15" customHeight="1">
      <c r="A6" s="425" t="s">
        <v>16</v>
      </c>
      <c r="B6" s="426">
        <v>502</v>
      </c>
      <c r="C6" s="426">
        <v>0</v>
      </c>
      <c r="D6" s="426">
        <v>3544</v>
      </c>
      <c r="E6" s="426">
        <v>0</v>
      </c>
      <c r="F6" s="319"/>
      <c r="G6" s="454" t="s">
        <v>16</v>
      </c>
      <c r="H6" s="451">
        <v>521</v>
      </c>
      <c r="I6" s="451">
        <v>0</v>
      </c>
      <c r="J6" s="451">
        <v>3601</v>
      </c>
      <c r="K6" s="451">
        <v>0</v>
      </c>
      <c r="L6" s="319"/>
      <c r="M6" s="454" t="s">
        <v>16</v>
      </c>
      <c r="N6" s="451">
        <v>537</v>
      </c>
      <c r="O6" s="451">
        <v>0</v>
      </c>
      <c r="P6" s="451">
        <v>3660</v>
      </c>
      <c r="Q6" s="451">
        <v>0</v>
      </c>
      <c r="R6" s="312"/>
      <c r="S6" s="425" t="s">
        <v>16</v>
      </c>
      <c r="T6" s="451">
        <v>482</v>
      </c>
      <c r="U6" s="451">
        <v>0</v>
      </c>
      <c r="V6" s="451">
        <v>3603</v>
      </c>
      <c r="W6" s="451">
        <v>0</v>
      </c>
      <c r="X6" s="312"/>
      <c r="Y6" s="524" t="s">
        <v>16</v>
      </c>
      <c r="Z6" s="525">
        <v>437</v>
      </c>
      <c r="AA6" s="525">
        <v>0</v>
      </c>
      <c r="AB6" s="525">
        <v>3569</v>
      </c>
      <c r="AC6" s="525">
        <v>0</v>
      </c>
      <c r="AD6" s="312"/>
      <c r="AE6" s="319"/>
      <c r="AF6" s="319"/>
      <c r="AG6" s="443"/>
      <c r="AH6" s="319"/>
      <c r="AI6" s="319"/>
      <c r="AJ6" s="319"/>
      <c r="AK6" s="319"/>
      <c r="AL6" s="319"/>
      <c r="AM6" s="319"/>
      <c r="AN6" s="319"/>
      <c r="AO6" s="319"/>
      <c r="AP6" s="319"/>
      <c r="AQ6" s="319"/>
      <c r="AR6" s="319"/>
      <c r="AS6" s="319"/>
      <c r="AT6" s="319"/>
      <c r="AU6" s="319"/>
      <c r="AV6" s="319"/>
      <c r="AW6" s="319"/>
      <c r="AX6" s="319"/>
      <c r="AY6" s="319"/>
      <c r="AZ6" s="319"/>
    </row>
    <row r="7" spans="1:52" ht="15" customHeight="1">
      <c r="A7" s="425" t="s">
        <v>19</v>
      </c>
      <c r="B7" s="426">
        <v>0</v>
      </c>
      <c r="C7" s="426">
        <v>0</v>
      </c>
      <c r="D7" s="426">
        <v>891</v>
      </c>
      <c r="E7" s="426">
        <v>0</v>
      </c>
      <c r="F7" s="319"/>
      <c r="G7" s="454" t="s">
        <v>19</v>
      </c>
      <c r="H7" s="451">
        <v>0</v>
      </c>
      <c r="I7" s="451">
        <v>0</v>
      </c>
      <c r="J7" s="451">
        <v>867</v>
      </c>
      <c r="K7" s="451">
        <v>0</v>
      </c>
      <c r="L7" s="319"/>
      <c r="M7" s="454" t="s">
        <v>19</v>
      </c>
      <c r="N7" s="451">
        <v>0</v>
      </c>
      <c r="O7" s="451">
        <v>0</v>
      </c>
      <c r="P7" s="451">
        <v>826</v>
      </c>
      <c r="Q7" s="451">
        <v>0</v>
      </c>
      <c r="R7" s="312"/>
      <c r="S7" s="425" t="s">
        <v>19</v>
      </c>
      <c r="T7" s="451">
        <v>0</v>
      </c>
      <c r="U7" s="451">
        <v>0</v>
      </c>
      <c r="V7" s="451">
        <v>811</v>
      </c>
      <c r="W7" s="451">
        <v>0</v>
      </c>
      <c r="X7" s="312"/>
      <c r="Y7" s="524" t="s">
        <v>19</v>
      </c>
      <c r="Z7" s="525">
        <v>0</v>
      </c>
      <c r="AA7" s="525">
        <v>0</v>
      </c>
      <c r="AB7" s="525">
        <v>828</v>
      </c>
      <c r="AC7" s="525">
        <v>0</v>
      </c>
      <c r="AD7" s="312"/>
      <c r="AE7" s="319"/>
      <c r="AF7" s="319"/>
      <c r="AG7" s="443"/>
      <c r="AH7" s="319"/>
      <c r="AI7" s="319"/>
      <c r="AJ7" s="319"/>
      <c r="AK7" s="319"/>
      <c r="AL7" s="319"/>
      <c r="AM7" s="319"/>
      <c r="AN7" s="319"/>
      <c r="AO7" s="319"/>
      <c r="AP7" s="319"/>
      <c r="AQ7" s="319"/>
      <c r="AR7" s="319"/>
      <c r="AS7" s="319"/>
      <c r="AT7" s="319"/>
      <c r="AU7" s="319"/>
      <c r="AV7" s="319"/>
      <c r="AW7" s="319"/>
      <c r="AX7" s="319"/>
      <c r="AY7" s="319"/>
      <c r="AZ7" s="319"/>
    </row>
    <row r="8" spans="1:52" ht="15" customHeight="1">
      <c r="A8" s="425" t="s">
        <v>18</v>
      </c>
      <c r="B8" s="426">
        <v>1206</v>
      </c>
      <c r="C8" s="426">
        <v>0</v>
      </c>
      <c r="D8" s="426">
        <v>75001</v>
      </c>
      <c r="E8" s="426">
        <v>0</v>
      </c>
      <c r="F8" s="319"/>
      <c r="G8" s="454" t="s">
        <v>18</v>
      </c>
      <c r="H8" s="451">
        <v>1162</v>
      </c>
      <c r="I8" s="451">
        <v>0</v>
      </c>
      <c r="J8" s="451">
        <v>77402</v>
      </c>
      <c r="K8" s="451">
        <v>10</v>
      </c>
      <c r="L8" s="319"/>
      <c r="M8" s="454" t="s">
        <v>18</v>
      </c>
      <c r="N8" s="451">
        <v>1669</v>
      </c>
      <c r="O8" s="451">
        <v>0</v>
      </c>
      <c r="P8" s="451">
        <v>76759</v>
      </c>
      <c r="Q8" s="451">
        <v>10</v>
      </c>
      <c r="R8" s="312"/>
      <c r="S8" s="425" t="s">
        <v>18</v>
      </c>
      <c r="T8" s="451">
        <v>1121</v>
      </c>
      <c r="U8" s="451">
        <v>0</v>
      </c>
      <c r="V8" s="451">
        <v>73673</v>
      </c>
      <c r="W8" s="451">
        <v>0</v>
      </c>
      <c r="X8" s="312"/>
      <c r="Y8" s="524" t="s">
        <v>18</v>
      </c>
      <c r="Z8" s="525">
        <v>183</v>
      </c>
      <c r="AA8" s="525">
        <v>0</v>
      </c>
      <c r="AB8" s="525">
        <v>74743</v>
      </c>
      <c r="AC8" s="525">
        <v>0</v>
      </c>
      <c r="AD8" s="312"/>
      <c r="AE8" s="319"/>
      <c r="AF8" s="319"/>
      <c r="AG8" s="443"/>
      <c r="AH8" s="319"/>
      <c r="AI8" s="319"/>
      <c r="AJ8" s="319"/>
      <c r="AK8" s="319"/>
      <c r="AL8" s="319"/>
      <c r="AM8" s="319"/>
      <c r="AN8" s="319"/>
      <c r="AO8" s="319"/>
      <c r="AP8" s="319"/>
      <c r="AQ8" s="319"/>
      <c r="AR8" s="319"/>
      <c r="AS8" s="319"/>
      <c r="AT8" s="319"/>
      <c r="AU8" s="319"/>
      <c r="AV8" s="319"/>
      <c r="AW8" s="319"/>
      <c r="AX8" s="319"/>
      <c r="AY8" s="319"/>
      <c r="AZ8" s="319"/>
    </row>
    <row r="9" spans="1:52" ht="15" customHeight="1">
      <c r="A9" s="425" t="s">
        <v>14</v>
      </c>
      <c r="B9" s="426">
        <v>16906</v>
      </c>
      <c r="C9" s="426">
        <v>0</v>
      </c>
      <c r="D9" s="426">
        <v>1174</v>
      </c>
      <c r="E9" s="426">
        <v>0</v>
      </c>
      <c r="F9" s="319"/>
      <c r="G9" s="454" t="s">
        <v>14</v>
      </c>
      <c r="H9" s="451">
        <v>17365</v>
      </c>
      <c r="I9" s="451">
        <v>0</v>
      </c>
      <c r="J9" s="451">
        <v>1205</v>
      </c>
      <c r="K9" s="451">
        <v>0</v>
      </c>
      <c r="L9" s="319"/>
      <c r="M9" s="454" t="s">
        <v>14</v>
      </c>
      <c r="N9" s="451">
        <v>17492</v>
      </c>
      <c r="O9" s="451">
        <v>0</v>
      </c>
      <c r="P9" s="451">
        <v>1229</v>
      </c>
      <c r="Q9" s="451">
        <v>0</v>
      </c>
      <c r="R9" s="312"/>
      <c r="S9" s="425" t="s">
        <v>14</v>
      </c>
      <c r="T9" s="451">
        <v>17390</v>
      </c>
      <c r="U9" s="451">
        <v>0</v>
      </c>
      <c r="V9" s="451">
        <v>1246</v>
      </c>
      <c r="W9" s="451">
        <v>0</v>
      </c>
      <c r="X9" s="312"/>
      <c r="Y9" s="524" t="s">
        <v>14</v>
      </c>
      <c r="Z9" s="525">
        <v>17951</v>
      </c>
      <c r="AA9" s="525">
        <v>0</v>
      </c>
      <c r="AB9" s="525">
        <v>1272</v>
      </c>
      <c r="AC9" s="525">
        <v>0</v>
      </c>
      <c r="AD9" s="312"/>
      <c r="AE9" s="319"/>
      <c r="AF9" s="319"/>
      <c r="AG9" s="443"/>
      <c r="AH9" s="319"/>
      <c r="AI9" s="319"/>
      <c r="AJ9" s="319"/>
      <c r="AK9" s="319"/>
      <c r="AL9" s="319"/>
      <c r="AM9" s="319"/>
      <c r="AN9" s="319"/>
      <c r="AO9" s="319"/>
      <c r="AP9" s="319"/>
      <c r="AQ9" s="319"/>
      <c r="AR9" s="319"/>
      <c r="AS9" s="319"/>
      <c r="AT9" s="319"/>
      <c r="AU9" s="319"/>
      <c r="AV9" s="319"/>
      <c r="AW9" s="319"/>
      <c r="AX9" s="319"/>
      <c r="AY9" s="319"/>
      <c r="AZ9" s="319"/>
    </row>
    <row r="10" spans="1:52" ht="15" customHeight="1">
      <c r="A10" s="425" t="s">
        <v>245</v>
      </c>
      <c r="B10" s="426">
        <v>-3304</v>
      </c>
      <c r="C10" s="426">
        <v>101</v>
      </c>
      <c r="D10" s="426">
        <v>6821</v>
      </c>
      <c r="E10" s="426">
        <v>0</v>
      </c>
      <c r="F10" s="319"/>
      <c r="G10" s="454" t="s">
        <v>245</v>
      </c>
      <c r="H10" s="451">
        <v>-1951</v>
      </c>
      <c r="I10" s="451">
        <v>109</v>
      </c>
      <c r="J10" s="451">
        <v>8375</v>
      </c>
      <c r="K10" s="451">
        <v>0</v>
      </c>
      <c r="L10" s="319"/>
      <c r="M10" s="454" t="s">
        <v>245</v>
      </c>
      <c r="N10" s="451">
        <v>-2538</v>
      </c>
      <c r="O10" s="451">
        <v>147</v>
      </c>
      <c r="P10" s="451">
        <v>7245</v>
      </c>
      <c r="Q10" s="451">
        <v>0</v>
      </c>
      <c r="R10" s="312"/>
      <c r="S10" s="425" t="s">
        <v>245</v>
      </c>
      <c r="T10" s="451">
        <v>-5130</v>
      </c>
      <c r="U10" s="451">
        <v>166</v>
      </c>
      <c r="V10" s="451">
        <v>4457</v>
      </c>
      <c r="W10" s="451">
        <v>0</v>
      </c>
      <c r="X10" s="312"/>
      <c r="Y10" s="524" t="s">
        <v>245</v>
      </c>
      <c r="Z10" s="525">
        <v>-3856</v>
      </c>
      <c r="AA10" s="525">
        <v>34</v>
      </c>
      <c r="AB10" s="525">
        <v>6209</v>
      </c>
      <c r="AC10" s="525">
        <v>0</v>
      </c>
      <c r="AD10" s="312"/>
      <c r="AE10" s="319"/>
      <c r="AF10" s="319"/>
      <c r="AG10" s="443"/>
      <c r="AH10" s="319"/>
      <c r="AI10" s="319"/>
      <c r="AJ10" s="319"/>
      <c r="AK10" s="319"/>
      <c r="AL10" s="319"/>
      <c r="AM10" s="319"/>
      <c r="AN10" s="319"/>
      <c r="AO10" s="319"/>
      <c r="AP10" s="319"/>
      <c r="AQ10" s="319"/>
      <c r="AR10" s="319"/>
      <c r="AS10" s="319"/>
      <c r="AT10" s="319"/>
      <c r="AU10" s="319"/>
      <c r="AV10" s="319"/>
      <c r="AW10" s="319"/>
      <c r="AX10" s="319"/>
      <c r="AY10" s="319"/>
      <c r="AZ10" s="319"/>
    </row>
    <row r="11" spans="1:52" ht="15" customHeight="1">
      <c r="A11" s="425" t="s">
        <v>246</v>
      </c>
      <c r="B11" s="426">
        <v>-26</v>
      </c>
      <c r="C11" s="426">
        <v>-198</v>
      </c>
      <c r="D11" s="426">
        <v>30673</v>
      </c>
      <c r="E11" s="426">
        <v>8493</v>
      </c>
      <c r="F11" s="319"/>
      <c r="G11" s="454" t="s">
        <v>246</v>
      </c>
      <c r="H11" s="451">
        <v>-41</v>
      </c>
      <c r="I11" s="451">
        <v>747</v>
      </c>
      <c r="J11" s="451">
        <v>52620</v>
      </c>
      <c r="K11" s="451">
        <v>13866</v>
      </c>
      <c r="L11" s="319"/>
      <c r="M11" s="454" t="s">
        <v>246</v>
      </c>
      <c r="N11" s="451">
        <v>0</v>
      </c>
      <c r="O11" s="451">
        <v>64</v>
      </c>
      <c r="P11" s="451">
        <v>49949</v>
      </c>
      <c r="Q11" s="451">
        <v>14331</v>
      </c>
      <c r="R11" s="312"/>
      <c r="S11" s="425" t="s">
        <v>246</v>
      </c>
      <c r="T11" s="451">
        <v>0</v>
      </c>
      <c r="U11" s="451">
        <v>-1056</v>
      </c>
      <c r="V11" s="451">
        <v>20663</v>
      </c>
      <c r="W11" s="451">
        <v>7560</v>
      </c>
      <c r="X11" s="312"/>
      <c r="Y11" s="524" t="s">
        <v>246</v>
      </c>
      <c r="Z11" s="525">
        <v>0</v>
      </c>
      <c r="AA11" s="525">
        <v>-470</v>
      </c>
      <c r="AB11" s="525">
        <v>29183</v>
      </c>
      <c r="AC11" s="525">
        <v>9921</v>
      </c>
      <c r="AD11" s="312"/>
      <c r="AE11" s="319"/>
      <c r="AF11" s="319"/>
      <c r="AG11" s="443"/>
      <c r="AH11" s="319"/>
      <c r="AI11" s="319"/>
      <c r="AJ11" s="319"/>
      <c r="AK11" s="319"/>
      <c r="AL11" s="319"/>
      <c r="AM11" s="319"/>
      <c r="AN11" s="319"/>
      <c r="AO11" s="319"/>
      <c r="AP11" s="319"/>
      <c r="AQ11" s="319"/>
      <c r="AR11" s="319"/>
      <c r="AS11" s="319"/>
      <c r="AT11" s="319"/>
      <c r="AU11" s="319"/>
      <c r="AV11" s="319"/>
      <c r="AW11" s="319"/>
      <c r="AX11" s="319"/>
      <c r="AY11" s="319"/>
      <c r="AZ11" s="319"/>
    </row>
    <row r="12" spans="1:52" ht="15" customHeight="1">
      <c r="A12" s="425" t="s">
        <v>247</v>
      </c>
      <c r="B12" s="426">
        <v>0</v>
      </c>
      <c r="C12" s="426">
        <v>0</v>
      </c>
      <c r="D12" s="426">
        <v>26220</v>
      </c>
      <c r="E12" s="426">
        <v>492</v>
      </c>
      <c r="F12" s="319"/>
      <c r="G12" s="454" t="s">
        <v>247</v>
      </c>
      <c r="H12" s="451">
        <v>0</v>
      </c>
      <c r="I12" s="451">
        <v>0</v>
      </c>
      <c r="J12" s="451">
        <v>26150</v>
      </c>
      <c r="K12" s="451">
        <v>631</v>
      </c>
      <c r="L12" s="319"/>
      <c r="M12" s="454" t="s">
        <v>247</v>
      </c>
      <c r="N12" s="451">
        <v>0</v>
      </c>
      <c r="O12" s="451">
        <v>0</v>
      </c>
      <c r="P12" s="451">
        <v>25304</v>
      </c>
      <c r="Q12" s="451">
        <v>767</v>
      </c>
      <c r="R12" s="312"/>
      <c r="S12" s="425" t="s">
        <v>247</v>
      </c>
      <c r="T12" s="451">
        <v>0</v>
      </c>
      <c r="U12" s="451">
        <v>11</v>
      </c>
      <c r="V12" s="451">
        <v>26512</v>
      </c>
      <c r="W12" s="451">
        <v>719</v>
      </c>
      <c r="X12" s="312"/>
      <c r="Y12" s="524" t="s">
        <v>247</v>
      </c>
      <c r="Z12" s="525">
        <v>0</v>
      </c>
      <c r="AA12" s="525">
        <v>0</v>
      </c>
      <c r="AB12" s="525">
        <v>26527</v>
      </c>
      <c r="AC12" s="525">
        <v>742</v>
      </c>
      <c r="AD12" s="312"/>
      <c r="AE12" s="319"/>
      <c r="AF12" s="319"/>
      <c r="AG12" s="443"/>
      <c r="AH12" s="319"/>
      <c r="AI12" s="319"/>
      <c r="AJ12" s="319"/>
      <c r="AK12" s="319"/>
      <c r="AL12" s="319"/>
      <c r="AM12" s="319"/>
      <c r="AN12" s="319"/>
      <c r="AO12" s="319"/>
      <c r="AP12" s="319"/>
      <c r="AQ12" s="319"/>
      <c r="AR12" s="319"/>
      <c r="AS12" s="319"/>
      <c r="AT12" s="319"/>
      <c r="AU12" s="319"/>
      <c r="AV12" s="319"/>
      <c r="AW12" s="319"/>
      <c r="AX12" s="319"/>
      <c r="AY12" s="319"/>
      <c r="AZ12" s="319"/>
    </row>
    <row r="13" spans="1:52" ht="15" customHeight="1">
      <c r="A13" s="425" t="s">
        <v>248</v>
      </c>
      <c r="B13" s="426">
        <v>0</v>
      </c>
      <c r="C13" s="426">
        <v>53</v>
      </c>
      <c r="D13" s="426">
        <v>2546</v>
      </c>
      <c r="E13" s="426">
        <v>-12</v>
      </c>
      <c r="F13" s="319"/>
      <c r="G13" s="454" t="s">
        <v>248</v>
      </c>
      <c r="H13" s="451">
        <v>0</v>
      </c>
      <c r="I13" s="451">
        <v>47</v>
      </c>
      <c r="J13" s="451">
        <v>2440</v>
      </c>
      <c r="K13" s="451">
        <v>-17</v>
      </c>
      <c r="L13" s="319"/>
      <c r="M13" s="454" t="s">
        <v>248</v>
      </c>
      <c r="N13" s="451">
        <v>0</v>
      </c>
      <c r="O13" s="451">
        <v>49</v>
      </c>
      <c r="P13" s="451">
        <v>1723</v>
      </c>
      <c r="Q13" s="451">
        <v>-14</v>
      </c>
      <c r="R13" s="312"/>
      <c r="S13" s="425" t="s">
        <v>248</v>
      </c>
      <c r="T13" s="451">
        <v>0</v>
      </c>
      <c r="U13" s="451">
        <v>51</v>
      </c>
      <c r="V13" s="451">
        <v>1769</v>
      </c>
      <c r="W13" s="451">
        <v>-20</v>
      </c>
      <c r="X13" s="312"/>
      <c r="Y13" s="524" t="s">
        <v>248</v>
      </c>
      <c r="Z13" s="525">
        <v>0</v>
      </c>
      <c r="AA13" s="525">
        <v>56</v>
      </c>
      <c r="AB13" s="525">
        <v>2534</v>
      </c>
      <c r="AC13" s="525">
        <v>-14</v>
      </c>
      <c r="AD13" s="312"/>
      <c r="AE13" s="319"/>
      <c r="AF13" s="319"/>
      <c r="AG13" s="443"/>
      <c r="AH13" s="319"/>
      <c r="AI13" s="319"/>
      <c r="AJ13" s="319"/>
      <c r="AK13" s="319"/>
      <c r="AL13" s="319"/>
      <c r="AM13" s="319"/>
      <c r="AN13" s="319"/>
      <c r="AO13" s="319"/>
      <c r="AP13" s="319"/>
      <c r="AQ13" s="319"/>
      <c r="AR13" s="319"/>
      <c r="AS13" s="319"/>
      <c r="AT13" s="319"/>
      <c r="AU13" s="319"/>
      <c r="AV13" s="319"/>
      <c r="AW13" s="319"/>
      <c r="AX13" s="319"/>
      <c r="AY13" s="319"/>
      <c r="AZ13" s="319"/>
    </row>
    <row r="14" spans="1:52" ht="15" customHeight="1">
      <c r="A14" s="425" t="s">
        <v>21</v>
      </c>
      <c r="B14" s="426">
        <v>0</v>
      </c>
      <c r="C14" s="426">
        <v>0</v>
      </c>
      <c r="D14" s="426">
        <v>20362</v>
      </c>
      <c r="E14" s="426">
        <v>10337</v>
      </c>
      <c r="F14" s="319"/>
      <c r="G14" s="454" t="s">
        <v>21</v>
      </c>
      <c r="H14" s="451">
        <v>0</v>
      </c>
      <c r="I14" s="451">
        <v>0</v>
      </c>
      <c r="J14" s="451">
        <v>21043</v>
      </c>
      <c r="K14" s="451">
        <v>11274</v>
      </c>
      <c r="L14" s="319"/>
      <c r="M14" s="454" t="s">
        <v>21</v>
      </c>
      <c r="N14" s="451">
        <v>0</v>
      </c>
      <c r="O14" s="451">
        <v>0</v>
      </c>
      <c r="P14" s="451">
        <v>21059</v>
      </c>
      <c r="Q14" s="451">
        <v>11292</v>
      </c>
      <c r="R14" s="312"/>
      <c r="S14" s="425" t="s">
        <v>21</v>
      </c>
      <c r="T14" s="451">
        <v>0</v>
      </c>
      <c r="U14" s="451">
        <v>0</v>
      </c>
      <c r="V14" s="451">
        <v>19543</v>
      </c>
      <c r="W14" s="451">
        <v>10592</v>
      </c>
      <c r="X14" s="312"/>
      <c r="Y14" s="524" t="s">
        <v>21</v>
      </c>
      <c r="Z14" s="525">
        <v>0</v>
      </c>
      <c r="AA14" s="525">
        <v>0</v>
      </c>
      <c r="AB14" s="525">
        <v>20219</v>
      </c>
      <c r="AC14" s="525">
        <v>10693</v>
      </c>
      <c r="AD14" s="312"/>
      <c r="AE14" s="319"/>
      <c r="AF14" s="319"/>
      <c r="AG14" s="443"/>
      <c r="AH14" s="319"/>
      <c r="AI14" s="319"/>
      <c r="AJ14" s="319"/>
      <c r="AK14" s="319"/>
      <c r="AL14" s="319"/>
      <c r="AM14" s="319"/>
      <c r="AN14" s="319"/>
      <c r="AO14" s="319"/>
      <c r="AP14" s="319"/>
      <c r="AQ14" s="319"/>
      <c r="AR14" s="319"/>
      <c r="AS14" s="319"/>
      <c r="AT14" s="319"/>
      <c r="AU14" s="319"/>
      <c r="AV14" s="319"/>
      <c r="AW14" s="319"/>
      <c r="AX14" s="319"/>
      <c r="AY14" s="319"/>
      <c r="AZ14" s="319"/>
    </row>
    <row r="15" spans="1:52" ht="15" customHeight="1">
      <c r="A15" s="425" t="s">
        <v>24</v>
      </c>
      <c r="B15" s="426">
        <v>0</v>
      </c>
      <c r="C15" s="426">
        <v>6979</v>
      </c>
      <c r="D15" s="426">
        <v>0</v>
      </c>
      <c r="E15" s="426">
        <v>0</v>
      </c>
      <c r="F15" s="319"/>
      <c r="G15" s="454" t="s">
        <v>24</v>
      </c>
      <c r="H15" s="451">
        <v>0</v>
      </c>
      <c r="I15" s="451">
        <v>9442</v>
      </c>
      <c r="J15" s="451">
        <v>0</v>
      </c>
      <c r="K15" s="451">
        <v>0</v>
      </c>
      <c r="L15" s="319"/>
      <c r="M15" s="454" t="s">
        <v>24</v>
      </c>
      <c r="N15" s="451">
        <v>0</v>
      </c>
      <c r="O15" s="451">
        <v>8274</v>
      </c>
      <c r="P15" s="451">
        <v>23</v>
      </c>
      <c r="Q15" s="451">
        <v>0</v>
      </c>
      <c r="R15" s="312"/>
      <c r="S15" s="425" t="s">
        <v>24</v>
      </c>
      <c r="T15" s="451">
        <v>0</v>
      </c>
      <c r="U15" s="451">
        <v>3150</v>
      </c>
      <c r="V15" s="451">
        <v>0</v>
      </c>
      <c r="W15" s="451">
        <v>0</v>
      </c>
      <c r="X15" s="312"/>
      <c r="Y15" s="524" t="s">
        <v>24</v>
      </c>
      <c r="Z15" s="525">
        <v>0</v>
      </c>
      <c r="AA15" s="525">
        <v>2164</v>
      </c>
      <c r="AB15" s="525">
        <v>0</v>
      </c>
      <c r="AC15" s="525">
        <v>0</v>
      </c>
      <c r="AD15" s="312"/>
      <c r="AE15" s="319"/>
      <c r="AF15" s="319"/>
      <c r="AG15" s="443"/>
      <c r="AH15" s="319"/>
      <c r="AI15" s="319"/>
      <c r="AJ15" s="319"/>
      <c r="AK15" s="319"/>
      <c r="AL15" s="319"/>
      <c r="AM15" s="319"/>
      <c r="AN15" s="319"/>
      <c r="AO15" s="319"/>
      <c r="AP15" s="319"/>
      <c r="AQ15" s="319"/>
      <c r="AR15" s="319"/>
      <c r="AS15" s="319"/>
      <c r="AT15" s="319"/>
      <c r="AU15" s="319"/>
      <c r="AV15" s="319"/>
      <c r="AW15" s="319"/>
      <c r="AX15" s="319"/>
      <c r="AY15" s="319"/>
      <c r="AZ15" s="319"/>
    </row>
    <row r="16" spans="1:52" ht="15" customHeight="1">
      <c r="A16" s="425" t="s">
        <v>20</v>
      </c>
      <c r="B16" s="426">
        <v>0</v>
      </c>
      <c r="C16" s="426">
        <v>0</v>
      </c>
      <c r="D16" s="426">
        <v>6155</v>
      </c>
      <c r="E16" s="426">
        <v>37</v>
      </c>
      <c r="F16" s="319"/>
      <c r="G16" s="454" t="s">
        <v>20</v>
      </c>
      <c r="H16" s="451">
        <v>0</v>
      </c>
      <c r="I16" s="451">
        <v>0</v>
      </c>
      <c r="J16" s="451">
        <v>7523</v>
      </c>
      <c r="K16" s="451">
        <v>65</v>
      </c>
      <c r="L16" s="319"/>
      <c r="M16" s="454" t="s">
        <v>20</v>
      </c>
      <c r="N16" s="451">
        <v>0</v>
      </c>
      <c r="O16" s="451">
        <v>0</v>
      </c>
      <c r="P16" s="451">
        <v>8226</v>
      </c>
      <c r="Q16" s="451">
        <v>65</v>
      </c>
      <c r="R16" s="312"/>
      <c r="S16" s="425" t="s">
        <v>20</v>
      </c>
      <c r="T16" s="451">
        <v>0</v>
      </c>
      <c r="U16" s="451">
        <v>0</v>
      </c>
      <c r="V16" s="451">
        <v>6631</v>
      </c>
      <c r="W16" s="451">
        <v>49</v>
      </c>
      <c r="X16" s="312"/>
      <c r="Y16" s="524" t="s">
        <v>20</v>
      </c>
      <c r="Z16" s="525">
        <v>0</v>
      </c>
      <c r="AA16" s="525">
        <v>0</v>
      </c>
      <c r="AB16" s="525">
        <v>6670</v>
      </c>
      <c r="AC16" s="525">
        <v>49</v>
      </c>
      <c r="AD16" s="312"/>
      <c r="AE16" s="319"/>
      <c r="AF16" s="319"/>
      <c r="AG16" s="443"/>
      <c r="AH16" s="319"/>
      <c r="AI16" s="319"/>
      <c r="AJ16" s="319"/>
      <c r="AK16" s="319"/>
      <c r="AL16" s="319"/>
      <c r="AM16" s="319"/>
      <c r="AN16" s="319"/>
      <c r="AO16" s="319"/>
      <c r="AP16" s="319"/>
      <c r="AQ16" s="319"/>
      <c r="AR16" s="319"/>
      <c r="AS16" s="319"/>
      <c r="AT16" s="319"/>
      <c r="AU16" s="319"/>
      <c r="AV16" s="319"/>
      <c r="AW16" s="319"/>
      <c r="AX16" s="319"/>
      <c r="AY16" s="319"/>
      <c r="AZ16" s="319"/>
    </row>
    <row r="17" spans="1:52" ht="15" customHeight="1">
      <c r="A17" s="425" t="s">
        <v>5</v>
      </c>
      <c r="B17" s="426">
        <v>112</v>
      </c>
      <c r="C17" s="426">
        <v>0</v>
      </c>
      <c r="D17" s="426">
        <v>5064</v>
      </c>
      <c r="E17" s="426">
        <v>0</v>
      </c>
      <c r="F17" s="319"/>
      <c r="G17" s="454" t="s">
        <v>5</v>
      </c>
      <c r="H17" s="451">
        <v>123</v>
      </c>
      <c r="I17" s="451">
        <v>0</v>
      </c>
      <c r="J17" s="451">
        <v>5200</v>
      </c>
      <c r="K17" s="451">
        <v>0</v>
      </c>
      <c r="L17" s="319"/>
      <c r="M17" s="454" t="s">
        <v>5</v>
      </c>
      <c r="N17" s="451">
        <v>134</v>
      </c>
      <c r="O17" s="451">
        <v>0</v>
      </c>
      <c r="P17" s="451">
        <v>5293</v>
      </c>
      <c r="Q17" s="451">
        <v>0</v>
      </c>
      <c r="R17" s="312"/>
      <c r="S17" s="425" t="s">
        <v>5</v>
      </c>
      <c r="T17" s="451">
        <v>94</v>
      </c>
      <c r="U17" s="451">
        <v>0</v>
      </c>
      <c r="V17" s="451">
        <v>5190</v>
      </c>
      <c r="W17" s="451">
        <v>0</v>
      </c>
      <c r="X17" s="312"/>
      <c r="Y17" s="524" t="s">
        <v>5</v>
      </c>
      <c r="Z17" s="525">
        <v>82</v>
      </c>
      <c r="AA17" s="525">
        <v>0</v>
      </c>
      <c r="AB17" s="525">
        <v>5113</v>
      </c>
      <c r="AC17" s="525">
        <v>0</v>
      </c>
      <c r="AD17" s="312"/>
      <c r="AE17" s="319"/>
      <c r="AF17" s="319"/>
      <c r="AG17" s="443"/>
      <c r="AH17" s="319"/>
      <c r="AI17" s="319"/>
      <c r="AJ17" s="319"/>
      <c r="AK17" s="319"/>
      <c r="AL17" s="319"/>
      <c r="AM17" s="319"/>
      <c r="AN17" s="319"/>
      <c r="AO17" s="319"/>
      <c r="AP17" s="319"/>
      <c r="AQ17" s="319"/>
      <c r="AR17" s="319"/>
      <c r="AS17" s="319"/>
      <c r="AT17" s="319"/>
      <c r="AU17" s="319"/>
      <c r="AV17" s="319"/>
      <c r="AW17" s="319"/>
      <c r="AX17" s="319"/>
      <c r="AY17" s="319"/>
      <c r="AZ17" s="319"/>
    </row>
    <row r="18" spans="1:52" ht="15" customHeight="1">
      <c r="A18" s="425" t="s">
        <v>23</v>
      </c>
      <c r="B18" s="426">
        <v>0</v>
      </c>
      <c r="C18" s="426">
        <v>2305</v>
      </c>
      <c r="D18" s="426">
        <v>2183</v>
      </c>
      <c r="E18" s="426">
        <v>62</v>
      </c>
      <c r="F18" s="319"/>
      <c r="G18" s="454" t="s">
        <v>23</v>
      </c>
      <c r="H18" s="451">
        <v>0</v>
      </c>
      <c r="I18" s="451">
        <v>2960</v>
      </c>
      <c r="J18" s="451">
        <v>2144</v>
      </c>
      <c r="K18" s="451">
        <v>58</v>
      </c>
      <c r="L18" s="319"/>
      <c r="M18" s="454" t="s">
        <v>23</v>
      </c>
      <c r="N18" s="451">
        <v>0</v>
      </c>
      <c r="O18" s="451">
        <v>2675</v>
      </c>
      <c r="P18" s="451">
        <v>1886</v>
      </c>
      <c r="Q18" s="451">
        <v>32</v>
      </c>
      <c r="R18" s="312"/>
      <c r="S18" s="425" t="s">
        <v>23</v>
      </c>
      <c r="T18" s="451">
        <v>0</v>
      </c>
      <c r="U18" s="451">
        <v>2075</v>
      </c>
      <c r="V18" s="451">
        <v>1654</v>
      </c>
      <c r="W18" s="451">
        <v>27</v>
      </c>
      <c r="X18" s="312"/>
      <c r="Y18" s="524" t="s">
        <v>23</v>
      </c>
      <c r="Z18" s="525">
        <v>0</v>
      </c>
      <c r="AA18" s="525">
        <v>1241</v>
      </c>
      <c r="AB18" s="525">
        <v>1560</v>
      </c>
      <c r="AC18" s="525">
        <v>29</v>
      </c>
      <c r="AD18" s="312"/>
      <c r="AE18" s="319"/>
      <c r="AF18" s="319"/>
      <c r="AG18" s="443"/>
      <c r="AH18" s="319"/>
      <c r="AI18" s="319"/>
      <c r="AJ18" s="319"/>
      <c r="AK18" s="319"/>
      <c r="AL18" s="319"/>
      <c r="AM18" s="319"/>
      <c r="AN18" s="319"/>
      <c r="AO18" s="319"/>
      <c r="AP18" s="319"/>
      <c r="AQ18" s="319"/>
      <c r="AR18" s="319"/>
      <c r="AS18" s="319"/>
      <c r="AT18" s="319"/>
      <c r="AU18" s="319"/>
      <c r="AV18" s="319"/>
      <c r="AW18" s="319"/>
      <c r="AX18" s="319"/>
      <c r="AY18" s="319"/>
      <c r="AZ18" s="319"/>
    </row>
    <row r="19" spans="1:52" ht="15" customHeight="1">
      <c r="A19" s="425" t="s">
        <v>17</v>
      </c>
      <c r="B19" s="426">
        <v>12225</v>
      </c>
      <c r="C19" s="426">
        <v>4621</v>
      </c>
      <c r="D19" s="426">
        <v>699</v>
      </c>
      <c r="E19" s="426">
        <v>0</v>
      </c>
      <c r="F19" s="319"/>
      <c r="G19" s="454" t="s">
        <v>17</v>
      </c>
      <c r="H19" s="451">
        <v>13263</v>
      </c>
      <c r="I19" s="451">
        <v>6613</v>
      </c>
      <c r="J19" s="451">
        <v>974</v>
      </c>
      <c r="K19" s="451">
        <v>0</v>
      </c>
      <c r="L19" s="319"/>
      <c r="M19" s="454" t="s">
        <v>17</v>
      </c>
      <c r="N19" s="451">
        <v>11814</v>
      </c>
      <c r="O19" s="451">
        <v>3348</v>
      </c>
      <c r="P19" s="451">
        <v>607</v>
      </c>
      <c r="Q19" s="451">
        <v>0</v>
      </c>
      <c r="R19" s="312"/>
      <c r="S19" s="425" t="s">
        <v>17</v>
      </c>
      <c r="T19" s="451">
        <v>9610</v>
      </c>
      <c r="U19" s="451">
        <v>3470</v>
      </c>
      <c r="V19" s="451">
        <v>717</v>
      </c>
      <c r="W19" s="451">
        <v>0</v>
      </c>
      <c r="X19" s="312"/>
      <c r="Y19" s="524" t="s">
        <v>17</v>
      </c>
      <c r="Z19" s="525">
        <v>12250</v>
      </c>
      <c r="AA19" s="525">
        <v>5155</v>
      </c>
      <c r="AB19" s="525">
        <v>774</v>
      </c>
      <c r="AC19" s="525">
        <v>0</v>
      </c>
      <c r="AD19" s="312"/>
      <c r="AE19" s="319"/>
      <c r="AF19" s="319"/>
      <c r="AG19" s="443"/>
      <c r="AH19" s="319"/>
      <c r="AI19" s="319"/>
      <c r="AJ19" s="319"/>
      <c r="AK19" s="319"/>
      <c r="AL19" s="319"/>
      <c r="AM19" s="319"/>
      <c r="AN19" s="319"/>
      <c r="AO19" s="319"/>
      <c r="AP19" s="319"/>
      <c r="AQ19" s="319"/>
      <c r="AR19" s="319"/>
      <c r="AS19" s="319"/>
      <c r="AT19" s="319"/>
      <c r="AU19" s="319"/>
      <c r="AV19" s="319"/>
      <c r="AW19" s="319"/>
      <c r="AX19" s="319"/>
      <c r="AY19" s="319"/>
      <c r="AZ19" s="319"/>
    </row>
    <row r="20" spans="1:52" ht="15" customHeight="1">
      <c r="A20" s="425" t="s">
        <v>249</v>
      </c>
      <c r="B20" s="426">
        <v>0</v>
      </c>
      <c r="C20" s="426">
        <v>0</v>
      </c>
      <c r="D20" s="426">
        <v>2092</v>
      </c>
      <c r="E20" s="426">
        <v>0</v>
      </c>
      <c r="F20" s="319"/>
      <c r="G20" s="454" t="s">
        <v>249</v>
      </c>
      <c r="H20" s="451">
        <v>0</v>
      </c>
      <c r="I20" s="451">
        <v>0</v>
      </c>
      <c r="J20" s="451">
        <v>2122</v>
      </c>
      <c r="K20" s="451">
        <v>0</v>
      </c>
      <c r="L20" s="319"/>
      <c r="M20" s="454" t="s">
        <v>249</v>
      </c>
      <c r="N20" s="451">
        <v>0</v>
      </c>
      <c r="O20" s="451">
        <v>0</v>
      </c>
      <c r="P20" s="451">
        <v>2113</v>
      </c>
      <c r="Q20" s="451">
        <v>0</v>
      </c>
      <c r="R20" s="312"/>
      <c r="S20" s="425" t="s">
        <v>249</v>
      </c>
      <c r="T20" s="451">
        <v>0</v>
      </c>
      <c r="U20" s="451">
        <v>0</v>
      </c>
      <c r="V20" s="451">
        <v>2125</v>
      </c>
      <c r="W20" s="451">
        <v>0</v>
      </c>
      <c r="X20" s="312"/>
      <c r="Y20" s="524" t="s">
        <v>249</v>
      </c>
      <c r="Z20" s="525">
        <v>0</v>
      </c>
      <c r="AA20" s="525">
        <v>0</v>
      </c>
      <c r="AB20" s="525">
        <v>2192</v>
      </c>
      <c r="AC20" s="525">
        <v>0</v>
      </c>
      <c r="AD20" s="312"/>
      <c r="AE20" s="319"/>
      <c r="AF20" s="319"/>
      <c r="AG20" s="443"/>
      <c r="AH20" s="319"/>
      <c r="AI20" s="319"/>
      <c r="AJ20" s="319"/>
      <c r="AK20" s="319"/>
      <c r="AL20" s="319"/>
      <c r="AM20" s="319"/>
      <c r="AN20" s="319"/>
      <c r="AO20" s="319"/>
      <c r="AP20" s="319"/>
      <c r="AQ20" s="319"/>
      <c r="AR20" s="319"/>
      <c r="AS20" s="319"/>
      <c r="AT20" s="319"/>
      <c r="AU20" s="319"/>
      <c r="AV20" s="319"/>
      <c r="AW20" s="319"/>
      <c r="AX20" s="319"/>
      <c r="AY20" s="319"/>
      <c r="AZ20" s="319"/>
    </row>
    <row r="21" spans="1:52" ht="15" customHeight="1">
      <c r="A21" s="425" t="s">
        <v>250</v>
      </c>
      <c r="B21" s="426">
        <v>1312</v>
      </c>
      <c r="C21" s="426">
        <v>16</v>
      </c>
      <c r="D21" s="426">
        <v>0</v>
      </c>
      <c r="E21" s="426">
        <v>0</v>
      </c>
      <c r="F21" s="319"/>
      <c r="G21" s="454" t="s">
        <v>250</v>
      </c>
      <c r="H21" s="451">
        <v>1339</v>
      </c>
      <c r="I21" s="451">
        <v>17</v>
      </c>
      <c r="J21" s="451">
        <v>0</v>
      </c>
      <c r="K21" s="451">
        <v>0</v>
      </c>
      <c r="L21" s="319"/>
      <c r="M21" s="454" t="s">
        <v>250</v>
      </c>
      <c r="N21" s="451">
        <v>1340</v>
      </c>
      <c r="O21" s="451">
        <v>18</v>
      </c>
      <c r="P21" s="451">
        <v>0</v>
      </c>
      <c r="Q21" s="451">
        <v>0</v>
      </c>
      <c r="R21" s="312"/>
      <c r="S21" s="425" t="s">
        <v>250</v>
      </c>
      <c r="T21" s="451">
        <v>1427</v>
      </c>
      <c r="U21" s="451">
        <v>20</v>
      </c>
      <c r="V21" s="451">
        <v>0</v>
      </c>
      <c r="W21" s="451">
        <v>0</v>
      </c>
      <c r="X21" s="312"/>
      <c r="Y21" s="524" t="s">
        <v>250</v>
      </c>
      <c r="Z21" s="525">
        <v>1514</v>
      </c>
      <c r="AA21" s="525">
        <v>21</v>
      </c>
      <c r="AB21" s="525">
        <v>0</v>
      </c>
      <c r="AC21" s="525">
        <v>0</v>
      </c>
      <c r="AD21" s="312"/>
      <c r="AE21" s="319"/>
      <c r="AF21" s="319"/>
      <c r="AG21" s="443"/>
      <c r="AH21" s="319"/>
      <c r="AI21" s="319"/>
      <c r="AJ21" s="319"/>
      <c r="AK21" s="319"/>
      <c r="AL21" s="319"/>
      <c r="AM21" s="319"/>
      <c r="AN21" s="319"/>
      <c r="AO21" s="319"/>
      <c r="AP21" s="319"/>
      <c r="AQ21" s="319"/>
      <c r="AR21" s="319"/>
      <c r="AS21" s="319"/>
      <c r="AT21" s="319"/>
      <c r="AU21" s="319"/>
      <c r="AV21" s="319"/>
      <c r="AW21" s="319"/>
      <c r="AX21" s="319"/>
      <c r="AY21" s="319"/>
      <c r="AZ21" s="319"/>
    </row>
    <row r="22" spans="1:52" ht="15" customHeight="1">
      <c r="A22" s="425" t="s">
        <v>251</v>
      </c>
      <c r="B22" s="426">
        <v>0</v>
      </c>
      <c r="C22" s="426">
        <v>572</v>
      </c>
      <c r="D22" s="426">
        <v>0</v>
      </c>
      <c r="E22" s="426">
        <v>0</v>
      </c>
      <c r="F22" s="319"/>
      <c r="G22" s="454" t="s">
        <v>251</v>
      </c>
      <c r="H22" s="451">
        <v>0</v>
      </c>
      <c r="I22" s="451">
        <v>444</v>
      </c>
      <c r="J22" s="451">
        <v>0</v>
      </c>
      <c r="K22" s="451">
        <v>0</v>
      </c>
      <c r="L22" s="319"/>
      <c r="M22" s="454" t="s">
        <v>251</v>
      </c>
      <c r="N22" s="451">
        <v>0</v>
      </c>
      <c r="O22" s="451">
        <v>464</v>
      </c>
      <c r="P22" s="451">
        <v>0</v>
      </c>
      <c r="Q22" s="451">
        <v>0</v>
      </c>
      <c r="R22" s="312"/>
      <c r="S22" s="425" t="s">
        <v>251</v>
      </c>
      <c r="T22" s="451">
        <v>0</v>
      </c>
      <c r="U22" s="451">
        <v>518</v>
      </c>
      <c r="V22" s="451">
        <v>0</v>
      </c>
      <c r="W22" s="451">
        <v>0</v>
      </c>
      <c r="X22" s="312"/>
      <c r="Y22" s="524" t="s">
        <v>251</v>
      </c>
      <c r="Z22" s="525">
        <v>0</v>
      </c>
      <c r="AA22" s="525">
        <v>560</v>
      </c>
      <c r="AB22" s="525">
        <v>0</v>
      </c>
      <c r="AC22" s="525">
        <v>0</v>
      </c>
      <c r="AD22" s="312"/>
      <c r="AE22" s="319"/>
      <c r="AF22" s="319"/>
      <c r="AG22" s="443"/>
      <c r="AH22" s="319"/>
      <c r="AI22" s="319"/>
      <c r="AJ22" s="319"/>
      <c r="AK22" s="319"/>
      <c r="AL22" s="319"/>
      <c r="AM22" s="319"/>
      <c r="AN22" s="319"/>
      <c r="AO22" s="319"/>
      <c r="AP22" s="319"/>
      <c r="AQ22" s="319"/>
      <c r="AR22" s="319"/>
      <c r="AS22" s="319"/>
      <c r="AT22" s="319"/>
      <c r="AU22" s="319"/>
      <c r="AV22" s="319"/>
      <c r="AW22" s="319"/>
      <c r="AX22" s="319"/>
      <c r="AY22" s="319"/>
      <c r="AZ22" s="319"/>
    </row>
    <row r="23" spans="1:52" ht="15" customHeight="1">
      <c r="A23" s="425" t="s">
        <v>252</v>
      </c>
      <c r="B23" s="426">
        <v>12</v>
      </c>
      <c r="C23" s="426">
        <v>0</v>
      </c>
      <c r="D23" s="426">
        <v>4917</v>
      </c>
      <c r="E23" s="426">
        <v>0</v>
      </c>
      <c r="F23" s="319"/>
      <c r="G23" s="454" t="s">
        <v>252</v>
      </c>
      <c r="H23" s="451">
        <v>13</v>
      </c>
      <c r="I23" s="451">
        <v>0</v>
      </c>
      <c r="J23" s="451">
        <v>4957</v>
      </c>
      <c r="K23" s="451">
        <v>0</v>
      </c>
      <c r="L23" s="319"/>
      <c r="M23" s="454" t="s">
        <v>252</v>
      </c>
      <c r="N23" s="451">
        <v>15</v>
      </c>
      <c r="O23" s="451">
        <v>0</v>
      </c>
      <c r="P23" s="451">
        <v>4973</v>
      </c>
      <c r="Q23" s="451">
        <v>0</v>
      </c>
      <c r="R23" s="312"/>
      <c r="S23" s="425" t="s">
        <v>252</v>
      </c>
      <c r="T23" s="451">
        <v>16</v>
      </c>
      <c r="U23" s="451">
        <v>0</v>
      </c>
      <c r="V23" s="451">
        <v>5094</v>
      </c>
      <c r="W23" s="451">
        <v>0</v>
      </c>
      <c r="X23" s="312"/>
      <c r="Y23" s="524" t="s">
        <v>252</v>
      </c>
      <c r="Z23" s="525">
        <v>17</v>
      </c>
      <c r="AA23" s="525">
        <v>0</v>
      </c>
      <c r="AB23" s="525">
        <v>5179</v>
      </c>
      <c r="AC23" s="525">
        <v>0</v>
      </c>
      <c r="AD23" s="312"/>
      <c r="AE23" s="319"/>
      <c r="AF23" s="319"/>
      <c r="AG23" s="443"/>
      <c r="AH23" s="319"/>
      <c r="AI23" s="319"/>
      <c r="AJ23" s="319"/>
      <c r="AK23" s="319"/>
      <c r="AL23" s="319"/>
      <c r="AM23" s="319"/>
      <c r="AN23" s="319"/>
      <c r="AO23" s="319"/>
      <c r="AP23" s="319"/>
      <c r="AQ23" s="319"/>
      <c r="AR23" s="319"/>
      <c r="AS23" s="319"/>
      <c r="AT23" s="319"/>
      <c r="AU23" s="319"/>
      <c r="AV23" s="319"/>
      <c r="AW23" s="319"/>
      <c r="AX23" s="319"/>
      <c r="AY23" s="319"/>
      <c r="AZ23" s="319"/>
    </row>
    <row r="24" spans="1:52" ht="15" customHeight="1">
      <c r="A24" s="425" t="s">
        <v>253</v>
      </c>
      <c r="B24" s="426">
        <v>0</v>
      </c>
      <c r="C24" s="426">
        <v>71</v>
      </c>
      <c r="D24" s="426">
        <v>746</v>
      </c>
      <c r="E24" s="426">
        <v>30</v>
      </c>
      <c r="F24" s="319"/>
      <c r="G24" s="454" t="s">
        <v>253</v>
      </c>
      <c r="H24" s="451">
        <v>0</v>
      </c>
      <c r="I24" s="451">
        <v>108</v>
      </c>
      <c r="J24" s="451">
        <v>734</v>
      </c>
      <c r="K24" s="451">
        <v>32</v>
      </c>
      <c r="L24" s="319"/>
      <c r="M24" s="454" t="s">
        <v>253</v>
      </c>
      <c r="N24" s="451">
        <v>0</v>
      </c>
      <c r="O24" s="451">
        <v>141</v>
      </c>
      <c r="P24" s="451">
        <v>730</v>
      </c>
      <c r="Q24" s="451">
        <v>33</v>
      </c>
      <c r="R24" s="312"/>
      <c r="S24" s="425" t="s">
        <v>253</v>
      </c>
      <c r="T24" s="451">
        <v>0</v>
      </c>
      <c r="U24" s="451">
        <v>110</v>
      </c>
      <c r="V24" s="451">
        <v>747</v>
      </c>
      <c r="W24" s="451">
        <v>35</v>
      </c>
      <c r="X24" s="312"/>
      <c r="Y24" s="524" t="s">
        <v>253</v>
      </c>
      <c r="Z24" s="525">
        <v>0</v>
      </c>
      <c r="AA24" s="525">
        <v>83</v>
      </c>
      <c r="AB24" s="525">
        <v>730</v>
      </c>
      <c r="AC24" s="525">
        <v>36</v>
      </c>
      <c r="AD24" s="312"/>
      <c r="AE24" s="319"/>
      <c r="AF24" s="319"/>
      <c r="AG24" s="443"/>
      <c r="AH24" s="319"/>
      <c r="AI24" s="319"/>
      <c r="AJ24" s="319"/>
      <c r="AK24" s="319"/>
      <c r="AL24" s="319"/>
      <c r="AM24" s="319"/>
      <c r="AN24" s="319"/>
      <c r="AO24" s="319"/>
      <c r="AP24" s="319"/>
      <c r="AQ24" s="319"/>
      <c r="AR24" s="319"/>
      <c r="AS24" s="319"/>
      <c r="AT24" s="319"/>
      <c r="AU24" s="319"/>
      <c r="AV24" s="319"/>
      <c r="AW24" s="319"/>
      <c r="AX24" s="319"/>
      <c r="AY24" s="319"/>
      <c r="AZ24" s="319"/>
    </row>
    <row r="25" spans="1:52" ht="15" customHeight="1">
      <c r="A25" s="425" t="s">
        <v>254</v>
      </c>
      <c r="B25" s="426">
        <v>0</v>
      </c>
      <c r="C25" s="426">
        <v>0</v>
      </c>
      <c r="D25" s="426">
        <v>333</v>
      </c>
      <c r="E25" s="426">
        <v>0</v>
      </c>
      <c r="F25" s="319"/>
      <c r="G25" s="454" t="s">
        <v>254</v>
      </c>
      <c r="H25" s="451">
        <v>0</v>
      </c>
      <c r="I25" s="451">
        <v>0</v>
      </c>
      <c r="J25" s="451">
        <v>331</v>
      </c>
      <c r="K25" s="451">
        <v>0</v>
      </c>
      <c r="L25" s="319"/>
      <c r="M25" s="454" t="s">
        <v>254</v>
      </c>
      <c r="N25" s="451">
        <v>0</v>
      </c>
      <c r="O25" s="451">
        <v>0</v>
      </c>
      <c r="P25" s="451">
        <v>317</v>
      </c>
      <c r="Q25" s="451">
        <v>0</v>
      </c>
      <c r="R25" s="312"/>
      <c r="S25" s="425" t="s">
        <v>254</v>
      </c>
      <c r="T25" s="451">
        <v>0</v>
      </c>
      <c r="U25" s="451">
        <v>0</v>
      </c>
      <c r="V25" s="451">
        <v>324</v>
      </c>
      <c r="W25" s="451">
        <v>0</v>
      </c>
      <c r="X25" s="312"/>
      <c r="Y25" s="524" t="s">
        <v>254</v>
      </c>
      <c r="Z25" s="525">
        <v>0</v>
      </c>
      <c r="AA25" s="525">
        <v>0</v>
      </c>
      <c r="AB25" s="525">
        <v>343</v>
      </c>
      <c r="AC25" s="525">
        <v>0</v>
      </c>
      <c r="AD25" s="312"/>
      <c r="AE25" s="319"/>
      <c r="AF25" s="319"/>
      <c r="AG25" s="443"/>
      <c r="AH25" s="319"/>
      <c r="AI25" s="319"/>
      <c r="AJ25" s="319"/>
      <c r="AK25" s="319"/>
      <c r="AL25" s="319"/>
      <c r="AM25" s="319"/>
      <c r="AN25" s="319"/>
      <c r="AO25" s="319"/>
      <c r="AP25" s="319"/>
      <c r="AQ25" s="319"/>
      <c r="AR25" s="319"/>
      <c r="AS25" s="319"/>
      <c r="AT25" s="319"/>
      <c r="AU25" s="319"/>
      <c r="AV25" s="319"/>
      <c r="AW25" s="319"/>
      <c r="AX25" s="319"/>
      <c r="AY25" s="319"/>
      <c r="AZ25" s="319"/>
    </row>
    <row r="26" spans="1:52" ht="15" customHeight="1">
      <c r="A26" s="425" t="s">
        <v>255</v>
      </c>
      <c r="B26" s="426">
        <v>14</v>
      </c>
      <c r="C26" s="426">
        <v>0</v>
      </c>
      <c r="D26" s="426">
        <v>272</v>
      </c>
      <c r="E26" s="426">
        <v>0</v>
      </c>
      <c r="F26" s="319"/>
      <c r="G26" s="454" t="s">
        <v>255</v>
      </c>
      <c r="H26" s="451">
        <v>14</v>
      </c>
      <c r="I26" s="451">
        <v>0</v>
      </c>
      <c r="J26" s="451">
        <v>254</v>
      </c>
      <c r="K26" s="451">
        <v>0</v>
      </c>
      <c r="L26" s="319"/>
      <c r="M26" s="454" t="s">
        <v>255</v>
      </c>
      <c r="N26" s="451">
        <v>16</v>
      </c>
      <c r="O26" s="451">
        <v>0</v>
      </c>
      <c r="P26" s="451">
        <v>258</v>
      </c>
      <c r="Q26" s="451">
        <v>0</v>
      </c>
      <c r="R26" s="312"/>
      <c r="S26" s="425" t="s">
        <v>255</v>
      </c>
      <c r="T26" s="451">
        <v>15</v>
      </c>
      <c r="U26" s="451">
        <v>0</v>
      </c>
      <c r="V26" s="451">
        <v>342</v>
      </c>
      <c r="W26" s="451">
        <v>0</v>
      </c>
      <c r="X26" s="312"/>
      <c r="Y26" s="524" t="s">
        <v>255</v>
      </c>
      <c r="Z26" s="525">
        <v>17</v>
      </c>
      <c r="AA26" s="525">
        <v>0</v>
      </c>
      <c r="AB26" s="525">
        <v>302</v>
      </c>
      <c r="AC26" s="525">
        <v>0</v>
      </c>
      <c r="AD26" s="312"/>
      <c r="AE26" s="319"/>
      <c r="AF26" s="319"/>
      <c r="AG26" s="443"/>
      <c r="AH26" s="319"/>
      <c r="AI26" s="319"/>
      <c r="AJ26" s="319"/>
      <c r="AK26" s="319"/>
      <c r="AL26" s="319"/>
      <c r="AM26" s="319"/>
      <c r="AN26" s="319"/>
      <c r="AO26" s="319"/>
      <c r="AP26" s="319"/>
      <c r="AQ26" s="319"/>
      <c r="AR26" s="319"/>
      <c r="AS26" s="319"/>
      <c r="AT26" s="319"/>
      <c r="AU26" s="319"/>
      <c r="AV26" s="319"/>
      <c r="AW26" s="319"/>
      <c r="AX26" s="319"/>
      <c r="AY26" s="319"/>
      <c r="AZ26" s="319"/>
    </row>
    <row r="27" spans="1:52" ht="15" customHeight="1">
      <c r="A27" s="446" t="s">
        <v>256</v>
      </c>
      <c r="B27" s="447">
        <v>-3330</v>
      </c>
      <c r="C27" s="447">
        <v>-36</v>
      </c>
      <c r="D27" s="447">
        <v>66260</v>
      </c>
      <c r="E27" s="447">
        <v>8973</v>
      </c>
      <c r="F27" s="319"/>
      <c r="G27" s="455" t="s">
        <v>256</v>
      </c>
      <c r="H27" s="452">
        <v>-1992</v>
      </c>
      <c r="I27" s="452">
        <v>904</v>
      </c>
      <c r="J27" s="452">
        <v>89585</v>
      </c>
      <c r="K27" s="452">
        <v>14480</v>
      </c>
      <c r="L27" s="319"/>
      <c r="M27" s="455" t="s">
        <v>256</v>
      </c>
      <c r="N27" s="452">
        <v>-2536</v>
      </c>
      <c r="O27" s="452">
        <v>268</v>
      </c>
      <c r="P27" s="452">
        <v>84221</v>
      </c>
      <c r="Q27" s="452">
        <v>15086</v>
      </c>
      <c r="R27" s="312"/>
      <c r="S27" s="514" t="s">
        <v>256</v>
      </c>
      <c r="T27" s="452">
        <v>-5130</v>
      </c>
      <c r="U27" s="452">
        <v>-828</v>
      </c>
      <c r="V27" s="452">
        <v>53401</v>
      </c>
      <c r="W27" s="452">
        <v>8259</v>
      </c>
      <c r="X27" s="312"/>
      <c r="Y27" s="526" t="s">
        <v>256</v>
      </c>
      <c r="Z27" s="527">
        <v>-3866</v>
      </c>
      <c r="AA27" s="527">
        <v>-371</v>
      </c>
      <c r="AB27" s="527">
        <v>64452</v>
      </c>
      <c r="AC27" s="527">
        <v>10649</v>
      </c>
      <c r="AD27" s="312"/>
      <c r="AE27" s="319"/>
      <c r="AF27" s="319"/>
      <c r="AG27" s="443"/>
      <c r="AH27" s="319"/>
      <c r="AI27" s="319"/>
      <c r="AJ27" s="319"/>
      <c r="AK27" s="319"/>
      <c r="AL27" s="319"/>
      <c r="AM27" s="319"/>
      <c r="AN27" s="319"/>
      <c r="AO27" s="319"/>
      <c r="AP27" s="319"/>
      <c r="AQ27" s="319"/>
      <c r="AR27" s="319"/>
      <c r="AS27" s="319"/>
      <c r="AT27" s="319"/>
      <c r="AU27" s="319"/>
      <c r="AV27" s="319"/>
      <c r="AW27" s="319"/>
      <c r="AX27" s="319"/>
      <c r="AY27" s="319"/>
      <c r="AZ27" s="319"/>
    </row>
    <row r="28" spans="1:52" ht="15" customHeight="1">
      <c r="A28" s="446" t="s">
        <v>4</v>
      </c>
      <c r="B28" s="447">
        <v>31063</v>
      </c>
      <c r="C28" s="447">
        <v>21082</v>
      </c>
      <c r="D28" s="447">
        <v>194223</v>
      </c>
      <c r="E28" s="447">
        <v>19454</v>
      </c>
      <c r="F28" s="319"/>
      <c r="G28" s="455" t="s">
        <v>4</v>
      </c>
      <c r="H28" s="452">
        <v>34448</v>
      </c>
      <c r="I28" s="452">
        <v>27238</v>
      </c>
      <c r="J28" s="452">
        <v>222338</v>
      </c>
      <c r="K28" s="452">
        <v>25926</v>
      </c>
      <c r="L28" s="319"/>
      <c r="M28" s="455" t="s">
        <v>4</v>
      </c>
      <c r="N28" s="452">
        <v>32565</v>
      </c>
      <c r="O28" s="452">
        <v>21816</v>
      </c>
      <c r="P28" s="452">
        <v>216334</v>
      </c>
      <c r="Q28" s="452">
        <v>26527</v>
      </c>
      <c r="R28" s="312"/>
      <c r="S28" s="514" t="s">
        <v>4</v>
      </c>
      <c r="T28" s="452">
        <v>26672</v>
      </c>
      <c r="U28" s="452">
        <v>14627</v>
      </c>
      <c r="V28" s="452">
        <v>179056</v>
      </c>
      <c r="W28" s="452">
        <v>18975</v>
      </c>
      <c r="X28" s="312"/>
      <c r="Y28" s="526" t="s">
        <v>4</v>
      </c>
      <c r="Z28" s="527">
        <v>30029</v>
      </c>
      <c r="AA28" s="527">
        <v>14137</v>
      </c>
      <c r="AB28" s="527">
        <v>191284</v>
      </c>
      <c r="AC28" s="527">
        <v>21471</v>
      </c>
      <c r="AD28" s="312"/>
      <c r="AE28" s="319"/>
      <c r="AF28" s="319"/>
      <c r="AG28" s="443"/>
      <c r="AH28" s="319"/>
      <c r="AI28" s="319"/>
      <c r="AJ28" s="319"/>
      <c r="AK28" s="319"/>
      <c r="AL28" s="319"/>
      <c r="AM28" s="319"/>
      <c r="AN28" s="319"/>
      <c r="AO28" s="319"/>
      <c r="AP28" s="319"/>
      <c r="AQ28" s="319"/>
      <c r="AR28" s="319"/>
      <c r="AS28" s="319"/>
      <c r="AT28" s="319"/>
      <c r="AU28" s="319"/>
      <c r="AV28" s="319"/>
      <c r="AW28" s="319"/>
      <c r="AX28" s="319"/>
      <c r="AY28" s="319"/>
      <c r="AZ28" s="319"/>
    </row>
    <row r="29" spans="1:52" ht="30" customHeight="1">
      <c r="A29" s="339" t="s">
        <v>257</v>
      </c>
      <c r="B29" s="276">
        <f>B10+B11+B12+B13+B24+B26</f>
        <v>-3316</v>
      </c>
      <c r="C29" s="276">
        <f>C10+C11+C12+C13+C24+C26</f>
        <v>27</v>
      </c>
      <c r="D29" s="276">
        <f>D10+D11+D12+D13+D24+D26</f>
        <v>67278</v>
      </c>
      <c r="E29" s="276">
        <f>E10+E11+E12+E13+E24+E26</f>
        <v>9003</v>
      </c>
      <c r="F29" s="319"/>
      <c r="G29" s="339" t="s">
        <v>257</v>
      </c>
      <c r="H29" s="276">
        <f>H10+H11+H12+H13+H24+H26</f>
        <v>-1978</v>
      </c>
      <c r="I29" s="276">
        <f>I10+I11+I12+I13+I24+I26</f>
        <v>1011</v>
      </c>
      <c r="J29" s="276">
        <f>J10+J11+J12+J13+J24+J26</f>
        <v>90573</v>
      </c>
      <c r="K29" s="276">
        <f>K10+K11+K12+K13+K24+K26</f>
        <v>14512</v>
      </c>
      <c r="L29" s="319"/>
      <c r="M29" s="470" t="s">
        <v>257</v>
      </c>
      <c r="N29" s="471">
        <f>N10+N11+N12+N13+N24+N26</f>
        <v>-2522</v>
      </c>
      <c r="O29" s="471">
        <f>O10+O11+O12+O13+O24+O26</f>
        <v>401</v>
      </c>
      <c r="P29" s="471">
        <f>P10+P11+P12+P13+P24+P26</f>
        <v>85209</v>
      </c>
      <c r="Q29" s="471">
        <f>Q10+Q11+Q12+Q13+Q24+Q26</f>
        <v>15117</v>
      </c>
      <c r="R29" s="312"/>
      <c r="S29" s="470" t="s">
        <v>257</v>
      </c>
      <c r="T29" s="471">
        <f>T10+T11+T12+T13+T24+T26</f>
        <v>-5115</v>
      </c>
      <c r="U29" s="471">
        <f>U10+U11+U12+U13+U24+U26</f>
        <v>-718</v>
      </c>
      <c r="V29" s="471">
        <f>V10+V11+V12+V13+V24+V26</f>
        <v>54490</v>
      </c>
      <c r="W29" s="471">
        <f>W10+W11+W12+W13+W24+W26</f>
        <v>8294</v>
      </c>
      <c r="X29" s="312"/>
      <c r="Y29" s="470" t="s">
        <v>257</v>
      </c>
      <c r="Z29" s="471">
        <f>Z10+Z11+Z12+Z13+Z24+Z26</f>
        <v>-3839</v>
      </c>
      <c r="AA29" s="471">
        <f>AA10+AA11+AA12+AA13+AA24+AA26</f>
        <v>-297</v>
      </c>
      <c r="AB29" s="471">
        <f>AB10+AB11+AB12+AB13+AB24+AB26</f>
        <v>65485</v>
      </c>
      <c r="AC29" s="471">
        <f>AC10+AC11+AC12+AC13+AC24+AC26</f>
        <v>10685</v>
      </c>
      <c r="AD29" s="312"/>
      <c r="AE29" s="319"/>
      <c r="AF29" s="319"/>
      <c r="AG29" s="444"/>
      <c r="AH29" s="441"/>
      <c r="AI29" s="441"/>
      <c r="AJ29" s="441"/>
      <c r="AK29" s="319"/>
      <c r="AL29" s="319"/>
      <c r="AM29" s="319"/>
      <c r="AN29" s="319"/>
      <c r="AO29" s="319"/>
      <c r="AP29" s="319"/>
      <c r="AQ29" s="319"/>
      <c r="AR29" s="319"/>
      <c r="AS29" s="319"/>
      <c r="AT29" s="319"/>
      <c r="AU29" s="319"/>
      <c r="AV29" s="319"/>
      <c r="AW29" s="319"/>
      <c r="AX29" s="319"/>
      <c r="AY29" s="319"/>
      <c r="AZ29" s="319"/>
    </row>
    <row r="30" spans="1:52">
      <c r="A30" s="84" t="s">
        <v>569</v>
      </c>
      <c r="B30" s="202">
        <f>B29-B13</f>
        <v>-3316</v>
      </c>
      <c r="C30" s="202">
        <f>C29-C13</f>
        <v>-26</v>
      </c>
      <c r="D30" s="202">
        <f>D29-D13</f>
        <v>64732</v>
      </c>
      <c r="E30" s="202">
        <f>E29-E13</f>
        <v>9015</v>
      </c>
      <c r="F30" s="263"/>
      <c r="G30" s="84" t="s">
        <v>569</v>
      </c>
      <c r="H30" s="202">
        <f>H29-H13</f>
        <v>-1978</v>
      </c>
      <c r="I30" s="202">
        <f>I29-I13</f>
        <v>964</v>
      </c>
      <c r="J30" s="202">
        <f>J29-J13</f>
        <v>88133</v>
      </c>
      <c r="K30" s="202">
        <f>K29-K13</f>
        <v>14529</v>
      </c>
      <c r="L30" s="263"/>
      <c r="M30" s="472" t="s">
        <v>569</v>
      </c>
      <c r="N30" s="185">
        <f>N29-N13</f>
        <v>-2522</v>
      </c>
      <c r="O30" s="185">
        <f>O29-O13</f>
        <v>352</v>
      </c>
      <c r="P30" s="185">
        <f>P29-P13</f>
        <v>83486</v>
      </c>
      <c r="Q30" s="185">
        <f>Q29-Q13</f>
        <v>15131</v>
      </c>
      <c r="R30" s="473"/>
      <c r="S30" s="472" t="s">
        <v>569</v>
      </c>
      <c r="T30" s="185">
        <f>T29-T13</f>
        <v>-5115</v>
      </c>
      <c r="U30" s="185">
        <f>U29-U13</f>
        <v>-769</v>
      </c>
      <c r="V30" s="185">
        <f>V29-V13</f>
        <v>52721</v>
      </c>
      <c r="W30" s="185">
        <f>W29-W13</f>
        <v>8314</v>
      </c>
      <c r="X30" s="473"/>
      <c r="Y30" s="472" t="s">
        <v>569</v>
      </c>
      <c r="Z30" s="185">
        <f>Z29-Z13</f>
        <v>-3839</v>
      </c>
      <c r="AA30" s="185">
        <f>AA29-AA13</f>
        <v>-353</v>
      </c>
      <c r="AB30" s="185">
        <f>AB29-AB13</f>
        <v>62951</v>
      </c>
      <c r="AC30" s="185">
        <f>AC29-AC13</f>
        <v>10699</v>
      </c>
      <c r="AD30" s="473"/>
      <c r="AE30" s="263"/>
      <c r="AF30" s="263"/>
      <c r="AG30" s="263"/>
      <c r="AH30" s="441"/>
      <c r="AI30" s="441"/>
      <c r="AJ30" s="441"/>
      <c r="AK30" s="319"/>
      <c r="AL30" s="319"/>
      <c r="AM30" s="319"/>
    </row>
    <row r="31" spans="1:52" ht="25.5">
      <c r="A31" s="84" t="s">
        <v>260</v>
      </c>
      <c r="B31" s="202">
        <f>SUM(B4:B26)</f>
        <v>31061</v>
      </c>
      <c r="C31" s="202">
        <f>SUM(C4:C26)</f>
        <v>21068</v>
      </c>
      <c r="D31" s="202">
        <f>SUM(D4:D26)</f>
        <v>194221</v>
      </c>
      <c r="E31" s="202">
        <f>SUM(E4:E26)</f>
        <v>19439</v>
      </c>
      <c r="F31" s="263"/>
      <c r="G31" s="84" t="s">
        <v>260</v>
      </c>
      <c r="H31" s="202">
        <f>SUM(H4:H26)</f>
        <v>34447</v>
      </c>
      <c r="I31" s="202">
        <f>SUM(I4:I26)</f>
        <v>27229</v>
      </c>
      <c r="J31" s="202">
        <f>SUM(J4:J26)</f>
        <v>222338</v>
      </c>
      <c r="K31" s="202">
        <f>SUM(K4:K26)</f>
        <v>25919</v>
      </c>
      <c r="L31" s="263"/>
      <c r="M31" s="472" t="s">
        <v>260</v>
      </c>
      <c r="N31" s="185">
        <f>SUM(N4:N26)</f>
        <v>32563</v>
      </c>
      <c r="O31" s="185">
        <f>SUM(O4:O26)</f>
        <v>21800</v>
      </c>
      <c r="P31" s="185">
        <f>SUM(P4:P26)</f>
        <v>216337</v>
      </c>
      <c r="Q31" s="185">
        <f>SUM(Q4:Q26)</f>
        <v>26516</v>
      </c>
      <c r="R31" s="473"/>
      <c r="S31" s="472" t="s">
        <v>260</v>
      </c>
      <c r="T31" s="185">
        <f>SUM(T4:T26)</f>
        <v>26671</v>
      </c>
      <c r="U31" s="185">
        <f>SUM(U4:U26)</f>
        <v>14621</v>
      </c>
      <c r="V31" s="185">
        <f>SUM(V4:V26)</f>
        <v>179049</v>
      </c>
      <c r="W31" s="185">
        <f>SUM(W4:W26)</f>
        <v>18962</v>
      </c>
      <c r="X31" s="473"/>
      <c r="Y31" s="472" t="s">
        <v>260</v>
      </c>
      <c r="Z31" s="185">
        <f>SUM(Z4:Z26)</f>
        <v>30038</v>
      </c>
      <c r="AA31" s="185">
        <f>SUM(AA4:AA26)</f>
        <v>14122</v>
      </c>
      <c r="AB31" s="185">
        <f>SUM(AB4:AB26)</f>
        <v>191285</v>
      </c>
      <c r="AC31" s="185">
        <f>SUM(AC4:AC26)</f>
        <v>21456</v>
      </c>
      <c r="AD31" s="473"/>
      <c r="AE31" s="263"/>
      <c r="AF31" s="263"/>
      <c r="AG31" s="319"/>
      <c r="AH31" s="319"/>
      <c r="AI31" s="319"/>
      <c r="AJ31" s="263"/>
      <c r="AK31" s="319"/>
      <c r="AL31" s="319"/>
      <c r="AM31" s="319"/>
    </row>
    <row r="32" spans="1:52">
      <c r="A32" s="84" t="s">
        <v>680</v>
      </c>
      <c r="B32" s="202">
        <f>B28-B13</f>
        <v>31063</v>
      </c>
      <c r="C32" s="202">
        <f>C28-C13</f>
        <v>21029</v>
      </c>
      <c r="D32" s="202">
        <f>D28-D13</f>
        <v>191677</v>
      </c>
      <c r="E32" s="202">
        <f>E28-E13</f>
        <v>19466</v>
      </c>
      <c r="F32" s="319"/>
      <c r="G32" s="84" t="s">
        <v>680</v>
      </c>
      <c r="H32" s="202">
        <f>H28-H13</f>
        <v>34448</v>
      </c>
      <c r="I32" s="202">
        <f>I28-I13</f>
        <v>27191</v>
      </c>
      <c r="J32" s="202">
        <f>J28-J13</f>
        <v>219898</v>
      </c>
      <c r="K32" s="202">
        <f>K28-K13</f>
        <v>25943</v>
      </c>
      <c r="L32" s="319"/>
      <c r="M32" s="472" t="s">
        <v>680</v>
      </c>
      <c r="N32" s="185">
        <f>N28-N13</f>
        <v>32565</v>
      </c>
      <c r="O32" s="185">
        <f>O28-O13</f>
        <v>21767</v>
      </c>
      <c r="P32" s="185">
        <f>P28-P13</f>
        <v>214611</v>
      </c>
      <c r="Q32" s="185">
        <f>Q28-Q13</f>
        <v>26541</v>
      </c>
      <c r="R32" s="312"/>
      <c r="S32" s="472" t="s">
        <v>680</v>
      </c>
      <c r="T32" s="185">
        <f>T28-T13</f>
        <v>26672</v>
      </c>
      <c r="U32" s="185">
        <f>U28-U13</f>
        <v>14576</v>
      </c>
      <c r="V32" s="185">
        <f>V28-V13</f>
        <v>177287</v>
      </c>
      <c r="W32" s="185">
        <f>W28-W13</f>
        <v>18995</v>
      </c>
      <c r="X32" s="312"/>
      <c r="Y32" s="472" t="s">
        <v>680</v>
      </c>
      <c r="Z32" s="185">
        <f>Z28-Z13</f>
        <v>30029</v>
      </c>
      <c r="AA32" s="185">
        <f>AA28-AA13</f>
        <v>14081</v>
      </c>
      <c r="AB32" s="185">
        <f>AB28-AB13</f>
        <v>188750</v>
      </c>
      <c r="AC32" s="185">
        <f>AC28-AC13</f>
        <v>21485</v>
      </c>
      <c r="AD32" s="312"/>
      <c r="AF32" s="120"/>
      <c r="AG32" s="319"/>
      <c r="AH32" s="319"/>
      <c r="AI32" s="319"/>
      <c r="AJ32" s="319"/>
      <c r="AK32" s="319"/>
      <c r="AL32" s="263"/>
      <c r="AM32" s="319"/>
      <c r="AN32" s="319"/>
      <c r="AO32" s="319"/>
      <c r="AP32" s="319"/>
      <c r="AQ32" s="263"/>
      <c r="AR32" s="263"/>
      <c r="AS32" s="319"/>
      <c r="AT32" s="319"/>
      <c r="AU32" s="319"/>
      <c r="AV32" s="319"/>
      <c r="AW32" s="120"/>
    </row>
    <row r="33" spans="18:48">
      <c r="S33" s="312"/>
      <c r="T33" s="312"/>
      <c r="U33" s="312"/>
      <c r="V33" s="312"/>
      <c r="W33" s="312"/>
      <c r="X33" s="312"/>
      <c r="Y33" s="312"/>
      <c r="Z33" s="312"/>
      <c r="AA33" s="312"/>
      <c r="AB33" s="312"/>
      <c r="AC33" s="312"/>
      <c r="AD33" s="312"/>
      <c r="AF33" s="319"/>
      <c r="AG33" s="319"/>
      <c r="AH33" s="319"/>
      <c r="AI33" s="319"/>
      <c r="AJ33" s="319"/>
      <c r="AK33" s="319"/>
      <c r="AL33" s="319"/>
      <c r="AM33" s="143"/>
      <c r="AN33" s="143"/>
      <c r="AO33" s="143"/>
      <c r="AP33" s="143"/>
      <c r="AS33" s="143"/>
      <c r="AT33" s="143"/>
      <c r="AU33" s="143"/>
      <c r="AV33" s="143"/>
    </row>
    <row r="34" spans="18:48" customFormat="1" ht="12.75" customHeight="1">
      <c r="R34" s="319"/>
      <c r="S34" s="474"/>
      <c r="T34" s="474"/>
      <c r="U34" s="475"/>
      <c r="V34" s="476"/>
      <c r="W34" s="475"/>
      <c r="X34" s="312"/>
      <c r="Y34" s="312"/>
      <c r="Z34" s="312"/>
      <c r="AA34" s="312"/>
      <c r="AB34" s="312"/>
      <c r="AC34" s="312"/>
      <c r="AD34" s="312"/>
      <c r="AF34" s="319"/>
      <c r="AG34" s="319"/>
      <c r="AH34" s="319"/>
      <c r="AI34" s="319"/>
      <c r="AJ34" s="319"/>
      <c r="AK34" s="319"/>
      <c r="AL34" s="319"/>
      <c r="AM34" s="319"/>
    </row>
    <row r="35" spans="18:48">
      <c r="R35" s="319"/>
      <c r="S35" s="477"/>
      <c r="T35" s="478"/>
      <c r="U35" s="479"/>
      <c r="V35" s="479"/>
      <c r="W35" s="479"/>
      <c r="X35" s="312"/>
      <c r="Y35" s="312"/>
      <c r="Z35" s="312"/>
      <c r="AA35" s="312"/>
      <c r="AB35" s="312"/>
      <c r="AC35" s="312"/>
      <c r="AD35" s="312"/>
    </row>
    <row r="36" spans="18:48">
      <c r="R36" s="319"/>
      <c r="S36" s="477"/>
      <c r="T36" s="478"/>
      <c r="U36" s="479"/>
      <c r="V36" s="479"/>
    </row>
    <row r="37" spans="18:48">
      <c r="R37" s="319"/>
      <c r="S37" s="477"/>
      <c r="T37" s="478"/>
      <c r="U37" s="479"/>
      <c r="V37" s="479"/>
    </row>
    <row r="38" spans="18:48">
      <c r="R38" s="319"/>
      <c r="S38" s="477"/>
      <c r="T38" s="478"/>
      <c r="U38" s="479"/>
      <c r="V38" s="479"/>
    </row>
    <row r="39" spans="18:48">
      <c r="R39" s="319"/>
      <c r="S39" s="477"/>
      <c r="T39" s="478"/>
      <c r="U39" s="479"/>
      <c r="V39" s="479"/>
    </row>
    <row r="40" spans="18:48">
      <c r="R40" s="319"/>
      <c r="S40" s="477"/>
      <c r="T40" s="478"/>
      <c r="U40" s="479"/>
      <c r="V40" s="479"/>
    </row>
    <row r="41" spans="18:48">
      <c r="R41" s="319"/>
      <c r="S41" s="477"/>
      <c r="T41" s="478"/>
      <c r="U41" s="479"/>
      <c r="V41" s="479"/>
    </row>
    <row r="42" spans="18:48">
      <c r="R42" s="319"/>
      <c r="S42" s="477"/>
      <c r="T42" s="478"/>
      <c r="U42" s="479"/>
      <c r="V42" s="479"/>
    </row>
    <row r="43" spans="18:48">
      <c r="R43" s="319"/>
      <c r="S43" s="477"/>
      <c r="T43" s="478"/>
      <c r="U43" s="479"/>
      <c r="V43" s="479"/>
    </row>
    <row r="44" spans="18:48">
      <c r="R44" s="319"/>
      <c r="S44" s="477"/>
      <c r="T44" s="478"/>
      <c r="U44" s="479"/>
      <c r="V44" s="479"/>
    </row>
    <row r="45" spans="18:48">
      <c r="R45" s="319"/>
      <c r="S45" s="477"/>
      <c r="T45" s="478"/>
      <c r="U45" s="479"/>
      <c r="V45" s="479"/>
    </row>
    <row r="46" spans="18:48">
      <c r="R46" s="319"/>
      <c r="S46" s="477"/>
      <c r="T46" s="478"/>
      <c r="U46" s="479"/>
      <c r="V46" s="479"/>
    </row>
    <row r="47" spans="18:48">
      <c r="R47" s="319"/>
      <c r="S47" s="477"/>
      <c r="T47" s="478"/>
      <c r="U47" s="479"/>
      <c r="V47" s="479"/>
    </row>
    <row r="48" spans="18:48">
      <c r="R48" s="319"/>
      <c r="S48" s="477"/>
      <c r="T48" s="478"/>
      <c r="U48" s="479"/>
      <c r="V48" s="479"/>
    </row>
    <row r="49" spans="18:22">
      <c r="R49" s="319"/>
      <c r="S49" s="477"/>
      <c r="T49" s="478"/>
      <c r="U49" s="479"/>
      <c r="V49" s="479"/>
    </row>
    <row r="50" spans="18:22">
      <c r="R50" s="319"/>
      <c r="S50" s="477"/>
      <c r="T50" s="478"/>
      <c r="U50" s="479"/>
      <c r="V50" s="479"/>
    </row>
    <row r="51" spans="18:22">
      <c r="R51" s="319"/>
      <c r="S51" s="477"/>
      <c r="T51" s="478"/>
      <c r="U51" s="479"/>
      <c r="V51" s="479"/>
    </row>
    <row r="52" spans="18:22">
      <c r="R52" s="319"/>
      <c r="S52" s="477"/>
      <c r="T52" s="478"/>
      <c r="U52" s="479"/>
      <c r="V52" s="479"/>
    </row>
    <row r="53" spans="18:22">
      <c r="R53" s="319"/>
      <c r="S53" s="477"/>
      <c r="T53" s="478"/>
      <c r="U53" s="479"/>
      <c r="V53" s="479"/>
    </row>
    <row r="54" spans="18:22">
      <c r="R54" s="319"/>
      <c r="S54" s="477"/>
      <c r="T54" s="478"/>
      <c r="U54" s="479"/>
      <c r="V54" s="479"/>
    </row>
    <row r="55" spans="18:22">
      <c r="R55" s="319"/>
      <c r="S55" s="477"/>
      <c r="T55" s="478"/>
      <c r="U55" s="479"/>
      <c r="V55" s="479"/>
    </row>
    <row r="56" spans="18:22">
      <c r="R56" s="319"/>
      <c r="S56" s="477"/>
      <c r="T56" s="478"/>
      <c r="U56" s="479"/>
      <c r="V56" s="479"/>
    </row>
    <row r="57" spans="18:22">
      <c r="R57" s="319"/>
      <c r="S57" s="477"/>
      <c r="T57" s="478"/>
      <c r="U57" s="479"/>
      <c r="V57" s="479"/>
    </row>
    <row r="58" spans="18:22">
      <c r="R58" s="319"/>
      <c r="S58" s="480"/>
      <c r="T58" s="481"/>
      <c r="U58" s="475"/>
      <c r="V58" s="475"/>
    </row>
    <row r="59" spans="18:22">
      <c r="R59" s="319"/>
      <c r="S59" s="473"/>
      <c r="T59" s="481"/>
      <c r="U59" s="475"/>
      <c r="V59" s="475"/>
    </row>
    <row r="60" spans="18:22">
      <c r="R60" s="319"/>
      <c r="S60" s="312"/>
      <c r="T60" s="312"/>
      <c r="U60" s="312"/>
      <c r="V60" s="312"/>
    </row>
    <row r="61" spans="18:22">
      <c r="R61" s="319"/>
      <c r="S61" s="312"/>
      <c r="T61" s="312"/>
      <c r="U61" s="312"/>
      <c r="V61" s="312"/>
    </row>
    <row r="62" spans="18:22">
      <c r="S62" s="312"/>
      <c r="T62" s="312"/>
      <c r="U62" s="312"/>
      <c r="V62" s="312"/>
    </row>
    <row r="63" spans="18:22">
      <c r="S63" s="312"/>
      <c r="T63" s="312"/>
      <c r="U63" s="312"/>
      <c r="V63" s="312"/>
    </row>
    <row r="64" spans="18:22">
      <c r="S64" s="312"/>
      <c r="T64" s="312"/>
      <c r="U64" s="312"/>
      <c r="V64" s="312"/>
    </row>
    <row r="65" spans="19:22">
      <c r="S65" s="312"/>
      <c r="T65" s="312"/>
      <c r="U65" s="312"/>
      <c r="V65" s="312"/>
    </row>
    <row r="66" spans="19:22">
      <c r="S66" s="312"/>
      <c r="T66" s="312"/>
      <c r="U66" s="312"/>
      <c r="V66" s="312"/>
    </row>
    <row r="67" spans="19:22">
      <c r="S67" s="312"/>
      <c r="T67" s="312"/>
      <c r="U67" s="312"/>
      <c r="V67" s="312"/>
    </row>
    <row r="68" spans="19:22">
      <c r="S68" s="312"/>
      <c r="T68" s="312"/>
      <c r="U68" s="312"/>
      <c r="V68" s="312"/>
    </row>
    <row r="69" spans="19:22">
      <c r="S69" s="312"/>
      <c r="T69" s="312"/>
      <c r="U69" s="312"/>
      <c r="V69" s="312"/>
    </row>
  </sheetData>
  <mergeCells count="4">
    <mergeCell ref="S1:W1"/>
    <mergeCell ref="S2:S3"/>
    <mergeCell ref="Y1:AC1"/>
    <mergeCell ref="Y2:Y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56"/>
  <sheetViews>
    <sheetView zoomScale="86" zoomScaleNormal="86" workbookViewId="0">
      <pane xSplit="1" ySplit="5" topLeftCell="F6" activePane="bottomRight" state="frozen"/>
      <selection pane="topRight" activeCell="B1" sqref="B1"/>
      <selection pane="bottomLeft" activeCell="A6" sqref="A6"/>
      <selection pane="bottomRight" activeCell="O13" sqref="O13"/>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6" ht="22.5">
      <c r="A1" s="562" t="s">
        <v>447</v>
      </c>
      <c r="B1" s="563"/>
      <c r="C1" s="563"/>
      <c r="D1" s="563"/>
      <c r="E1" s="564"/>
      <c r="F1" s="564"/>
      <c r="G1" s="565"/>
    </row>
    <row r="2" spans="1:16" ht="22.5">
      <c r="A2" s="236"/>
      <c r="B2" s="236"/>
      <c r="C2" s="236"/>
      <c r="D2" s="236"/>
      <c r="E2" s="237"/>
      <c r="F2" s="237"/>
      <c r="G2" s="237"/>
    </row>
    <row r="3" spans="1:16" ht="18.75">
      <c r="B3" s="507">
        <v>2017</v>
      </c>
      <c r="C3" s="508"/>
      <c r="D3" s="509"/>
      <c r="E3" s="507">
        <v>2018</v>
      </c>
      <c r="F3" s="508"/>
      <c r="G3" s="509"/>
      <c r="H3" s="507">
        <v>2019</v>
      </c>
      <c r="I3" s="508"/>
      <c r="J3" s="509"/>
      <c r="K3" s="566">
        <v>2020</v>
      </c>
      <c r="L3" s="567"/>
      <c r="M3" s="568"/>
      <c r="N3" s="566">
        <v>2021</v>
      </c>
      <c r="O3" s="567"/>
      <c r="P3" s="568"/>
    </row>
    <row r="4" spans="1:16" ht="18.75">
      <c r="A4" s="238" t="s">
        <v>433</v>
      </c>
      <c r="B4" s="482" t="s">
        <v>434</v>
      </c>
      <c r="C4" s="483" t="s">
        <v>435</v>
      </c>
      <c r="D4" s="484" t="s">
        <v>445</v>
      </c>
      <c r="E4" s="482" t="s">
        <v>434</v>
      </c>
      <c r="F4" s="483" t="s">
        <v>435</v>
      </c>
      <c r="G4" s="484" t="s">
        <v>445</v>
      </c>
      <c r="H4" s="482" t="s">
        <v>434</v>
      </c>
      <c r="I4" s="483" t="s">
        <v>435</v>
      </c>
      <c r="J4" s="484" t="s">
        <v>445</v>
      </c>
      <c r="K4" s="482" t="s">
        <v>434</v>
      </c>
      <c r="L4" s="483" t="s">
        <v>435</v>
      </c>
      <c r="M4" s="484" t="s">
        <v>445</v>
      </c>
      <c r="N4" s="482" t="s">
        <v>434</v>
      </c>
      <c r="O4" s="483" t="s">
        <v>435</v>
      </c>
      <c r="P4" s="484" t="s">
        <v>445</v>
      </c>
    </row>
    <row r="5" spans="1:16" ht="18.75">
      <c r="A5" s="238"/>
      <c r="B5" s="510" t="s">
        <v>444</v>
      </c>
      <c r="C5" s="511"/>
      <c r="D5" s="484" t="s">
        <v>446</v>
      </c>
      <c r="E5" s="510" t="s">
        <v>444</v>
      </c>
      <c r="F5" s="511"/>
      <c r="G5" s="484" t="s">
        <v>446</v>
      </c>
      <c r="H5" s="510" t="s">
        <v>444</v>
      </c>
      <c r="I5" s="511"/>
      <c r="J5" s="484" t="s">
        <v>446</v>
      </c>
      <c r="K5" s="569" t="s">
        <v>444</v>
      </c>
      <c r="L5" s="570"/>
      <c r="M5" s="484" t="s">
        <v>446</v>
      </c>
      <c r="N5" s="569" t="s">
        <v>444</v>
      </c>
      <c r="O5" s="570"/>
      <c r="P5" s="484" t="s">
        <v>446</v>
      </c>
    </row>
    <row r="6" spans="1:16" ht="18.75">
      <c r="A6" s="238" t="s">
        <v>436</v>
      </c>
      <c r="B6" s="486">
        <v>2180</v>
      </c>
      <c r="C6" s="487">
        <v>1263</v>
      </c>
      <c r="D6" s="485">
        <f>C6/B6</f>
        <v>0.57935779816513766</v>
      </c>
      <c r="E6" s="486">
        <v>2555</v>
      </c>
      <c r="F6" s="487">
        <v>1482</v>
      </c>
      <c r="G6" s="485">
        <f>F6/E6</f>
        <v>0.58003913894324854</v>
      </c>
      <c r="H6" s="496">
        <v>2582</v>
      </c>
      <c r="I6" s="497">
        <v>1193</v>
      </c>
      <c r="J6" s="485">
        <f>I6/H6</f>
        <v>0.46204492641363282</v>
      </c>
      <c r="K6" s="486">
        <v>2701</v>
      </c>
      <c r="L6" s="487">
        <v>2037</v>
      </c>
      <c r="M6" s="485">
        <f>L6/K6</f>
        <v>0.75416512402813773</v>
      </c>
      <c r="N6" s="486">
        <v>2494</v>
      </c>
      <c r="O6" s="487">
        <v>1616</v>
      </c>
      <c r="P6" s="485">
        <f>O6/N6</f>
        <v>0.64795509222133119</v>
      </c>
    </row>
    <row r="7" spans="1:16" ht="18.75">
      <c r="A7" s="238" t="s">
        <v>437</v>
      </c>
      <c r="B7" s="486">
        <v>36080</v>
      </c>
      <c r="C7" s="488">
        <v>10764</v>
      </c>
      <c r="D7" s="485">
        <f t="shared" ref="D7:D13" si="0">C7/B7</f>
        <v>0.29833702882483371</v>
      </c>
      <c r="E7" s="486">
        <v>35915</v>
      </c>
      <c r="F7" s="487">
        <v>7472</v>
      </c>
      <c r="G7" s="485">
        <f t="shared" ref="G7:G13" si="1">F7/E7</f>
        <v>0.20804677711262703</v>
      </c>
      <c r="H7" s="496">
        <v>55365</v>
      </c>
      <c r="I7" s="497">
        <v>16760</v>
      </c>
      <c r="J7" s="485">
        <f t="shared" ref="J7:J13" si="2">I7/H7</f>
        <v>0.30271832385080827</v>
      </c>
      <c r="K7" s="486">
        <v>45701</v>
      </c>
      <c r="L7" s="487">
        <v>26419</v>
      </c>
      <c r="M7" s="485">
        <f t="shared" ref="M7:M13" si="3">L7/K7</f>
        <v>0.57808363055513012</v>
      </c>
      <c r="N7" s="486">
        <v>42018</v>
      </c>
      <c r="O7" s="487">
        <v>11476</v>
      </c>
      <c r="P7" s="485">
        <f t="shared" ref="P7:P13" si="4">O7/N7</f>
        <v>0.27312104336236853</v>
      </c>
    </row>
    <row r="8" spans="1:16" ht="18.75">
      <c r="A8" s="238" t="s">
        <v>438</v>
      </c>
      <c r="B8" s="486">
        <v>4685</v>
      </c>
      <c r="C8" s="487">
        <v>2513</v>
      </c>
      <c r="D8" s="485">
        <f t="shared" si="0"/>
        <v>0.53639274279615801</v>
      </c>
      <c r="E8" s="486">
        <v>5905</v>
      </c>
      <c r="F8" s="487">
        <v>2357</v>
      </c>
      <c r="G8" s="485">
        <f t="shared" si="1"/>
        <v>0.39915325994919559</v>
      </c>
      <c r="H8" s="496">
        <v>5794</v>
      </c>
      <c r="I8" s="497">
        <v>857</v>
      </c>
      <c r="J8" s="485">
        <f t="shared" si="2"/>
        <v>0.14791163272350707</v>
      </c>
      <c r="K8" s="486">
        <v>5655</v>
      </c>
      <c r="L8" s="487">
        <v>2924</v>
      </c>
      <c r="M8" s="485">
        <f t="shared" si="3"/>
        <v>0.51706454465075158</v>
      </c>
      <c r="N8" s="486">
        <v>5150</v>
      </c>
      <c r="O8" s="487">
        <v>2452</v>
      </c>
      <c r="P8" s="485">
        <f t="shared" si="4"/>
        <v>0.4761165048543689</v>
      </c>
    </row>
    <row r="9" spans="1:16" ht="18.75">
      <c r="A9" s="238" t="s">
        <v>439</v>
      </c>
      <c r="B9" s="486">
        <v>3605</v>
      </c>
      <c r="C9" s="487">
        <v>2068</v>
      </c>
      <c r="D9" s="485">
        <f t="shared" si="0"/>
        <v>0.57364771151178917</v>
      </c>
      <c r="E9" s="486">
        <v>3660</v>
      </c>
      <c r="F9" s="487">
        <v>1395</v>
      </c>
      <c r="G9" s="485">
        <f t="shared" si="1"/>
        <v>0.38114754098360654</v>
      </c>
      <c r="H9" s="496">
        <v>3961</v>
      </c>
      <c r="I9" s="497">
        <v>950</v>
      </c>
      <c r="J9" s="485">
        <f t="shared" si="2"/>
        <v>0.23983842464024235</v>
      </c>
      <c r="K9" s="486">
        <v>4607</v>
      </c>
      <c r="L9" s="487">
        <v>3032</v>
      </c>
      <c r="M9" s="485">
        <f t="shared" si="3"/>
        <v>0.65812893423051877</v>
      </c>
      <c r="N9" s="486">
        <v>4294</v>
      </c>
      <c r="O9" s="487">
        <v>2608</v>
      </c>
      <c r="P9" s="485">
        <f t="shared" si="4"/>
        <v>0.60735910572892404</v>
      </c>
    </row>
    <row r="10" spans="1:16" ht="18.75">
      <c r="A10" s="238" t="s">
        <v>440</v>
      </c>
      <c r="B10" s="486">
        <v>10863</v>
      </c>
      <c r="C10" s="487">
        <v>3382</v>
      </c>
      <c r="D10" s="485">
        <f t="shared" si="0"/>
        <v>0.31133204455491115</v>
      </c>
      <c r="E10" s="486">
        <v>11774</v>
      </c>
      <c r="F10" s="487">
        <v>4441</v>
      </c>
      <c r="G10" s="485">
        <f t="shared" si="1"/>
        <v>0.37718702225242057</v>
      </c>
      <c r="H10" s="496">
        <v>12998</v>
      </c>
      <c r="I10" s="497">
        <v>5787</v>
      </c>
      <c r="J10" s="485">
        <f t="shared" si="2"/>
        <v>0.44522234189875365</v>
      </c>
      <c r="K10" s="486">
        <v>13665</v>
      </c>
      <c r="L10" s="487">
        <v>10172</v>
      </c>
      <c r="M10" s="485">
        <f t="shared" si="3"/>
        <v>0.74438346139773148</v>
      </c>
      <c r="N10" s="486">
        <v>12771</v>
      </c>
      <c r="O10" s="487">
        <v>8671</v>
      </c>
      <c r="P10" s="485">
        <f t="shared" si="4"/>
        <v>0.67896014407642313</v>
      </c>
    </row>
    <row r="11" spans="1:16" ht="18.75">
      <c r="A11" s="238" t="s">
        <v>441</v>
      </c>
      <c r="B11" s="486">
        <v>0</v>
      </c>
      <c r="C11" s="487">
        <v>0</v>
      </c>
      <c r="D11" s="485" t="e">
        <f t="shared" si="0"/>
        <v>#DIV/0!</v>
      </c>
      <c r="E11" s="486">
        <v>0</v>
      </c>
      <c r="F11" s="487">
        <v>0</v>
      </c>
      <c r="G11" s="485" t="e">
        <f t="shared" si="1"/>
        <v>#DIV/0!</v>
      </c>
      <c r="H11" s="496">
        <v>0</v>
      </c>
      <c r="I11" s="497">
        <v>0</v>
      </c>
      <c r="J11" s="485" t="e">
        <f t="shared" si="2"/>
        <v>#DIV/0!</v>
      </c>
      <c r="K11" s="486">
        <v>0</v>
      </c>
      <c r="L11" s="487">
        <v>0</v>
      </c>
      <c r="M11" s="485" t="e">
        <f t="shared" si="3"/>
        <v>#DIV/0!</v>
      </c>
      <c r="N11" s="486">
        <v>0</v>
      </c>
      <c r="O11" s="487">
        <v>0</v>
      </c>
      <c r="P11" s="485" t="e">
        <f t="shared" si="4"/>
        <v>#DIV/0!</v>
      </c>
    </row>
    <row r="12" spans="1:16" ht="18.75">
      <c r="A12" s="238" t="s">
        <v>442</v>
      </c>
      <c r="B12" s="486">
        <v>4917</v>
      </c>
      <c r="C12" s="488">
        <v>2203</v>
      </c>
      <c r="D12" s="485">
        <f t="shared" si="0"/>
        <v>0.44803742119178358</v>
      </c>
      <c r="E12" s="486">
        <v>5020</v>
      </c>
      <c r="F12" s="487">
        <v>1399</v>
      </c>
      <c r="G12" s="485">
        <f t="shared" si="1"/>
        <v>0.27868525896414342</v>
      </c>
      <c r="H12" s="496">
        <v>5119</v>
      </c>
      <c r="I12" s="497">
        <v>2714</v>
      </c>
      <c r="J12" s="485">
        <f t="shared" si="2"/>
        <v>0.530181676108615</v>
      </c>
      <c r="K12" s="486">
        <v>7509</v>
      </c>
      <c r="L12" s="487">
        <v>4594</v>
      </c>
      <c r="M12" s="485">
        <f t="shared" si="3"/>
        <v>0.61179917432414432</v>
      </c>
      <c r="N12" s="486">
        <v>6078</v>
      </c>
      <c r="O12" s="487">
        <v>3342</v>
      </c>
      <c r="P12" s="485">
        <f t="shared" si="4"/>
        <v>0.54985192497532087</v>
      </c>
    </row>
    <row r="13" spans="1:16" s="319" customFormat="1" ht="18.75">
      <c r="A13" s="238" t="s">
        <v>443</v>
      </c>
      <c r="B13" s="490">
        <v>9127</v>
      </c>
      <c r="C13" s="491">
        <v>4305</v>
      </c>
      <c r="D13" s="489">
        <f t="shared" si="0"/>
        <v>0.47167744056097294</v>
      </c>
      <c r="E13" s="490">
        <v>8859</v>
      </c>
      <c r="F13" s="492">
        <v>-399</v>
      </c>
      <c r="G13" s="489">
        <f t="shared" si="1"/>
        <v>-4.5038943447341689E-2</v>
      </c>
      <c r="H13" s="498">
        <v>9347</v>
      </c>
      <c r="I13" s="499">
        <v>712</v>
      </c>
      <c r="J13" s="489">
        <f t="shared" si="2"/>
        <v>7.6174173531614417E-2</v>
      </c>
      <c r="K13" s="490">
        <v>9281</v>
      </c>
      <c r="L13" s="492">
        <v>3963</v>
      </c>
      <c r="M13" s="489">
        <f t="shared" si="3"/>
        <v>0.42700140071113024</v>
      </c>
      <c r="N13" s="528">
        <v>7870</v>
      </c>
      <c r="O13" s="492">
        <v>1290</v>
      </c>
      <c r="P13" s="489">
        <f t="shared" si="4"/>
        <v>0.16391359593392629</v>
      </c>
    </row>
    <row r="14" spans="1:16">
      <c r="A14" s="239"/>
      <c r="B14" s="319"/>
      <c r="K14" s="319"/>
      <c r="L14" s="319"/>
      <c r="M14" s="319"/>
      <c r="N14" s="319"/>
      <c r="O14" s="319"/>
    </row>
    <row r="15" spans="1:16" ht="15.75">
      <c r="A15" s="101"/>
      <c r="B15" s="134"/>
      <c r="C15"/>
      <c r="D15"/>
      <c r="E15"/>
      <c r="F15"/>
      <c r="G15"/>
      <c r="H15"/>
      <c r="I15"/>
      <c r="J15"/>
      <c r="K15"/>
      <c r="L15"/>
      <c r="M15"/>
      <c r="N15"/>
      <c r="O15"/>
    </row>
    <row r="16" spans="1:16">
      <c r="C16"/>
      <c r="D16"/>
      <c r="E16"/>
      <c r="F16"/>
      <c r="G16"/>
      <c r="H16"/>
      <c r="I16"/>
      <c r="J16"/>
      <c r="K16"/>
      <c r="L16"/>
      <c r="M16"/>
      <c r="N16"/>
      <c r="O16"/>
    </row>
    <row r="19" spans="1:16" ht="18.75" customHeight="1">
      <c r="B19" s="573" t="s">
        <v>448</v>
      </c>
      <c r="C19" s="573"/>
      <c r="D19" s="573"/>
      <c r="E19" s="573"/>
      <c r="F19" s="573"/>
    </row>
    <row r="20" spans="1:16" ht="18">
      <c r="A20" s="132"/>
      <c r="B20" s="240">
        <v>2017</v>
      </c>
      <c r="C20" s="240">
        <v>2018</v>
      </c>
      <c r="D20" s="240">
        <v>2019</v>
      </c>
      <c r="E20" s="240">
        <v>2020</v>
      </c>
      <c r="F20" s="240">
        <v>2021</v>
      </c>
    </row>
    <row r="21" spans="1:16" ht="18.75">
      <c r="A21" s="241" t="s">
        <v>433</v>
      </c>
      <c r="B21" s="242" t="s">
        <v>449</v>
      </c>
      <c r="C21" s="242" t="s">
        <v>449</v>
      </c>
      <c r="D21" s="242" t="s">
        <v>449</v>
      </c>
      <c r="E21" s="242" t="s">
        <v>449</v>
      </c>
      <c r="F21" s="242" t="s">
        <v>449</v>
      </c>
    </row>
    <row r="22" spans="1:16" ht="18.75">
      <c r="A22" s="293"/>
      <c r="B22" s="292" t="s">
        <v>444</v>
      </c>
      <c r="C22" s="292" t="s">
        <v>444</v>
      </c>
      <c r="D22" s="292" t="s">
        <v>444</v>
      </c>
      <c r="E22" s="292" t="s">
        <v>444</v>
      </c>
      <c r="F22" s="292" t="s">
        <v>444</v>
      </c>
    </row>
    <row r="23" spans="1:16" ht="18.75">
      <c r="A23" s="241" t="s">
        <v>436</v>
      </c>
      <c r="B23" s="243">
        <v>-1669</v>
      </c>
      <c r="C23" s="243">
        <v>767</v>
      </c>
      <c r="D23" s="243">
        <v>424</v>
      </c>
      <c r="E23" s="517">
        <v>-1148</v>
      </c>
      <c r="F23" s="517">
        <v>-655</v>
      </c>
    </row>
    <row r="24" spans="1:16" ht="18.75">
      <c r="A24" s="241" t="s">
        <v>437</v>
      </c>
      <c r="B24" s="243">
        <v>30044</v>
      </c>
      <c r="C24" s="243">
        <v>30781</v>
      </c>
      <c r="D24" s="243">
        <v>74701</v>
      </c>
      <c r="E24" s="517">
        <v>-50098</v>
      </c>
      <c r="F24" s="517">
        <v>754</v>
      </c>
    </row>
    <row r="25" spans="1:16" ht="18.75">
      <c r="A25" s="241" t="s">
        <v>438</v>
      </c>
      <c r="B25" s="243">
        <v>-5538</v>
      </c>
      <c r="C25" s="243">
        <v>5139</v>
      </c>
      <c r="D25" s="243">
        <v>5232</v>
      </c>
      <c r="E25" s="517">
        <v>-9530</v>
      </c>
      <c r="F25" s="517">
        <v>2950</v>
      </c>
    </row>
    <row r="26" spans="1:16" ht="18.75">
      <c r="A26" s="241" t="s">
        <v>439</v>
      </c>
      <c r="B26" s="243">
        <v>957</v>
      </c>
      <c r="C26" s="243">
        <v>3993</v>
      </c>
      <c r="D26" s="243">
        <v>3001</v>
      </c>
      <c r="E26" s="517">
        <v>-4190</v>
      </c>
      <c r="F26" s="517">
        <v>-2618</v>
      </c>
      <c r="G26" s="120"/>
    </row>
    <row r="27" spans="1:16" ht="18.75">
      <c r="A27" s="241" t="s">
        <v>440</v>
      </c>
      <c r="B27" s="243">
        <v>5370</v>
      </c>
      <c r="C27" s="243">
        <v>8017</v>
      </c>
      <c r="D27" s="243">
        <v>905</v>
      </c>
      <c r="E27" s="517">
        <v>-4786</v>
      </c>
      <c r="F27" s="517">
        <v>-9291</v>
      </c>
      <c r="G27" s="456"/>
    </row>
    <row r="28" spans="1:16" ht="18.75">
      <c r="A28" s="241" t="s">
        <v>441</v>
      </c>
      <c r="B28" s="243">
        <v>0</v>
      </c>
      <c r="C28" s="243">
        <v>0</v>
      </c>
      <c r="D28" s="243">
        <v>0</v>
      </c>
      <c r="E28" s="517">
        <v>0</v>
      </c>
      <c r="F28" s="517">
        <v>0</v>
      </c>
      <c r="G28" s="456"/>
    </row>
    <row r="29" spans="1:16" ht="18.75">
      <c r="A29" s="244" t="s">
        <v>442</v>
      </c>
      <c r="B29" s="433">
        <v>340</v>
      </c>
      <c r="C29" s="433">
        <v>3191</v>
      </c>
      <c r="D29" s="433">
        <v>9259</v>
      </c>
      <c r="E29" s="518">
        <v>-4632</v>
      </c>
      <c r="F29" s="518">
        <v>-3444</v>
      </c>
      <c r="G29" s="456"/>
    </row>
    <row r="30" spans="1:16">
      <c r="A30" s="239"/>
      <c r="B30" s="319"/>
      <c r="C30" s="319"/>
      <c r="D30" s="319"/>
      <c r="E30" s="319"/>
      <c r="F30" s="319"/>
      <c r="G30" s="120"/>
      <c r="H30" s="120"/>
    </row>
    <row r="31" spans="1:16" ht="15.75">
      <c r="A31" s="101"/>
      <c r="B31" s="319"/>
      <c r="C31" s="101"/>
      <c r="D31" s="101"/>
      <c r="E31" s="319"/>
      <c r="F31" s="285"/>
      <c r="G31" s="319"/>
      <c r="H31" s="319"/>
      <c r="I31" s="319"/>
      <c r="J31" s="319"/>
      <c r="N31" s="120"/>
      <c r="O31" s="120"/>
      <c r="P31" s="120"/>
    </row>
    <row r="32" spans="1:16">
      <c r="A32" s="319"/>
      <c r="B32" s="319"/>
      <c r="C32" s="319"/>
      <c r="D32" s="319"/>
      <c r="E32" s="319"/>
      <c r="F32" s="319"/>
      <c r="G32" s="319"/>
      <c r="H32" s="319"/>
      <c r="I32" s="319"/>
      <c r="J32" s="319"/>
    </row>
    <row r="33" spans="1:13">
      <c r="A33" s="319"/>
      <c r="B33" s="319"/>
      <c r="C33" s="319"/>
      <c r="D33" s="319"/>
      <c r="E33" s="319"/>
      <c r="F33" s="319"/>
      <c r="G33" s="319"/>
      <c r="H33" s="319"/>
      <c r="I33" s="319"/>
      <c r="J33" s="319"/>
    </row>
    <row r="34" spans="1:13">
      <c r="A34" s="319"/>
      <c r="B34" s="319"/>
      <c r="C34" s="319"/>
      <c r="D34" s="319"/>
      <c r="E34" s="319"/>
      <c r="F34" s="319"/>
      <c r="G34" s="319"/>
      <c r="H34" s="319"/>
      <c r="I34" s="319"/>
      <c r="J34" s="319"/>
      <c r="K34" s="319"/>
      <c r="L34" s="319"/>
      <c r="M34" s="319"/>
    </row>
    <row r="35" spans="1:13" ht="20.25">
      <c r="A35" s="572" t="s">
        <v>453</v>
      </c>
      <c r="B35" s="572"/>
      <c r="C35" s="572"/>
      <c r="D35" s="572"/>
      <c r="E35" s="572"/>
      <c r="F35" s="245"/>
      <c r="G35" s="245"/>
      <c r="H35" s="245"/>
      <c r="I35" s="319"/>
      <c r="J35" s="319"/>
      <c r="K35" s="319"/>
      <c r="L35" s="319"/>
      <c r="M35" s="319"/>
    </row>
    <row r="36" spans="1:13" ht="13.5">
      <c r="A36" s="246"/>
      <c r="B36" s="571" t="s">
        <v>452</v>
      </c>
      <c r="C36" s="564"/>
      <c r="D36" s="564"/>
      <c r="E36" s="565"/>
      <c r="F36" s="319"/>
      <c r="G36" s="319"/>
      <c r="H36" s="319"/>
      <c r="I36" s="319"/>
      <c r="J36" s="319"/>
      <c r="K36" s="319"/>
      <c r="L36" s="319"/>
      <c r="M36" s="319"/>
    </row>
    <row r="37" spans="1:13">
      <c r="A37" s="132" t="s">
        <v>33</v>
      </c>
      <c r="B37" s="120" t="s">
        <v>161</v>
      </c>
      <c r="C37" s="120" t="s">
        <v>1</v>
      </c>
      <c r="D37" s="120" t="s">
        <v>161</v>
      </c>
      <c r="E37" s="247" t="s">
        <v>1</v>
      </c>
      <c r="F37" s="319"/>
      <c r="G37" s="319"/>
      <c r="H37" s="319"/>
      <c r="I37" s="319"/>
      <c r="J37" s="319"/>
      <c r="K37" s="319"/>
      <c r="L37" s="319"/>
      <c r="M37" s="319"/>
    </row>
    <row r="38" spans="1:13">
      <c r="A38" s="133"/>
      <c r="B38" s="248" t="s">
        <v>450</v>
      </c>
      <c r="C38" s="248" t="s">
        <v>450</v>
      </c>
      <c r="D38" s="248" t="s">
        <v>451</v>
      </c>
      <c r="E38" s="249" t="s">
        <v>451</v>
      </c>
      <c r="F38" s="133"/>
      <c r="G38" s="319"/>
      <c r="H38" s="319"/>
      <c r="I38" s="319"/>
      <c r="J38" s="319"/>
      <c r="K38" s="319"/>
      <c r="L38" s="319"/>
      <c r="M38" s="319"/>
    </row>
    <row r="39" spans="1:13">
      <c r="A39" s="87">
        <v>2017</v>
      </c>
      <c r="B39" s="495">
        <v>38784.591548472919</v>
      </c>
      <c r="C39" s="495">
        <v>26806.759204000991</v>
      </c>
      <c r="D39" s="493">
        <v>0.56600850498759026</v>
      </c>
      <c r="E39" s="494">
        <v>0.43399149501240974</v>
      </c>
      <c r="F39" s="319"/>
      <c r="G39" s="319"/>
      <c r="H39" s="319"/>
      <c r="I39" s="319"/>
      <c r="J39" s="319"/>
      <c r="K39" s="319"/>
      <c r="L39" s="319"/>
      <c r="M39" s="319"/>
    </row>
    <row r="40" spans="1:13">
      <c r="A40" s="87">
        <v>2018</v>
      </c>
      <c r="B40" s="495">
        <v>37077</v>
      </c>
      <c r="C40" s="495">
        <v>25860</v>
      </c>
      <c r="D40" s="493">
        <f>B40/(B40+C40)</f>
        <v>0.58911292244625579</v>
      </c>
      <c r="E40" s="494">
        <f>1-D40</f>
        <v>0.41088707755374421</v>
      </c>
      <c r="F40" s="319"/>
      <c r="G40" s="319"/>
      <c r="H40" s="319"/>
      <c r="I40" s="319"/>
      <c r="J40" s="319"/>
      <c r="K40" s="319"/>
      <c r="L40" s="319"/>
      <c r="M40" s="319"/>
    </row>
    <row r="41" spans="1:13">
      <c r="A41" s="87">
        <v>2019</v>
      </c>
      <c r="B41" s="501">
        <v>37221.863849490997</v>
      </c>
      <c r="C41" s="501">
        <v>26706.586401333665</v>
      </c>
      <c r="D41" s="493">
        <f>B41/(B41+C41)</f>
        <v>0.58224254934149355</v>
      </c>
      <c r="E41" s="494">
        <f>1-D41</f>
        <v>0.41775745065850645</v>
      </c>
      <c r="F41" s="319"/>
      <c r="G41" s="319"/>
      <c r="H41" s="319"/>
      <c r="I41" s="319"/>
      <c r="J41" s="319"/>
      <c r="K41" s="319"/>
      <c r="L41" s="319"/>
      <c r="M41" s="319"/>
    </row>
    <row r="42" spans="1:13">
      <c r="A42" s="87">
        <v>2020</v>
      </c>
      <c r="B42" s="495">
        <v>32827.674475489039</v>
      </c>
      <c r="C42" s="495">
        <v>32808.708010000002</v>
      </c>
      <c r="D42" s="493">
        <f>B42/(B42+C42)</f>
        <v>0.50014448134381284</v>
      </c>
      <c r="E42" s="494">
        <f>1-D42</f>
        <v>0.49985551865618716</v>
      </c>
      <c r="F42" s="319"/>
      <c r="G42" s="319"/>
      <c r="H42" s="319"/>
      <c r="I42" s="319"/>
      <c r="J42" s="319"/>
      <c r="K42" s="319"/>
      <c r="L42" s="319"/>
      <c r="M42" s="319"/>
    </row>
    <row r="43" spans="1:13">
      <c r="A43" s="87">
        <v>2021</v>
      </c>
      <c r="B43" s="495">
        <v>52212</v>
      </c>
      <c r="C43" s="495">
        <v>30809</v>
      </c>
      <c r="D43" s="493">
        <f>B43/(B43+C43)</f>
        <v>0.62890112140301846</v>
      </c>
      <c r="E43" s="494">
        <f>1-D43</f>
        <v>0.37109887859698154</v>
      </c>
      <c r="G43" s="319"/>
      <c r="H43" s="319"/>
      <c r="I43" s="319"/>
      <c r="J43" s="319"/>
      <c r="K43" s="319"/>
      <c r="L43" s="319"/>
      <c r="M43" s="319"/>
    </row>
    <row r="44" spans="1:13">
      <c r="A44"/>
      <c r="B44"/>
      <c r="C44"/>
      <c r="D44"/>
      <c r="E44"/>
      <c r="F44" s="319"/>
    </row>
    <row r="45" spans="1:13">
      <c r="A45"/>
      <c r="B45"/>
      <c r="C45"/>
      <c r="D45"/>
      <c r="E45"/>
      <c r="F45"/>
    </row>
    <row r="46" spans="1:13">
      <c r="A46"/>
      <c r="B46"/>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E56" s="434"/>
    </row>
  </sheetData>
  <mergeCells count="8">
    <mergeCell ref="B36:E36"/>
    <mergeCell ref="A35:E35"/>
    <mergeCell ref="B19:F19"/>
    <mergeCell ref="A1:G1"/>
    <mergeCell ref="K3:M3"/>
    <mergeCell ref="N3:P3"/>
    <mergeCell ref="K5:L5"/>
    <mergeCell ref="N5:O5"/>
  </mergeCells>
  <phoneticPr fontId="4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Principia</cp:lastModifiedBy>
  <cp:lastPrinted>2018-05-03T14:48:01Z</cp:lastPrinted>
  <dcterms:created xsi:type="dcterms:W3CDTF">2002-10-16T14:29:03Z</dcterms:created>
  <dcterms:modified xsi:type="dcterms:W3CDTF">2022-08-30T03:44:21Z</dcterms:modified>
</cp:coreProperties>
</file>